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orakod_p\Downloads\HR-Project\"/>
    </mc:Choice>
  </mc:AlternateContent>
  <bookViews>
    <workbookView xWindow="-120" yWindow="-18120" windowWidth="29040" windowHeight="17640" activeTab="1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F4" i="1"/>
  <c r="G4" i="1" s="1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" i="2"/>
  <c r="DK1" i="1"/>
  <c r="FW1" i="1"/>
  <c r="II1" i="1"/>
  <c r="KI1" i="1"/>
  <c r="KJ1" i="1"/>
  <c r="KK1" i="1"/>
  <c r="KL1" i="1"/>
  <c r="KM1" i="1"/>
  <c r="KN1" i="1"/>
  <c r="KO1" i="1"/>
  <c r="KP1" i="1"/>
  <c r="KQ1" i="1"/>
  <c r="KR1" i="1"/>
  <c r="KS1" i="1"/>
  <c r="KT1" i="1"/>
  <c r="KU1" i="1"/>
  <c r="KV1" i="1"/>
  <c r="KW1" i="1"/>
  <c r="KX1" i="1"/>
  <c r="KY1" i="1"/>
  <c r="KZ1" i="1"/>
  <c r="LA1" i="1"/>
  <c r="LB1" i="1"/>
  <c r="LC1" i="1"/>
  <c r="LD1" i="1"/>
  <c r="LE1" i="1"/>
  <c r="LF1" i="1"/>
  <c r="LG1" i="1"/>
  <c r="LH1" i="1"/>
  <c r="LI1" i="1"/>
  <c r="LJ1" i="1"/>
  <c r="LK1" i="1"/>
  <c r="LL1" i="1"/>
  <c r="LM1" i="1"/>
  <c r="LN1" i="1"/>
  <c r="LO1" i="1"/>
  <c r="LP1" i="1"/>
  <c r="LQ1" i="1"/>
  <c r="LR1" i="1"/>
  <c r="LS1" i="1"/>
  <c r="LT1" i="1"/>
  <c r="LU1" i="1"/>
  <c r="LV1" i="1"/>
  <c r="LW1" i="1"/>
  <c r="LX1" i="1"/>
  <c r="LY1" i="1"/>
  <c r="LZ1" i="1"/>
  <c r="MA1" i="1"/>
  <c r="MB1" i="1"/>
  <c r="MC1" i="1"/>
  <c r="MD1" i="1"/>
  <c r="ME1" i="1"/>
  <c r="MF1" i="1"/>
  <c r="MG1" i="1"/>
  <c r="MH1" i="1"/>
  <c r="MI1" i="1"/>
  <c r="MJ1" i="1"/>
  <c r="MK1" i="1"/>
  <c r="ML1" i="1"/>
  <c r="MM1" i="1"/>
  <c r="MN1" i="1"/>
  <c r="MO1" i="1"/>
  <c r="MP1" i="1"/>
  <c r="MQ1" i="1"/>
  <c r="MR1" i="1"/>
  <c r="MS1" i="1"/>
  <c r="MT1" i="1"/>
  <c r="MU1" i="1"/>
  <c r="MV1" i="1"/>
  <c r="MW1" i="1"/>
  <c r="MX1" i="1"/>
  <c r="I1" i="1"/>
  <c r="DY1" i="2"/>
  <c r="EF1" i="2"/>
  <c r="EG1" i="2"/>
  <c r="BQ1" i="1" s="1"/>
  <c r="EL1" i="2"/>
  <c r="EN1" i="2"/>
  <c r="EO1" i="2"/>
  <c r="BY1" i="1" s="1"/>
  <c r="EV1" i="2"/>
  <c r="EW1" i="2"/>
  <c r="CG1" i="1" s="1"/>
  <c r="FD1" i="2"/>
  <c r="CN1" i="1" s="1"/>
  <c r="FE1" i="2"/>
  <c r="CO1" i="1" s="1"/>
  <c r="FL1" i="2"/>
  <c r="FM1" i="2"/>
  <c r="CW1" i="1" s="1"/>
  <c r="FT1" i="2"/>
  <c r="FU1" i="2"/>
  <c r="DE1" i="1" s="1"/>
  <c r="FZ1" i="2"/>
  <c r="GB1" i="2"/>
  <c r="DL1" i="1" s="1"/>
  <c r="GC1" i="2"/>
  <c r="DM1" i="1" s="1"/>
  <c r="GJ1" i="2"/>
  <c r="GK1" i="2"/>
  <c r="DU1" i="1" s="1"/>
  <c r="GR1" i="2"/>
  <c r="GS1" i="2"/>
  <c r="EC1" i="1" s="1"/>
  <c r="GX1" i="2"/>
  <c r="GZ1" i="2"/>
  <c r="HA1" i="2"/>
  <c r="EK1" i="1" s="1"/>
  <c r="HH1" i="2"/>
  <c r="HI1" i="2"/>
  <c r="ES1" i="1" s="1"/>
  <c r="HP1" i="2"/>
  <c r="EZ1" i="1" s="1"/>
  <c r="HQ1" i="2"/>
  <c r="FA1" i="1" s="1"/>
  <c r="HX1" i="2"/>
  <c r="HY1" i="2"/>
  <c r="FI1" i="1" s="1"/>
  <c r="IF1" i="2"/>
  <c r="IG1" i="2"/>
  <c r="FQ1" i="1" s="1"/>
  <c r="IL1" i="2"/>
  <c r="IN1" i="2"/>
  <c r="FX1" i="1" s="1"/>
  <c r="IO1" i="2"/>
  <c r="FY1" i="1" s="1"/>
  <c r="IV1" i="2"/>
  <c r="IW1" i="2"/>
  <c r="GG1" i="1" s="1"/>
  <c r="JD1" i="2"/>
  <c r="JE1" i="2"/>
  <c r="GO1" i="1" s="1"/>
  <c r="JJ1" i="2"/>
  <c r="JL1" i="2"/>
  <c r="JM1" i="2"/>
  <c r="GW1" i="1" s="1"/>
  <c r="JT1" i="2"/>
  <c r="JU1" i="2"/>
  <c r="HE1" i="1" s="1"/>
  <c r="KB1" i="2"/>
  <c r="HL1" i="1" s="1"/>
  <c r="KC1" i="2"/>
  <c r="HM1" i="1" s="1"/>
  <c r="KJ1" i="2"/>
  <c r="KK1" i="2"/>
  <c r="HU1" i="1" s="1"/>
  <c r="KR1" i="2"/>
  <c r="KS1" i="2"/>
  <c r="KX1" i="2"/>
  <c r="KZ1" i="2"/>
  <c r="IJ1" i="1" s="1"/>
  <c r="LA1" i="2"/>
  <c r="LH1" i="2"/>
  <c r="LI1" i="2"/>
  <c r="LP1" i="2"/>
  <c r="LQ1" i="2"/>
  <c r="JA1" i="1" s="1"/>
  <c r="LV1" i="2"/>
  <c r="LX1" i="2"/>
  <c r="LY1" i="2"/>
  <c r="JI1" i="1" s="1"/>
  <c r="MF1" i="2"/>
  <c r="MG1" i="2"/>
  <c r="JQ1" i="1" s="1"/>
  <c r="MN1" i="2"/>
  <c r="JX1" i="1" s="1"/>
  <c r="MO1" i="2"/>
  <c r="JY1" i="1" s="1"/>
  <c r="MV1" i="2"/>
  <c r="MW1" i="2"/>
  <c r="KG1" i="1" s="1"/>
  <c r="DY4" i="2"/>
  <c r="DZ4" i="2"/>
  <c r="DZ1" i="2" s="1"/>
  <c r="BJ1" i="1" s="1"/>
  <c r="EA4" i="2"/>
  <c r="EA1" i="2" s="1"/>
  <c r="EB4" i="2"/>
  <c r="EB1" i="2" s="1"/>
  <c r="BL1" i="1" s="1"/>
  <c r="EC4" i="2"/>
  <c r="EC1" i="2" s="1"/>
  <c r="BM1" i="1" s="1"/>
  <c r="ED4" i="2"/>
  <c r="ED1" i="2" s="1"/>
  <c r="BN1" i="1" s="1"/>
  <c r="EE4" i="2"/>
  <c r="EE1" i="2" s="1"/>
  <c r="EF4" i="2"/>
  <c r="EG4" i="2"/>
  <c r="EH4" i="2"/>
  <c r="EH1" i="2" s="1"/>
  <c r="BR1" i="1" s="1"/>
  <c r="EI4" i="2"/>
  <c r="EI1" i="2" s="1"/>
  <c r="EJ4" i="2"/>
  <c r="EJ1" i="2" s="1"/>
  <c r="BT1" i="1" s="1"/>
  <c r="EK4" i="2"/>
  <c r="EK1" i="2" s="1"/>
  <c r="BU1" i="1" s="1"/>
  <c r="EL4" i="2"/>
  <c r="EM4" i="2"/>
  <c r="EM1" i="2" s="1"/>
  <c r="BW1" i="1" s="1"/>
  <c r="EN4" i="2"/>
  <c r="EO4" i="2"/>
  <c r="EP4" i="2"/>
  <c r="EP1" i="2" s="1"/>
  <c r="BZ1" i="1" s="1"/>
  <c r="EQ4" i="2"/>
  <c r="EQ1" i="2" s="1"/>
  <c r="ER4" i="2"/>
  <c r="ER1" i="2" s="1"/>
  <c r="CB1" i="1" s="1"/>
  <c r="ES4" i="2"/>
  <c r="ES1" i="2" s="1"/>
  <c r="CC1" i="1" s="1"/>
  <c r="ET4" i="2"/>
  <c r="ET1" i="2" s="1"/>
  <c r="CD1" i="1" s="1"/>
  <c r="EU4" i="2"/>
  <c r="EU1" i="2" s="1"/>
  <c r="EV4" i="2"/>
  <c r="EW4" i="2"/>
  <c r="EX4" i="2"/>
  <c r="EX1" i="2" s="1"/>
  <c r="CH1" i="1" s="1"/>
  <c r="EY4" i="2"/>
  <c r="EY1" i="2" s="1"/>
  <c r="EZ4" i="2"/>
  <c r="EZ1" i="2" s="1"/>
  <c r="CJ1" i="1" s="1"/>
  <c r="FA4" i="2"/>
  <c r="FA1" i="2" s="1"/>
  <c r="CK1" i="1" s="1"/>
  <c r="FB4" i="2"/>
  <c r="FB1" i="2" s="1"/>
  <c r="CL1" i="1" s="1"/>
  <c r="FC4" i="2"/>
  <c r="FC1" i="2" s="1"/>
  <c r="FD4" i="2"/>
  <c r="FE4" i="2"/>
  <c r="FF4" i="2"/>
  <c r="FF1" i="2" s="1"/>
  <c r="CP1" i="1" s="1"/>
  <c r="FG4" i="2"/>
  <c r="FG1" i="2" s="1"/>
  <c r="FH4" i="2"/>
  <c r="FH1" i="2" s="1"/>
  <c r="CR1" i="1" s="1"/>
  <c r="FI4" i="2"/>
  <c r="FI1" i="2" s="1"/>
  <c r="CS1" i="1" s="1"/>
  <c r="FJ4" i="2"/>
  <c r="FJ1" i="2" s="1"/>
  <c r="CT1" i="1" s="1"/>
  <c r="FK4" i="2"/>
  <c r="FK1" i="2" s="1"/>
  <c r="FL4" i="2"/>
  <c r="FM4" i="2"/>
  <c r="FN4" i="2"/>
  <c r="FN1" i="2" s="1"/>
  <c r="CX1" i="1" s="1"/>
  <c r="FO4" i="2"/>
  <c r="FO1" i="2" s="1"/>
  <c r="FP4" i="2"/>
  <c r="FP1" i="2" s="1"/>
  <c r="CZ1" i="1" s="1"/>
  <c r="FQ4" i="2"/>
  <c r="FQ1" i="2" s="1"/>
  <c r="DA1" i="1" s="1"/>
  <c r="FR4" i="2"/>
  <c r="FR1" i="2" s="1"/>
  <c r="FS4" i="2"/>
  <c r="FS1" i="2" s="1"/>
  <c r="FT4" i="2"/>
  <c r="FU4" i="2"/>
  <c r="FV4" i="2"/>
  <c r="FV1" i="2" s="1"/>
  <c r="DF1" i="1" s="1"/>
  <c r="FW4" i="2"/>
  <c r="FW1" i="2" s="1"/>
  <c r="FX4" i="2"/>
  <c r="FX1" i="2" s="1"/>
  <c r="DH1" i="1" s="1"/>
  <c r="FY4" i="2"/>
  <c r="FY1" i="2" s="1"/>
  <c r="DI1" i="1" s="1"/>
  <c r="FZ4" i="2"/>
  <c r="GA4" i="2"/>
  <c r="GA1" i="2" s="1"/>
  <c r="GB4" i="2"/>
  <c r="GC4" i="2"/>
  <c r="GD4" i="2"/>
  <c r="GD1" i="2" s="1"/>
  <c r="DN1" i="1" s="1"/>
  <c r="GE4" i="2"/>
  <c r="GE1" i="2" s="1"/>
  <c r="GF4" i="2"/>
  <c r="GF1" i="2" s="1"/>
  <c r="DP1" i="1" s="1"/>
  <c r="GG4" i="2"/>
  <c r="GG1" i="2" s="1"/>
  <c r="DQ1" i="1" s="1"/>
  <c r="GH4" i="2"/>
  <c r="GH1" i="2" s="1"/>
  <c r="DR1" i="1" s="1"/>
  <c r="GI4" i="2"/>
  <c r="GI1" i="2" s="1"/>
  <c r="GJ4" i="2"/>
  <c r="GK4" i="2"/>
  <c r="GL4" i="2"/>
  <c r="GL1" i="2" s="1"/>
  <c r="DV1" i="1" s="1"/>
  <c r="GM4" i="2"/>
  <c r="GM1" i="2" s="1"/>
  <c r="GN4" i="2"/>
  <c r="GN1" i="2" s="1"/>
  <c r="DX1" i="1" s="1"/>
  <c r="GO4" i="2"/>
  <c r="GO1" i="2" s="1"/>
  <c r="DY1" i="1" s="1"/>
  <c r="GP4" i="2"/>
  <c r="GP1" i="2" s="1"/>
  <c r="DZ1" i="1" s="1"/>
  <c r="GQ4" i="2"/>
  <c r="GQ1" i="2" s="1"/>
  <c r="GR4" i="2"/>
  <c r="GS4" i="2"/>
  <c r="GT4" i="2"/>
  <c r="GT1" i="2" s="1"/>
  <c r="ED1" i="1" s="1"/>
  <c r="GU4" i="2"/>
  <c r="GU1" i="2" s="1"/>
  <c r="GV4" i="2"/>
  <c r="GV1" i="2" s="1"/>
  <c r="EF1" i="1" s="1"/>
  <c r="GW4" i="2"/>
  <c r="GW1" i="2" s="1"/>
  <c r="EG1" i="1" s="1"/>
  <c r="GX4" i="2"/>
  <c r="GY4" i="2"/>
  <c r="GY1" i="2" s="1"/>
  <c r="EI1" i="1" s="1"/>
  <c r="GZ4" i="2"/>
  <c r="HA4" i="2"/>
  <c r="HB4" i="2"/>
  <c r="HB1" i="2" s="1"/>
  <c r="EL1" i="1" s="1"/>
  <c r="HC4" i="2"/>
  <c r="HC1" i="2" s="1"/>
  <c r="HD4" i="2"/>
  <c r="HD1" i="2" s="1"/>
  <c r="EN1" i="1" s="1"/>
  <c r="HE4" i="2"/>
  <c r="HE1" i="2" s="1"/>
  <c r="EO1" i="1" s="1"/>
  <c r="HF4" i="2"/>
  <c r="HF1" i="2" s="1"/>
  <c r="EP1" i="1" s="1"/>
  <c r="HG4" i="2"/>
  <c r="HG1" i="2" s="1"/>
  <c r="HH4" i="2"/>
  <c r="HI4" i="2"/>
  <c r="HJ4" i="2"/>
  <c r="HJ1" i="2" s="1"/>
  <c r="ET1" i="1" s="1"/>
  <c r="HK4" i="2"/>
  <c r="HK1" i="2" s="1"/>
  <c r="HL4" i="2"/>
  <c r="HL1" i="2" s="1"/>
  <c r="EV1" i="1" s="1"/>
  <c r="HM4" i="2"/>
  <c r="HM1" i="2" s="1"/>
  <c r="EW1" i="1" s="1"/>
  <c r="HN4" i="2"/>
  <c r="HN1" i="2" s="1"/>
  <c r="EX1" i="1" s="1"/>
  <c r="HO4" i="2"/>
  <c r="HO1" i="2" s="1"/>
  <c r="HP4" i="2"/>
  <c r="HQ4" i="2"/>
  <c r="HR4" i="2"/>
  <c r="HR1" i="2" s="1"/>
  <c r="FB1" i="1" s="1"/>
  <c r="HS4" i="2"/>
  <c r="HS1" i="2" s="1"/>
  <c r="HT4" i="2"/>
  <c r="HT1" i="2" s="1"/>
  <c r="FD1" i="1" s="1"/>
  <c r="HU4" i="2"/>
  <c r="HU1" i="2" s="1"/>
  <c r="FE1" i="1" s="1"/>
  <c r="HV4" i="2"/>
  <c r="HV1" i="2" s="1"/>
  <c r="FF1" i="1" s="1"/>
  <c r="HW4" i="2"/>
  <c r="HW1" i="2" s="1"/>
  <c r="HX4" i="2"/>
  <c r="HY4" i="2"/>
  <c r="HZ4" i="2"/>
  <c r="HZ1" i="2" s="1"/>
  <c r="FJ1" i="1" s="1"/>
  <c r="IA4" i="2"/>
  <c r="IA1" i="2" s="1"/>
  <c r="IB4" i="2"/>
  <c r="IB1" i="2" s="1"/>
  <c r="FL1" i="1" s="1"/>
  <c r="IC4" i="2"/>
  <c r="IC1" i="2" s="1"/>
  <c r="FM1" i="1" s="1"/>
  <c r="ID4" i="2"/>
  <c r="ID1" i="2" s="1"/>
  <c r="IE4" i="2"/>
  <c r="IE1" i="2" s="1"/>
  <c r="IF4" i="2"/>
  <c r="IG4" i="2"/>
  <c r="IH4" i="2"/>
  <c r="IH1" i="2" s="1"/>
  <c r="FR1" i="1" s="1"/>
  <c r="II4" i="2"/>
  <c r="II1" i="2" s="1"/>
  <c r="IJ4" i="2"/>
  <c r="IJ1" i="2" s="1"/>
  <c r="FT1" i="1" s="1"/>
  <c r="IK4" i="2"/>
  <c r="IK1" i="2" s="1"/>
  <c r="FU1" i="1" s="1"/>
  <c r="IL4" i="2"/>
  <c r="IM4" i="2"/>
  <c r="IM1" i="2" s="1"/>
  <c r="IN4" i="2"/>
  <c r="IO4" i="2"/>
  <c r="IP4" i="2"/>
  <c r="IP1" i="2" s="1"/>
  <c r="FZ1" i="1" s="1"/>
  <c r="IQ4" i="2"/>
  <c r="IQ1" i="2" s="1"/>
  <c r="IR4" i="2"/>
  <c r="IR1" i="2" s="1"/>
  <c r="GB1" i="1" s="1"/>
  <c r="IS4" i="2"/>
  <c r="IS1" i="2" s="1"/>
  <c r="GC1" i="1" s="1"/>
  <c r="IT4" i="2"/>
  <c r="IT1" i="2" s="1"/>
  <c r="GD1" i="1" s="1"/>
  <c r="IU4" i="2"/>
  <c r="IU1" i="2" s="1"/>
  <c r="IV4" i="2"/>
  <c r="IW4" i="2"/>
  <c r="IX4" i="2"/>
  <c r="IX1" i="2" s="1"/>
  <c r="GH1" i="1" s="1"/>
  <c r="IY4" i="2"/>
  <c r="IY1" i="2" s="1"/>
  <c r="IZ4" i="2"/>
  <c r="IZ1" i="2" s="1"/>
  <c r="GJ1" i="1" s="1"/>
  <c r="JA4" i="2"/>
  <c r="JA1" i="2" s="1"/>
  <c r="GK1" i="1" s="1"/>
  <c r="JB4" i="2"/>
  <c r="JB1" i="2" s="1"/>
  <c r="GL1" i="1" s="1"/>
  <c r="JC4" i="2"/>
  <c r="JC1" i="2" s="1"/>
  <c r="JD4" i="2"/>
  <c r="JE4" i="2"/>
  <c r="JF4" i="2"/>
  <c r="JF1" i="2" s="1"/>
  <c r="GP1" i="1" s="1"/>
  <c r="JG4" i="2"/>
  <c r="JG1" i="2" s="1"/>
  <c r="JH4" i="2"/>
  <c r="JH1" i="2" s="1"/>
  <c r="GR1" i="1" s="1"/>
  <c r="JI4" i="2"/>
  <c r="JI1" i="2" s="1"/>
  <c r="GS1" i="1" s="1"/>
  <c r="JJ4" i="2"/>
  <c r="JK4" i="2"/>
  <c r="JK1" i="2" s="1"/>
  <c r="GU1" i="1" s="1"/>
  <c r="JL4" i="2"/>
  <c r="JM4" i="2"/>
  <c r="JN4" i="2"/>
  <c r="JN1" i="2" s="1"/>
  <c r="GX1" i="1" s="1"/>
  <c r="JO4" i="2"/>
  <c r="JO1" i="2" s="1"/>
  <c r="JP4" i="2"/>
  <c r="JP1" i="2" s="1"/>
  <c r="GZ1" i="1" s="1"/>
  <c r="JQ4" i="2"/>
  <c r="JQ1" i="2" s="1"/>
  <c r="HA1" i="1" s="1"/>
  <c r="JR4" i="2"/>
  <c r="JR1" i="2" s="1"/>
  <c r="HB1" i="1" s="1"/>
  <c r="JS4" i="2"/>
  <c r="JS1" i="2" s="1"/>
  <c r="JT4" i="2"/>
  <c r="JU4" i="2"/>
  <c r="JV4" i="2"/>
  <c r="JV1" i="2" s="1"/>
  <c r="HF1" i="1" s="1"/>
  <c r="JW4" i="2"/>
  <c r="JW1" i="2" s="1"/>
  <c r="JX4" i="2"/>
  <c r="JX1" i="2" s="1"/>
  <c r="HH1" i="1" s="1"/>
  <c r="JY4" i="2"/>
  <c r="JY1" i="2" s="1"/>
  <c r="HI1" i="1" s="1"/>
  <c r="JZ4" i="2"/>
  <c r="JZ1" i="2" s="1"/>
  <c r="HJ1" i="1" s="1"/>
  <c r="KA4" i="2"/>
  <c r="KA1" i="2" s="1"/>
  <c r="KB4" i="2"/>
  <c r="KC4" i="2"/>
  <c r="KD4" i="2"/>
  <c r="KD1" i="2" s="1"/>
  <c r="HN1" i="1" s="1"/>
  <c r="KE4" i="2"/>
  <c r="KE1" i="2" s="1"/>
  <c r="KF4" i="2"/>
  <c r="KF1" i="2" s="1"/>
  <c r="HP1" i="1" s="1"/>
  <c r="KG4" i="2"/>
  <c r="KG1" i="2" s="1"/>
  <c r="HQ1" i="1" s="1"/>
  <c r="KH4" i="2"/>
  <c r="KH1" i="2" s="1"/>
  <c r="HR1" i="1" s="1"/>
  <c r="KI4" i="2"/>
  <c r="KI1" i="2" s="1"/>
  <c r="KJ4" i="2"/>
  <c r="KK4" i="2"/>
  <c r="KL4" i="2"/>
  <c r="KL1" i="2" s="1"/>
  <c r="HV1" i="1" s="1"/>
  <c r="KM4" i="2"/>
  <c r="KM1" i="2" s="1"/>
  <c r="KN4" i="2"/>
  <c r="KN1" i="2" s="1"/>
  <c r="HX1" i="1" s="1"/>
  <c r="KO4" i="2"/>
  <c r="KO1" i="2" s="1"/>
  <c r="HY1" i="1" s="1"/>
  <c r="KP4" i="2"/>
  <c r="KP1" i="2" s="1"/>
  <c r="KQ4" i="2"/>
  <c r="KQ1" i="2" s="1"/>
  <c r="KR4" i="2"/>
  <c r="KS4" i="2"/>
  <c r="KT4" i="2"/>
  <c r="KT1" i="2" s="1"/>
  <c r="ID1" i="1" s="1"/>
  <c r="KU4" i="2"/>
  <c r="KU1" i="2" s="1"/>
  <c r="KV4" i="2"/>
  <c r="KV1" i="2" s="1"/>
  <c r="IF1" i="1" s="1"/>
  <c r="KW4" i="2"/>
  <c r="KW1" i="2" s="1"/>
  <c r="IG1" i="1" s="1"/>
  <c r="KX4" i="2"/>
  <c r="KY4" i="2"/>
  <c r="KY1" i="2" s="1"/>
  <c r="KZ4" i="2"/>
  <c r="LA4" i="2"/>
  <c r="LB4" i="2"/>
  <c r="LB1" i="2" s="1"/>
  <c r="IL1" i="1" s="1"/>
  <c r="LC4" i="2"/>
  <c r="LC1" i="2" s="1"/>
  <c r="LD4" i="2"/>
  <c r="LD1" i="2" s="1"/>
  <c r="IN1" i="1" s="1"/>
  <c r="LE4" i="2"/>
  <c r="LE1" i="2" s="1"/>
  <c r="IO1" i="1" s="1"/>
  <c r="LF4" i="2"/>
  <c r="LF1" i="2" s="1"/>
  <c r="IP1" i="1" s="1"/>
  <c r="LG4" i="2"/>
  <c r="LG1" i="2" s="1"/>
  <c r="LH4" i="2"/>
  <c r="LI4" i="2"/>
  <c r="LJ4" i="2"/>
  <c r="LJ1" i="2" s="1"/>
  <c r="IT1" i="1" s="1"/>
  <c r="LK4" i="2"/>
  <c r="LK1" i="2" s="1"/>
  <c r="LL4" i="2"/>
  <c r="LL1" i="2" s="1"/>
  <c r="IV1" i="1" s="1"/>
  <c r="LM4" i="2"/>
  <c r="LM1" i="2" s="1"/>
  <c r="IW1" i="1" s="1"/>
  <c r="LN4" i="2"/>
  <c r="LN1" i="2" s="1"/>
  <c r="IX1" i="1" s="1"/>
  <c r="LO4" i="2"/>
  <c r="LO1" i="2" s="1"/>
  <c r="LP4" i="2"/>
  <c r="LQ4" i="2"/>
  <c r="LR4" i="2"/>
  <c r="LR1" i="2" s="1"/>
  <c r="JB1" i="1" s="1"/>
  <c r="LS4" i="2"/>
  <c r="LS1" i="2" s="1"/>
  <c r="LT4" i="2"/>
  <c r="LT1" i="2" s="1"/>
  <c r="JD1" i="1" s="1"/>
  <c r="LU4" i="2"/>
  <c r="LU1" i="2" s="1"/>
  <c r="JE1" i="1" s="1"/>
  <c r="LV4" i="2"/>
  <c r="LW4" i="2"/>
  <c r="LW1" i="2" s="1"/>
  <c r="JG1" i="1" s="1"/>
  <c r="LX4" i="2"/>
  <c r="LY4" i="2"/>
  <c r="LZ4" i="2"/>
  <c r="LZ1" i="2" s="1"/>
  <c r="JJ1" i="1" s="1"/>
  <c r="MA4" i="2"/>
  <c r="MA1" i="2" s="1"/>
  <c r="MB4" i="2"/>
  <c r="MB1" i="2" s="1"/>
  <c r="JL1" i="1" s="1"/>
  <c r="MC4" i="2"/>
  <c r="MC1" i="2" s="1"/>
  <c r="JM1" i="1" s="1"/>
  <c r="MD4" i="2"/>
  <c r="MD1" i="2" s="1"/>
  <c r="JN1" i="1" s="1"/>
  <c r="ME4" i="2"/>
  <c r="ME1" i="2" s="1"/>
  <c r="MF4" i="2"/>
  <c r="MG4" i="2"/>
  <c r="MH4" i="2"/>
  <c r="MH1" i="2" s="1"/>
  <c r="JR1" i="1" s="1"/>
  <c r="MI4" i="2"/>
  <c r="MI1" i="2" s="1"/>
  <c r="MJ4" i="2"/>
  <c r="MJ1" i="2" s="1"/>
  <c r="JT1" i="1" s="1"/>
  <c r="MK4" i="2"/>
  <c r="MK1" i="2" s="1"/>
  <c r="JU1" i="1" s="1"/>
  <c r="ML4" i="2"/>
  <c r="ML1" i="2" s="1"/>
  <c r="JV1" i="1" s="1"/>
  <c r="MM4" i="2"/>
  <c r="MM1" i="2" s="1"/>
  <c r="MN4" i="2"/>
  <c r="MO4" i="2"/>
  <c r="MP4" i="2"/>
  <c r="MP1" i="2" s="1"/>
  <c r="JZ1" i="1" s="1"/>
  <c r="MQ4" i="2"/>
  <c r="MQ1" i="2" s="1"/>
  <c r="MR4" i="2"/>
  <c r="MR1" i="2" s="1"/>
  <c r="KB1" i="1" s="1"/>
  <c r="MS4" i="2"/>
  <c r="MS1" i="2" s="1"/>
  <c r="KC1" i="1" s="1"/>
  <c r="MT4" i="2"/>
  <c r="MT1" i="2" s="1"/>
  <c r="KD1" i="1" s="1"/>
  <c r="MU4" i="2"/>
  <c r="MU1" i="2" s="1"/>
  <c r="MV4" i="2"/>
  <c r="MW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X1" i="2" s="1"/>
  <c r="BY4" i="2"/>
  <c r="BY1" i="2" s="1"/>
  <c r="BZ1" i="2" s="1"/>
  <c r="BZ4" i="2"/>
  <c r="CA4" i="2"/>
  <c r="CB4" i="2"/>
  <c r="CC4" i="2"/>
  <c r="BX4" i="2"/>
  <c r="CC18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5" i="2"/>
  <c r="I4" i="1"/>
  <c r="BF128" i="2"/>
  <c r="Y128" i="2"/>
  <c r="T128" i="2"/>
  <c r="BU127" i="2"/>
  <c r="BQ127" i="2"/>
  <c r="BP127" i="2"/>
  <c r="BA127" i="2"/>
  <c r="AI127" i="2"/>
  <c r="AD127" i="2"/>
  <c r="AV126" i="2"/>
  <c r="AQ126" i="2"/>
  <c r="DO122" i="2"/>
  <c r="DN122" i="2"/>
  <c r="DM122" i="2"/>
  <c r="DH122" i="2"/>
  <c r="DG122" i="2"/>
  <c r="DB122" i="2"/>
  <c r="CZ122" i="2"/>
  <c r="CU122" i="2"/>
  <c r="CO122" i="2"/>
  <c r="CN122" i="2"/>
  <c r="CH122" i="2"/>
  <c r="CB122" i="2"/>
  <c r="BA122" i="2"/>
  <c r="AL122" i="2"/>
  <c r="AG122" i="2"/>
  <c r="DP121" i="2"/>
  <c r="DI121" i="2"/>
  <c r="DC121" i="2"/>
  <c r="CP121" i="2"/>
  <c r="CW121" i="2" s="1"/>
  <c r="DP120" i="2"/>
  <c r="DI120" i="2"/>
  <c r="DC120" i="2"/>
  <c r="CP120" i="2"/>
  <c r="CW120" i="2" s="1"/>
  <c r="DP119" i="2"/>
  <c r="DI119" i="2"/>
  <c r="DC119" i="2"/>
  <c r="CP119" i="2"/>
  <c r="CW119" i="2" s="1"/>
  <c r="DP118" i="2"/>
  <c r="DI118" i="2"/>
  <c r="DC118" i="2"/>
  <c r="CP118" i="2"/>
  <c r="CW118" i="2" s="1"/>
  <c r="DP117" i="2"/>
  <c r="DI117" i="2"/>
  <c r="DC117" i="2"/>
  <c r="CP117" i="2"/>
  <c r="CW117" i="2" s="1"/>
  <c r="DP116" i="2"/>
  <c r="DI116" i="2"/>
  <c r="DC116" i="2"/>
  <c r="CP116" i="2"/>
  <c r="CW116" i="2" s="1"/>
  <c r="DK115" i="2"/>
  <c r="DP115" i="2" s="1"/>
  <c r="DI115" i="2"/>
  <c r="DC115" i="2"/>
  <c r="CP115" i="2"/>
  <c r="CW115" i="2" s="1"/>
  <c r="DP114" i="2"/>
  <c r="DI114" i="2"/>
  <c r="DC114" i="2"/>
  <c r="CP114" i="2"/>
  <c r="CW114" i="2" s="1"/>
  <c r="DP113" i="2"/>
  <c r="DI113" i="2"/>
  <c r="DC113" i="2"/>
  <c r="CP113" i="2"/>
  <c r="CW113" i="2" s="1"/>
  <c r="DP112" i="2"/>
  <c r="DI112" i="2"/>
  <c r="DJ112" i="2" s="1"/>
  <c r="DC112" i="2"/>
  <c r="CP112" i="2"/>
  <c r="CW112" i="2" s="1"/>
  <c r="DP111" i="2"/>
  <c r="DI111" i="2"/>
  <c r="DC111" i="2"/>
  <c r="CP111" i="2"/>
  <c r="CW111" i="2" s="1"/>
  <c r="DP110" i="2"/>
  <c r="DI110" i="2"/>
  <c r="DC110" i="2"/>
  <c r="CV110" i="2"/>
  <c r="CP110" i="2"/>
  <c r="CW110" i="2" s="1"/>
  <c r="DP109" i="2"/>
  <c r="DI109" i="2"/>
  <c r="DC109" i="2"/>
  <c r="CV109" i="2"/>
  <c r="CP109" i="2"/>
  <c r="DP108" i="2"/>
  <c r="DI108" i="2"/>
  <c r="DC108" i="2"/>
  <c r="DJ108" i="2" s="1"/>
  <c r="CV108" i="2"/>
  <c r="CP108" i="2"/>
  <c r="DL107" i="2"/>
  <c r="DL122" i="2" s="1"/>
  <c r="DK107" i="2"/>
  <c r="DD107" i="2"/>
  <c r="DI107" i="2" s="1"/>
  <c r="CY107" i="2"/>
  <c r="CY122" i="2" s="1"/>
  <c r="CX107" i="2"/>
  <c r="DC107" i="2" s="1"/>
  <c r="CV107" i="2"/>
  <c r="CP107" i="2"/>
  <c r="DP106" i="2"/>
  <c r="DI106" i="2"/>
  <c r="DC106" i="2"/>
  <c r="CV106" i="2"/>
  <c r="CP106" i="2"/>
  <c r="DP105" i="2"/>
  <c r="DI105" i="2"/>
  <c r="DC105" i="2"/>
  <c r="DJ105" i="2" s="1"/>
  <c r="CV105" i="2"/>
  <c r="CP105" i="2"/>
  <c r="DP104" i="2"/>
  <c r="DI104" i="2"/>
  <c r="DC104" i="2"/>
  <c r="CQ104" i="2"/>
  <c r="CV104" i="2" s="1"/>
  <c r="CP104" i="2"/>
  <c r="DP103" i="2"/>
  <c r="DI103" i="2"/>
  <c r="DC103" i="2"/>
  <c r="CV103" i="2"/>
  <c r="CP103" i="2"/>
  <c r="DP102" i="2"/>
  <c r="DI102" i="2"/>
  <c r="DC102" i="2"/>
  <c r="CV102" i="2"/>
  <c r="CP102" i="2"/>
  <c r="CC102" i="2"/>
  <c r="BV102" i="2"/>
  <c r="BW102" i="2" s="1"/>
  <c r="DP101" i="2"/>
  <c r="DI101" i="2"/>
  <c r="DC101" i="2"/>
  <c r="CV101" i="2"/>
  <c r="CP101" i="2"/>
  <c r="CC101" i="2"/>
  <c r="BV101" i="2"/>
  <c r="BW101" i="2" s="1"/>
  <c r="BA101" i="2"/>
  <c r="AL101" i="2"/>
  <c r="AG101" i="2"/>
  <c r="DP100" i="2"/>
  <c r="DI100" i="2"/>
  <c r="DC100" i="2"/>
  <c r="CV100" i="2"/>
  <c r="CP100" i="2"/>
  <c r="CC100" i="2"/>
  <c r="BU100" i="2"/>
  <c r="BW100" i="2" s="1"/>
  <c r="DP99" i="2"/>
  <c r="DI99" i="2"/>
  <c r="DC99" i="2"/>
  <c r="CV99" i="2"/>
  <c r="CP99" i="2"/>
  <c r="CC99" i="2"/>
  <c r="BU99" i="2"/>
  <c r="BW99" i="2" s="1"/>
  <c r="DP98" i="2"/>
  <c r="DI98" i="2"/>
  <c r="DC98" i="2"/>
  <c r="DJ98" i="2" s="1"/>
  <c r="CV98" i="2"/>
  <c r="CP98" i="2"/>
  <c r="CC98" i="2"/>
  <c r="BT98" i="2"/>
  <c r="BW98" i="2" s="1"/>
  <c r="DP97" i="2"/>
  <c r="DI97" i="2"/>
  <c r="DC97" i="2"/>
  <c r="CV97" i="2"/>
  <c r="CP97" i="2"/>
  <c r="CC97" i="2"/>
  <c r="BT97" i="2"/>
  <c r="BW97" i="2" s="1"/>
  <c r="DP96" i="2"/>
  <c r="DI96" i="2"/>
  <c r="DC96" i="2"/>
  <c r="CV96" i="2"/>
  <c r="CP96" i="2"/>
  <c r="CC96" i="2"/>
  <c r="BT96" i="2"/>
  <c r="BW96" i="2" s="1"/>
  <c r="DP95" i="2"/>
  <c r="DI95" i="2"/>
  <c r="DC95" i="2"/>
  <c r="CV95" i="2"/>
  <c r="CP95" i="2"/>
  <c r="CC95" i="2"/>
  <c r="BT95" i="2"/>
  <c r="BW95" i="2" s="1"/>
  <c r="DP94" i="2"/>
  <c r="DI94" i="2"/>
  <c r="DC94" i="2"/>
  <c r="CV94" i="2"/>
  <c r="CW94" i="2" s="1"/>
  <c r="CP94" i="2"/>
  <c r="CC94" i="2"/>
  <c r="BT94" i="2"/>
  <c r="BW94" i="2" s="1"/>
  <c r="DP93" i="2"/>
  <c r="DI93" i="2"/>
  <c r="DC93" i="2"/>
  <c r="CV93" i="2"/>
  <c r="CP93" i="2"/>
  <c r="CC93" i="2"/>
  <c r="BR93" i="2"/>
  <c r="BT93" i="2" s="1"/>
  <c r="BW93" i="2" s="1"/>
  <c r="DP92" i="2"/>
  <c r="DI92" i="2"/>
  <c r="DC92" i="2"/>
  <c r="CV92" i="2"/>
  <c r="CP92" i="2"/>
  <c r="CC92" i="2"/>
  <c r="BT92" i="2"/>
  <c r="BW92" i="2" s="1"/>
  <c r="BA92" i="2"/>
  <c r="AL92" i="2"/>
  <c r="AG92" i="2"/>
  <c r="DP91" i="2"/>
  <c r="DI91" i="2"/>
  <c r="DC91" i="2"/>
  <c r="DJ91" i="2" s="1"/>
  <c r="CV91" i="2"/>
  <c r="CP91" i="2"/>
  <c r="CC91" i="2"/>
  <c r="BT91" i="2"/>
  <c r="BW91" i="2" s="1"/>
  <c r="BA91" i="2"/>
  <c r="AL91" i="2"/>
  <c r="AG91" i="2"/>
  <c r="DP90" i="2"/>
  <c r="DI90" i="2"/>
  <c r="DC90" i="2"/>
  <c r="CV90" i="2"/>
  <c r="CP90" i="2"/>
  <c r="CC90" i="2"/>
  <c r="BT90" i="2"/>
  <c r="BW90" i="2" s="1"/>
  <c r="BA90" i="2"/>
  <c r="AL90" i="2"/>
  <c r="AG90" i="2"/>
  <c r="DP89" i="2"/>
  <c r="DI89" i="2"/>
  <c r="DC89" i="2"/>
  <c r="CV89" i="2"/>
  <c r="CP89" i="2"/>
  <c r="CW89" i="2" s="1"/>
  <c r="CC89" i="2"/>
  <c r="BT89" i="2"/>
  <c r="BW89" i="2" s="1"/>
  <c r="BA89" i="2"/>
  <c r="AL89" i="2"/>
  <c r="AG89" i="2"/>
  <c r="DP88" i="2"/>
  <c r="DI88" i="2"/>
  <c r="DC88" i="2"/>
  <c r="CV88" i="2"/>
  <c r="CP88" i="2"/>
  <c r="CW88" i="2" s="1"/>
  <c r="CC88" i="2"/>
  <c r="BU88" i="2"/>
  <c r="BT88" i="2"/>
  <c r="BA88" i="2"/>
  <c r="AL88" i="2"/>
  <c r="AG88" i="2"/>
  <c r="DP87" i="2"/>
  <c r="DI87" i="2"/>
  <c r="DC87" i="2"/>
  <c r="CV87" i="2"/>
  <c r="CP87" i="2"/>
  <c r="CC87" i="2"/>
  <c r="BT87" i="2"/>
  <c r="BW87" i="2" s="1"/>
  <c r="BA87" i="2"/>
  <c r="AL87" i="2"/>
  <c r="AG87" i="2"/>
  <c r="DP86" i="2"/>
  <c r="DI86" i="2"/>
  <c r="DC86" i="2"/>
  <c r="CV86" i="2"/>
  <c r="CP86" i="2"/>
  <c r="CC86" i="2"/>
  <c r="BT86" i="2"/>
  <c r="BW86" i="2" s="1"/>
  <c r="BA86" i="2"/>
  <c r="AL86" i="2"/>
  <c r="AG86" i="2"/>
  <c r="DP85" i="2"/>
  <c r="DI85" i="2"/>
  <c r="DC85" i="2"/>
  <c r="CV85" i="2"/>
  <c r="CP85" i="2"/>
  <c r="CC85" i="2"/>
  <c r="BT85" i="2"/>
  <c r="BW85" i="2" s="1"/>
  <c r="BA85" i="2"/>
  <c r="AL85" i="2"/>
  <c r="AG85" i="2"/>
  <c r="DP84" i="2"/>
  <c r="DI84" i="2"/>
  <c r="DC84" i="2"/>
  <c r="CV84" i="2"/>
  <c r="CP84" i="2"/>
  <c r="CC84" i="2"/>
  <c r="BT84" i="2"/>
  <c r="BW84" i="2" s="1"/>
  <c r="AU84" i="2"/>
  <c r="AP84" i="2"/>
  <c r="DP83" i="2"/>
  <c r="DI83" i="2"/>
  <c r="DC83" i="2"/>
  <c r="CV83" i="2"/>
  <c r="CP83" i="2"/>
  <c r="CC83" i="2"/>
  <c r="BT83" i="2"/>
  <c r="BW83" i="2" s="1"/>
  <c r="AU83" i="2"/>
  <c r="AP83" i="2"/>
  <c r="T83" i="2"/>
  <c r="R83" i="2"/>
  <c r="DP82" i="2"/>
  <c r="DI82" i="2"/>
  <c r="DC82" i="2"/>
  <c r="CV82" i="2"/>
  <c r="CW82" i="2" s="1"/>
  <c r="CP82" i="2"/>
  <c r="CC82" i="2"/>
  <c r="BT82" i="2"/>
  <c r="BW82" i="2" s="1"/>
  <c r="AU82" i="2"/>
  <c r="AP82" i="2"/>
  <c r="DP81" i="2"/>
  <c r="DI81" i="2"/>
  <c r="DC81" i="2"/>
  <c r="DJ81" i="2" s="1"/>
  <c r="CV81" i="2"/>
  <c r="CP81" i="2"/>
  <c r="CW81" i="2" s="1"/>
  <c r="CC81" i="2"/>
  <c r="BT81" i="2"/>
  <c r="BW81" i="2" s="1"/>
  <c r="AU81" i="2"/>
  <c r="AP81" i="2"/>
  <c r="DP80" i="2"/>
  <c r="DI80" i="2"/>
  <c r="DC80" i="2"/>
  <c r="CV80" i="2"/>
  <c r="CP80" i="2"/>
  <c r="CC80" i="2"/>
  <c r="BW80" i="2"/>
  <c r="BT80" i="2"/>
  <c r="BJ80" i="2"/>
  <c r="AU80" i="2"/>
  <c r="AP80" i="2"/>
  <c r="DP79" i="2"/>
  <c r="DI79" i="2"/>
  <c r="DC79" i="2"/>
  <c r="CV79" i="2"/>
  <c r="CP79" i="2"/>
  <c r="CC79" i="2"/>
  <c r="BU79" i="2"/>
  <c r="BT79" i="2"/>
  <c r="BJ79" i="2"/>
  <c r="AU79" i="2"/>
  <c r="AP79" i="2"/>
  <c r="DP78" i="2"/>
  <c r="DI78" i="2"/>
  <c r="DC78" i="2"/>
  <c r="CV78" i="2"/>
  <c r="CP78" i="2"/>
  <c r="CC78" i="2"/>
  <c r="BT78" i="2"/>
  <c r="BW78" i="2" s="1"/>
  <c r="BJ78" i="2"/>
  <c r="AU78" i="2"/>
  <c r="AP78" i="2"/>
  <c r="DP77" i="2"/>
  <c r="DI77" i="2"/>
  <c r="DC77" i="2"/>
  <c r="DJ77" i="2" s="1"/>
  <c r="CV77" i="2"/>
  <c r="CP77" i="2"/>
  <c r="CC77" i="2"/>
  <c r="BT77" i="2"/>
  <c r="BW77" i="2" s="1"/>
  <c r="BJ77" i="2"/>
  <c r="AU77" i="2"/>
  <c r="AP77" i="2"/>
  <c r="DP76" i="2"/>
  <c r="DI76" i="2"/>
  <c r="DC76" i="2"/>
  <c r="CV76" i="2"/>
  <c r="CP76" i="2"/>
  <c r="CC76" i="2"/>
  <c r="BT76" i="2"/>
  <c r="BW76" i="2" s="1"/>
  <c r="BK76" i="2"/>
  <c r="BJ76" i="2"/>
  <c r="BH76" i="2"/>
  <c r="AU76" i="2"/>
  <c r="AP76" i="2"/>
  <c r="DP75" i="2"/>
  <c r="DI75" i="2"/>
  <c r="DC75" i="2"/>
  <c r="CV75" i="2"/>
  <c r="CP75" i="2"/>
  <c r="CW75" i="2" s="1"/>
  <c r="CC75" i="2"/>
  <c r="BU75" i="2"/>
  <c r="BT75" i="2"/>
  <c r="BM75" i="2"/>
  <c r="BK75" i="2"/>
  <c r="BH75" i="2"/>
  <c r="BJ75" i="2" s="1"/>
  <c r="AU75" i="2"/>
  <c r="AP75" i="2"/>
  <c r="DP74" i="2"/>
  <c r="DI74" i="2"/>
  <c r="DC74" i="2"/>
  <c r="CV74" i="2"/>
  <c r="CP74" i="2"/>
  <c r="CC74" i="2"/>
  <c r="BU74" i="2"/>
  <c r="BT74" i="2"/>
  <c r="BW74" i="2" s="1"/>
  <c r="BH74" i="2"/>
  <c r="BJ74" i="2" s="1"/>
  <c r="AU74" i="2"/>
  <c r="AP74" i="2"/>
  <c r="DP73" i="2"/>
  <c r="DI73" i="2"/>
  <c r="DC73" i="2"/>
  <c r="DJ73" i="2" s="1"/>
  <c r="CV73" i="2"/>
  <c r="CP73" i="2"/>
  <c r="CW73" i="2" s="1"/>
  <c r="CC73" i="2"/>
  <c r="BT73" i="2"/>
  <c r="BW73" i="2" s="1"/>
  <c r="BE73" i="2"/>
  <c r="AU73" i="2"/>
  <c r="AP73" i="2"/>
  <c r="DP72" i="2"/>
  <c r="DI72" i="2"/>
  <c r="DC72" i="2"/>
  <c r="CV72" i="2"/>
  <c r="CP72" i="2"/>
  <c r="CW72" i="2" s="1"/>
  <c r="CC72" i="2"/>
  <c r="BT72" i="2"/>
  <c r="BW72" i="2" s="1"/>
  <c r="BJ72" i="2"/>
  <c r="BE72" i="2"/>
  <c r="AU72" i="2"/>
  <c r="AP72" i="2"/>
  <c r="DP71" i="2"/>
  <c r="DI71" i="2"/>
  <c r="DC71" i="2"/>
  <c r="CV71" i="2"/>
  <c r="CP71" i="2"/>
  <c r="CC71" i="2"/>
  <c r="BT71" i="2"/>
  <c r="BW71" i="2" s="1"/>
  <c r="BE71" i="2"/>
  <c r="AU71" i="2"/>
  <c r="AP71" i="2"/>
  <c r="DP70" i="2"/>
  <c r="DI70" i="2"/>
  <c r="DJ70" i="2" s="1"/>
  <c r="DC70" i="2"/>
  <c r="CV70" i="2"/>
  <c r="CP70" i="2"/>
  <c r="CW70" i="2" s="1"/>
  <c r="CC70" i="2"/>
  <c r="BT70" i="2"/>
  <c r="BW70" i="2" s="1"/>
  <c r="BM70" i="2"/>
  <c r="BJ70" i="2"/>
  <c r="BE70" i="2"/>
  <c r="AU70" i="2"/>
  <c r="AP70" i="2"/>
  <c r="DP69" i="2"/>
  <c r="DI69" i="2"/>
  <c r="DC69" i="2"/>
  <c r="CV69" i="2"/>
  <c r="CP69" i="2"/>
  <c r="CC69" i="2"/>
  <c r="BT69" i="2"/>
  <c r="BW69" i="2" s="1"/>
  <c r="BE69" i="2"/>
  <c r="AU69" i="2"/>
  <c r="AP69" i="2"/>
  <c r="DP68" i="2"/>
  <c r="DI68" i="2"/>
  <c r="DC68" i="2"/>
  <c r="CV68" i="2"/>
  <c r="CW68" i="2" s="1"/>
  <c r="CP68" i="2"/>
  <c r="CC68" i="2"/>
  <c r="BT68" i="2"/>
  <c r="BW68" i="2" s="1"/>
  <c r="BH68" i="2"/>
  <c r="BJ68" i="2" s="1"/>
  <c r="BA68" i="2"/>
  <c r="BE68" i="2" s="1"/>
  <c r="AU68" i="2"/>
  <c r="AP68" i="2"/>
  <c r="DP67" i="2"/>
  <c r="DI67" i="2"/>
  <c r="DC67" i="2"/>
  <c r="CV67" i="2"/>
  <c r="CP67" i="2"/>
  <c r="CC67" i="2"/>
  <c r="BU67" i="2"/>
  <c r="BT67" i="2"/>
  <c r="BW67" i="2" s="1"/>
  <c r="BA67" i="2"/>
  <c r="BE67" i="2" s="1"/>
  <c r="AU67" i="2"/>
  <c r="AP67" i="2"/>
  <c r="DP66" i="2"/>
  <c r="DI66" i="2"/>
  <c r="DC66" i="2"/>
  <c r="CV66" i="2"/>
  <c r="CP66" i="2"/>
  <c r="CC66" i="2"/>
  <c r="BT66" i="2"/>
  <c r="BW66" i="2" s="1"/>
  <c r="BJ66" i="2"/>
  <c r="BE66" i="2"/>
  <c r="AZ66" i="2"/>
  <c r="AU66" i="2"/>
  <c r="AP66" i="2"/>
  <c r="DP65" i="2"/>
  <c r="DI65" i="2"/>
  <c r="DC65" i="2"/>
  <c r="CV65" i="2"/>
  <c r="CP65" i="2"/>
  <c r="CC65" i="2"/>
  <c r="BT65" i="2"/>
  <c r="BW65" i="2" s="1"/>
  <c r="BE65" i="2"/>
  <c r="AZ65" i="2"/>
  <c r="AU65" i="2"/>
  <c r="AP65" i="2"/>
  <c r="DP64" i="2"/>
  <c r="DI64" i="2"/>
  <c r="DC64" i="2"/>
  <c r="DJ64" i="2" s="1"/>
  <c r="CV64" i="2"/>
  <c r="CP64" i="2"/>
  <c r="CC64" i="2"/>
  <c r="BT64" i="2"/>
  <c r="BW64" i="2" s="1"/>
  <c r="BE64" i="2"/>
  <c r="AZ64" i="2"/>
  <c r="AU64" i="2"/>
  <c r="AP64" i="2"/>
  <c r="DP63" i="2"/>
  <c r="DI63" i="2"/>
  <c r="DC63" i="2"/>
  <c r="CV63" i="2"/>
  <c r="CP63" i="2"/>
  <c r="CW63" i="2" s="1"/>
  <c r="CC63" i="2"/>
  <c r="BT63" i="2"/>
  <c r="BW63" i="2" s="1"/>
  <c r="BE63" i="2"/>
  <c r="AZ63" i="2"/>
  <c r="AU63" i="2"/>
  <c r="AP63" i="2"/>
  <c r="DP62" i="2"/>
  <c r="DI62" i="2"/>
  <c r="DC62" i="2"/>
  <c r="CV62" i="2"/>
  <c r="CP62" i="2"/>
  <c r="CC62" i="2"/>
  <c r="BT62" i="2"/>
  <c r="BW62" i="2" s="1"/>
  <c r="BE62" i="2"/>
  <c r="AZ62" i="2"/>
  <c r="AS62" i="2"/>
  <c r="AU62" i="2" s="1"/>
  <c r="AP62" i="2"/>
  <c r="DP61" i="2"/>
  <c r="DI61" i="2"/>
  <c r="DC61" i="2"/>
  <c r="CV61" i="2"/>
  <c r="CP61" i="2"/>
  <c r="CC61" i="2"/>
  <c r="BT61" i="2"/>
  <c r="BW61" i="2" s="1"/>
  <c r="BE61" i="2"/>
  <c r="AZ61" i="2"/>
  <c r="AU61" i="2"/>
  <c r="AP61" i="2"/>
  <c r="DP60" i="2"/>
  <c r="DI60" i="2"/>
  <c r="DC60" i="2"/>
  <c r="CV60" i="2"/>
  <c r="CP60" i="2"/>
  <c r="CC60" i="2"/>
  <c r="BT60" i="2"/>
  <c r="BW60" i="2" s="1"/>
  <c r="BE60" i="2"/>
  <c r="AZ60" i="2"/>
  <c r="AU60" i="2"/>
  <c r="DP59" i="2"/>
  <c r="DI59" i="2"/>
  <c r="DC59" i="2"/>
  <c r="CV59" i="2"/>
  <c r="CP59" i="2"/>
  <c r="CW59" i="2" s="1"/>
  <c r="CC59" i="2"/>
  <c r="BT59" i="2"/>
  <c r="BW59" i="2" s="1"/>
  <c r="BF59" i="2"/>
  <c r="BJ59" i="2" s="1"/>
  <c r="BE59" i="2"/>
  <c r="AZ59" i="2"/>
  <c r="AS59" i="2"/>
  <c r="AU59" i="2" s="1"/>
  <c r="DP58" i="2"/>
  <c r="DI58" i="2"/>
  <c r="DC58" i="2"/>
  <c r="CV58" i="2"/>
  <c r="CP58" i="2"/>
  <c r="CC58" i="2"/>
  <c r="BT58" i="2"/>
  <c r="BW58" i="2" s="1"/>
  <c r="BF58" i="2"/>
  <c r="BJ58" i="2" s="1"/>
  <c r="BA58" i="2"/>
  <c r="BE58" i="2" s="1"/>
  <c r="AX58" i="2"/>
  <c r="AZ58" i="2" s="1"/>
  <c r="AS58" i="2"/>
  <c r="AU58" i="2" s="1"/>
  <c r="AP58" i="2"/>
  <c r="DP57" i="2"/>
  <c r="DI57" i="2"/>
  <c r="DC57" i="2"/>
  <c r="DJ57" i="2" s="1"/>
  <c r="CV57" i="2"/>
  <c r="CP57" i="2"/>
  <c r="CC57" i="2"/>
  <c r="BT57" i="2"/>
  <c r="BW57" i="2" s="1"/>
  <c r="BJ57" i="2"/>
  <c r="BC57" i="2"/>
  <c r="BE57" i="2" s="1"/>
  <c r="AZ57" i="2"/>
  <c r="AS57" i="2"/>
  <c r="AU57" i="2" s="1"/>
  <c r="DP56" i="2"/>
  <c r="DI56" i="2"/>
  <c r="DC56" i="2"/>
  <c r="CV56" i="2"/>
  <c r="CP56" i="2"/>
  <c r="CC56" i="2"/>
  <c r="BT56" i="2"/>
  <c r="BW56" i="2" s="1"/>
  <c r="BE56" i="2"/>
  <c r="AZ56" i="2"/>
  <c r="AU56" i="2"/>
  <c r="AP56" i="2"/>
  <c r="DP55" i="2"/>
  <c r="DI55" i="2"/>
  <c r="DC55" i="2"/>
  <c r="CV55" i="2"/>
  <c r="CP55" i="2"/>
  <c r="CC55" i="2"/>
  <c r="BT55" i="2"/>
  <c r="BW55" i="2" s="1"/>
  <c r="BE55" i="2"/>
  <c r="AZ55" i="2"/>
  <c r="AQ55" i="2"/>
  <c r="AU55" i="2" s="1"/>
  <c r="AP55" i="2"/>
  <c r="DP54" i="2"/>
  <c r="DI54" i="2"/>
  <c r="DC54" i="2"/>
  <c r="CV54" i="2"/>
  <c r="CP54" i="2"/>
  <c r="CC54" i="2"/>
  <c r="BT54" i="2"/>
  <c r="BW54" i="2" s="1"/>
  <c r="BE54" i="2"/>
  <c r="AZ54" i="2"/>
  <c r="AU54" i="2"/>
  <c r="AP54" i="2"/>
  <c r="DP53" i="2"/>
  <c r="DI53" i="2"/>
  <c r="DC53" i="2"/>
  <c r="CV53" i="2"/>
  <c r="CP53" i="2"/>
  <c r="CC53" i="2"/>
  <c r="BT53" i="2"/>
  <c r="BW53" i="2" s="1"/>
  <c r="BE53" i="2"/>
  <c r="AZ53" i="2"/>
  <c r="AU53" i="2"/>
  <c r="AP53" i="2"/>
  <c r="DP52" i="2"/>
  <c r="DI52" i="2"/>
  <c r="DC52" i="2"/>
  <c r="CV52" i="2"/>
  <c r="CP52" i="2"/>
  <c r="CC52" i="2"/>
  <c r="BT52" i="2"/>
  <c r="BW52" i="2" s="1"/>
  <c r="BE52" i="2"/>
  <c r="AZ52" i="2"/>
  <c r="AU52" i="2"/>
  <c r="AP52" i="2"/>
  <c r="DP51" i="2"/>
  <c r="DI51" i="2"/>
  <c r="DC51" i="2"/>
  <c r="CV51" i="2"/>
  <c r="CP51" i="2"/>
  <c r="CC51" i="2"/>
  <c r="BT51" i="2"/>
  <c r="BW51" i="2" s="1"/>
  <c r="BE51" i="2"/>
  <c r="AZ51" i="2"/>
  <c r="AU51" i="2"/>
  <c r="AP51" i="2"/>
  <c r="DP50" i="2"/>
  <c r="DI50" i="2"/>
  <c r="DC50" i="2"/>
  <c r="CV50" i="2"/>
  <c r="CP50" i="2"/>
  <c r="CC50" i="2"/>
  <c r="BT50" i="2"/>
  <c r="BW50" i="2" s="1"/>
  <c r="BH50" i="2"/>
  <c r="BF50" i="2"/>
  <c r="BE50" i="2"/>
  <c r="AX50" i="2"/>
  <c r="AV50" i="2"/>
  <c r="AZ50" i="2" s="1"/>
  <c r="AS50" i="2"/>
  <c r="AQ50" i="2"/>
  <c r="AN50" i="2"/>
  <c r="AL50" i="2"/>
  <c r="DP49" i="2"/>
  <c r="DI49" i="2"/>
  <c r="DC49" i="2"/>
  <c r="CV49" i="2"/>
  <c r="CP49" i="2"/>
  <c r="CC49" i="2"/>
  <c r="BT49" i="2"/>
  <c r="BW49" i="2" s="1"/>
  <c r="BE49" i="2"/>
  <c r="AZ49" i="2"/>
  <c r="AU49" i="2"/>
  <c r="AP49" i="2"/>
  <c r="DP48" i="2"/>
  <c r="DI48" i="2"/>
  <c r="DC48" i="2"/>
  <c r="CV48" i="2"/>
  <c r="CP48" i="2"/>
  <c r="CC48" i="2"/>
  <c r="BT48" i="2"/>
  <c r="BW48" i="2" s="1"/>
  <c r="BJ48" i="2"/>
  <c r="BE48" i="2"/>
  <c r="AZ48" i="2"/>
  <c r="AU48" i="2"/>
  <c r="AP48" i="2"/>
  <c r="AN48" i="2"/>
  <c r="DP47" i="2"/>
  <c r="DI47" i="2"/>
  <c r="DJ47" i="2" s="1"/>
  <c r="DC47" i="2"/>
  <c r="CV47" i="2"/>
  <c r="CP47" i="2"/>
  <c r="CC47" i="2"/>
  <c r="BT47" i="2"/>
  <c r="BW47" i="2" s="1"/>
  <c r="BE47" i="2"/>
  <c r="AZ47" i="2"/>
  <c r="AU47" i="2"/>
  <c r="AP47" i="2"/>
  <c r="DP46" i="2"/>
  <c r="DI46" i="2"/>
  <c r="DC46" i="2"/>
  <c r="CV46" i="2"/>
  <c r="CP46" i="2"/>
  <c r="CC46" i="2"/>
  <c r="BT46" i="2"/>
  <c r="BW46" i="2" s="1"/>
  <c r="BE46" i="2"/>
  <c r="AZ46" i="2"/>
  <c r="AU46" i="2"/>
  <c r="AP46" i="2"/>
  <c r="DP45" i="2"/>
  <c r="DI45" i="2"/>
  <c r="DC45" i="2"/>
  <c r="CV45" i="2"/>
  <c r="CP45" i="2"/>
  <c r="CC45" i="2"/>
  <c r="BW45" i="2"/>
  <c r="BT45" i="2"/>
  <c r="BE45" i="2"/>
  <c r="AZ45" i="2"/>
  <c r="AU45" i="2"/>
  <c r="AP45" i="2"/>
  <c r="DP44" i="2"/>
  <c r="DI44" i="2"/>
  <c r="DJ44" i="2" s="1"/>
  <c r="DC44" i="2"/>
  <c r="CV44" i="2"/>
  <c r="CW44" i="2" s="1"/>
  <c r="CP44" i="2"/>
  <c r="CC44" i="2"/>
  <c r="BT44" i="2"/>
  <c r="BW44" i="2" s="1"/>
  <c r="BE44" i="2"/>
  <c r="AZ44" i="2"/>
  <c r="AU44" i="2"/>
  <c r="AP44" i="2"/>
  <c r="DP43" i="2"/>
  <c r="DI43" i="2"/>
  <c r="DC43" i="2"/>
  <c r="CV43" i="2"/>
  <c r="CP43" i="2"/>
  <c r="CW43" i="2" s="1"/>
  <c r="CC43" i="2"/>
  <c r="BT43" i="2"/>
  <c r="BW43" i="2" s="1"/>
  <c r="BE43" i="2"/>
  <c r="AZ43" i="2"/>
  <c r="AU43" i="2"/>
  <c r="AP43" i="2"/>
  <c r="DP42" i="2"/>
  <c r="DI42" i="2"/>
  <c r="DC42" i="2"/>
  <c r="CV42" i="2"/>
  <c r="CP42" i="2"/>
  <c r="CC42" i="2"/>
  <c r="BW42" i="2"/>
  <c r="BT42" i="2"/>
  <c r="BE42" i="2"/>
  <c r="AZ42" i="2"/>
  <c r="AU42" i="2"/>
  <c r="AP42" i="2"/>
  <c r="DP41" i="2"/>
  <c r="DI41" i="2"/>
  <c r="DC41" i="2"/>
  <c r="CV41" i="2"/>
  <c r="CP41" i="2"/>
  <c r="CC41" i="2"/>
  <c r="BT41" i="2"/>
  <c r="BW41" i="2" s="1"/>
  <c r="BE41" i="2"/>
  <c r="AZ41" i="2"/>
  <c r="AQ41" i="2"/>
  <c r="AU41" i="2" s="1"/>
  <c r="AP41" i="2"/>
  <c r="DP40" i="2"/>
  <c r="DI40" i="2"/>
  <c r="DC40" i="2"/>
  <c r="CV40" i="2"/>
  <c r="CP40" i="2"/>
  <c r="CW40" i="2" s="1"/>
  <c r="CC40" i="2"/>
  <c r="BW40" i="2"/>
  <c r="BT40" i="2"/>
  <c r="BE40" i="2"/>
  <c r="AZ40" i="2"/>
  <c r="AU40" i="2"/>
  <c r="AP40" i="2"/>
  <c r="DP39" i="2"/>
  <c r="DI39" i="2"/>
  <c r="DC39" i="2"/>
  <c r="CV39" i="2"/>
  <c r="CP39" i="2"/>
  <c r="CC39" i="2"/>
  <c r="BT39" i="2"/>
  <c r="BW39" i="2" s="1"/>
  <c r="BE39" i="2"/>
  <c r="AZ39" i="2"/>
  <c r="AU39" i="2"/>
  <c r="AP39" i="2"/>
  <c r="DP38" i="2"/>
  <c r="DI38" i="2"/>
  <c r="DC38" i="2"/>
  <c r="CV38" i="2"/>
  <c r="CP38" i="2"/>
  <c r="CC38" i="2"/>
  <c r="BT38" i="2"/>
  <c r="BW38" i="2" s="1"/>
  <c r="BE38" i="2"/>
  <c r="AZ38" i="2"/>
  <c r="AU38" i="2"/>
  <c r="AP38" i="2"/>
  <c r="DP37" i="2"/>
  <c r="DI37" i="2"/>
  <c r="DC37" i="2"/>
  <c r="DJ37" i="2" s="1"/>
  <c r="CV37" i="2"/>
  <c r="CW37" i="2" s="1"/>
  <c r="CP37" i="2"/>
  <c r="CC37" i="2"/>
  <c r="BT37" i="2"/>
  <c r="BW37" i="2" s="1"/>
  <c r="BE37" i="2"/>
  <c r="AZ37" i="2"/>
  <c r="AU37" i="2"/>
  <c r="AP37" i="2"/>
  <c r="DP36" i="2"/>
  <c r="DI36" i="2"/>
  <c r="DC36" i="2"/>
  <c r="CV36" i="2"/>
  <c r="CP36" i="2"/>
  <c r="CC36" i="2"/>
  <c r="BT36" i="2"/>
  <c r="BW36" i="2" s="1"/>
  <c r="BE36" i="2"/>
  <c r="AZ36" i="2"/>
  <c r="AU36" i="2"/>
  <c r="AP36" i="2"/>
  <c r="DP35" i="2"/>
  <c r="DI35" i="2"/>
  <c r="DC35" i="2"/>
  <c r="CV35" i="2"/>
  <c r="CP35" i="2"/>
  <c r="CC35" i="2"/>
  <c r="BT35" i="2"/>
  <c r="BW35" i="2" s="1"/>
  <c r="BE35" i="2"/>
  <c r="AZ35" i="2"/>
  <c r="AU35" i="2"/>
  <c r="AP35" i="2"/>
  <c r="DP34" i="2"/>
  <c r="DI34" i="2"/>
  <c r="DC34" i="2"/>
  <c r="CW34" i="2"/>
  <c r="CV34" i="2"/>
  <c r="CP34" i="2"/>
  <c r="CC34" i="2"/>
  <c r="BT34" i="2"/>
  <c r="BW34" i="2" s="1"/>
  <c r="BE34" i="2"/>
  <c r="AZ34" i="2"/>
  <c r="AU34" i="2"/>
  <c r="AP34" i="2"/>
  <c r="DP33" i="2"/>
  <c r="DI33" i="2"/>
  <c r="DC33" i="2"/>
  <c r="CV33" i="2"/>
  <c r="CP33" i="2"/>
  <c r="CC33" i="2"/>
  <c r="BT33" i="2"/>
  <c r="BW33" i="2" s="1"/>
  <c r="BE33" i="2"/>
  <c r="AZ33" i="2"/>
  <c r="AU33" i="2"/>
  <c r="AP33" i="2"/>
  <c r="DP32" i="2"/>
  <c r="DI32" i="2"/>
  <c r="DC32" i="2"/>
  <c r="CV32" i="2"/>
  <c r="CP32" i="2"/>
  <c r="CC32" i="2"/>
  <c r="BT32" i="2"/>
  <c r="BW32" i="2" s="1"/>
  <c r="BE32" i="2"/>
  <c r="AZ32" i="2"/>
  <c r="AU32" i="2"/>
  <c r="AP32" i="2"/>
  <c r="DP31" i="2"/>
  <c r="DI31" i="2"/>
  <c r="DC31" i="2"/>
  <c r="CV31" i="2"/>
  <c r="CP31" i="2"/>
  <c r="CC31" i="2"/>
  <c r="BU31" i="2"/>
  <c r="BW31" i="2" s="1"/>
  <c r="BT31" i="2"/>
  <c r="BE31" i="2"/>
  <c r="AZ31" i="2"/>
  <c r="AU31" i="2"/>
  <c r="AP31" i="2"/>
  <c r="DP30" i="2"/>
  <c r="DI30" i="2"/>
  <c r="DJ30" i="2" s="1"/>
  <c r="DC30" i="2"/>
  <c r="CV30" i="2"/>
  <c r="CP30" i="2"/>
  <c r="CC30" i="2"/>
  <c r="BT30" i="2"/>
  <c r="BW30" i="2" s="1"/>
  <c r="BE30" i="2"/>
  <c r="AZ30" i="2"/>
  <c r="AU30" i="2"/>
  <c r="AP30" i="2"/>
  <c r="T30" i="2"/>
  <c r="DP29" i="2"/>
  <c r="DI29" i="2"/>
  <c r="DC29" i="2"/>
  <c r="CV29" i="2"/>
  <c r="CP29" i="2"/>
  <c r="CC29" i="2"/>
  <c r="BT29" i="2"/>
  <c r="BW29" i="2" s="1"/>
  <c r="BE29" i="2"/>
  <c r="AZ29" i="2"/>
  <c r="AU29" i="2"/>
  <c r="AP29" i="2"/>
  <c r="DP28" i="2"/>
  <c r="DI28" i="2"/>
  <c r="DC28" i="2"/>
  <c r="CV28" i="2"/>
  <c r="CW28" i="2" s="1"/>
  <c r="CP28" i="2"/>
  <c r="CI28" i="2"/>
  <c r="CC28" i="2"/>
  <c r="BT28" i="2"/>
  <c r="BW28" i="2" s="1"/>
  <c r="BE28" i="2"/>
  <c r="AZ28" i="2"/>
  <c r="AU28" i="2"/>
  <c r="AP28" i="2"/>
  <c r="T28" i="2"/>
  <c r="DP27" i="2"/>
  <c r="DI27" i="2"/>
  <c r="DC27" i="2"/>
  <c r="CV27" i="2"/>
  <c r="CP27" i="2"/>
  <c r="CI27" i="2"/>
  <c r="CC27" i="2"/>
  <c r="BT27" i="2"/>
  <c r="BW27" i="2" s="1"/>
  <c r="BE27" i="2"/>
  <c r="AZ27" i="2"/>
  <c r="AU27" i="2"/>
  <c r="AP27" i="2"/>
  <c r="DP26" i="2"/>
  <c r="DI26" i="2"/>
  <c r="DC26" i="2"/>
  <c r="CV26" i="2"/>
  <c r="CP26" i="2"/>
  <c r="CI26" i="2"/>
  <c r="CC26" i="2"/>
  <c r="BT26" i="2"/>
  <c r="BW26" i="2" s="1"/>
  <c r="BE26" i="2"/>
  <c r="AZ26" i="2"/>
  <c r="AU26" i="2"/>
  <c r="AP26" i="2"/>
  <c r="DP25" i="2"/>
  <c r="DI25" i="2"/>
  <c r="DC25" i="2"/>
  <c r="CV25" i="2"/>
  <c r="CP25" i="2"/>
  <c r="CI25" i="2"/>
  <c r="CC25" i="2"/>
  <c r="BT25" i="2"/>
  <c r="BW25" i="2" s="1"/>
  <c r="BK25" i="2"/>
  <c r="BH25" i="2"/>
  <c r="BJ25" i="2" s="1"/>
  <c r="BE25" i="2"/>
  <c r="AZ25" i="2"/>
  <c r="AU25" i="2"/>
  <c r="AP25" i="2"/>
  <c r="R25" i="2"/>
  <c r="DP24" i="2"/>
  <c r="DI24" i="2"/>
  <c r="DC24" i="2"/>
  <c r="CV24" i="2"/>
  <c r="CP24" i="2"/>
  <c r="CI24" i="2"/>
  <c r="CC24" i="2"/>
  <c r="BT24" i="2"/>
  <c r="BW24" i="2" s="1"/>
  <c r="BJ24" i="2"/>
  <c r="BE24" i="2"/>
  <c r="AZ24" i="2"/>
  <c r="AU24" i="2"/>
  <c r="AP24" i="2"/>
  <c r="T24" i="2"/>
  <c r="R24" i="2"/>
  <c r="DP23" i="2"/>
  <c r="DI23" i="2"/>
  <c r="DJ23" i="2" s="1"/>
  <c r="DC23" i="2"/>
  <c r="CV23" i="2"/>
  <c r="CP23" i="2"/>
  <c r="CI23" i="2"/>
  <c r="CC23" i="2"/>
  <c r="BT23" i="2"/>
  <c r="BW23" i="2" s="1"/>
  <c r="BE23" i="2"/>
  <c r="AV23" i="2"/>
  <c r="AZ23" i="2" s="1"/>
  <c r="AU23" i="2"/>
  <c r="AN23" i="2"/>
  <c r="AP23" i="2" s="1"/>
  <c r="T23" i="2"/>
  <c r="R23" i="2"/>
  <c r="DP22" i="2"/>
  <c r="DI22" i="2"/>
  <c r="DC22" i="2"/>
  <c r="CV22" i="2"/>
  <c r="CP22" i="2"/>
  <c r="CI22" i="2"/>
  <c r="BT22" i="2"/>
  <c r="BW22" i="2" s="1"/>
  <c r="BE22" i="2"/>
  <c r="AZ22" i="2"/>
  <c r="AU22" i="2"/>
  <c r="AN22" i="2"/>
  <c r="AP22" i="2" s="1"/>
  <c r="T22" i="2"/>
  <c r="R22" i="2"/>
  <c r="DP21" i="2"/>
  <c r="DI21" i="2"/>
  <c r="DC21" i="2"/>
  <c r="CV21" i="2"/>
  <c r="CP21" i="2"/>
  <c r="CI21" i="2"/>
  <c r="CC21" i="2"/>
  <c r="BS21" i="2"/>
  <c r="BR21" i="2"/>
  <c r="BQ21" i="2"/>
  <c r="BP21" i="2"/>
  <c r="BN21" i="2"/>
  <c r="BM21" i="2"/>
  <c r="BL21" i="2"/>
  <c r="BK21" i="2"/>
  <c r="BH21" i="2"/>
  <c r="BF21" i="2"/>
  <c r="BC21" i="2"/>
  <c r="BA21" i="2"/>
  <c r="BE21" i="2" s="1"/>
  <c r="AV21" i="2"/>
  <c r="AZ21" i="2" s="1"/>
  <c r="AS21" i="2"/>
  <c r="AU21" i="2" s="1"/>
  <c r="AQ21" i="2"/>
  <c r="AP21" i="2"/>
  <c r="T21" i="2"/>
  <c r="R21" i="2"/>
  <c r="DP20" i="2"/>
  <c r="DI20" i="2"/>
  <c r="DC20" i="2"/>
  <c r="CV20" i="2"/>
  <c r="CP20" i="2"/>
  <c r="CI20" i="2"/>
  <c r="CC20" i="2"/>
  <c r="BT20" i="2"/>
  <c r="BW20" i="2" s="1"/>
  <c r="BE20" i="2"/>
  <c r="AZ20" i="2"/>
  <c r="AU20" i="2"/>
  <c r="AP20" i="2"/>
  <c r="T20" i="2"/>
  <c r="R20" i="2"/>
  <c r="DP19" i="2"/>
  <c r="DI19" i="2"/>
  <c r="DC19" i="2"/>
  <c r="CV19" i="2"/>
  <c r="CP19" i="2"/>
  <c r="CI19" i="2"/>
  <c r="CC19" i="2"/>
  <c r="BT19" i="2"/>
  <c r="BW19" i="2" s="1"/>
  <c r="BF19" i="2"/>
  <c r="BJ19" i="2" s="1"/>
  <c r="BC19" i="2"/>
  <c r="BA19" i="2"/>
  <c r="AX19" i="2"/>
  <c r="AZ19" i="2" s="1"/>
  <c r="AS19" i="2"/>
  <c r="AQ19" i="2"/>
  <c r="AU19" i="2" s="1"/>
  <c r="AN19" i="2"/>
  <c r="AP19" i="2" s="1"/>
  <c r="R19" i="2"/>
  <c r="DP18" i="2"/>
  <c r="DI18" i="2"/>
  <c r="DC18" i="2"/>
  <c r="CV18" i="2"/>
  <c r="CP18" i="2"/>
  <c r="CI18" i="2"/>
  <c r="BA18" i="2"/>
  <c r="AL18" i="2"/>
  <c r="AG18" i="2"/>
  <c r="DP17" i="2"/>
  <c r="DI17" i="2"/>
  <c r="DC17" i="2"/>
  <c r="DJ17" i="2" s="1"/>
  <c r="CV17" i="2"/>
  <c r="CP17" i="2"/>
  <c r="CJ17" i="2"/>
  <c r="CI17" i="2"/>
  <c r="CC17" i="2"/>
  <c r="BR17" i="2"/>
  <c r="BT17" i="2" s="1"/>
  <c r="BW17" i="2" s="1"/>
  <c r="DP16" i="2"/>
  <c r="DI16" i="2"/>
  <c r="DC16" i="2"/>
  <c r="CQ16" i="2"/>
  <c r="CV16" i="2" s="1"/>
  <c r="CL16" i="2"/>
  <c r="CP16" i="2" s="1"/>
  <c r="CK16" i="2"/>
  <c r="CE16" i="2"/>
  <c r="CD16" i="2"/>
  <c r="BY16" i="2"/>
  <c r="BX16" i="2"/>
  <c r="CC16" i="2" s="1"/>
  <c r="BV16" i="2"/>
  <c r="BW16" i="2" s="1"/>
  <c r="DP15" i="2"/>
  <c r="DI15" i="2"/>
  <c r="DC15" i="2"/>
  <c r="CV15" i="2"/>
  <c r="CP15" i="2"/>
  <c r="CI15" i="2"/>
  <c r="CC15" i="2"/>
  <c r="BU15" i="2"/>
  <c r="BW15" i="2" s="1"/>
  <c r="BA15" i="2"/>
  <c r="AL15" i="2"/>
  <c r="AG15" i="2"/>
  <c r="DP14" i="2"/>
  <c r="DI14" i="2"/>
  <c r="DC14" i="2"/>
  <c r="CV14" i="2"/>
  <c r="CP14" i="2"/>
  <c r="CI14" i="2"/>
  <c r="CC14" i="2"/>
  <c r="BR14" i="2"/>
  <c r="BT14" i="2" s="1"/>
  <c r="BW14" i="2" s="1"/>
  <c r="BA14" i="2"/>
  <c r="AL14" i="2"/>
  <c r="AG14" i="2"/>
  <c r="DP13" i="2"/>
  <c r="DI13" i="2"/>
  <c r="DC13" i="2"/>
  <c r="CS13" i="2"/>
  <c r="CR13" i="2"/>
  <c r="CQ13" i="2"/>
  <c r="CP13" i="2"/>
  <c r="CF13" i="2"/>
  <c r="CI13" i="2" s="1"/>
  <c r="BZ13" i="2"/>
  <c r="BZ122" i="2" s="1"/>
  <c r="BV13" i="2"/>
  <c r="BT13" i="2"/>
  <c r="DP12" i="2"/>
  <c r="DF12" i="2"/>
  <c r="DE12" i="2"/>
  <c r="DD12" i="2"/>
  <c r="DD122" i="2" s="1"/>
  <c r="DC12" i="2"/>
  <c r="CS12" i="2"/>
  <c r="CS122" i="2" s="1"/>
  <c r="CR12" i="2"/>
  <c r="CQ12" i="2"/>
  <c r="CP12" i="2"/>
  <c r="CF12" i="2"/>
  <c r="CE12" i="2"/>
  <c r="CD12" i="2"/>
  <c r="CC12" i="2"/>
  <c r="BV12" i="2"/>
  <c r="BS12" i="2"/>
  <c r="BR12" i="2"/>
  <c r="BN12" i="2"/>
  <c r="BM12" i="2"/>
  <c r="DK11" i="2"/>
  <c r="DP11" i="2" s="1"/>
  <c r="DI11" i="2"/>
  <c r="DC11" i="2"/>
  <c r="DJ11" i="2" s="1"/>
  <c r="CX11" i="2"/>
  <c r="CV11" i="2"/>
  <c r="CP11" i="2"/>
  <c r="CI11" i="2"/>
  <c r="CC11" i="2"/>
  <c r="BV11" i="2"/>
  <c r="BU11" i="2"/>
  <c r="BR11" i="2"/>
  <c r="BQ11" i="2"/>
  <c r="BP11" i="2"/>
  <c r="BN11" i="2"/>
  <c r="BM11" i="2"/>
  <c r="BL11" i="2"/>
  <c r="BK11" i="2"/>
  <c r="BF11" i="2"/>
  <c r="BJ11" i="2" s="1"/>
  <c r="BC11" i="2"/>
  <c r="BE11" i="2" s="1"/>
  <c r="AU11" i="2"/>
  <c r="AP11" i="2"/>
  <c r="DP10" i="2"/>
  <c r="DI10" i="2"/>
  <c r="DC10" i="2"/>
  <c r="CR10" i="2"/>
  <c r="CQ10" i="2"/>
  <c r="CP10" i="2"/>
  <c r="CI10" i="2"/>
  <c r="CG10" i="2"/>
  <c r="CC10" i="2"/>
  <c r="BV10" i="2"/>
  <c r="BU10" i="2"/>
  <c r="BS10" i="2"/>
  <c r="BR10" i="2"/>
  <c r="BQ10" i="2"/>
  <c r="BP10" i="2"/>
  <c r="BN10" i="2"/>
  <c r="BM10" i="2"/>
  <c r="BL10" i="2"/>
  <c r="BK10" i="2"/>
  <c r="BH10" i="2"/>
  <c r="BF10" i="2"/>
  <c r="BC10" i="2"/>
  <c r="BA10" i="2"/>
  <c r="AY10" i="2"/>
  <c r="AX10" i="2"/>
  <c r="AU10" i="2"/>
  <c r="AP10" i="2"/>
  <c r="DP9" i="2"/>
  <c r="DF9" i="2"/>
  <c r="DC9" i="2"/>
  <c r="CT9" i="2"/>
  <c r="CV9" i="2" s="1"/>
  <c r="CL9" i="2"/>
  <c r="CP9" i="2" s="1"/>
  <c r="CE9" i="2"/>
  <c r="CD9" i="2"/>
  <c r="BY9" i="2"/>
  <c r="BX9" i="2"/>
  <c r="BV9" i="2"/>
  <c r="BR9" i="2"/>
  <c r="BP9" i="2"/>
  <c r="BJ9" i="2"/>
  <c r="BE9" i="2"/>
  <c r="AZ9" i="2"/>
  <c r="AU9" i="2"/>
  <c r="DP8" i="2"/>
  <c r="DI8" i="2"/>
  <c r="DA8" i="2"/>
  <c r="DA122" i="2" s="1"/>
  <c r="CV8" i="2"/>
  <c r="CP8" i="2"/>
  <c r="CI8" i="2"/>
  <c r="CC8" i="2"/>
  <c r="BV8" i="2"/>
  <c r="BU8" i="2"/>
  <c r="BR8" i="2"/>
  <c r="BT8" i="2" s="1"/>
  <c r="BM8" i="2"/>
  <c r="BK8" i="2"/>
  <c r="BH8" i="2"/>
  <c r="BF8" i="2"/>
  <c r="BC8" i="2"/>
  <c r="BA8" i="2"/>
  <c r="AX8" i="2"/>
  <c r="AZ8" i="2" s="1"/>
  <c r="AS8" i="2"/>
  <c r="AQ8" i="2"/>
  <c r="AN8" i="2"/>
  <c r="AP8" i="2" s="1"/>
  <c r="DP7" i="2"/>
  <c r="DI7" i="2"/>
  <c r="DC7" i="2"/>
  <c r="CV7" i="2"/>
  <c r="CM7" i="2"/>
  <c r="CL7" i="2"/>
  <c r="CK7" i="2"/>
  <c r="CK122" i="2" s="1"/>
  <c r="CG7" i="2"/>
  <c r="CI7" i="2" s="1"/>
  <c r="CC7" i="2"/>
  <c r="BV7" i="2"/>
  <c r="BU7" i="2"/>
  <c r="BS7" i="2"/>
  <c r="BR7" i="2"/>
  <c r="BQ7" i="2"/>
  <c r="BP7" i="2"/>
  <c r="BM7" i="2"/>
  <c r="BK7" i="2"/>
  <c r="BH7" i="2"/>
  <c r="BJ7" i="2" s="1"/>
  <c r="BC7" i="2"/>
  <c r="BA7" i="2"/>
  <c r="AX7" i="2"/>
  <c r="AV7" i="2"/>
  <c r="AQ7" i="2"/>
  <c r="AU7" i="2" s="1"/>
  <c r="AN7" i="2"/>
  <c r="AL7" i="2"/>
  <c r="T7" i="2"/>
  <c r="DP6" i="2"/>
  <c r="DI6" i="2"/>
  <c r="DC6" i="2"/>
  <c r="CQ6" i="2"/>
  <c r="CP6" i="2"/>
  <c r="CG6" i="2"/>
  <c r="CA6" i="2"/>
  <c r="BV6" i="2"/>
  <c r="BU6" i="2"/>
  <c r="BS6" i="2"/>
  <c r="BR6" i="2"/>
  <c r="BQ6" i="2"/>
  <c r="BP6" i="2"/>
  <c r="BM6" i="2"/>
  <c r="BK6" i="2"/>
  <c r="BH6" i="2"/>
  <c r="BF6" i="2"/>
  <c r="BC6" i="2"/>
  <c r="BA6" i="2"/>
  <c r="AX6" i="2"/>
  <c r="AV6" i="2"/>
  <c r="AS6" i="2"/>
  <c r="AQ6" i="2"/>
  <c r="AN6" i="2"/>
  <c r="AL6" i="2"/>
  <c r="AJ6" i="2"/>
  <c r="AI6" i="2"/>
  <c r="AH6" i="2"/>
  <c r="AG6" i="2"/>
  <c r="AF6" i="2"/>
  <c r="Y6" i="2"/>
  <c r="AA6" i="2" s="1"/>
  <c r="V6" i="2"/>
  <c r="M6" i="2"/>
  <c r="Q6" i="2" s="1"/>
  <c r="J6" i="2"/>
  <c r="H6" i="2"/>
  <c r="G6" i="2"/>
  <c r="DP5" i="2"/>
  <c r="CV5" i="2"/>
  <c r="CP5" i="2"/>
  <c r="CI5" i="2"/>
  <c r="CC5" i="2"/>
  <c r="BT5" i="2"/>
  <c r="BW5" i="2" s="1"/>
  <c r="BE5" i="2"/>
  <c r="AZ5" i="2"/>
  <c r="AU5" i="2"/>
  <c r="AP5" i="2"/>
  <c r="DB1" i="1" l="1"/>
  <c r="DC1" i="1"/>
  <c r="FN1" i="1"/>
  <c r="FO1" i="1"/>
  <c r="HZ1" i="1"/>
  <c r="IA1" i="1"/>
  <c r="KE1" i="1"/>
  <c r="JW1" i="1"/>
  <c r="JO1" i="1"/>
  <c r="IY1" i="1"/>
  <c r="IQ1" i="1"/>
  <c r="HS1" i="1"/>
  <c r="HK1" i="1"/>
  <c r="HC1" i="1"/>
  <c r="GM1" i="1"/>
  <c r="GE1" i="1"/>
  <c r="FG1" i="1"/>
  <c r="EY1" i="1"/>
  <c r="EQ1" i="1"/>
  <c r="EA1" i="1"/>
  <c r="DS1" i="1"/>
  <c r="CU1" i="1"/>
  <c r="CM1" i="1"/>
  <c r="CE1" i="1"/>
  <c r="BO1" i="1"/>
  <c r="GT1" i="1"/>
  <c r="CW45" i="2"/>
  <c r="KA1" i="1"/>
  <c r="JS1" i="1"/>
  <c r="JK1" i="1"/>
  <c r="JC1" i="1"/>
  <c r="IU1" i="1"/>
  <c r="IM1" i="1"/>
  <c r="IE1" i="1"/>
  <c r="HW1" i="1"/>
  <c r="HO1" i="1"/>
  <c r="HG1" i="1"/>
  <c r="GY1" i="1"/>
  <c r="GQ1" i="1"/>
  <c r="GI1" i="1"/>
  <c r="GA1" i="1"/>
  <c r="FS1" i="1"/>
  <c r="FK1" i="1"/>
  <c r="FC1" i="1"/>
  <c r="EU1" i="1"/>
  <c r="EM1" i="1"/>
  <c r="EE1" i="1"/>
  <c r="DW1" i="1"/>
  <c r="DO1" i="1"/>
  <c r="DG1" i="1"/>
  <c r="CY1" i="1"/>
  <c r="CQ1" i="1"/>
  <c r="CI1" i="1"/>
  <c r="CA1" i="1"/>
  <c r="BS1" i="1"/>
  <c r="BK1" i="1"/>
  <c r="IZ1" i="1"/>
  <c r="IC1" i="1"/>
  <c r="GN1" i="1"/>
  <c r="EB1" i="1"/>
  <c r="BP1" i="1"/>
  <c r="BV1" i="1"/>
  <c r="CW17" i="2"/>
  <c r="IB1" i="1"/>
  <c r="FP1" i="1"/>
  <c r="DD1" i="1"/>
  <c r="BW75" i="2"/>
  <c r="IH1" i="1"/>
  <c r="AP6" i="2"/>
  <c r="CJ8" i="2"/>
  <c r="CJ11" i="2"/>
  <c r="DJ29" i="2"/>
  <c r="DJ33" i="2"/>
  <c r="DJ51" i="2"/>
  <c r="CA1" i="2"/>
  <c r="J1" i="1"/>
  <c r="JP1" i="1"/>
  <c r="IS1" i="1"/>
  <c r="HD1" i="1"/>
  <c r="ER1" i="1"/>
  <c r="CF1" i="1"/>
  <c r="BI1" i="1"/>
  <c r="EH1" i="1"/>
  <c r="DJ1" i="1"/>
  <c r="CW27" i="2"/>
  <c r="CW38" i="2"/>
  <c r="CE122" i="2"/>
  <c r="AZ10" i="2"/>
  <c r="CW11" i="2"/>
  <c r="IR1" i="1"/>
  <c r="GF1" i="1"/>
  <c r="DT1" i="1"/>
  <c r="FV1" i="1"/>
  <c r="CP7" i="2"/>
  <c r="CW7" i="2" s="1"/>
  <c r="CW29" i="2"/>
  <c r="KF1" i="1"/>
  <c r="HT1" i="1"/>
  <c r="FH1" i="1"/>
  <c r="CV1" i="1"/>
  <c r="JF1" i="1"/>
  <c r="JH1" i="1"/>
  <c r="IK1" i="1"/>
  <c r="GV1" i="1"/>
  <c r="EJ1" i="1"/>
  <c r="BX1" i="1"/>
  <c r="CW49" i="2"/>
  <c r="DJ65" i="2"/>
  <c r="CW78" i="2"/>
  <c r="CW86" i="2"/>
  <c r="DJ99" i="2"/>
  <c r="CW64" i="2"/>
  <c r="CW95" i="2"/>
  <c r="DJ97" i="2"/>
  <c r="DJ101" i="2"/>
  <c r="DJ116" i="2"/>
  <c r="DJ66" i="2"/>
  <c r="CW109" i="2"/>
  <c r="DJ114" i="2"/>
  <c r="KH1" i="1"/>
  <c r="DJ48" i="2"/>
  <c r="CW52" i="2"/>
  <c r="DJ59" i="2"/>
  <c r="DJ69" i="2"/>
  <c r="CW77" i="2"/>
  <c r="CW85" i="2"/>
  <c r="CW100" i="2"/>
  <c r="CW108" i="2"/>
  <c r="DJ109" i="2"/>
  <c r="DJ111" i="2"/>
  <c r="DJ113" i="2"/>
  <c r="DJ117" i="2"/>
  <c r="DJ119" i="2"/>
  <c r="DJ121" i="2"/>
  <c r="CJ18" i="2"/>
  <c r="CA122" i="2"/>
  <c r="DJ7" i="2"/>
  <c r="BJ8" i="2"/>
  <c r="CD122" i="2"/>
  <c r="BO10" i="2"/>
  <c r="CJ15" i="2"/>
  <c r="CW18" i="2"/>
  <c r="CW19" i="2"/>
  <c r="DJ20" i="2"/>
  <c r="CW21" i="2"/>
  <c r="DJ22" i="2"/>
  <c r="DJ24" i="2"/>
  <c r="DJ25" i="2"/>
  <c r="DJ27" i="2"/>
  <c r="DJ68" i="2"/>
  <c r="DJ83" i="2"/>
  <c r="DJ87" i="2"/>
  <c r="DJ90" i="2"/>
  <c r="CW91" i="2"/>
  <c r="DJ96" i="2"/>
  <c r="CW107" i="2"/>
  <c r="DJ115" i="2"/>
  <c r="CF122" i="2"/>
  <c r="BT21" i="2"/>
  <c r="BW21" i="2" s="1"/>
  <c r="AK6" i="2"/>
  <c r="CW15" i="2"/>
  <c r="DJ18" i="2"/>
  <c r="DJ21" i="2"/>
  <c r="CW55" i="2"/>
  <c r="CW69" i="2"/>
  <c r="DJ84" i="2"/>
  <c r="AZ6" i="2"/>
  <c r="BT9" i="2"/>
  <c r="BW9" i="2" s="1"/>
  <c r="BT11" i="2"/>
  <c r="BW11" i="2" s="1"/>
  <c r="CJ14" i="2"/>
  <c r="CW26" i="2"/>
  <c r="CW32" i="2"/>
  <c r="DJ38" i="2"/>
  <c r="CW41" i="2"/>
  <c r="DJ43" i="2"/>
  <c r="CW46" i="2"/>
  <c r="DJ49" i="2"/>
  <c r="DJ52" i="2"/>
  <c r="CW53" i="2"/>
  <c r="DJ71" i="2"/>
  <c r="DJ75" i="2"/>
  <c r="BW79" i="2"/>
  <c r="DJ80" i="2"/>
  <c r="CW92" i="2"/>
  <c r="CW103" i="2"/>
  <c r="DJ104" i="2"/>
  <c r="DJ110" i="2"/>
  <c r="L6" i="2"/>
  <c r="BW8" i="2"/>
  <c r="BE10" i="2"/>
  <c r="BT10" i="2"/>
  <c r="BW10" i="2" s="1"/>
  <c r="DJ13" i="2"/>
  <c r="DJ36" i="2"/>
  <c r="DJ41" i="2"/>
  <c r="CW56" i="2"/>
  <c r="CW61" i="2"/>
  <c r="DJ63" i="2"/>
  <c r="DJ67" i="2"/>
  <c r="BE6" i="2"/>
  <c r="DJ28" i="2"/>
  <c r="DJ32" i="2"/>
  <c r="DJ39" i="2"/>
  <c r="CW51" i="2"/>
  <c r="DJ53" i="2"/>
  <c r="CW66" i="2"/>
  <c r="CW97" i="2"/>
  <c r="CW105" i="2"/>
  <c r="DJ106" i="2"/>
  <c r="BE7" i="2"/>
  <c r="CC9" i="2"/>
  <c r="BJ10" i="2"/>
  <c r="DJ16" i="2"/>
  <c r="CW22" i="2"/>
  <c r="CW23" i="2"/>
  <c r="CW24" i="2"/>
  <c r="CW25" i="2"/>
  <c r="CW33" i="2"/>
  <c r="CW35" i="2"/>
  <c r="CW42" i="2"/>
  <c r="CW54" i="2"/>
  <c r="DJ58" i="2"/>
  <c r="DJ61" i="2"/>
  <c r="DJ78" i="2"/>
  <c r="CW83" i="2"/>
  <c r="DJ86" i="2"/>
  <c r="CW87" i="2"/>
  <c r="DJ89" i="2"/>
  <c r="CW96" i="2"/>
  <c r="DJ100" i="2"/>
  <c r="CW101" i="2"/>
  <c r="CW102" i="2"/>
  <c r="DJ120" i="2"/>
  <c r="CW67" i="2"/>
  <c r="CW76" i="2"/>
  <c r="BW88" i="2"/>
  <c r="CW93" i="2"/>
  <c r="CW98" i="2"/>
  <c r="CW106" i="2"/>
  <c r="AU6" i="2"/>
  <c r="CC6" i="2"/>
  <c r="CW8" i="2"/>
  <c r="BT12" i="2"/>
  <c r="BW12" i="2" s="1"/>
  <c r="CV12" i="2"/>
  <c r="CW12" i="2" s="1"/>
  <c r="BW13" i="2"/>
  <c r="CV13" i="2"/>
  <c r="CI16" i="2"/>
  <c r="CJ16" i="2" s="1"/>
  <c r="CW31" i="2"/>
  <c r="DJ34" i="2"/>
  <c r="DJ40" i="2"/>
  <c r="DJ42" i="2"/>
  <c r="CW48" i="2"/>
  <c r="CW50" i="2"/>
  <c r="CG122" i="2"/>
  <c r="CR122" i="2"/>
  <c r="CX122" i="2"/>
  <c r="DJ46" i="2"/>
  <c r="DJ54" i="2"/>
  <c r="DJ56" i="2"/>
  <c r="CW60" i="2"/>
  <c r="CW62" i="2"/>
  <c r="DJ76" i="2"/>
  <c r="CW79" i="2"/>
  <c r="CW90" i="2"/>
  <c r="DJ93" i="2"/>
  <c r="DJ94" i="2"/>
  <c r="DJ95" i="2"/>
  <c r="DJ103" i="2"/>
  <c r="DJ118" i="2"/>
  <c r="CJ5" i="2"/>
  <c r="CI6" i="2"/>
  <c r="CJ6" i="2" s="1"/>
  <c r="AP7" i="2"/>
  <c r="CJ7" i="2"/>
  <c r="BE8" i="2"/>
  <c r="DC8" i="2"/>
  <c r="DJ8" i="2" s="1"/>
  <c r="CW9" i="2"/>
  <c r="CV10" i="2"/>
  <c r="CW10" i="2" s="1"/>
  <c r="DJ15" i="2"/>
  <c r="CW20" i="2"/>
  <c r="BJ21" i="2"/>
  <c r="CW30" i="2"/>
  <c r="DJ31" i="2"/>
  <c r="CW39" i="2"/>
  <c r="CW47" i="2"/>
  <c r="DJ50" i="2"/>
  <c r="CW58" i="2"/>
  <c r="DJ85" i="2"/>
  <c r="DJ92" i="2"/>
  <c r="DJ6" i="2"/>
  <c r="DJ10" i="2"/>
  <c r="CW14" i="2"/>
  <c r="CW16" i="2"/>
  <c r="DJ35" i="2"/>
  <c r="AP50" i="2"/>
  <c r="BJ50" i="2"/>
  <c r="DJ60" i="2"/>
  <c r="DJ62" i="2"/>
  <c r="CW74" i="2"/>
  <c r="DJ79" i="2"/>
  <c r="DJ82" i="2"/>
  <c r="DJ102" i="2"/>
  <c r="CW104" i="2"/>
  <c r="DJ107" i="2"/>
  <c r="CQ122" i="2"/>
  <c r="DF122" i="2"/>
  <c r="CI12" i="2"/>
  <c r="CJ12" i="2" s="1"/>
  <c r="DJ19" i="2"/>
  <c r="BT6" i="2"/>
  <c r="BW6" i="2" s="1"/>
  <c r="CJ10" i="2"/>
  <c r="BJ6" i="2"/>
  <c r="DC122" i="2"/>
  <c r="AZ7" i="2"/>
  <c r="BT7" i="2"/>
  <c r="BW7" i="2" s="1"/>
  <c r="CL122" i="2"/>
  <c r="AU8" i="2"/>
  <c r="DI9" i="2"/>
  <c r="DJ9" i="2" s="1"/>
  <c r="DI12" i="2"/>
  <c r="DJ12" i="2" s="1"/>
  <c r="CW13" i="2"/>
  <c r="DJ14" i="2"/>
  <c r="BE19" i="2"/>
  <c r="DJ26" i="2"/>
  <c r="CW36" i="2"/>
  <c r="DJ45" i="2"/>
  <c r="AU50" i="2"/>
  <c r="DJ55" i="2"/>
  <c r="CW57" i="2"/>
  <c r="CW65" i="2"/>
  <c r="CW71" i="2"/>
  <c r="DJ72" i="2"/>
  <c r="DJ74" i="2"/>
  <c r="CW80" i="2"/>
  <c r="CW84" i="2"/>
  <c r="DJ88" i="2"/>
  <c r="CW99" i="2"/>
  <c r="CP122" i="2"/>
  <c r="CV6" i="2"/>
  <c r="CW6" i="2" s="1"/>
  <c r="DP107" i="2"/>
  <c r="DP122" i="2" s="1"/>
  <c r="CI9" i="2"/>
  <c r="CT122" i="2"/>
  <c r="CM122" i="2"/>
  <c r="DK122" i="2"/>
  <c r="BX122" i="2"/>
  <c r="CC13" i="2"/>
  <c r="CJ13" i="2" s="1"/>
  <c r="DE122" i="2"/>
  <c r="CB1" i="2" l="1"/>
  <c r="K1" i="1"/>
  <c r="DI122" i="2"/>
  <c r="DJ122" i="2" s="1"/>
  <c r="CI122" i="2"/>
  <c r="CJ9" i="2"/>
  <c r="CJ122" i="2" s="1"/>
  <c r="CV122" i="2"/>
  <c r="CW122" i="2" s="1"/>
  <c r="CC1" i="2" l="1"/>
  <c r="L1" i="1"/>
  <c r="DJ124" i="2"/>
  <c r="CW124" i="2"/>
  <c r="CC22" i="2"/>
  <c r="CC122" i="2" s="1"/>
  <c r="CJ124" i="2" s="1"/>
  <c r="BY122" i="2"/>
  <c r="J4" i="1"/>
  <c r="CD1" i="2" l="1"/>
  <c r="M1" i="1"/>
  <c r="K4" i="1"/>
  <c r="CE1" i="2" l="1"/>
  <c r="N1" i="1"/>
  <c r="M4" i="1"/>
  <c r="CF1" i="2" l="1"/>
  <c r="O1" i="1"/>
  <c r="L4" i="1"/>
  <c r="CG1" i="2" l="1"/>
  <c r="P1" i="1"/>
  <c r="CH1" i="2" l="1"/>
  <c r="Q1" i="1"/>
  <c r="CI1" i="2" l="1"/>
  <c r="R1" i="1"/>
  <c r="CJ1" i="2" l="1"/>
  <c r="S1" i="1"/>
  <c r="T1" i="1" l="1"/>
  <c r="CK1" i="2"/>
  <c r="CL1" i="2" l="1"/>
  <c r="U1" i="1"/>
  <c r="CM1" i="2" l="1"/>
  <c r="V1" i="1"/>
  <c r="CN1" i="2" l="1"/>
  <c r="W1" i="1"/>
  <c r="CO1" i="2" l="1"/>
  <c r="X1" i="1"/>
  <c r="CP1" i="2" l="1"/>
  <c r="Y1" i="1"/>
  <c r="CQ1" i="2" l="1"/>
  <c r="Z1" i="1"/>
  <c r="CR1" i="2" l="1"/>
  <c r="AA1" i="1"/>
  <c r="CS1" i="2" l="1"/>
  <c r="AB1" i="1"/>
  <c r="CT1" i="2" l="1"/>
  <c r="AC1" i="1"/>
  <c r="CU1" i="2" l="1"/>
  <c r="AD1" i="1"/>
  <c r="CV1" i="2" l="1"/>
  <c r="AE1" i="1"/>
  <c r="CW1" i="2" l="1"/>
  <c r="AF1" i="1"/>
  <c r="CX1" i="2" l="1"/>
  <c r="AG1" i="1"/>
  <c r="CY1" i="2" l="1"/>
  <c r="AH1" i="1"/>
  <c r="CZ1" i="2" l="1"/>
  <c r="AI1" i="1"/>
  <c r="DA1" i="2" l="1"/>
  <c r="AJ1" i="1"/>
  <c r="DB1" i="2" l="1"/>
  <c r="AK1" i="1"/>
  <c r="DC1" i="2" l="1"/>
  <c r="AL1" i="1"/>
  <c r="DD1" i="2" l="1"/>
  <c r="AM1" i="1"/>
  <c r="DE1" i="2" l="1"/>
  <c r="AN1" i="1"/>
  <c r="DF1" i="2" l="1"/>
  <c r="AO1" i="1"/>
  <c r="DG1" i="2" l="1"/>
  <c r="AP1" i="1"/>
  <c r="DH1" i="2" l="1"/>
  <c r="AQ1" i="1"/>
  <c r="DI1" i="2" l="1"/>
  <c r="AR1" i="1"/>
  <c r="DJ1" i="2" l="1"/>
  <c r="AS1" i="1"/>
  <c r="DK1" i="2" l="1"/>
  <c r="AT1" i="1"/>
  <c r="DL1" i="2" l="1"/>
  <c r="AU1" i="1"/>
  <c r="DM1" i="2" l="1"/>
  <c r="AV1" i="1"/>
  <c r="DN1" i="2" l="1"/>
  <c r="AW1" i="1"/>
  <c r="DO1" i="2" l="1"/>
  <c r="AX1" i="1"/>
  <c r="DP1" i="2" l="1"/>
  <c r="AY1" i="1"/>
  <c r="DQ1" i="2" l="1"/>
  <c r="AZ1" i="1"/>
  <c r="DR1" i="2" l="1"/>
  <c r="BA1" i="1"/>
  <c r="DS1" i="2" l="1"/>
  <c r="BB1" i="1"/>
  <c r="DT1" i="2" l="1"/>
  <c r="BC1" i="1"/>
  <c r="DU1" i="2" l="1"/>
  <c r="BD1" i="1"/>
  <c r="DV1" i="2" l="1"/>
  <c r="BE1" i="1"/>
  <c r="DW1" i="2" l="1"/>
  <c r="BF1" i="1"/>
  <c r="BG1" i="1" l="1"/>
  <c r="BH1" i="1"/>
  <c r="C2" i="1" s="1"/>
  <c r="C3" i="1" s="1"/>
  <c r="C5" i="1" l="1"/>
  <c r="D5" i="1" s="1"/>
  <c r="E5" i="1" s="1"/>
  <c r="F5" i="1" l="1"/>
  <c r="G5" i="1" s="1"/>
  <c r="A5" i="1"/>
  <c r="H5" i="1" s="1"/>
  <c r="B5" i="1"/>
  <c r="C6" i="1"/>
  <c r="D6" i="1" s="1"/>
  <c r="E6" i="1" s="1"/>
  <c r="F6" i="1" l="1"/>
  <c r="G6" i="1" s="1"/>
  <c r="A6" i="1"/>
  <c r="H6" i="1" s="1"/>
  <c r="B6" i="1"/>
  <c r="C7" i="1"/>
  <c r="D7" i="1" s="1"/>
  <c r="E7" i="1" s="1"/>
  <c r="K5" i="1"/>
  <c r="L5" i="1"/>
  <c r="M5" i="1"/>
  <c r="J5" i="1"/>
  <c r="I5" i="1"/>
  <c r="F7" i="1" l="1"/>
  <c r="G7" i="1" s="1"/>
  <c r="B7" i="1"/>
  <c r="A7" i="1"/>
  <c r="H7" i="1" s="1"/>
  <c r="C8" i="1"/>
  <c r="D8" i="1" s="1"/>
  <c r="E8" i="1" s="1"/>
  <c r="I6" i="1"/>
  <c r="L6" i="1"/>
  <c r="J6" i="1"/>
  <c r="M6" i="1"/>
  <c r="K6" i="1"/>
  <c r="E9" i="1" l="1"/>
  <c r="F8" i="1"/>
  <c r="G8" i="1" s="1"/>
  <c r="A8" i="1"/>
  <c r="H8" i="1" s="1"/>
  <c r="B8" i="1"/>
  <c r="C9" i="1"/>
  <c r="D9" i="1" s="1"/>
  <c r="M7" i="1"/>
  <c r="L7" i="1"/>
  <c r="I7" i="1"/>
  <c r="J7" i="1"/>
  <c r="K7" i="1"/>
  <c r="F9" i="1" l="1"/>
  <c r="G9" i="1" s="1"/>
  <c r="B9" i="1"/>
  <c r="A9" i="1"/>
  <c r="H9" i="1" s="1"/>
  <c r="C10" i="1"/>
  <c r="D10" i="1" s="1"/>
  <c r="E10" i="1" s="1"/>
  <c r="K8" i="1"/>
  <c r="J8" i="1"/>
  <c r="L8" i="1"/>
  <c r="I8" i="1"/>
  <c r="M8" i="1"/>
  <c r="F10" i="1" l="1"/>
  <c r="G10" i="1" s="1"/>
  <c r="A10" i="1"/>
  <c r="H10" i="1" s="1"/>
  <c r="B10" i="1"/>
  <c r="C11" i="1"/>
  <c r="D11" i="1" s="1"/>
  <c r="E11" i="1" s="1"/>
  <c r="J9" i="1"/>
  <c r="L9" i="1"/>
  <c r="K9" i="1"/>
  <c r="I9" i="1"/>
  <c r="M9" i="1"/>
  <c r="F11" i="1" l="1"/>
  <c r="G11" i="1" s="1"/>
  <c r="B11" i="1"/>
  <c r="A11" i="1"/>
  <c r="H11" i="1" s="1"/>
  <c r="C12" i="1"/>
  <c r="D12" i="1" s="1"/>
  <c r="E12" i="1" s="1"/>
  <c r="L10" i="1"/>
  <c r="K10" i="1"/>
  <c r="M10" i="1"/>
  <c r="I10" i="1"/>
  <c r="J10" i="1"/>
  <c r="F12" i="1" l="1"/>
  <c r="G12" i="1" s="1"/>
  <c r="B12" i="1"/>
  <c r="A12" i="1"/>
  <c r="H12" i="1" s="1"/>
  <c r="C13" i="1"/>
  <c r="D13" i="1" s="1"/>
  <c r="E13" i="1" s="1"/>
  <c r="J11" i="1"/>
  <c r="I11" i="1"/>
  <c r="K11" i="1"/>
  <c r="L11" i="1"/>
  <c r="M11" i="1"/>
  <c r="F13" i="1" l="1"/>
  <c r="G13" i="1" s="1"/>
  <c r="B13" i="1"/>
  <c r="A13" i="1"/>
  <c r="H13" i="1" s="1"/>
  <c r="C14" i="1"/>
  <c r="D14" i="1" s="1"/>
  <c r="E14" i="1" s="1"/>
  <c r="K12" i="1"/>
  <c r="J12" i="1"/>
  <c r="M12" i="1"/>
  <c r="I12" i="1"/>
  <c r="L12" i="1"/>
  <c r="F14" i="1" l="1"/>
  <c r="G14" i="1" s="1"/>
  <c r="B14" i="1"/>
  <c r="A14" i="1"/>
  <c r="H14" i="1" s="1"/>
  <c r="C15" i="1"/>
  <c r="D15" i="1" s="1"/>
  <c r="E15" i="1" s="1"/>
  <c r="M13" i="1"/>
  <c r="K13" i="1"/>
  <c r="J13" i="1"/>
  <c r="I13" i="1"/>
  <c r="L13" i="1"/>
  <c r="F15" i="1" l="1"/>
  <c r="G15" i="1" s="1"/>
  <c r="B15" i="1"/>
  <c r="A15" i="1"/>
  <c r="H15" i="1" s="1"/>
  <c r="C16" i="1"/>
  <c r="D16" i="1" s="1"/>
  <c r="E16" i="1" s="1"/>
  <c r="L14" i="1"/>
  <c r="K14" i="1"/>
  <c r="J14" i="1"/>
  <c r="M14" i="1"/>
  <c r="I14" i="1"/>
  <c r="F16" i="1" l="1"/>
  <c r="G16" i="1" s="1"/>
  <c r="A16" i="1"/>
  <c r="H16" i="1" s="1"/>
  <c r="B16" i="1"/>
  <c r="C17" i="1"/>
  <c r="D17" i="1" s="1"/>
  <c r="E17" i="1" s="1"/>
  <c r="I15" i="1"/>
  <c r="L15" i="1"/>
  <c r="J15" i="1"/>
  <c r="K15" i="1"/>
  <c r="M15" i="1"/>
  <c r="F17" i="1" l="1"/>
  <c r="G17" i="1" s="1"/>
  <c r="B17" i="1"/>
  <c r="A17" i="1"/>
  <c r="H17" i="1" s="1"/>
  <c r="C18" i="1"/>
  <c r="D18" i="1" s="1"/>
  <c r="E18" i="1" s="1"/>
  <c r="J16" i="1"/>
  <c r="K16" i="1"/>
  <c r="I16" i="1"/>
  <c r="L16" i="1"/>
  <c r="M16" i="1"/>
  <c r="F18" i="1" l="1"/>
  <c r="G18" i="1" s="1"/>
  <c r="B18" i="1"/>
  <c r="A18" i="1"/>
  <c r="H18" i="1" s="1"/>
  <c r="C19" i="1"/>
  <c r="D19" i="1" s="1"/>
  <c r="E19" i="1" s="1"/>
  <c r="K17" i="1"/>
  <c r="L17" i="1"/>
  <c r="M17" i="1"/>
  <c r="I17" i="1"/>
  <c r="J17" i="1"/>
  <c r="F19" i="1" l="1"/>
  <c r="G19" i="1" s="1"/>
  <c r="B19" i="1"/>
  <c r="A19" i="1"/>
  <c r="H19" i="1" s="1"/>
  <c r="C20" i="1"/>
  <c r="D20" i="1" s="1"/>
  <c r="E20" i="1" s="1"/>
  <c r="L18" i="1"/>
  <c r="K18" i="1"/>
  <c r="J18" i="1"/>
  <c r="M18" i="1"/>
  <c r="I18" i="1"/>
  <c r="F20" i="1" l="1"/>
  <c r="G20" i="1" s="1"/>
  <c r="A20" i="1"/>
  <c r="H20" i="1" s="1"/>
  <c r="B20" i="1"/>
  <c r="C21" i="1"/>
  <c r="D21" i="1" s="1"/>
  <c r="E21" i="1" s="1"/>
  <c r="J19" i="1"/>
  <c r="L19" i="1"/>
  <c r="I19" i="1"/>
  <c r="K19" i="1"/>
  <c r="M19" i="1"/>
  <c r="F21" i="1" l="1"/>
  <c r="G21" i="1" s="1"/>
  <c r="A21" i="1"/>
  <c r="H21" i="1" s="1"/>
  <c r="B21" i="1"/>
  <c r="C22" i="1"/>
  <c r="D22" i="1" s="1"/>
  <c r="E22" i="1" s="1"/>
  <c r="I20" i="1"/>
  <c r="K20" i="1"/>
  <c r="L20" i="1"/>
  <c r="M20" i="1"/>
  <c r="J20" i="1"/>
  <c r="F22" i="1" l="1"/>
  <c r="G22" i="1" s="1"/>
  <c r="B22" i="1"/>
  <c r="A22" i="1"/>
  <c r="H22" i="1" s="1"/>
  <c r="C23" i="1"/>
  <c r="D23" i="1" s="1"/>
  <c r="E23" i="1" s="1"/>
  <c r="K21" i="1"/>
  <c r="J21" i="1"/>
  <c r="L21" i="1"/>
  <c r="M21" i="1"/>
  <c r="I21" i="1"/>
  <c r="F23" i="1" l="1"/>
  <c r="G23" i="1" s="1"/>
  <c r="B23" i="1"/>
  <c r="A23" i="1"/>
  <c r="H23" i="1" s="1"/>
  <c r="C24" i="1"/>
  <c r="D24" i="1" s="1"/>
  <c r="E24" i="1" s="1"/>
  <c r="K22" i="1"/>
  <c r="I22" i="1"/>
  <c r="J22" i="1"/>
  <c r="L22" i="1"/>
  <c r="M22" i="1"/>
  <c r="F24" i="1" l="1"/>
  <c r="G24" i="1" s="1"/>
  <c r="A24" i="1"/>
  <c r="H24" i="1" s="1"/>
  <c r="B24" i="1"/>
  <c r="C25" i="1"/>
  <c r="D25" i="1" s="1"/>
  <c r="E25" i="1" s="1"/>
  <c r="I23" i="1"/>
  <c r="J23" i="1"/>
  <c r="M23" i="1"/>
  <c r="L23" i="1"/>
  <c r="K23" i="1"/>
  <c r="E26" i="1" l="1"/>
  <c r="F25" i="1"/>
  <c r="G25" i="1" s="1"/>
  <c r="A25" i="1"/>
  <c r="H25" i="1" s="1"/>
  <c r="B25" i="1"/>
  <c r="C26" i="1"/>
  <c r="D26" i="1" s="1"/>
  <c r="L24" i="1"/>
  <c r="M24" i="1"/>
  <c r="K24" i="1"/>
  <c r="J24" i="1"/>
  <c r="I24" i="1"/>
  <c r="E27" i="1" l="1"/>
  <c r="F26" i="1"/>
  <c r="G26" i="1" s="1"/>
  <c r="B26" i="1"/>
  <c r="A26" i="1"/>
  <c r="H26" i="1" s="1"/>
  <c r="C27" i="1"/>
  <c r="D27" i="1" s="1"/>
  <c r="I25" i="1"/>
  <c r="M25" i="1"/>
  <c r="J25" i="1"/>
  <c r="K25" i="1"/>
  <c r="L25" i="1"/>
  <c r="F27" i="1" l="1"/>
  <c r="G27" i="1" s="1"/>
  <c r="A27" i="1"/>
  <c r="H27" i="1" s="1"/>
  <c r="B27" i="1"/>
  <c r="C28" i="1"/>
  <c r="D28" i="1" s="1"/>
  <c r="E28" i="1" s="1"/>
  <c r="J26" i="1"/>
  <c r="K26" i="1"/>
  <c r="L26" i="1"/>
  <c r="M26" i="1"/>
  <c r="I26" i="1"/>
  <c r="E29" i="1" l="1"/>
  <c r="F28" i="1"/>
  <c r="G28" i="1" s="1"/>
  <c r="A28" i="1"/>
  <c r="H28" i="1" s="1"/>
  <c r="B28" i="1"/>
  <c r="C29" i="1"/>
  <c r="D29" i="1" s="1"/>
  <c r="J27" i="1"/>
  <c r="K27" i="1"/>
  <c r="L27" i="1"/>
  <c r="M27" i="1"/>
  <c r="I27" i="1"/>
  <c r="F29" i="1" l="1"/>
  <c r="G29" i="1" s="1"/>
  <c r="B29" i="1"/>
  <c r="A29" i="1"/>
  <c r="H29" i="1" s="1"/>
  <c r="C30" i="1"/>
  <c r="D30" i="1" s="1"/>
  <c r="E30" i="1" s="1"/>
  <c r="L28" i="1"/>
  <c r="M28" i="1"/>
  <c r="K28" i="1"/>
  <c r="I28" i="1"/>
  <c r="J28" i="1"/>
  <c r="F30" i="1" l="1"/>
  <c r="G30" i="1" s="1"/>
  <c r="A30" i="1"/>
  <c r="H30" i="1" s="1"/>
  <c r="B30" i="1"/>
  <c r="C31" i="1"/>
  <c r="D31" i="1" s="1"/>
  <c r="E31" i="1" s="1"/>
  <c r="I29" i="1"/>
  <c r="J29" i="1"/>
  <c r="K29" i="1"/>
  <c r="M29" i="1"/>
  <c r="L29" i="1"/>
  <c r="F31" i="1" l="1"/>
  <c r="G31" i="1" s="1"/>
  <c r="J30" i="1"/>
  <c r="L30" i="1"/>
  <c r="M30" i="1"/>
  <c r="K30" i="1"/>
  <c r="I30" i="1"/>
  <c r="A31" i="1"/>
  <c r="H31" i="1" s="1"/>
  <c r="B31" i="1"/>
  <c r="C32" i="1"/>
  <c r="D32" i="1" s="1"/>
  <c r="E32" i="1" s="1"/>
  <c r="F32" i="1" l="1"/>
  <c r="G32" i="1" s="1"/>
  <c r="L31" i="1"/>
  <c r="J31" i="1"/>
  <c r="I31" i="1"/>
  <c r="M31" i="1"/>
  <c r="K31" i="1"/>
  <c r="A32" i="1"/>
  <c r="H32" i="1" s="1"/>
  <c r="B32" i="1"/>
  <c r="C33" i="1"/>
  <c r="D33" i="1" s="1"/>
  <c r="E33" i="1" s="1"/>
  <c r="F33" i="1" l="1"/>
  <c r="G33" i="1" s="1"/>
  <c r="I32" i="1"/>
  <c r="L32" i="1"/>
  <c r="K32" i="1"/>
  <c r="J32" i="1"/>
  <c r="M32" i="1"/>
  <c r="A33" i="1"/>
  <c r="H33" i="1" s="1"/>
  <c r="B33" i="1"/>
  <c r="C34" i="1"/>
  <c r="D34" i="1" s="1"/>
  <c r="E34" i="1" s="1"/>
  <c r="F34" i="1" l="1"/>
  <c r="G34" i="1" s="1"/>
  <c r="M33" i="1"/>
  <c r="I33" i="1"/>
  <c r="J33" i="1"/>
  <c r="K33" i="1"/>
  <c r="L33" i="1"/>
  <c r="B34" i="1"/>
  <c r="A34" i="1"/>
  <c r="H34" i="1" s="1"/>
  <c r="C35" i="1"/>
  <c r="D35" i="1" s="1"/>
  <c r="E35" i="1" s="1"/>
  <c r="F35" i="1" l="1"/>
  <c r="G35" i="1" s="1"/>
  <c r="M34" i="1"/>
  <c r="L34" i="1"/>
  <c r="I34" i="1"/>
  <c r="J34" i="1"/>
  <c r="K34" i="1"/>
  <c r="B35" i="1"/>
  <c r="A35" i="1"/>
  <c r="H35" i="1" s="1"/>
  <c r="C36" i="1"/>
  <c r="D36" i="1" s="1"/>
  <c r="E36" i="1" s="1"/>
  <c r="F36" i="1" l="1"/>
  <c r="G36" i="1" s="1"/>
  <c r="K35" i="1"/>
  <c r="I35" i="1"/>
  <c r="J35" i="1"/>
  <c r="M35" i="1"/>
  <c r="L35" i="1"/>
  <c r="B36" i="1"/>
  <c r="A36" i="1"/>
  <c r="H36" i="1" s="1"/>
  <c r="C37" i="1"/>
  <c r="D37" i="1" s="1"/>
  <c r="E37" i="1" s="1"/>
  <c r="F37" i="1" l="1"/>
  <c r="G37" i="1" s="1"/>
  <c r="J36" i="1"/>
  <c r="L36" i="1"/>
  <c r="M36" i="1"/>
  <c r="K36" i="1"/>
  <c r="I36" i="1"/>
  <c r="A37" i="1"/>
  <c r="H37" i="1" s="1"/>
  <c r="B37" i="1"/>
  <c r="C38" i="1"/>
  <c r="D38" i="1" s="1"/>
  <c r="E38" i="1" s="1"/>
  <c r="F38" i="1" l="1"/>
  <c r="G38" i="1" s="1"/>
  <c r="M37" i="1"/>
  <c r="K37" i="1"/>
  <c r="J37" i="1"/>
  <c r="L37" i="1"/>
  <c r="I37" i="1"/>
  <c r="A38" i="1"/>
  <c r="H38" i="1" s="1"/>
  <c r="B38" i="1"/>
  <c r="C39" i="1"/>
  <c r="D39" i="1" s="1"/>
  <c r="E39" i="1" s="1"/>
  <c r="F39" i="1" l="1"/>
  <c r="G39" i="1" s="1"/>
  <c r="J38" i="1"/>
  <c r="I38" i="1"/>
  <c r="K38" i="1"/>
  <c r="L38" i="1"/>
  <c r="M38" i="1"/>
  <c r="A39" i="1"/>
  <c r="H39" i="1" s="1"/>
  <c r="B39" i="1"/>
  <c r="C40" i="1"/>
  <c r="D40" i="1" s="1"/>
  <c r="E40" i="1" s="1"/>
  <c r="B40" i="1" l="1"/>
  <c r="F40" i="1"/>
  <c r="G40" i="1" s="1"/>
  <c r="J39" i="1"/>
  <c r="M39" i="1"/>
  <c r="L39" i="1"/>
  <c r="K39" i="1"/>
  <c r="I39" i="1"/>
  <c r="A40" i="1"/>
  <c r="H40" i="1" s="1"/>
  <c r="C41" i="1"/>
  <c r="D41" i="1" s="1"/>
  <c r="E41" i="1" s="1"/>
  <c r="F41" i="1" l="1"/>
  <c r="G41" i="1" s="1"/>
  <c r="A41" i="1"/>
  <c r="H41" i="1" s="1"/>
  <c r="B41" i="1"/>
  <c r="C42" i="1"/>
  <c r="D42" i="1" s="1"/>
  <c r="E42" i="1" s="1"/>
  <c r="I40" i="1"/>
  <c r="M40" i="1"/>
  <c r="L40" i="1"/>
  <c r="J40" i="1"/>
  <c r="K40" i="1"/>
  <c r="F42" i="1" l="1"/>
  <c r="G42" i="1" s="1"/>
  <c r="A42" i="1"/>
  <c r="H42" i="1" s="1"/>
  <c r="B42" i="1"/>
  <c r="C43" i="1"/>
  <c r="D43" i="1" s="1"/>
  <c r="E43" i="1" s="1"/>
  <c r="I41" i="1"/>
  <c r="J41" i="1"/>
  <c r="K41" i="1"/>
  <c r="L41" i="1"/>
  <c r="M41" i="1"/>
  <c r="F43" i="1" l="1"/>
  <c r="G43" i="1" s="1"/>
  <c r="A43" i="1"/>
  <c r="H43" i="1" s="1"/>
  <c r="B43" i="1"/>
  <c r="C44" i="1"/>
  <c r="D44" i="1" s="1"/>
  <c r="E44" i="1" s="1"/>
  <c r="L42" i="1"/>
  <c r="M42" i="1"/>
  <c r="I42" i="1"/>
  <c r="J42" i="1"/>
  <c r="K42" i="1"/>
  <c r="E45" i="1" l="1"/>
  <c r="F44" i="1"/>
  <c r="G44" i="1" s="1"/>
  <c r="A44" i="1"/>
  <c r="H44" i="1" s="1"/>
  <c r="B44" i="1"/>
  <c r="C45" i="1"/>
  <c r="D45" i="1" s="1"/>
  <c r="M43" i="1"/>
  <c r="I43" i="1"/>
  <c r="L43" i="1"/>
  <c r="K43" i="1"/>
  <c r="J43" i="1"/>
  <c r="F45" i="1" l="1"/>
  <c r="G45" i="1" s="1"/>
  <c r="A45" i="1"/>
  <c r="H45" i="1" s="1"/>
  <c r="B45" i="1"/>
  <c r="C46" i="1"/>
  <c r="D46" i="1" s="1"/>
  <c r="E46" i="1" s="1"/>
  <c r="K44" i="1"/>
  <c r="M44" i="1"/>
  <c r="I44" i="1"/>
  <c r="J44" i="1"/>
  <c r="L44" i="1"/>
  <c r="F46" i="1" l="1"/>
  <c r="G46" i="1" s="1"/>
  <c r="B46" i="1"/>
  <c r="A46" i="1"/>
  <c r="H46" i="1" s="1"/>
  <c r="C47" i="1"/>
  <c r="D47" i="1" s="1"/>
  <c r="E47" i="1" s="1"/>
  <c r="I45" i="1"/>
  <c r="L45" i="1"/>
  <c r="M45" i="1"/>
  <c r="J45" i="1"/>
  <c r="K45" i="1"/>
  <c r="F47" i="1" l="1"/>
  <c r="G47" i="1" s="1"/>
  <c r="B47" i="1"/>
  <c r="A47" i="1"/>
  <c r="H47" i="1" s="1"/>
  <c r="C48" i="1"/>
  <c r="D48" i="1" s="1"/>
  <c r="E48" i="1" s="1"/>
  <c r="K46" i="1"/>
  <c r="M46" i="1"/>
  <c r="I46" i="1"/>
  <c r="L46" i="1"/>
  <c r="J46" i="1"/>
  <c r="F48" i="1" l="1"/>
  <c r="G48" i="1" s="1"/>
  <c r="B48" i="1"/>
  <c r="A48" i="1"/>
  <c r="H48" i="1" s="1"/>
  <c r="C49" i="1"/>
  <c r="D49" i="1" s="1"/>
  <c r="E49" i="1" s="1"/>
  <c r="J47" i="1"/>
  <c r="K47" i="1"/>
  <c r="L47" i="1"/>
  <c r="M47" i="1"/>
  <c r="I47" i="1"/>
  <c r="F49" i="1" l="1"/>
  <c r="G49" i="1" s="1"/>
  <c r="B49" i="1"/>
  <c r="A49" i="1"/>
  <c r="H49" i="1" s="1"/>
  <c r="C50" i="1"/>
  <c r="D50" i="1" s="1"/>
  <c r="E50" i="1" s="1"/>
  <c r="J48" i="1"/>
  <c r="I48" i="1"/>
  <c r="K48" i="1"/>
  <c r="L48" i="1"/>
  <c r="M48" i="1"/>
  <c r="F50" i="1" l="1"/>
  <c r="G50" i="1" s="1"/>
  <c r="I49" i="1"/>
  <c r="L49" i="1"/>
  <c r="J49" i="1"/>
  <c r="M49" i="1"/>
  <c r="K49" i="1"/>
  <c r="B50" i="1"/>
  <c r="A50" i="1"/>
  <c r="H50" i="1" s="1"/>
  <c r="C51" i="1"/>
  <c r="D51" i="1" s="1"/>
  <c r="E51" i="1" s="1"/>
  <c r="F51" i="1" l="1"/>
  <c r="G51" i="1" s="1"/>
  <c r="J50" i="1"/>
  <c r="M50" i="1"/>
  <c r="K50" i="1"/>
  <c r="L50" i="1"/>
  <c r="I50" i="1"/>
  <c r="B51" i="1"/>
  <c r="A51" i="1"/>
  <c r="H51" i="1" s="1"/>
  <c r="C52" i="1"/>
  <c r="D52" i="1" s="1"/>
  <c r="E52" i="1" s="1"/>
  <c r="F52" i="1" l="1"/>
  <c r="G52" i="1" s="1"/>
  <c r="M51" i="1"/>
  <c r="I51" i="1"/>
  <c r="J51" i="1"/>
  <c r="L51" i="1"/>
  <c r="K51" i="1"/>
  <c r="A52" i="1"/>
  <c r="H52" i="1" s="1"/>
  <c r="B52" i="1"/>
  <c r="C53" i="1"/>
  <c r="D53" i="1" s="1"/>
  <c r="E53" i="1" s="1"/>
  <c r="F53" i="1" l="1"/>
  <c r="G53" i="1" s="1"/>
  <c r="I52" i="1"/>
  <c r="K52" i="1"/>
  <c r="J52" i="1"/>
  <c r="M52" i="1"/>
  <c r="L52" i="1"/>
  <c r="A53" i="1"/>
  <c r="H53" i="1" s="1"/>
  <c r="B53" i="1"/>
  <c r="C54" i="1"/>
  <c r="D54" i="1" s="1"/>
  <c r="E54" i="1" s="1"/>
  <c r="F54" i="1" l="1"/>
  <c r="G54" i="1" s="1"/>
  <c r="M53" i="1"/>
  <c r="I53" i="1"/>
  <c r="K53" i="1"/>
  <c r="J53" i="1"/>
  <c r="L53" i="1"/>
  <c r="A54" i="1"/>
  <c r="H54" i="1" s="1"/>
  <c r="B54" i="1"/>
  <c r="C55" i="1"/>
  <c r="D55" i="1" s="1"/>
  <c r="E55" i="1" s="1"/>
  <c r="F55" i="1" l="1"/>
  <c r="G55" i="1" s="1"/>
  <c r="J54" i="1"/>
  <c r="L54" i="1"/>
  <c r="I54" i="1"/>
  <c r="K54" i="1"/>
  <c r="M54" i="1"/>
  <c r="A55" i="1"/>
  <c r="H55" i="1" s="1"/>
  <c r="B55" i="1"/>
  <c r="C56" i="1"/>
  <c r="D56" i="1" s="1"/>
  <c r="E56" i="1" s="1"/>
  <c r="F56" i="1" l="1"/>
  <c r="G56" i="1" s="1"/>
  <c r="M55" i="1"/>
  <c r="K55" i="1"/>
  <c r="I55" i="1"/>
  <c r="J55" i="1"/>
  <c r="L55" i="1"/>
  <c r="B56" i="1"/>
  <c r="A56" i="1"/>
  <c r="H56" i="1" s="1"/>
  <c r="C57" i="1"/>
  <c r="D57" i="1" s="1"/>
  <c r="E57" i="1" s="1"/>
  <c r="F57" i="1" l="1"/>
  <c r="G57" i="1" s="1"/>
  <c r="M56" i="1"/>
  <c r="I56" i="1"/>
  <c r="J56" i="1"/>
  <c r="K56" i="1"/>
  <c r="L56" i="1"/>
  <c r="A57" i="1"/>
  <c r="H57" i="1" s="1"/>
  <c r="B57" i="1"/>
  <c r="C58" i="1"/>
  <c r="D58" i="1" s="1"/>
  <c r="E58" i="1" s="1"/>
  <c r="F58" i="1" l="1"/>
  <c r="G58" i="1" s="1"/>
  <c r="I57" i="1"/>
  <c r="J57" i="1"/>
  <c r="K57" i="1"/>
  <c r="M57" i="1"/>
  <c r="L57" i="1"/>
  <c r="A58" i="1"/>
  <c r="H58" i="1" s="1"/>
  <c r="B58" i="1"/>
  <c r="C59" i="1"/>
  <c r="D59" i="1" s="1"/>
  <c r="E59" i="1" s="1"/>
  <c r="F59" i="1" l="1"/>
  <c r="G59" i="1" s="1"/>
  <c r="K58" i="1"/>
  <c r="M58" i="1"/>
  <c r="J58" i="1"/>
  <c r="L58" i="1"/>
  <c r="I58" i="1"/>
  <c r="B59" i="1"/>
  <c r="A59" i="1"/>
  <c r="H59" i="1" s="1"/>
  <c r="C60" i="1"/>
  <c r="D60" i="1" s="1"/>
  <c r="E60" i="1" s="1"/>
  <c r="F60" i="1" l="1"/>
  <c r="G60" i="1" s="1"/>
  <c r="J59" i="1"/>
  <c r="M59" i="1"/>
  <c r="K59" i="1"/>
  <c r="L59" i="1"/>
  <c r="I59" i="1"/>
  <c r="B60" i="1"/>
  <c r="A60" i="1"/>
  <c r="H60" i="1" s="1"/>
  <c r="C61" i="1"/>
  <c r="D61" i="1" s="1"/>
  <c r="E61" i="1" s="1"/>
  <c r="F61" i="1" l="1"/>
  <c r="G61" i="1" s="1"/>
  <c r="I60" i="1"/>
  <c r="M60" i="1"/>
  <c r="L60" i="1"/>
  <c r="K60" i="1"/>
  <c r="J60" i="1"/>
  <c r="A61" i="1"/>
  <c r="H61" i="1" s="1"/>
  <c r="B61" i="1"/>
  <c r="C62" i="1"/>
  <c r="D62" i="1" s="1"/>
  <c r="E62" i="1" s="1"/>
  <c r="F62" i="1" l="1"/>
  <c r="G62" i="1" s="1"/>
  <c r="I61" i="1"/>
  <c r="K61" i="1"/>
  <c r="J61" i="1"/>
  <c r="L61" i="1"/>
  <c r="M61" i="1"/>
  <c r="A62" i="1"/>
  <c r="H62" i="1" s="1"/>
  <c r="B62" i="1"/>
  <c r="C63" i="1"/>
  <c r="D63" i="1" s="1"/>
  <c r="E63" i="1" s="1"/>
  <c r="F63" i="1" l="1"/>
  <c r="G63" i="1" s="1"/>
  <c r="L62" i="1"/>
  <c r="M62" i="1"/>
  <c r="I62" i="1"/>
  <c r="J62" i="1"/>
  <c r="K62" i="1"/>
  <c r="A63" i="1"/>
  <c r="H63" i="1" s="1"/>
  <c r="B63" i="1"/>
  <c r="C64" i="1"/>
  <c r="D64" i="1" s="1"/>
  <c r="E64" i="1" s="1"/>
  <c r="F64" i="1" l="1"/>
  <c r="G64" i="1" s="1"/>
  <c r="L63" i="1"/>
  <c r="J63" i="1"/>
  <c r="M63" i="1"/>
  <c r="I63" i="1"/>
  <c r="K63" i="1"/>
  <c r="A64" i="1"/>
  <c r="H64" i="1" s="1"/>
  <c r="B64" i="1"/>
  <c r="C65" i="1"/>
  <c r="D65" i="1" s="1"/>
  <c r="E65" i="1" s="1"/>
  <c r="F65" i="1" l="1"/>
  <c r="G65" i="1" s="1"/>
  <c r="I64" i="1"/>
  <c r="J64" i="1"/>
  <c r="K64" i="1"/>
  <c r="M64" i="1"/>
  <c r="L64" i="1"/>
  <c r="B65" i="1"/>
  <c r="A65" i="1"/>
  <c r="H65" i="1" s="1"/>
  <c r="C66" i="1"/>
  <c r="D66" i="1" s="1"/>
  <c r="E66" i="1" s="1"/>
  <c r="F66" i="1" l="1"/>
  <c r="G66" i="1" s="1"/>
  <c r="L65" i="1"/>
  <c r="M65" i="1"/>
  <c r="I65" i="1"/>
  <c r="K65" i="1"/>
  <c r="J65" i="1"/>
  <c r="B66" i="1"/>
  <c r="A66" i="1"/>
  <c r="H66" i="1" s="1"/>
  <c r="C67" i="1"/>
  <c r="D67" i="1" s="1"/>
  <c r="E67" i="1" s="1"/>
  <c r="F67" i="1" l="1"/>
  <c r="G67" i="1" s="1"/>
  <c r="J66" i="1"/>
  <c r="I66" i="1"/>
  <c r="K66" i="1"/>
  <c r="L66" i="1"/>
  <c r="M66" i="1"/>
  <c r="A67" i="1"/>
  <c r="H67" i="1" s="1"/>
  <c r="B67" i="1"/>
  <c r="C68" i="1"/>
  <c r="D68" i="1" s="1"/>
  <c r="E68" i="1" s="1"/>
  <c r="F68" i="1" l="1"/>
  <c r="G68" i="1" s="1"/>
  <c r="B68" i="1"/>
  <c r="A68" i="1"/>
  <c r="H68" i="1" s="1"/>
  <c r="C69" i="1"/>
  <c r="D69" i="1" s="1"/>
  <c r="E69" i="1" s="1"/>
  <c r="M67" i="1"/>
  <c r="I67" i="1"/>
  <c r="J67" i="1"/>
  <c r="L67" i="1"/>
  <c r="K67" i="1"/>
  <c r="F69" i="1" l="1"/>
  <c r="G69" i="1" s="1"/>
  <c r="A69" i="1"/>
  <c r="H69" i="1" s="1"/>
  <c r="B69" i="1"/>
  <c r="C70" i="1"/>
  <c r="D70" i="1" s="1"/>
  <c r="E70" i="1" s="1"/>
  <c r="M68" i="1"/>
  <c r="K68" i="1"/>
  <c r="J68" i="1"/>
  <c r="L68" i="1"/>
  <c r="I68" i="1"/>
  <c r="F70" i="1" l="1"/>
  <c r="G70" i="1" s="1"/>
  <c r="A70" i="1"/>
  <c r="H70" i="1" s="1"/>
  <c r="B70" i="1"/>
  <c r="C71" i="1"/>
  <c r="D71" i="1" s="1"/>
  <c r="E71" i="1" s="1"/>
  <c r="J69" i="1"/>
  <c r="M69" i="1"/>
  <c r="K69" i="1"/>
  <c r="I69" i="1"/>
  <c r="L69" i="1"/>
  <c r="F71" i="1" l="1"/>
  <c r="G71" i="1" s="1"/>
  <c r="B71" i="1"/>
  <c r="A71" i="1"/>
  <c r="H71" i="1" s="1"/>
  <c r="C72" i="1"/>
  <c r="D72" i="1" s="1"/>
  <c r="E72" i="1" s="1"/>
  <c r="J70" i="1"/>
  <c r="K70" i="1"/>
  <c r="M70" i="1"/>
  <c r="L70" i="1"/>
  <c r="I70" i="1"/>
  <c r="F72" i="1" l="1"/>
  <c r="G72" i="1" s="1"/>
  <c r="B72" i="1"/>
  <c r="A72" i="1"/>
  <c r="H72" i="1" s="1"/>
  <c r="C73" i="1"/>
  <c r="D73" i="1" s="1"/>
  <c r="E73" i="1" s="1"/>
  <c r="L71" i="1"/>
  <c r="I71" i="1"/>
  <c r="K71" i="1"/>
  <c r="J71" i="1"/>
  <c r="M71" i="1"/>
  <c r="F73" i="1" l="1"/>
  <c r="G73" i="1" s="1"/>
  <c r="A73" i="1"/>
  <c r="H73" i="1" s="1"/>
  <c r="B73" i="1"/>
  <c r="M73" i="1" s="1"/>
  <c r="C74" i="1"/>
  <c r="D74" i="1" s="1"/>
  <c r="E74" i="1" s="1"/>
  <c r="K72" i="1"/>
  <c r="L72" i="1"/>
  <c r="I72" i="1"/>
  <c r="J72" i="1"/>
  <c r="M72" i="1"/>
  <c r="F74" i="1" l="1"/>
  <c r="G74" i="1" s="1"/>
  <c r="A74" i="1"/>
  <c r="H74" i="1" s="1"/>
  <c r="B74" i="1"/>
  <c r="C75" i="1"/>
  <c r="D75" i="1" s="1"/>
  <c r="E75" i="1" s="1"/>
  <c r="L73" i="1"/>
  <c r="K73" i="1"/>
  <c r="J73" i="1"/>
  <c r="I73" i="1"/>
  <c r="F75" i="1" l="1"/>
  <c r="G75" i="1" s="1"/>
  <c r="B75" i="1"/>
  <c r="A75" i="1"/>
  <c r="H75" i="1" s="1"/>
  <c r="C76" i="1"/>
  <c r="D76" i="1" s="1"/>
  <c r="E76" i="1" s="1"/>
  <c r="L74" i="1"/>
  <c r="J74" i="1"/>
  <c r="M74" i="1"/>
  <c r="I74" i="1"/>
  <c r="K74" i="1"/>
  <c r="F76" i="1" l="1"/>
  <c r="G76" i="1" s="1"/>
  <c r="B76" i="1"/>
  <c r="A76" i="1"/>
  <c r="H76" i="1" s="1"/>
  <c r="C77" i="1"/>
  <c r="D77" i="1" s="1"/>
  <c r="E77" i="1" s="1"/>
  <c r="K75" i="1"/>
  <c r="J75" i="1"/>
  <c r="L75" i="1"/>
  <c r="M75" i="1"/>
  <c r="I75" i="1"/>
  <c r="F77" i="1" l="1"/>
  <c r="G77" i="1" s="1"/>
  <c r="A77" i="1"/>
  <c r="H77" i="1" s="1"/>
  <c r="B77" i="1"/>
  <c r="C78" i="1"/>
  <c r="D78" i="1" s="1"/>
  <c r="E78" i="1" s="1"/>
  <c r="K76" i="1"/>
  <c r="M76" i="1"/>
  <c r="L76" i="1"/>
  <c r="I76" i="1"/>
  <c r="J76" i="1"/>
  <c r="F78" i="1" l="1"/>
  <c r="G78" i="1" s="1"/>
  <c r="A78" i="1"/>
  <c r="H78" i="1" s="1"/>
  <c r="B78" i="1"/>
  <c r="C79" i="1"/>
  <c r="D79" i="1" s="1"/>
  <c r="E79" i="1" s="1"/>
  <c r="L77" i="1"/>
  <c r="M77" i="1"/>
  <c r="J77" i="1"/>
  <c r="K77" i="1"/>
  <c r="I77" i="1"/>
  <c r="F79" i="1" l="1"/>
  <c r="G79" i="1" s="1"/>
  <c r="A79" i="1"/>
  <c r="H79" i="1" s="1"/>
  <c r="B79" i="1"/>
  <c r="C80" i="1"/>
  <c r="D80" i="1" s="1"/>
  <c r="E80" i="1" s="1"/>
  <c r="M78" i="1"/>
  <c r="L78" i="1"/>
  <c r="I78" i="1"/>
  <c r="K78" i="1"/>
  <c r="J78" i="1"/>
  <c r="F80" i="1" l="1"/>
  <c r="G80" i="1" s="1"/>
  <c r="A80" i="1"/>
  <c r="H80" i="1" s="1"/>
  <c r="B80" i="1"/>
  <c r="C81" i="1"/>
  <c r="D81" i="1" s="1"/>
  <c r="E81" i="1" s="1"/>
  <c r="M79" i="1"/>
  <c r="K79" i="1"/>
  <c r="I79" i="1"/>
  <c r="J79" i="1"/>
  <c r="L79" i="1"/>
  <c r="F81" i="1" l="1"/>
  <c r="G81" i="1" s="1"/>
  <c r="A81" i="1"/>
  <c r="H81" i="1" s="1"/>
  <c r="B81" i="1"/>
  <c r="C82" i="1"/>
  <c r="D82" i="1" s="1"/>
  <c r="E82" i="1" s="1"/>
  <c r="J80" i="1"/>
  <c r="M80" i="1"/>
  <c r="K80" i="1"/>
  <c r="L80" i="1"/>
  <c r="I80" i="1"/>
  <c r="F82" i="1" l="1"/>
  <c r="G82" i="1" s="1"/>
  <c r="A82" i="1"/>
  <c r="H82" i="1" s="1"/>
  <c r="B82" i="1"/>
  <c r="C83" i="1"/>
  <c r="D83" i="1" s="1"/>
  <c r="E83" i="1" s="1"/>
  <c r="L81" i="1"/>
  <c r="M81" i="1"/>
  <c r="K81" i="1"/>
  <c r="I81" i="1"/>
  <c r="J81" i="1"/>
  <c r="E84" i="1" l="1"/>
  <c r="F83" i="1"/>
  <c r="G83" i="1" s="1"/>
  <c r="A83" i="1"/>
  <c r="H83" i="1" s="1"/>
  <c r="B83" i="1"/>
  <c r="C84" i="1"/>
  <c r="D84" i="1" s="1"/>
  <c r="M82" i="1"/>
  <c r="K82" i="1"/>
  <c r="J82" i="1"/>
  <c r="L82" i="1"/>
  <c r="I82" i="1"/>
  <c r="E85" i="1" l="1"/>
  <c r="F84" i="1"/>
  <c r="G84" i="1" s="1"/>
  <c r="B84" i="1"/>
  <c r="A84" i="1"/>
  <c r="H84" i="1" s="1"/>
  <c r="C85" i="1"/>
  <c r="D85" i="1" s="1"/>
  <c r="I83" i="1"/>
  <c r="L83" i="1"/>
  <c r="M83" i="1"/>
  <c r="K83" i="1"/>
  <c r="J83" i="1"/>
  <c r="F85" i="1" l="1"/>
  <c r="G85" i="1" s="1"/>
  <c r="B85" i="1"/>
  <c r="A85" i="1"/>
  <c r="H85" i="1" s="1"/>
  <c r="C86" i="1"/>
  <c r="D86" i="1" s="1"/>
  <c r="E86" i="1" s="1"/>
  <c r="K84" i="1"/>
  <c r="J84" i="1"/>
  <c r="L84" i="1"/>
  <c r="M84" i="1"/>
  <c r="I84" i="1"/>
  <c r="F86" i="1" l="1"/>
  <c r="G86" i="1" s="1"/>
  <c r="K85" i="1"/>
  <c r="I85" i="1"/>
  <c r="J85" i="1"/>
  <c r="L85" i="1"/>
  <c r="M85" i="1"/>
  <c r="A86" i="1"/>
  <c r="H86" i="1" s="1"/>
  <c r="B86" i="1"/>
  <c r="C87" i="1"/>
  <c r="D87" i="1" s="1"/>
  <c r="E87" i="1" s="1"/>
  <c r="F87" i="1" l="1"/>
  <c r="G87" i="1" s="1"/>
  <c r="L86" i="1"/>
  <c r="J86" i="1"/>
  <c r="K86" i="1"/>
  <c r="M86" i="1"/>
  <c r="I86" i="1"/>
  <c r="A87" i="1"/>
  <c r="H87" i="1" s="1"/>
  <c r="B87" i="1"/>
  <c r="C88" i="1"/>
  <c r="D88" i="1" s="1"/>
  <c r="E88" i="1" s="1"/>
  <c r="F88" i="1" l="1"/>
  <c r="G88" i="1" s="1"/>
  <c r="J87" i="1"/>
  <c r="L87" i="1"/>
  <c r="M87" i="1"/>
  <c r="K87" i="1"/>
  <c r="I87" i="1"/>
  <c r="A88" i="1"/>
  <c r="H88" i="1" s="1"/>
  <c r="B88" i="1"/>
  <c r="C89" i="1"/>
  <c r="D89" i="1" s="1"/>
  <c r="E89" i="1" s="1"/>
  <c r="F89" i="1" l="1"/>
  <c r="G89" i="1" s="1"/>
  <c r="M88" i="1"/>
  <c r="J88" i="1"/>
  <c r="I88" i="1"/>
  <c r="K88" i="1"/>
  <c r="L88" i="1"/>
  <c r="A89" i="1"/>
  <c r="H89" i="1" s="1"/>
  <c r="B89" i="1"/>
  <c r="C90" i="1"/>
  <c r="D90" i="1" s="1"/>
  <c r="E90" i="1" s="1"/>
  <c r="F90" i="1" l="1"/>
  <c r="G90" i="1" s="1"/>
  <c r="M89" i="1"/>
  <c r="I89" i="1"/>
  <c r="L89" i="1"/>
  <c r="J89" i="1"/>
  <c r="K89" i="1"/>
  <c r="B90" i="1"/>
  <c r="A90" i="1"/>
  <c r="H90" i="1" s="1"/>
  <c r="C91" i="1"/>
  <c r="D91" i="1" s="1"/>
  <c r="E91" i="1" s="1"/>
  <c r="F91" i="1" l="1"/>
  <c r="G91" i="1" s="1"/>
  <c r="L90" i="1"/>
  <c r="M90" i="1"/>
  <c r="I90" i="1"/>
  <c r="J90" i="1"/>
  <c r="K90" i="1"/>
  <c r="B91" i="1"/>
  <c r="A91" i="1"/>
  <c r="H91" i="1" s="1"/>
  <c r="C92" i="1"/>
  <c r="D92" i="1" s="1"/>
  <c r="E92" i="1" s="1"/>
  <c r="F92" i="1" l="1"/>
  <c r="G92" i="1" s="1"/>
  <c r="L91" i="1"/>
  <c r="M91" i="1"/>
  <c r="K91" i="1"/>
  <c r="I91" i="1"/>
  <c r="J91" i="1"/>
  <c r="B92" i="1"/>
  <c r="A92" i="1"/>
  <c r="H92" i="1" s="1"/>
  <c r="C93" i="1"/>
  <c r="D93" i="1" s="1"/>
  <c r="E93" i="1" s="1"/>
  <c r="F93" i="1" l="1"/>
  <c r="G93" i="1" s="1"/>
  <c r="I92" i="1"/>
  <c r="L92" i="1"/>
  <c r="K92" i="1"/>
  <c r="M92" i="1"/>
  <c r="J92" i="1"/>
  <c r="B93" i="1"/>
  <c r="A93" i="1"/>
  <c r="H93" i="1" s="1"/>
  <c r="C94" i="1"/>
  <c r="D94" i="1" s="1"/>
  <c r="E94" i="1" s="1"/>
  <c r="F94" i="1" l="1"/>
  <c r="G94" i="1" s="1"/>
  <c r="M93" i="1"/>
  <c r="L93" i="1"/>
  <c r="J93" i="1"/>
  <c r="K93" i="1"/>
  <c r="I93" i="1"/>
  <c r="A94" i="1"/>
  <c r="H94" i="1" s="1"/>
  <c r="B94" i="1"/>
  <c r="C95" i="1"/>
  <c r="D95" i="1" s="1"/>
  <c r="E95" i="1" s="1"/>
  <c r="F95" i="1" l="1"/>
  <c r="G95" i="1" s="1"/>
  <c r="L94" i="1"/>
  <c r="J94" i="1"/>
  <c r="M94" i="1"/>
  <c r="I94" i="1"/>
  <c r="K94" i="1"/>
  <c r="A95" i="1"/>
  <c r="H95" i="1" s="1"/>
  <c r="B95" i="1"/>
  <c r="C96" i="1"/>
  <c r="D96" i="1" s="1"/>
  <c r="E96" i="1" s="1"/>
  <c r="F96" i="1" l="1"/>
  <c r="G96" i="1" s="1"/>
  <c r="K95" i="1"/>
  <c r="J95" i="1"/>
  <c r="L95" i="1"/>
  <c r="M95" i="1"/>
  <c r="I95" i="1"/>
  <c r="B96" i="1"/>
  <c r="A96" i="1"/>
  <c r="H96" i="1" s="1"/>
  <c r="C97" i="1"/>
  <c r="D97" i="1" s="1"/>
  <c r="E97" i="1" s="1"/>
  <c r="F97" i="1" l="1"/>
  <c r="G97" i="1" s="1"/>
  <c r="L96" i="1"/>
  <c r="J96" i="1"/>
  <c r="I96" i="1"/>
  <c r="K96" i="1"/>
  <c r="M96" i="1"/>
  <c r="B97" i="1"/>
  <c r="A97" i="1"/>
  <c r="H97" i="1" s="1"/>
  <c r="C98" i="1"/>
  <c r="D98" i="1" s="1"/>
  <c r="E98" i="1" s="1"/>
  <c r="F98" i="1" l="1"/>
  <c r="G98" i="1" s="1"/>
  <c r="J97" i="1"/>
  <c r="I97" i="1"/>
  <c r="K97" i="1"/>
  <c r="L97" i="1"/>
  <c r="M97" i="1"/>
  <c r="B98" i="1"/>
  <c r="A98" i="1"/>
  <c r="H98" i="1" s="1"/>
  <c r="C99" i="1"/>
  <c r="D99" i="1" s="1"/>
  <c r="E99" i="1" s="1"/>
  <c r="F99" i="1" l="1"/>
  <c r="G99" i="1" s="1"/>
  <c r="M98" i="1"/>
  <c r="I98" i="1"/>
  <c r="J98" i="1"/>
  <c r="K98" i="1"/>
  <c r="L98" i="1"/>
  <c r="A99" i="1"/>
  <c r="H99" i="1" s="1"/>
  <c r="B99" i="1"/>
  <c r="C100" i="1"/>
  <c r="D100" i="1" s="1"/>
  <c r="E100" i="1" s="1"/>
  <c r="F100" i="1" l="1"/>
  <c r="G100" i="1" s="1"/>
  <c r="B100" i="1"/>
  <c r="A100" i="1"/>
  <c r="H100" i="1" s="1"/>
  <c r="C101" i="1"/>
  <c r="D101" i="1" s="1"/>
  <c r="E101" i="1" s="1"/>
  <c r="I99" i="1"/>
  <c r="L99" i="1"/>
  <c r="K99" i="1"/>
  <c r="M99" i="1"/>
  <c r="J99" i="1"/>
  <c r="F101" i="1" l="1"/>
  <c r="G101" i="1" s="1"/>
  <c r="A101" i="1"/>
  <c r="H101" i="1" s="1"/>
  <c r="B101" i="1"/>
  <c r="C102" i="1"/>
  <c r="D102" i="1" s="1"/>
  <c r="E102" i="1" s="1"/>
  <c r="L100" i="1"/>
  <c r="I100" i="1"/>
  <c r="J100" i="1"/>
  <c r="K100" i="1"/>
  <c r="M100" i="1"/>
  <c r="F102" i="1" l="1"/>
  <c r="G102" i="1" s="1"/>
  <c r="L101" i="1"/>
  <c r="I101" i="1"/>
  <c r="J101" i="1"/>
  <c r="K101" i="1"/>
  <c r="M101" i="1"/>
  <c r="A102" i="1"/>
  <c r="H102" i="1" s="1"/>
  <c r="B102" i="1"/>
  <c r="C103" i="1"/>
  <c r="D103" i="1" s="1"/>
  <c r="E103" i="1" s="1"/>
  <c r="F103" i="1" l="1"/>
  <c r="G103" i="1" s="1"/>
  <c r="M102" i="1"/>
  <c r="K102" i="1"/>
  <c r="L102" i="1"/>
  <c r="I102" i="1"/>
  <c r="J102" i="1"/>
  <c r="B103" i="1"/>
  <c r="A103" i="1"/>
  <c r="H103" i="1" s="1"/>
  <c r="C104" i="1"/>
  <c r="D104" i="1" s="1"/>
  <c r="E104" i="1" s="1"/>
  <c r="F104" i="1" l="1"/>
  <c r="G104" i="1" s="1"/>
  <c r="I103" i="1"/>
  <c r="J103" i="1"/>
  <c r="L103" i="1"/>
  <c r="M103" i="1"/>
  <c r="K103" i="1"/>
  <c r="A104" i="1"/>
  <c r="H104" i="1" s="1"/>
  <c r="B104" i="1"/>
  <c r="C105" i="1"/>
  <c r="D105" i="1" s="1"/>
  <c r="E105" i="1" s="1"/>
  <c r="F105" i="1" l="1"/>
  <c r="G105" i="1" s="1"/>
  <c r="J104" i="1"/>
  <c r="K104" i="1"/>
  <c r="I104" i="1"/>
  <c r="L104" i="1"/>
  <c r="M104" i="1"/>
  <c r="A105" i="1"/>
  <c r="H105" i="1" s="1"/>
  <c r="B105" i="1"/>
  <c r="C106" i="1"/>
  <c r="D106" i="1" s="1"/>
  <c r="E106" i="1" s="1"/>
  <c r="F106" i="1" l="1"/>
  <c r="G106" i="1" s="1"/>
  <c r="I105" i="1"/>
  <c r="J105" i="1"/>
  <c r="K105" i="1"/>
  <c r="L105" i="1"/>
  <c r="M105" i="1"/>
  <c r="B106" i="1"/>
  <c r="A106" i="1"/>
  <c r="H106" i="1" s="1"/>
  <c r="C107" i="1"/>
  <c r="D107" i="1" s="1"/>
  <c r="E107" i="1" s="1"/>
  <c r="F107" i="1" l="1"/>
  <c r="G107" i="1" s="1"/>
  <c r="K106" i="1"/>
  <c r="L106" i="1"/>
  <c r="I106" i="1"/>
  <c r="J106" i="1"/>
  <c r="M106" i="1"/>
  <c r="A107" i="1"/>
  <c r="H107" i="1" s="1"/>
  <c r="B107" i="1"/>
  <c r="C108" i="1"/>
  <c r="D108" i="1" s="1"/>
  <c r="E108" i="1" s="1"/>
  <c r="F108" i="1" l="1"/>
  <c r="G108" i="1" s="1"/>
  <c r="J107" i="1"/>
  <c r="L107" i="1"/>
  <c r="K107" i="1"/>
  <c r="I107" i="1"/>
  <c r="M107" i="1"/>
  <c r="B108" i="1"/>
  <c r="A108" i="1"/>
  <c r="H108" i="1" s="1"/>
  <c r="C109" i="1"/>
  <c r="D109" i="1" s="1"/>
  <c r="E109" i="1" s="1"/>
  <c r="F109" i="1" l="1"/>
  <c r="G109" i="1" s="1"/>
  <c r="L108" i="1"/>
  <c r="M108" i="1"/>
  <c r="I108" i="1"/>
  <c r="J108" i="1"/>
  <c r="K108" i="1"/>
  <c r="A109" i="1"/>
  <c r="H109" i="1" s="1"/>
  <c r="B109" i="1"/>
  <c r="C110" i="1"/>
  <c r="D110" i="1" s="1"/>
  <c r="E110" i="1" s="1"/>
  <c r="F110" i="1" l="1"/>
  <c r="G110" i="1" s="1"/>
  <c r="L109" i="1"/>
  <c r="J109" i="1"/>
  <c r="M109" i="1"/>
  <c r="K109" i="1"/>
  <c r="I109" i="1"/>
  <c r="B110" i="1"/>
  <c r="A110" i="1"/>
  <c r="H110" i="1" s="1"/>
  <c r="C111" i="1"/>
  <c r="D111" i="1" s="1"/>
  <c r="E111" i="1" s="1"/>
  <c r="F111" i="1" l="1"/>
  <c r="G111" i="1" s="1"/>
  <c r="M110" i="1"/>
  <c r="L110" i="1"/>
  <c r="J110" i="1"/>
  <c r="K110" i="1"/>
  <c r="I110" i="1"/>
  <c r="A111" i="1"/>
  <c r="H111" i="1" s="1"/>
  <c r="B111" i="1"/>
  <c r="C112" i="1"/>
  <c r="D112" i="1" s="1"/>
  <c r="E112" i="1" s="1"/>
  <c r="F112" i="1" l="1"/>
  <c r="G112" i="1" s="1"/>
  <c r="K111" i="1"/>
  <c r="J111" i="1"/>
  <c r="M111" i="1"/>
  <c r="L111" i="1"/>
  <c r="I111" i="1"/>
  <c r="A112" i="1"/>
  <c r="H112" i="1" s="1"/>
  <c r="B112" i="1"/>
  <c r="C113" i="1"/>
  <c r="D113" i="1" s="1"/>
  <c r="E113" i="1" s="1"/>
  <c r="F113" i="1" l="1"/>
  <c r="G113" i="1" s="1"/>
  <c r="K112" i="1"/>
  <c r="L112" i="1"/>
  <c r="J112" i="1"/>
  <c r="M112" i="1"/>
  <c r="I112" i="1"/>
  <c r="A113" i="1"/>
  <c r="H113" i="1" s="1"/>
  <c r="B113" i="1"/>
  <c r="C114" i="1"/>
  <c r="D114" i="1" s="1"/>
  <c r="E114" i="1" s="1"/>
  <c r="F114" i="1" l="1"/>
  <c r="G114" i="1" s="1"/>
  <c r="J113" i="1"/>
  <c r="K113" i="1"/>
  <c r="L113" i="1"/>
  <c r="I113" i="1"/>
  <c r="M113" i="1"/>
  <c r="A114" i="1"/>
  <c r="H114" i="1" s="1"/>
  <c r="B114" i="1"/>
  <c r="C115" i="1"/>
  <c r="D115" i="1" s="1"/>
  <c r="E115" i="1" s="1"/>
  <c r="F115" i="1" l="1"/>
  <c r="G115" i="1" s="1"/>
  <c r="J114" i="1"/>
  <c r="M114" i="1"/>
  <c r="I114" i="1"/>
  <c r="K114" i="1"/>
  <c r="L114" i="1"/>
  <c r="A115" i="1"/>
  <c r="H115" i="1" s="1"/>
  <c r="B115" i="1"/>
  <c r="C116" i="1"/>
  <c r="D116" i="1" s="1"/>
  <c r="E116" i="1" s="1"/>
  <c r="F116" i="1" l="1"/>
  <c r="G116" i="1" s="1"/>
  <c r="J115" i="1"/>
  <c r="M115" i="1"/>
  <c r="L115" i="1"/>
  <c r="I115" i="1"/>
  <c r="K115" i="1"/>
  <c r="A116" i="1"/>
  <c r="H116" i="1" s="1"/>
  <c r="B116" i="1"/>
  <c r="C117" i="1"/>
  <c r="D117" i="1" s="1"/>
  <c r="E117" i="1" s="1"/>
  <c r="F117" i="1" l="1"/>
  <c r="G117" i="1" s="1"/>
  <c r="B117" i="1"/>
  <c r="A117" i="1"/>
  <c r="H117" i="1" s="1"/>
  <c r="C118" i="1"/>
  <c r="D118" i="1" s="1"/>
  <c r="E118" i="1" s="1"/>
  <c r="M116" i="1"/>
  <c r="K116" i="1"/>
  <c r="I116" i="1"/>
  <c r="J116" i="1"/>
  <c r="L116" i="1"/>
  <c r="F118" i="1" l="1"/>
  <c r="G118" i="1" s="1"/>
  <c r="A118" i="1"/>
  <c r="H118" i="1" s="1"/>
  <c r="B118" i="1"/>
  <c r="C119" i="1"/>
  <c r="D119" i="1" s="1"/>
  <c r="E119" i="1" s="1"/>
  <c r="L117" i="1"/>
  <c r="I117" i="1"/>
  <c r="J117" i="1"/>
  <c r="M117" i="1"/>
  <c r="K117" i="1"/>
  <c r="F119" i="1" l="1"/>
  <c r="G119" i="1" s="1"/>
  <c r="A119" i="1"/>
  <c r="H119" i="1" s="1"/>
  <c r="B119" i="1"/>
  <c r="C120" i="1"/>
  <c r="D120" i="1" s="1"/>
  <c r="E120" i="1" s="1"/>
  <c r="M118" i="1"/>
  <c r="I118" i="1"/>
  <c r="L118" i="1"/>
  <c r="J118" i="1"/>
  <c r="K118" i="1"/>
  <c r="F120" i="1" l="1"/>
  <c r="G120" i="1" s="1"/>
  <c r="A120" i="1"/>
  <c r="H120" i="1" s="1"/>
  <c r="B120" i="1"/>
  <c r="C121" i="1"/>
  <c r="D121" i="1" s="1"/>
  <c r="E121" i="1" s="1"/>
  <c r="J119" i="1"/>
  <c r="K119" i="1"/>
  <c r="M119" i="1"/>
  <c r="I119" i="1"/>
  <c r="L119" i="1"/>
  <c r="F121" i="1" l="1"/>
  <c r="G121" i="1" s="1"/>
  <c r="B121" i="1"/>
  <c r="A121" i="1"/>
  <c r="H121" i="1" s="1"/>
  <c r="C122" i="1"/>
  <c r="D122" i="1" s="1"/>
  <c r="E122" i="1" s="1"/>
  <c r="J120" i="1"/>
  <c r="K120" i="1"/>
  <c r="M120" i="1"/>
  <c r="I120" i="1"/>
  <c r="L120" i="1"/>
  <c r="F122" i="1" l="1"/>
  <c r="G122" i="1" s="1"/>
  <c r="B122" i="1"/>
  <c r="A122" i="1"/>
  <c r="H122" i="1" s="1"/>
  <c r="C123" i="1"/>
  <c r="D123" i="1" s="1"/>
  <c r="E123" i="1" s="1"/>
  <c r="L121" i="1"/>
  <c r="I121" i="1"/>
  <c r="M121" i="1"/>
  <c r="J121" i="1"/>
  <c r="K121" i="1"/>
  <c r="F123" i="1" l="1"/>
  <c r="G123" i="1" s="1"/>
  <c r="A123" i="1"/>
  <c r="H123" i="1" s="1"/>
  <c r="B123" i="1"/>
  <c r="C124" i="1"/>
  <c r="D124" i="1" s="1"/>
  <c r="E124" i="1" s="1"/>
  <c r="I122" i="1"/>
  <c r="K122" i="1"/>
  <c r="J122" i="1"/>
  <c r="L122" i="1"/>
  <c r="M122" i="1"/>
  <c r="F124" i="1" l="1"/>
  <c r="G124" i="1" s="1"/>
  <c r="A124" i="1"/>
  <c r="H124" i="1" s="1"/>
  <c r="B124" i="1"/>
  <c r="C125" i="1"/>
  <c r="D125" i="1" s="1"/>
  <c r="E125" i="1" s="1"/>
  <c r="I123" i="1"/>
  <c r="J123" i="1"/>
  <c r="K123" i="1"/>
  <c r="M123" i="1"/>
  <c r="L123" i="1"/>
  <c r="F125" i="1" l="1"/>
  <c r="G125" i="1" s="1"/>
  <c r="M124" i="1"/>
  <c r="A125" i="1"/>
  <c r="H125" i="1" s="1"/>
  <c r="B125" i="1"/>
  <c r="C126" i="1"/>
  <c r="D126" i="1" s="1"/>
  <c r="E126" i="1" s="1"/>
  <c r="K124" i="1"/>
  <c r="L124" i="1"/>
  <c r="J124" i="1"/>
  <c r="I124" i="1"/>
  <c r="F126" i="1" l="1"/>
  <c r="G126" i="1" s="1"/>
  <c r="A126" i="1"/>
  <c r="H126" i="1" s="1"/>
  <c r="B126" i="1"/>
  <c r="C127" i="1"/>
  <c r="D127" i="1" s="1"/>
  <c r="E127" i="1" s="1"/>
  <c r="I125" i="1"/>
  <c r="J125" i="1"/>
  <c r="M125" i="1"/>
  <c r="K125" i="1"/>
  <c r="L125" i="1"/>
  <c r="F127" i="1" l="1"/>
  <c r="G127" i="1" s="1"/>
  <c r="B127" i="1"/>
  <c r="A127" i="1"/>
  <c r="H127" i="1" s="1"/>
  <c r="C128" i="1"/>
  <c r="D128" i="1" s="1"/>
  <c r="E128" i="1" s="1"/>
  <c r="J126" i="1"/>
  <c r="I126" i="1"/>
  <c r="K126" i="1"/>
  <c r="M126" i="1"/>
  <c r="L126" i="1"/>
  <c r="F128" i="1" l="1"/>
  <c r="G128" i="1" s="1"/>
  <c r="B128" i="1"/>
  <c r="A128" i="1"/>
  <c r="H128" i="1" s="1"/>
  <c r="C129" i="1"/>
  <c r="D129" i="1" s="1"/>
  <c r="E129" i="1" s="1"/>
  <c r="K127" i="1"/>
  <c r="M127" i="1"/>
  <c r="I127" i="1"/>
  <c r="L127" i="1"/>
  <c r="J127" i="1"/>
  <c r="F129" i="1" l="1"/>
  <c r="G129" i="1" s="1"/>
  <c r="B129" i="1"/>
  <c r="A129" i="1"/>
  <c r="H129" i="1" s="1"/>
  <c r="C130" i="1"/>
  <c r="D130" i="1" s="1"/>
  <c r="E130" i="1" s="1"/>
  <c r="L128" i="1"/>
  <c r="M128" i="1"/>
  <c r="K128" i="1"/>
  <c r="I128" i="1"/>
  <c r="J128" i="1"/>
  <c r="F130" i="1" l="1"/>
  <c r="G130" i="1" s="1"/>
  <c r="A130" i="1"/>
  <c r="H130" i="1" s="1"/>
  <c r="B130" i="1"/>
  <c r="C131" i="1"/>
  <c r="C132" i="1" s="1"/>
  <c r="L129" i="1"/>
  <c r="J129" i="1"/>
  <c r="M129" i="1"/>
  <c r="I129" i="1"/>
  <c r="K129" i="1"/>
  <c r="A132" i="1" l="1"/>
  <c r="H132" i="1" s="1"/>
  <c r="C133" i="1"/>
  <c r="D131" i="1"/>
  <c r="E131" i="1" s="1"/>
  <c r="A131" i="1"/>
  <c r="H131" i="1" s="1"/>
  <c r="B131" i="1"/>
  <c r="B132" i="1" s="1"/>
  <c r="I130" i="1"/>
  <c r="J130" i="1"/>
  <c r="K130" i="1"/>
  <c r="M130" i="1"/>
  <c r="L130" i="1"/>
  <c r="F131" i="1" l="1"/>
  <c r="G131" i="1" s="1"/>
  <c r="A133" i="1"/>
  <c r="H133" i="1" s="1"/>
  <c r="B133" i="1"/>
  <c r="C134" i="1"/>
  <c r="D132" i="1"/>
  <c r="E132" i="1" s="1"/>
  <c r="I132" i="1"/>
  <c r="J132" i="1"/>
  <c r="K132" i="1"/>
  <c r="L132" i="1"/>
  <c r="M132" i="1"/>
  <c r="I131" i="1"/>
  <c r="J131" i="1"/>
  <c r="L131" i="1"/>
  <c r="M131" i="1"/>
  <c r="K131" i="1"/>
  <c r="F132" i="1" l="1"/>
  <c r="G132" i="1" s="1"/>
  <c r="A134" i="1"/>
  <c r="H134" i="1" s="1"/>
  <c r="B134" i="1"/>
  <c r="C135" i="1"/>
  <c r="D133" i="1"/>
  <c r="E133" i="1" s="1"/>
  <c r="I133" i="1"/>
  <c r="L133" i="1"/>
  <c r="J133" i="1"/>
  <c r="K133" i="1"/>
  <c r="M133" i="1"/>
  <c r="D134" i="1" l="1"/>
  <c r="E134" i="1" s="1"/>
  <c r="E135" i="1" s="1"/>
  <c r="F133" i="1"/>
  <c r="G133" i="1" s="1"/>
  <c r="A135" i="1"/>
  <c r="H135" i="1" s="1"/>
  <c r="B135" i="1"/>
  <c r="D135" i="1"/>
  <c r="C136" i="1"/>
  <c r="F134" i="1"/>
  <c r="G134" i="1" s="1"/>
  <c r="M134" i="1"/>
  <c r="L134" i="1"/>
  <c r="I134" i="1"/>
  <c r="K134" i="1"/>
  <c r="J134" i="1"/>
  <c r="A136" i="1" l="1"/>
  <c r="H136" i="1" s="1"/>
  <c r="B136" i="1"/>
  <c r="D136" i="1"/>
  <c r="E136" i="1" s="1"/>
  <c r="C137" i="1"/>
  <c r="F135" i="1"/>
  <c r="G135" i="1" s="1"/>
  <c r="I135" i="1"/>
  <c r="M135" i="1"/>
  <c r="K135" i="1"/>
  <c r="J135" i="1"/>
  <c r="L135" i="1"/>
  <c r="M136" i="1" l="1"/>
  <c r="K136" i="1"/>
  <c r="L136" i="1"/>
  <c r="I136" i="1"/>
  <c r="J136" i="1"/>
  <c r="F136" i="1"/>
  <c r="G136" i="1" s="1"/>
  <c r="B137" i="1"/>
  <c r="D137" i="1"/>
  <c r="E137" i="1" s="1"/>
  <c r="A137" i="1"/>
  <c r="H137" i="1" s="1"/>
  <c r="C138" i="1"/>
  <c r="A138" i="1" l="1"/>
  <c r="H138" i="1" s="1"/>
  <c r="B138" i="1"/>
  <c r="I138" i="1" s="1"/>
  <c r="D138" i="1"/>
  <c r="E138" i="1" s="1"/>
  <c r="C139" i="1"/>
  <c r="J137" i="1"/>
  <c r="M137" i="1"/>
  <c r="L137" i="1"/>
  <c r="I137" i="1"/>
  <c r="K137" i="1"/>
  <c r="F137" i="1"/>
  <c r="G137" i="1" s="1"/>
  <c r="A139" i="1" l="1"/>
  <c r="H139" i="1" s="1"/>
  <c r="B139" i="1"/>
  <c r="K139" i="1" s="1"/>
  <c r="D139" i="1"/>
  <c r="E139" i="1" s="1"/>
  <c r="C140" i="1"/>
  <c r="F138" i="1"/>
  <c r="G138" i="1" s="1"/>
  <c r="J138" i="1"/>
  <c r="M138" i="1"/>
  <c r="L138" i="1"/>
  <c r="K138" i="1"/>
  <c r="A140" i="1" l="1"/>
  <c r="H140" i="1" s="1"/>
  <c r="D140" i="1"/>
  <c r="E140" i="1" s="1"/>
  <c r="B140" i="1"/>
  <c r="I140" i="1" s="1"/>
  <c r="C141" i="1"/>
  <c r="F139" i="1"/>
  <c r="G139" i="1" s="1"/>
  <c r="J139" i="1"/>
  <c r="I139" i="1"/>
  <c r="M139" i="1"/>
  <c r="L139" i="1"/>
  <c r="A141" i="1" l="1"/>
  <c r="H141" i="1" s="1"/>
  <c r="B141" i="1"/>
  <c r="D141" i="1"/>
  <c r="E141" i="1" s="1"/>
  <c r="C142" i="1"/>
  <c r="F140" i="1"/>
  <c r="G140" i="1" s="1"/>
  <c r="L140" i="1"/>
  <c r="M140" i="1"/>
  <c r="J140" i="1"/>
  <c r="K140" i="1"/>
  <c r="F141" i="1" l="1"/>
  <c r="G141" i="1" s="1"/>
  <c r="A142" i="1"/>
  <c r="H142" i="1" s="1"/>
  <c r="B142" i="1"/>
  <c r="D142" i="1"/>
  <c r="E142" i="1" s="1"/>
  <c r="C143" i="1"/>
  <c r="I141" i="1"/>
  <c r="K141" i="1"/>
  <c r="J141" i="1"/>
  <c r="L141" i="1"/>
  <c r="M141" i="1"/>
  <c r="D143" i="1" l="1"/>
  <c r="E143" i="1" s="1"/>
  <c r="A143" i="1"/>
  <c r="H143" i="1" s="1"/>
  <c r="B143" i="1"/>
  <c r="C144" i="1"/>
  <c r="F142" i="1"/>
  <c r="G142" i="1" s="1"/>
  <c r="I142" i="1"/>
  <c r="J142" i="1"/>
  <c r="K142" i="1"/>
  <c r="L142" i="1"/>
  <c r="M142" i="1"/>
  <c r="A144" i="1" l="1"/>
  <c r="H144" i="1" s="1"/>
  <c r="B144" i="1"/>
  <c r="D144" i="1"/>
  <c r="E144" i="1" s="1"/>
  <c r="C145" i="1"/>
  <c r="J143" i="1"/>
  <c r="L143" i="1"/>
  <c r="K143" i="1"/>
  <c r="I143" i="1"/>
  <c r="M143" i="1"/>
  <c r="F143" i="1"/>
  <c r="G143" i="1" s="1"/>
  <c r="B145" i="1" l="1"/>
  <c r="D145" i="1"/>
  <c r="E145" i="1" s="1"/>
  <c r="A145" i="1"/>
  <c r="H145" i="1" s="1"/>
  <c r="C146" i="1"/>
  <c r="F144" i="1"/>
  <c r="G144" i="1" s="1"/>
  <c r="K144" i="1"/>
  <c r="L144" i="1"/>
  <c r="M144" i="1"/>
  <c r="J144" i="1"/>
  <c r="I144" i="1"/>
  <c r="A146" i="1" l="1"/>
  <c r="H146" i="1" s="1"/>
  <c r="B146" i="1"/>
  <c r="D146" i="1"/>
  <c r="E146" i="1" s="1"/>
  <c r="C147" i="1"/>
  <c r="L145" i="1"/>
  <c r="J145" i="1"/>
  <c r="I145" i="1"/>
  <c r="M145" i="1"/>
  <c r="K145" i="1"/>
  <c r="F145" i="1"/>
  <c r="G145" i="1" s="1"/>
  <c r="J146" i="1" l="1"/>
  <c r="I146" i="1"/>
  <c r="K146" i="1"/>
  <c r="L146" i="1"/>
  <c r="M146" i="1"/>
  <c r="B147" i="1"/>
  <c r="D147" i="1"/>
  <c r="E147" i="1" s="1"/>
  <c r="A147" i="1"/>
  <c r="H147" i="1" s="1"/>
  <c r="C148" i="1"/>
  <c r="F146" i="1"/>
  <c r="G146" i="1" s="1"/>
  <c r="J147" i="1" l="1"/>
  <c r="K147" i="1"/>
  <c r="I147" i="1"/>
  <c r="L147" i="1"/>
  <c r="M147" i="1"/>
  <c r="F147" i="1"/>
  <c r="G147" i="1" s="1"/>
  <c r="B148" i="1"/>
  <c r="A148" i="1"/>
  <c r="H148" i="1" s="1"/>
  <c r="D148" i="1"/>
  <c r="E148" i="1" s="1"/>
  <c r="C149" i="1"/>
  <c r="D149" i="1" l="1"/>
  <c r="E149" i="1" s="1"/>
  <c r="B149" i="1"/>
  <c r="A149" i="1"/>
  <c r="H149" i="1" s="1"/>
  <c r="C150" i="1"/>
  <c r="F148" i="1"/>
  <c r="G148" i="1" s="1"/>
  <c r="K148" i="1"/>
  <c r="L148" i="1"/>
  <c r="M148" i="1"/>
  <c r="J148" i="1"/>
  <c r="I148" i="1"/>
  <c r="D150" i="1" l="1"/>
  <c r="E150" i="1" s="1"/>
  <c r="B150" i="1"/>
  <c r="A150" i="1"/>
  <c r="H150" i="1" s="1"/>
  <c r="C151" i="1"/>
  <c r="J149" i="1"/>
  <c r="L149" i="1"/>
  <c r="I149" i="1"/>
  <c r="K149" i="1"/>
  <c r="M149" i="1"/>
  <c r="F149" i="1"/>
  <c r="G149" i="1" s="1"/>
  <c r="C152" i="1" l="1"/>
  <c r="D151" i="1"/>
  <c r="E151" i="1" s="1"/>
  <c r="B151" i="1"/>
  <c r="B152" i="1" s="1"/>
  <c r="A151" i="1"/>
  <c r="H151" i="1" s="1"/>
  <c r="M150" i="1"/>
  <c r="K150" i="1"/>
  <c r="L150" i="1"/>
  <c r="J150" i="1"/>
  <c r="I150" i="1"/>
  <c r="F150" i="1"/>
  <c r="G150" i="1" s="1"/>
  <c r="I151" i="1" l="1"/>
  <c r="M151" i="1"/>
  <c r="J151" i="1"/>
  <c r="K151" i="1"/>
  <c r="L151" i="1"/>
  <c r="F151" i="1"/>
  <c r="G151" i="1" s="1"/>
  <c r="D152" i="1"/>
  <c r="E152" i="1" s="1"/>
  <c r="A152" i="1"/>
  <c r="H152" i="1" s="1"/>
  <c r="C153" i="1"/>
  <c r="F152" i="1" l="1"/>
  <c r="G152" i="1" s="1"/>
  <c r="D153" i="1"/>
  <c r="E153" i="1" s="1"/>
  <c r="B153" i="1"/>
  <c r="A153" i="1"/>
  <c r="H153" i="1" s="1"/>
  <c r="C154" i="1"/>
  <c r="M152" i="1"/>
  <c r="I152" i="1"/>
  <c r="K152" i="1"/>
  <c r="J152" i="1"/>
  <c r="L152" i="1"/>
  <c r="B154" i="1" l="1"/>
  <c r="A154" i="1"/>
  <c r="H154" i="1" s="1"/>
  <c r="D154" i="1"/>
  <c r="E154" i="1" s="1"/>
  <c r="C155" i="1"/>
  <c r="L153" i="1"/>
  <c r="I153" i="1"/>
  <c r="M153" i="1"/>
  <c r="J153" i="1"/>
  <c r="K153" i="1"/>
  <c r="F153" i="1"/>
  <c r="G153" i="1" s="1"/>
  <c r="D155" i="1" l="1"/>
  <c r="E155" i="1" s="1"/>
  <c r="A155" i="1"/>
  <c r="H155" i="1" s="1"/>
  <c r="B155" i="1"/>
  <c r="C156" i="1"/>
  <c r="F154" i="1"/>
  <c r="G154" i="1" s="1"/>
  <c r="L154" i="1"/>
  <c r="J154" i="1"/>
  <c r="M154" i="1"/>
  <c r="I154" i="1"/>
  <c r="K154" i="1"/>
  <c r="D156" i="1" l="1"/>
  <c r="E156" i="1" s="1"/>
  <c r="A156" i="1"/>
  <c r="H156" i="1" s="1"/>
  <c r="B156" i="1"/>
  <c r="C157" i="1"/>
  <c r="I155" i="1"/>
  <c r="L155" i="1"/>
  <c r="M155" i="1"/>
  <c r="J155" i="1"/>
  <c r="K155" i="1"/>
  <c r="F155" i="1"/>
  <c r="G155" i="1" s="1"/>
  <c r="D157" i="1" l="1"/>
  <c r="E157" i="1" s="1"/>
  <c r="B157" i="1"/>
  <c r="A157" i="1"/>
  <c r="H157" i="1" s="1"/>
  <c r="C158" i="1"/>
  <c r="K156" i="1"/>
  <c r="J156" i="1"/>
  <c r="L156" i="1"/>
  <c r="M156" i="1"/>
  <c r="I156" i="1"/>
  <c r="F156" i="1"/>
  <c r="G156" i="1" s="1"/>
  <c r="A158" i="1" l="1"/>
  <c r="H158" i="1" s="1"/>
  <c r="B158" i="1"/>
  <c r="D158" i="1"/>
  <c r="E158" i="1" s="1"/>
  <c r="C159" i="1"/>
  <c r="J157" i="1"/>
  <c r="L157" i="1"/>
  <c r="M157" i="1"/>
  <c r="K157" i="1"/>
  <c r="I157" i="1"/>
  <c r="F157" i="1"/>
  <c r="G157" i="1" s="1"/>
  <c r="A159" i="1" l="1"/>
  <c r="H159" i="1" s="1"/>
  <c r="B159" i="1"/>
  <c r="D159" i="1"/>
  <c r="E159" i="1" s="1"/>
  <c r="C160" i="1"/>
  <c r="F158" i="1"/>
  <c r="G158" i="1" s="1"/>
  <c r="I158" i="1"/>
  <c r="M158" i="1"/>
  <c r="J158" i="1"/>
  <c r="K158" i="1"/>
  <c r="L158" i="1"/>
  <c r="M159" i="1" l="1"/>
  <c r="I159" i="1"/>
  <c r="J159" i="1"/>
  <c r="K159" i="1"/>
  <c r="L159" i="1"/>
  <c r="B160" i="1"/>
  <c r="A160" i="1"/>
  <c r="H160" i="1" s="1"/>
  <c r="D160" i="1"/>
  <c r="E160" i="1" s="1"/>
  <c r="C161" i="1"/>
  <c r="F159" i="1"/>
  <c r="G159" i="1" s="1"/>
  <c r="F160" i="1" l="1"/>
  <c r="G160" i="1" s="1"/>
  <c r="M160" i="1"/>
  <c r="I160" i="1"/>
  <c r="K160" i="1"/>
  <c r="L160" i="1"/>
  <c r="J160" i="1"/>
  <c r="B161" i="1"/>
  <c r="D161" i="1"/>
  <c r="E161" i="1" s="1"/>
  <c r="A161" i="1"/>
  <c r="H161" i="1" s="1"/>
  <c r="C162" i="1"/>
  <c r="F161" i="1" l="1"/>
  <c r="G161" i="1" s="1"/>
  <c r="B162" i="1"/>
  <c r="A162" i="1"/>
  <c r="H162" i="1" s="1"/>
  <c r="D162" i="1"/>
  <c r="E162" i="1" s="1"/>
  <c r="C163" i="1"/>
  <c r="M161" i="1"/>
  <c r="L161" i="1"/>
  <c r="J161" i="1"/>
  <c r="I161" i="1"/>
  <c r="K161" i="1"/>
  <c r="D163" i="1" l="1"/>
  <c r="E163" i="1" s="1"/>
  <c r="A163" i="1"/>
  <c r="H163" i="1" s="1"/>
  <c r="B163" i="1"/>
  <c r="C164" i="1"/>
  <c r="F162" i="1"/>
  <c r="G162" i="1" s="1"/>
  <c r="I162" i="1"/>
  <c r="L162" i="1"/>
  <c r="M162" i="1"/>
  <c r="K162" i="1"/>
  <c r="J162" i="1"/>
  <c r="D164" i="1" l="1"/>
  <c r="E164" i="1" s="1"/>
  <c r="B164" i="1"/>
  <c r="A164" i="1"/>
  <c r="H164" i="1" s="1"/>
  <c r="C165" i="1"/>
  <c r="L163" i="1"/>
  <c r="M163" i="1"/>
  <c r="K163" i="1"/>
  <c r="I163" i="1"/>
  <c r="J163" i="1"/>
  <c r="F163" i="1"/>
  <c r="G163" i="1" s="1"/>
  <c r="A165" i="1" l="1"/>
  <c r="H165" i="1" s="1"/>
  <c r="B165" i="1"/>
  <c r="J165" i="1" s="1"/>
  <c r="D165" i="1"/>
  <c r="E165" i="1" s="1"/>
  <c r="C166" i="1"/>
  <c r="I164" i="1"/>
  <c r="J164" i="1"/>
  <c r="K164" i="1"/>
  <c r="L164" i="1"/>
  <c r="M164" i="1"/>
  <c r="F164" i="1"/>
  <c r="G164" i="1" s="1"/>
  <c r="E166" i="1" l="1"/>
  <c r="A166" i="1"/>
  <c r="H166" i="1" s="1"/>
  <c r="B166" i="1"/>
  <c r="D166" i="1"/>
  <c r="C167" i="1"/>
  <c r="F165" i="1"/>
  <c r="G165" i="1" s="1"/>
  <c r="I165" i="1"/>
  <c r="K165" i="1"/>
  <c r="L165" i="1"/>
  <c r="M165" i="1"/>
  <c r="E167" i="1" l="1"/>
  <c r="D167" i="1"/>
  <c r="B167" i="1"/>
  <c r="A167" i="1"/>
  <c r="H167" i="1" s="1"/>
  <c r="C168" i="1"/>
  <c r="F166" i="1"/>
  <c r="G166" i="1" s="1"/>
  <c r="L166" i="1"/>
  <c r="M166" i="1"/>
  <c r="I166" i="1"/>
  <c r="K166" i="1"/>
  <c r="J166" i="1"/>
  <c r="E168" i="1" l="1"/>
  <c r="D168" i="1"/>
  <c r="B168" i="1"/>
  <c r="A168" i="1"/>
  <c r="H168" i="1" s="1"/>
  <c r="C169" i="1"/>
  <c r="M167" i="1"/>
  <c r="I167" i="1"/>
  <c r="J167" i="1"/>
  <c r="K167" i="1"/>
  <c r="L167" i="1"/>
  <c r="F167" i="1"/>
  <c r="G167" i="1" s="1"/>
  <c r="A169" i="1" l="1"/>
  <c r="H169" i="1" s="1"/>
  <c r="B169" i="1"/>
  <c r="D169" i="1"/>
  <c r="E169" i="1" s="1"/>
  <c r="C170" i="1"/>
  <c r="M168" i="1"/>
  <c r="J168" i="1"/>
  <c r="I168" i="1"/>
  <c r="L168" i="1"/>
  <c r="K168" i="1"/>
  <c r="F168" i="1"/>
  <c r="G168" i="1" s="1"/>
  <c r="B170" i="1" l="1"/>
  <c r="A170" i="1"/>
  <c r="H170" i="1" s="1"/>
  <c r="D170" i="1"/>
  <c r="E170" i="1" s="1"/>
  <c r="C171" i="1"/>
  <c r="F169" i="1"/>
  <c r="G169" i="1" s="1"/>
  <c r="M169" i="1"/>
  <c r="I169" i="1"/>
  <c r="L169" i="1"/>
  <c r="J169" i="1"/>
  <c r="K169" i="1"/>
  <c r="A171" i="1" l="1"/>
  <c r="H171" i="1" s="1"/>
  <c r="D171" i="1"/>
  <c r="E171" i="1" s="1"/>
  <c r="B171" i="1"/>
  <c r="C172" i="1"/>
  <c r="F170" i="1"/>
  <c r="G170" i="1" s="1"/>
  <c r="J170" i="1"/>
  <c r="K170" i="1"/>
  <c r="M170" i="1"/>
  <c r="I170" i="1"/>
  <c r="L170" i="1"/>
  <c r="A172" i="1" l="1"/>
  <c r="H172" i="1" s="1"/>
  <c r="D172" i="1"/>
  <c r="E172" i="1" s="1"/>
  <c r="B172" i="1"/>
  <c r="C173" i="1"/>
  <c r="F171" i="1"/>
  <c r="G171" i="1" s="1"/>
  <c r="I171" i="1"/>
  <c r="J171" i="1"/>
  <c r="L171" i="1"/>
  <c r="M171" i="1"/>
  <c r="K171" i="1"/>
  <c r="E173" i="1" l="1"/>
  <c r="A173" i="1"/>
  <c r="H173" i="1" s="1"/>
  <c r="D173" i="1"/>
  <c r="B173" i="1"/>
  <c r="C174" i="1"/>
  <c r="F172" i="1"/>
  <c r="G172" i="1" s="1"/>
  <c r="L172" i="1"/>
  <c r="J172" i="1"/>
  <c r="K172" i="1"/>
  <c r="M172" i="1"/>
  <c r="I172" i="1"/>
  <c r="A174" i="1" l="1"/>
  <c r="H174" i="1" s="1"/>
  <c r="B174" i="1"/>
  <c r="D174" i="1"/>
  <c r="E174" i="1" s="1"/>
  <c r="C175" i="1"/>
  <c r="F173" i="1"/>
  <c r="G173" i="1" s="1"/>
  <c r="M173" i="1"/>
  <c r="K173" i="1"/>
  <c r="L173" i="1"/>
  <c r="I173" i="1"/>
  <c r="J173" i="1"/>
  <c r="A175" i="1" l="1"/>
  <c r="H175" i="1" s="1"/>
  <c r="B175" i="1"/>
  <c r="D175" i="1"/>
  <c r="E175" i="1" s="1"/>
  <c r="C176" i="1"/>
  <c r="F174" i="1"/>
  <c r="G174" i="1" s="1"/>
  <c r="K174" i="1"/>
  <c r="I174" i="1"/>
  <c r="M174" i="1"/>
  <c r="J174" i="1"/>
  <c r="L174" i="1"/>
  <c r="D176" i="1" l="1"/>
  <c r="E176" i="1" s="1"/>
  <c r="A176" i="1"/>
  <c r="H176" i="1" s="1"/>
  <c r="B176" i="1"/>
  <c r="C177" i="1"/>
  <c r="F175" i="1"/>
  <c r="G175" i="1" s="1"/>
  <c r="M175" i="1"/>
  <c r="J175" i="1"/>
  <c r="L175" i="1"/>
  <c r="I175" i="1"/>
  <c r="K175" i="1"/>
  <c r="A177" i="1" l="1"/>
  <c r="H177" i="1" s="1"/>
  <c r="B177" i="1"/>
  <c r="D177" i="1"/>
  <c r="E177" i="1" s="1"/>
  <c r="C178" i="1"/>
  <c r="M176" i="1"/>
  <c r="I176" i="1"/>
  <c r="K176" i="1"/>
  <c r="J176" i="1"/>
  <c r="L176" i="1"/>
  <c r="F176" i="1"/>
  <c r="G176" i="1" s="1"/>
  <c r="I177" i="1" l="1"/>
  <c r="J177" i="1"/>
  <c r="K177" i="1"/>
  <c r="L177" i="1"/>
  <c r="M177" i="1"/>
  <c r="A178" i="1"/>
  <c r="H178" i="1" s="1"/>
  <c r="B178" i="1"/>
  <c r="D178" i="1"/>
  <c r="E178" i="1" s="1"/>
  <c r="C179" i="1"/>
  <c r="F177" i="1"/>
  <c r="G177" i="1" s="1"/>
  <c r="B179" i="1" l="1"/>
  <c r="D179" i="1"/>
  <c r="E179" i="1" s="1"/>
  <c r="A179" i="1"/>
  <c r="H179" i="1" s="1"/>
  <c r="C180" i="1"/>
  <c r="F178" i="1"/>
  <c r="G178" i="1" s="1"/>
  <c r="L178" i="1"/>
  <c r="M178" i="1"/>
  <c r="I178" i="1"/>
  <c r="J178" i="1"/>
  <c r="K178" i="1"/>
  <c r="B180" i="1" l="1"/>
  <c r="D180" i="1"/>
  <c r="E180" i="1" s="1"/>
  <c r="A180" i="1"/>
  <c r="H180" i="1" s="1"/>
  <c r="C181" i="1"/>
  <c r="I179" i="1"/>
  <c r="K179" i="1"/>
  <c r="L179" i="1"/>
  <c r="M179" i="1"/>
  <c r="J179" i="1"/>
  <c r="F179" i="1"/>
  <c r="G179" i="1" s="1"/>
  <c r="D181" i="1" l="1"/>
  <c r="E181" i="1" s="1"/>
  <c r="A181" i="1"/>
  <c r="H181" i="1" s="1"/>
  <c r="B181" i="1"/>
  <c r="C182" i="1"/>
  <c r="I180" i="1"/>
  <c r="J180" i="1"/>
  <c r="K180" i="1"/>
  <c r="M180" i="1"/>
  <c r="L180" i="1"/>
  <c r="F180" i="1"/>
  <c r="G180" i="1" s="1"/>
  <c r="D182" i="1" l="1"/>
  <c r="E182" i="1" s="1"/>
  <c r="B182" i="1"/>
  <c r="A182" i="1"/>
  <c r="H182" i="1" s="1"/>
  <c r="C183" i="1"/>
  <c r="K181" i="1"/>
  <c r="L181" i="1"/>
  <c r="M181" i="1"/>
  <c r="I181" i="1"/>
  <c r="J181" i="1"/>
  <c r="F181" i="1"/>
  <c r="G181" i="1" s="1"/>
  <c r="B183" i="1" l="1"/>
  <c r="D183" i="1"/>
  <c r="E183" i="1" s="1"/>
  <c r="A183" i="1"/>
  <c r="H183" i="1" s="1"/>
  <c r="C184" i="1"/>
  <c r="I182" i="1"/>
  <c r="K182" i="1"/>
  <c r="L182" i="1"/>
  <c r="J182" i="1"/>
  <c r="M182" i="1"/>
  <c r="F182" i="1"/>
  <c r="G182" i="1" s="1"/>
  <c r="B184" i="1" l="1"/>
  <c r="D184" i="1"/>
  <c r="E184" i="1" s="1"/>
  <c r="A184" i="1"/>
  <c r="H184" i="1" s="1"/>
  <c r="C185" i="1"/>
  <c r="M183" i="1"/>
  <c r="I183" i="1"/>
  <c r="J183" i="1"/>
  <c r="K183" i="1"/>
  <c r="L183" i="1"/>
  <c r="F183" i="1"/>
  <c r="G183" i="1" s="1"/>
  <c r="B185" i="1" l="1"/>
  <c r="D185" i="1"/>
  <c r="E185" i="1" s="1"/>
  <c r="A185" i="1"/>
  <c r="H185" i="1" s="1"/>
  <c r="C186" i="1"/>
  <c r="M184" i="1"/>
  <c r="I184" i="1"/>
  <c r="K184" i="1"/>
  <c r="L184" i="1"/>
  <c r="J184" i="1"/>
  <c r="F184" i="1"/>
  <c r="G184" i="1" s="1"/>
  <c r="B186" i="1" l="1"/>
  <c r="D186" i="1"/>
  <c r="E186" i="1" s="1"/>
  <c r="A186" i="1"/>
  <c r="H186" i="1" s="1"/>
  <c r="C187" i="1"/>
  <c r="M185" i="1"/>
  <c r="J185" i="1"/>
  <c r="L185" i="1"/>
  <c r="I185" i="1"/>
  <c r="K185" i="1"/>
  <c r="F185" i="1"/>
  <c r="G185" i="1" s="1"/>
  <c r="D187" i="1" l="1"/>
  <c r="E187" i="1" s="1"/>
  <c r="B187" i="1"/>
  <c r="A187" i="1"/>
  <c r="H187" i="1" s="1"/>
  <c r="C188" i="1"/>
  <c r="L186" i="1"/>
  <c r="M186" i="1"/>
  <c r="I186" i="1"/>
  <c r="J186" i="1"/>
  <c r="K186" i="1"/>
  <c r="F186" i="1"/>
  <c r="G186" i="1" s="1"/>
  <c r="D188" i="1" l="1"/>
  <c r="E188" i="1" s="1"/>
  <c r="A188" i="1"/>
  <c r="H188" i="1" s="1"/>
  <c r="B188" i="1"/>
  <c r="C189" i="1"/>
  <c r="M187" i="1"/>
  <c r="I187" i="1"/>
  <c r="J187" i="1"/>
  <c r="L187" i="1"/>
  <c r="K187" i="1"/>
  <c r="F187" i="1"/>
  <c r="G187" i="1" s="1"/>
  <c r="D189" i="1" l="1"/>
  <c r="E189" i="1" s="1"/>
  <c r="A189" i="1"/>
  <c r="H189" i="1" s="1"/>
  <c r="B189" i="1"/>
  <c r="C190" i="1"/>
  <c r="J188" i="1"/>
  <c r="K188" i="1"/>
  <c r="I188" i="1"/>
  <c r="L188" i="1"/>
  <c r="M188" i="1"/>
  <c r="F188" i="1"/>
  <c r="G188" i="1" s="1"/>
  <c r="A190" i="1" l="1"/>
  <c r="H190" i="1" s="1"/>
  <c r="B190" i="1"/>
  <c r="D190" i="1"/>
  <c r="E190" i="1" s="1"/>
  <c r="C191" i="1"/>
  <c r="I189" i="1"/>
  <c r="J189" i="1"/>
  <c r="K189" i="1"/>
  <c r="M189" i="1"/>
  <c r="L189" i="1"/>
  <c r="F189" i="1"/>
  <c r="G189" i="1" s="1"/>
  <c r="B191" i="1" l="1"/>
  <c r="A191" i="1"/>
  <c r="H191" i="1" s="1"/>
  <c r="D191" i="1"/>
  <c r="E191" i="1" s="1"/>
  <c r="C192" i="1"/>
  <c r="F190" i="1"/>
  <c r="G190" i="1" s="1"/>
  <c r="I190" i="1"/>
  <c r="J190" i="1"/>
  <c r="K190" i="1"/>
  <c r="L190" i="1"/>
  <c r="M190" i="1"/>
  <c r="D192" i="1" l="1"/>
  <c r="E192" i="1" s="1"/>
  <c r="A192" i="1"/>
  <c r="H192" i="1" s="1"/>
  <c r="B192" i="1"/>
  <c r="C193" i="1"/>
  <c r="F191" i="1"/>
  <c r="G191" i="1" s="1"/>
  <c r="I191" i="1"/>
  <c r="J191" i="1"/>
  <c r="K191" i="1"/>
  <c r="L191" i="1"/>
  <c r="M191" i="1"/>
  <c r="D193" i="1" l="1"/>
  <c r="E193" i="1" s="1"/>
  <c r="A193" i="1"/>
  <c r="H193" i="1" s="1"/>
  <c r="B193" i="1"/>
  <c r="C194" i="1"/>
  <c r="K192" i="1"/>
  <c r="L192" i="1"/>
  <c r="M192" i="1"/>
  <c r="I192" i="1"/>
  <c r="J192" i="1"/>
  <c r="F192" i="1"/>
  <c r="G192" i="1" s="1"/>
  <c r="A194" i="1" l="1"/>
  <c r="H194" i="1" s="1"/>
  <c r="B194" i="1"/>
  <c r="D194" i="1"/>
  <c r="E194" i="1" s="1"/>
  <c r="C195" i="1"/>
  <c r="F193" i="1"/>
  <c r="G193" i="1" s="1"/>
  <c r="I193" i="1"/>
  <c r="J193" i="1"/>
  <c r="K193" i="1"/>
  <c r="L193" i="1"/>
  <c r="M193" i="1"/>
  <c r="A195" i="1" l="1"/>
  <c r="H195" i="1" s="1"/>
  <c r="B195" i="1"/>
  <c r="D195" i="1"/>
  <c r="E195" i="1" s="1"/>
  <c r="C196" i="1"/>
  <c r="F194" i="1"/>
  <c r="G194" i="1" s="1"/>
  <c r="K194" i="1"/>
  <c r="L194" i="1"/>
  <c r="I194" i="1"/>
  <c r="M194" i="1"/>
  <c r="J194" i="1"/>
  <c r="D196" i="1" l="1"/>
  <c r="E196" i="1" s="1"/>
  <c r="B196" i="1"/>
  <c r="A196" i="1"/>
  <c r="H196" i="1" s="1"/>
  <c r="C197" i="1"/>
  <c r="F195" i="1"/>
  <c r="G195" i="1" s="1"/>
  <c r="J195" i="1"/>
  <c r="K195" i="1"/>
  <c r="L195" i="1"/>
  <c r="M195" i="1"/>
  <c r="I195" i="1"/>
  <c r="A197" i="1" l="1"/>
  <c r="H197" i="1" s="1"/>
  <c r="D197" i="1"/>
  <c r="E197" i="1" s="1"/>
  <c r="B197" i="1"/>
  <c r="C198" i="1"/>
  <c r="I196" i="1"/>
  <c r="J196" i="1"/>
  <c r="M196" i="1"/>
  <c r="L196" i="1"/>
  <c r="K196" i="1"/>
  <c r="F196" i="1"/>
  <c r="G196" i="1" s="1"/>
  <c r="E198" i="1" l="1"/>
  <c r="D198" i="1"/>
  <c r="A198" i="1"/>
  <c r="H198" i="1" s="1"/>
  <c r="B198" i="1"/>
  <c r="C199" i="1"/>
  <c r="F197" i="1"/>
  <c r="G197" i="1" s="1"/>
  <c r="L197" i="1"/>
  <c r="M197" i="1"/>
  <c r="I197" i="1"/>
  <c r="J197" i="1"/>
  <c r="K197" i="1"/>
  <c r="D199" i="1" l="1"/>
  <c r="E199" i="1" s="1"/>
  <c r="B199" i="1"/>
  <c r="A199" i="1"/>
  <c r="H199" i="1" s="1"/>
  <c r="C200" i="1"/>
  <c r="L198" i="1"/>
  <c r="I198" i="1"/>
  <c r="K198" i="1"/>
  <c r="M198" i="1"/>
  <c r="J198" i="1"/>
  <c r="F198" i="1"/>
  <c r="G198" i="1" s="1"/>
  <c r="E200" i="1" l="1"/>
  <c r="D200" i="1"/>
  <c r="A200" i="1"/>
  <c r="H200" i="1" s="1"/>
  <c r="B200" i="1"/>
  <c r="C201" i="1"/>
  <c r="K199" i="1"/>
  <c r="L199" i="1"/>
  <c r="M199" i="1"/>
  <c r="I199" i="1"/>
  <c r="J199" i="1"/>
  <c r="F199" i="1"/>
  <c r="G199" i="1" s="1"/>
  <c r="B201" i="1" l="1"/>
  <c r="A201" i="1"/>
  <c r="H201" i="1" s="1"/>
  <c r="D201" i="1"/>
  <c r="E201" i="1" s="1"/>
  <c r="C202" i="1"/>
  <c r="K200" i="1"/>
  <c r="L200" i="1"/>
  <c r="M200" i="1"/>
  <c r="I200" i="1"/>
  <c r="J200" i="1"/>
  <c r="F200" i="1"/>
  <c r="G200" i="1" s="1"/>
  <c r="A202" i="1" l="1"/>
  <c r="H202" i="1" s="1"/>
  <c r="B202" i="1"/>
  <c r="D202" i="1"/>
  <c r="E202" i="1" s="1"/>
  <c r="C203" i="1"/>
  <c r="F201" i="1"/>
  <c r="G201" i="1" s="1"/>
  <c r="I201" i="1"/>
  <c r="J201" i="1"/>
  <c r="K201" i="1"/>
  <c r="L201" i="1"/>
  <c r="M201" i="1"/>
  <c r="D203" i="1" l="1"/>
  <c r="E203" i="1" s="1"/>
  <c r="B203" i="1"/>
  <c r="A203" i="1"/>
  <c r="H203" i="1" s="1"/>
  <c r="C204" i="1"/>
  <c r="F202" i="1"/>
  <c r="G202" i="1" s="1"/>
  <c r="M202" i="1"/>
  <c r="J202" i="1"/>
  <c r="I202" i="1"/>
  <c r="K202" i="1"/>
  <c r="L202" i="1"/>
  <c r="A204" i="1" l="1"/>
  <c r="H204" i="1" s="1"/>
  <c r="B204" i="1"/>
  <c r="D204" i="1"/>
  <c r="E204" i="1" s="1"/>
  <c r="C205" i="1"/>
  <c r="K203" i="1"/>
  <c r="L203" i="1"/>
  <c r="I203" i="1"/>
  <c r="M203" i="1"/>
  <c r="J203" i="1"/>
  <c r="F203" i="1"/>
  <c r="G203" i="1" s="1"/>
  <c r="A205" i="1" l="1"/>
  <c r="H205" i="1" s="1"/>
  <c r="B205" i="1"/>
  <c r="D205" i="1"/>
  <c r="E205" i="1" s="1"/>
  <c r="C206" i="1"/>
  <c r="F204" i="1"/>
  <c r="G204" i="1" s="1"/>
  <c r="I204" i="1"/>
  <c r="J204" i="1"/>
  <c r="L204" i="1"/>
  <c r="K204" i="1"/>
  <c r="M204" i="1"/>
  <c r="A206" i="1" l="1"/>
  <c r="H206" i="1" s="1"/>
  <c r="B206" i="1"/>
  <c r="D206" i="1"/>
  <c r="E206" i="1" s="1"/>
  <c r="C207" i="1"/>
  <c r="F205" i="1"/>
  <c r="G205" i="1" s="1"/>
  <c r="M205" i="1"/>
  <c r="I205" i="1"/>
  <c r="L205" i="1"/>
  <c r="J205" i="1"/>
  <c r="K205" i="1"/>
  <c r="D207" i="1" l="1"/>
  <c r="E207" i="1" s="1"/>
  <c r="B207" i="1"/>
  <c r="A207" i="1"/>
  <c r="H207" i="1" s="1"/>
  <c r="C208" i="1"/>
  <c r="F206" i="1"/>
  <c r="G206" i="1" s="1"/>
  <c r="L206" i="1"/>
  <c r="M206" i="1"/>
  <c r="K206" i="1"/>
  <c r="I206" i="1"/>
  <c r="J206" i="1"/>
  <c r="D208" i="1" l="1"/>
  <c r="E208" i="1" s="1"/>
  <c r="A208" i="1"/>
  <c r="H208" i="1" s="1"/>
  <c r="B208" i="1"/>
  <c r="C209" i="1"/>
  <c r="I207" i="1"/>
  <c r="K207" i="1"/>
  <c r="J207" i="1"/>
  <c r="L207" i="1"/>
  <c r="M207" i="1"/>
  <c r="F207" i="1"/>
  <c r="G207" i="1" s="1"/>
  <c r="A209" i="1" l="1"/>
  <c r="H209" i="1" s="1"/>
  <c r="B209" i="1"/>
  <c r="D209" i="1"/>
  <c r="E209" i="1" s="1"/>
  <c r="C210" i="1"/>
  <c r="J208" i="1"/>
  <c r="I208" i="1"/>
  <c r="M208" i="1"/>
  <c r="K208" i="1"/>
  <c r="L208" i="1"/>
  <c r="F208" i="1"/>
  <c r="G208" i="1" s="1"/>
  <c r="D210" i="1" l="1"/>
  <c r="E210" i="1" s="1"/>
  <c r="B210" i="1"/>
  <c r="A210" i="1"/>
  <c r="H210" i="1" s="1"/>
  <c r="C211" i="1"/>
  <c r="F209" i="1"/>
  <c r="G209" i="1" s="1"/>
  <c r="J209" i="1"/>
  <c r="K209" i="1"/>
  <c r="I209" i="1"/>
  <c r="L209" i="1"/>
  <c r="M209" i="1"/>
  <c r="E211" i="1" l="1"/>
  <c r="D211" i="1"/>
  <c r="B211" i="1"/>
  <c r="A211" i="1"/>
  <c r="H211" i="1" s="1"/>
  <c r="C212" i="1"/>
  <c r="M210" i="1"/>
  <c r="I210" i="1"/>
  <c r="K210" i="1"/>
  <c r="L210" i="1"/>
  <c r="J210" i="1"/>
  <c r="F210" i="1"/>
  <c r="G210" i="1" s="1"/>
  <c r="E212" i="1" l="1"/>
  <c r="B212" i="1"/>
  <c r="D212" i="1"/>
  <c r="A212" i="1"/>
  <c r="H212" i="1" s="1"/>
  <c r="C213" i="1"/>
  <c r="J211" i="1"/>
  <c r="M211" i="1"/>
  <c r="K211" i="1"/>
  <c r="L211" i="1"/>
  <c r="I211" i="1"/>
  <c r="F211" i="1"/>
  <c r="G211" i="1" s="1"/>
  <c r="E213" i="1" l="1"/>
  <c r="A213" i="1"/>
  <c r="H213" i="1" s="1"/>
  <c r="B213" i="1"/>
  <c r="D213" i="1"/>
  <c r="C214" i="1"/>
  <c r="I212" i="1"/>
  <c r="K212" i="1"/>
  <c r="M212" i="1"/>
  <c r="J212" i="1"/>
  <c r="L212" i="1"/>
  <c r="F212" i="1"/>
  <c r="G212" i="1" s="1"/>
  <c r="E214" i="1" l="1"/>
  <c r="A214" i="1"/>
  <c r="H214" i="1" s="1"/>
  <c r="B214" i="1"/>
  <c r="D214" i="1"/>
  <c r="C215" i="1"/>
  <c r="F213" i="1"/>
  <c r="G213" i="1" s="1"/>
  <c r="J213" i="1"/>
  <c r="K213" i="1"/>
  <c r="L213" i="1"/>
  <c r="M213" i="1"/>
  <c r="I213" i="1"/>
  <c r="B215" i="1" l="1"/>
  <c r="C216" i="1"/>
  <c r="A215" i="1"/>
  <c r="H215" i="1" s="1"/>
  <c r="D215" i="1"/>
  <c r="E215" i="1" s="1"/>
  <c r="F214" i="1"/>
  <c r="G214" i="1" s="1"/>
  <c r="I214" i="1"/>
  <c r="J214" i="1"/>
  <c r="K214" i="1"/>
  <c r="M214" i="1"/>
  <c r="L214" i="1"/>
  <c r="M215" i="1" l="1"/>
  <c r="I215" i="1"/>
  <c r="K215" i="1"/>
  <c r="L215" i="1"/>
  <c r="J215" i="1"/>
  <c r="F215" i="1"/>
  <c r="G215" i="1" s="1"/>
  <c r="D216" i="1"/>
  <c r="E216" i="1" s="1"/>
  <c r="C217" i="1"/>
  <c r="A216" i="1"/>
  <c r="H216" i="1" s="1"/>
  <c r="B216" i="1"/>
  <c r="F216" i="1" l="1"/>
  <c r="G216" i="1" s="1"/>
  <c r="M216" i="1"/>
  <c r="K216" i="1"/>
  <c r="L216" i="1"/>
  <c r="I216" i="1"/>
  <c r="J216" i="1"/>
  <c r="B217" i="1"/>
  <c r="D217" i="1"/>
  <c r="E217" i="1" s="1"/>
  <c r="A217" i="1"/>
  <c r="H217" i="1" s="1"/>
  <c r="C218" i="1"/>
  <c r="F217" i="1" l="1"/>
  <c r="G217" i="1" s="1"/>
  <c r="D218" i="1"/>
  <c r="E218" i="1" s="1"/>
  <c r="C219" i="1"/>
  <c r="A218" i="1"/>
  <c r="H218" i="1" s="1"/>
  <c r="B218" i="1"/>
  <c r="M217" i="1"/>
  <c r="L217" i="1"/>
  <c r="J217" i="1"/>
  <c r="I217" i="1"/>
  <c r="K217" i="1"/>
  <c r="L218" i="1" l="1"/>
  <c r="M218" i="1"/>
  <c r="I218" i="1"/>
  <c r="J218" i="1"/>
  <c r="K218" i="1"/>
  <c r="A219" i="1"/>
  <c r="H219" i="1" s="1"/>
  <c r="D219" i="1"/>
  <c r="E219" i="1" s="1"/>
  <c r="C220" i="1"/>
  <c r="B219" i="1"/>
  <c r="F218" i="1"/>
  <c r="G218" i="1" s="1"/>
  <c r="F219" i="1" l="1"/>
  <c r="G219" i="1" s="1"/>
  <c r="J219" i="1"/>
  <c r="K219" i="1"/>
  <c r="M219" i="1"/>
  <c r="I219" i="1"/>
  <c r="L219" i="1"/>
  <c r="A220" i="1"/>
  <c r="H220" i="1" s="1"/>
  <c r="C221" i="1"/>
  <c r="D220" i="1"/>
  <c r="E220" i="1" s="1"/>
  <c r="B220" i="1"/>
  <c r="E221" i="1" l="1"/>
  <c r="B221" i="1"/>
  <c r="D221" i="1"/>
  <c r="C222" i="1"/>
  <c r="A221" i="1"/>
  <c r="H221" i="1" s="1"/>
  <c r="M220" i="1"/>
  <c r="I220" i="1"/>
  <c r="J220" i="1"/>
  <c r="K220" i="1"/>
  <c r="L220" i="1"/>
  <c r="F220" i="1"/>
  <c r="G220" i="1" s="1"/>
  <c r="I221" i="1" l="1"/>
  <c r="J221" i="1"/>
  <c r="K221" i="1"/>
  <c r="L221" i="1"/>
  <c r="M221" i="1"/>
  <c r="A222" i="1"/>
  <c r="H222" i="1" s="1"/>
  <c r="B222" i="1"/>
  <c r="C223" i="1"/>
  <c r="D222" i="1"/>
  <c r="E222" i="1" s="1"/>
  <c r="F221" i="1"/>
  <c r="G221" i="1" s="1"/>
  <c r="D223" i="1" l="1"/>
  <c r="E223" i="1" s="1"/>
  <c r="B223" i="1"/>
  <c r="A223" i="1"/>
  <c r="H223" i="1" s="1"/>
  <c r="C224" i="1"/>
  <c r="L222" i="1"/>
  <c r="M222" i="1"/>
  <c r="I222" i="1"/>
  <c r="J222" i="1"/>
  <c r="K222" i="1"/>
  <c r="F222" i="1"/>
  <c r="G222" i="1" s="1"/>
  <c r="A224" i="1" l="1"/>
  <c r="H224" i="1" s="1"/>
  <c r="B224" i="1"/>
  <c r="D224" i="1"/>
  <c r="E224" i="1" s="1"/>
  <c r="C225" i="1"/>
  <c r="J223" i="1"/>
  <c r="M223" i="1"/>
  <c r="I223" i="1"/>
  <c r="K223" i="1"/>
  <c r="L223" i="1"/>
  <c r="F223" i="1"/>
  <c r="G223" i="1" s="1"/>
  <c r="D225" i="1" l="1"/>
  <c r="E225" i="1" s="1"/>
  <c r="C226" i="1"/>
  <c r="A225" i="1"/>
  <c r="H225" i="1" s="1"/>
  <c r="B225" i="1"/>
  <c r="F224" i="1"/>
  <c r="G224" i="1" s="1"/>
  <c r="K224" i="1"/>
  <c r="I224" i="1"/>
  <c r="J224" i="1"/>
  <c r="L224" i="1"/>
  <c r="M224" i="1"/>
  <c r="M225" i="1" l="1"/>
  <c r="I225" i="1"/>
  <c r="J225" i="1"/>
  <c r="K225" i="1"/>
  <c r="L225" i="1"/>
  <c r="D226" i="1"/>
  <c r="E226" i="1" s="1"/>
  <c r="C227" i="1"/>
  <c r="A226" i="1"/>
  <c r="H226" i="1" s="1"/>
  <c r="B226" i="1"/>
  <c r="F225" i="1"/>
  <c r="G225" i="1" s="1"/>
  <c r="F226" i="1" l="1"/>
  <c r="G226" i="1" s="1"/>
  <c r="I226" i="1"/>
  <c r="K226" i="1"/>
  <c r="L226" i="1"/>
  <c r="M226" i="1"/>
  <c r="J226" i="1"/>
  <c r="D227" i="1"/>
  <c r="E227" i="1" s="1"/>
  <c r="C228" i="1"/>
  <c r="A227" i="1"/>
  <c r="H227" i="1" s="1"/>
  <c r="B227" i="1"/>
  <c r="F227" i="1" l="1"/>
  <c r="G227" i="1" s="1"/>
  <c r="C229" i="1"/>
  <c r="A228" i="1"/>
  <c r="H228" i="1" s="1"/>
  <c r="B228" i="1"/>
  <c r="D228" i="1"/>
  <c r="E228" i="1" s="1"/>
  <c r="J227" i="1"/>
  <c r="L227" i="1"/>
  <c r="K227" i="1"/>
  <c r="M227" i="1"/>
  <c r="I227" i="1"/>
  <c r="F228" i="1" l="1"/>
  <c r="G228" i="1" s="1"/>
  <c r="M228" i="1"/>
  <c r="I228" i="1"/>
  <c r="J228" i="1"/>
  <c r="K228" i="1"/>
  <c r="L228" i="1"/>
  <c r="D229" i="1"/>
  <c r="E229" i="1" s="1"/>
  <c r="C230" i="1"/>
  <c r="A229" i="1"/>
  <c r="H229" i="1" s="1"/>
  <c r="B229" i="1"/>
  <c r="F229" i="1" l="1"/>
  <c r="G229" i="1" s="1"/>
  <c r="A230" i="1"/>
  <c r="H230" i="1" s="1"/>
  <c r="D230" i="1"/>
  <c r="E230" i="1" s="1"/>
  <c r="C231" i="1"/>
  <c r="B230" i="1"/>
  <c r="M229" i="1"/>
  <c r="I229" i="1"/>
  <c r="J229" i="1"/>
  <c r="K229" i="1"/>
  <c r="L229" i="1"/>
  <c r="C232" i="1" l="1"/>
  <c r="B231" i="1"/>
  <c r="D231" i="1"/>
  <c r="E231" i="1" s="1"/>
  <c r="A231" i="1"/>
  <c r="H231" i="1" s="1"/>
  <c r="F230" i="1"/>
  <c r="G230" i="1" s="1"/>
  <c r="J230" i="1"/>
  <c r="K230" i="1"/>
  <c r="L230" i="1"/>
  <c r="M230" i="1"/>
  <c r="I230" i="1"/>
  <c r="E232" i="1" l="1"/>
  <c r="M231" i="1"/>
  <c r="I231" i="1"/>
  <c r="K231" i="1"/>
  <c r="L231" i="1"/>
  <c r="J231" i="1"/>
  <c r="F231" i="1"/>
  <c r="G231" i="1" s="1"/>
  <c r="C233" i="1"/>
  <c r="A232" i="1"/>
  <c r="H232" i="1" s="1"/>
  <c r="B232" i="1"/>
  <c r="D232" i="1"/>
  <c r="F232" i="1" l="1"/>
  <c r="G232" i="1" s="1"/>
  <c r="A233" i="1"/>
  <c r="H233" i="1" s="1"/>
  <c r="B233" i="1"/>
  <c r="D233" i="1"/>
  <c r="E233" i="1" s="1"/>
  <c r="C234" i="1"/>
  <c r="L232" i="1"/>
  <c r="I232" i="1"/>
  <c r="K232" i="1"/>
  <c r="J232" i="1"/>
  <c r="M232" i="1"/>
  <c r="C235" i="1" l="1"/>
  <c r="D234" i="1"/>
  <c r="E234" i="1" s="1"/>
  <c r="A234" i="1"/>
  <c r="H234" i="1" s="1"/>
  <c r="B234" i="1"/>
  <c r="F233" i="1"/>
  <c r="G233" i="1" s="1"/>
  <c r="I233" i="1"/>
  <c r="J233" i="1"/>
  <c r="K233" i="1"/>
  <c r="M233" i="1"/>
  <c r="L233" i="1"/>
  <c r="I234" i="1" l="1"/>
  <c r="J234" i="1"/>
  <c r="K234" i="1"/>
  <c r="L234" i="1"/>
  <c r="M234" i="1"/>
  <c r="F234" i="1"/>
  <c r="G234" i="1" s="1"/>
  <c r="D235" i="1"/>
  <c r="E235" i="1" s="1"/>
  <c r="A235" i="1"/>
  <c r="H235" i="1" s="1"/>
  <c r="B235" i="1"/>
  <c r="C236" i="1"/>
  <c r="K235" i="1" l="1"/>
  <c r="L235" i="1"/>
  <c r="M235" i="1"/>
  <c r="I235" i="1"/>
  <c r="J235" i="1"/>
  <c r="F235" i="1"/>
  <c r="G235" i="1" s="1"/>
  <c r="A236" i="1"/>
  <c r="H236" i="1" s="1"/>
  <c r="B236" i="1"/>
  <c r="D236" i="1"/>
  <c r="E236" i="1" s="1"/>
  <c r="C237" i="1"/>
  <c r="D237" i="1" l="1"/>
  <c r="E237" i="1" s="1"/>
  <c r="C238" i="1"/>
  <c r="A237" i="1"/>
  <c r="H237" i="1" s="1"/>
  <c r="B237" i="1"/>
  <c r="I236" i="1"/>
  <c r="J236" i="1"/>
  <c r="K236" i="1"/>
  <c r="L236" i="1"/>
  <c r="M236" i="1"/>
  <c r="F236" i="1"/>
  <c r="G236" i="1" s="1"/>
  <c r="M237" i="1" l="1"/>
  <c r="I237" i="1"/>
  <c r="J237" i="1"/>
  <c r="K237" i="1"/>
  <c r="L237" i="1"/>
  <c r="A238" i="1"/>
  <c r="H238" i="1" s="1"/>
  <c r="D238" i="1"/>
  <c r="E238" i="1" s="1"/>
  <c r="C239" i="1"/>
  <c r="B238" i="1"/>
  <c r="F237" i="1"/>
  <c r="G237" i="1" s="1"/>
  <c r="J238" i="1" l="1"/>
  <c r="M238" i="1"/>
  <c r="I238" i="1"/>
  <c r="K238" i="1"/>
  <c r="L238" i="1"/>
  <c r="C240" i="1"/>
  <c r="A239" i="1"/>
  <c r="H239" i="1" s="1"/>
  <c r="B239" i="1"/>
  <c r="D239" i="1"/>
  <c r="E239" i="1" s="1"/>
  <c r="F238" i="1"/>
  <c r="G238" i="1" s="1"/>
  <c r="F239" i="1" l="1"/>
  <c r="G239" i="1" s="1"/>
  <c r="M239" i="1"/>
  <c r="I239" i="1"/>
  <c r="J239" i="1"/>
  <c r="K239" i="1"/>
  <c r="L239" i="1"/>
  <c r="D240" i="1"/>
  <c r="E240" i="1" s="1"/>
  <c r="C241" i="1"/>
  <c r="B240" i="1"/>
  <c r="A240" i="1"/>
  <c r="H240" i="1" s="1"/>
  <c r="A241" i="1" l="1"/>
  <c r="H241" i="1" s="1"/>
  <c r="B241" i="1"/>
  <c r="D241" i="1"/>
  <c r="E241" i="1" s="1"/>
  <c r="C242" i="1"/>
  <c r="F240" i="1"/>
  <c r="G240" i="1" s="1"/>
  <c r="M240" i="1"/>
  <c r="J240" i="1"/>
  <c r="I240" i="1"/>
  <c r="K240" i="1"/>
  <c r="L240" i="1"/>
  <c r="A242" i="1" l="1"/>
  <c r="H242" i="1" s="1"/>
  <c r="C243" i="1"/>
  <c r="D242" i="1"/>
  <c r="E242" i="1" s="1"/>
  <c r="B242" i="1"/>
  <c r="F241" i="1"/>
  <c r="G241" i="1" s="1"/>
  <c r="J241" i="1"/>
  <c r="M241" i="1"/>
  <c r="I241" i="1"/>
  <c r="K241" i="1"/>
  <c r="L241" i="1"/>
  <c r="F242" i="1" l="1"/>
  <c r="G242" i="1" s="1"/>
  <c r="B243" i="1"/>
  <c r="C244" i="1"/>
  <c r="A243" i="1"/>
  <c r="H243" i="1" s="1"/>
  <c r="D243" i="1"/>
  <c r="E243" i="1" s="1"/>
  <c r="M242" i="1"/>
  <c r="K242" i="1"/>
  <c r="I242" i="1"/>
  <c r="J242" i="1"/>
  <c r="L242" i="1"/>
  <c r="F243" i="1" l="1"/>
  <c r="G243" i="1" s="1"/>
  <c r="K243" i="1"/>
  <c r="I243" i="1"/>
  <c r="J243" i="1"/>
  <c r="L243" i="1"/>
  <c r="M243" i="1"/>
  <c r="B244" i="1"/>
  <c r="A244" i="1"/>
  <c r="H244" i="1" s="1"/>
  <c r="D244" i="1"/>
  <c r="E244" i="1" s="1"/>
  <c r="C245" i="1"/>
  <c r="M244" i="1" l="1"/>
  <c r="K244" i="1"/>
  <c r="L244" i="1"/>
  <c r="I244" i="1"/>
  <c r="J244" i="1"/>
  <c r="D245" i="1"/>
  <c r="E245" i="1" s="1"/>
  <c r="A245" i="1"/>
  <c r="H245" i="1" s="1"/>
  <c r="C246" i="1"/>
  <c r="B245" i="1"/>
  <c r="F244" i="1"/>
  <c r="G244" i="1" s="1"/>
  <c r="F245" i="1" l="1"/>
  <c r="G245" i="1" s="1"/>
  <c r="A246" i="1"/>
  <c r="H246" i="1" s="1"/>
  <c r="D246" i="1"/>
  <c r="E246" i="1" s="1"/>
  <c r="C247" i="1"/>
  <c r="B246" i="1"/>
  <c r="I245" i="1"/>
  <c r="K245" i="1"/>
  <c r="J245" i="1"/>
  <c r="M245" i="1"/>
  <c r="L245" i="1"/>
  <c r="E247" i="1" l="1"/>
  <c r="C248" i="1"/>
  <c r="D247" i="1"/>
  <c r="A247" i="1"/>
  <c r="H247" i="1" s="1"/>
  <c r="B247" i="1"/>
  <c r="F246" i="1"/>
  <c r="G246" i="1" s="1"/>
  <c r="K246" i="1"/>
  <c r="M246" i="1"/>
  <c r="L246" i="1"/>
  <c r="I246" i="1"/>
  <c r="J246" i="1"/>
  <c r="M247" i="1" l="1"/>
  <c r="K247" i="1"/>
  <c r="I247" i="1"/>
  <c r="L247" i="1"/>
  <c r="J247" i="1"/>
  <c r="F247" i="1"/>
  <c r="G247" i="1" s="1"/>
  <c r="C249" i="1"/>
  <c r="D248" i="1"/>
  <c r="E248" i="1" s="1"/>
  <c r="A248" i="1"/>
  <c r="H248" i="1" s="1"/>
  <c r="B248" i="1"/>
  <c r="K248" i="1" l="1"/>
  <c r="J248" i="1"/>
  <c r="L248" i="1"/>
  <c r="M248" i="1"/>
  <c r="I248" i="1"/>
  <c r="A249" i="1"/>
  <c r="H249" i="1" s="1"/>
  <c r="D249" i="1"/>
  <c r="E249" i="1" s="1"/>
  <c r="B249" i="1"/>
  <c r="C250" i="1"/>
  <c r="F248" i="1"/>
  <c r="G248" i="1" s="1"/>
  <c r="E250" i="1" l="1"/>
  <c r="F249" i="1"/>
  <c r="G249" i="1" s="1"/>
  <c r="J249" i="1"/>
  <c r="K249" i="1"/>
  <c r="I249" i="1"/>
  <c r="M249" i="1"/>
  <c r="L249" i="1"/>
  <c r="C251" i="1"/>
  <c r="B250" i="1"/>
  <c r="A250" i="1"/>
  <c r="H250" i="1" s="1"/>
  <c r="D250" i="1"/>
  <c r="F250" i="1" l="1"/>
  <c r="G250" i="1" s="1"/>
  <c r="C252" i="1"/>
  <c r="A251" i="1"/>
  <c r="H251" i="1" s="1"/>
  <c r="B251" i="1"/>
  <c r="D251" i="1"/>
  <c r="E251" i="1" s="1"/>
  <c r="M250" i="1"/>
  <c r="I250" i="1"/>
  <c r="J250" i="1"/>
  <c r="L250" i="1"/>
  <c r="K250" i="1"/>
  <c r="F251" i="1" l="1"/>
  <c r="G251" i="1" s="1"/>
  <c r="L251" i="1"/>
  <c r="I251" i="1"/>
  <c r="M251" i="1"/>
  <c r="J251" i="1"/>
  <c r="K251" i="1"/>
  <c r="A252" i="1"/>
  <c r="H252" i="1" s="1"/>
  <c r="B252" i="1"/>
  <c r="D252" i="1"/>
  <c r="E252" i="1" s="1"/>
  <c r="C253" i="1"/>
  <c r="K252" i="1" l="1"/>
  <c r="J252" i="1"/>
  <c r="L252" i="1"/>
  <c r="M252" i="1"/>
  <c r="I252" i="1"/>
  <c r="B253" i="1"/>
  <c r="D253" i="1"/>
  <c r="E253" i="1" s="1"/>
  <c r="C254" i="1"/>
  <c r="A253" i="1"/>
  <c r="H253" i="1" s="1"/>
  <c r="F252" i="1"/>
  <c r="G252" i="1" s="1"/>
  <c r="M253" i="1" l="1"/>
  <c r="I253" i="1"/>
  <c r="J253" i="1"/>
  <c r="K253" i="1"/>
  <c r="L253" i="1"/>
  <c r="B254" i="1"/>
  <c r="D254" i="1"/>
  <c r="E254" i="1" s="1"/>
  <c r="C255" i="1"/>
  <c r="A254" i="1"/>
  <c r="H254" i="1" s="1"/>
  <c r="F253" i="1"/>
  <c r="G253" i="1" s="1"/>
  <c r="F254" i="1" l="1"/>
  <c r="G254" i="1" s="1"/>
  <c r="A255" i="1"/>
  <c r="H255" i="1" s="1"/>
  <c r="D255" i="1"/>
  <c r="E255" i="1" s="1"/>
  <c r="C256" i="1"/>
  <c r="B255" i="1"/>
  <c r="L254" i="1"/>
  <c r="I254" i="1"/>
  <c r="J254" i="1"/>
  <c r="K254" i="1"/>
  <c r="M254" i="1"/>
  <c r="D256" i="1" l="1"/>
  <c r="E256" i="1" s="1"/>
  <c r="C257" i="1"/>
  <c r="A256" i="1"/>
  <c r="H256" i="1" s="1"/>
  <c r="B256" i="1"/>
  <c r="F255" i="1"/>
  <c r="G255" i="1" s="1"/>
  <c r="I255" i="1"/>
  <c r="J255" i="1"/>
  <c r="K255" i="1"/>
  <c r="L255" i="1"/>
  <c r="M255" i="1"/>
  <c r="K256" i="1" l="1"/>
  <c r="I256" i="1"/>
  <c r="J256" i="1"/>
  <c r="L256" i="1"/>
  <c r="M256" i="1"/>
  <c r="A257" i="1"/>
  <c r="H257" i="1" s="1"/>
  <c r="B257" i="1"/>
  <c r="D257" i="1"/>
  <c r="E257" i="1" s="1"/>
  <c r="C258" i="1"/>
  <c r="F256" i="1"/>
  <c r="G256" i="1" s="1"/>
  <c r="J257" i="1" l="1"/>
  <c r="I257" i="1"/>
  <c r="K257" i="1"/>
  <c r="L257" i="1"/>
  <c r="M257" i="1"/>
  <c r="F257" i="1"/>
  <c r="G257" i="1" s="1"/>
  <c r="C259" i="1"/>
  <c r="A258" i="1"/>
  <c r="H258" i="1" s="1"/>
  <c r="B258" i="1"/>
  <c r="D258" i="1"/>
  <c r="E258" i="1" s="1"/>
  <c r="D259" i="1" l="1"/>
  <c r="E259" i="1" s="1"/>
  <c r="A259" i="1"/>
  <c r="H259" i="1" s="1"/>
  <c r="B259" i="1"/>
  <c r="C260" i="1"/>
  <c r="F258" i="1"/>
  <c r="G258" i="1" s="1"/>
  <c r="M258" i="1"/>
  <c r="I258" i="1"/>
  <c r="K258" i="1"/>
  <c r="L258" i="1"/>
  <c r="J258" i="1"/>
  <c r="A260" i="1" l="1"/>
  <c r="H260" i="1" s="1"/>
  <c r="B260" i="1"/>
  <c r="D260" i="1"/>
  <c r="E260" i="1" s="1"/>
  <c r="C261" i="1"/>
  <c r="M259" i="1"/>
  <c r="I259" i="1"/>
  <c r="J259" i="1"/>
  <c r="K259" i="1"/>
  <c r="L259" i="1"/>
  <c r="F259" i="1"/>
  <c r="G259" i="1" s="1"/>
  <c r="A261" i="1" l="1"/>
  <c r="H261" i="1" s="1"/>
  <c r="C262" i="1"/>
  <c r="B261" i="1"/>
  <c r="D261" i="1"/>
  <c r="E261" i="1" s="1"/>
  <c r="F260" i="1"/>
  <c r="G260" i="1" s="1"/>
  <c r="J260" i="1"/>
  <c r="K260" i="1"/>
  <c r="L260" i="1"/>
  <c r="M260" i="1"/>
  <c r="I260" i="1"/>
  <c r="F261" i="1" l="1"/>
  <c r="G261" i="1" s="1"/>
  <c r="B262" i="1"/>
  <c r="D262" i="1"/>
  <c r="E262" i="1" s="1"/>
  <c r="C263" i="1"/>
  <c r="A262" i="1"/>
  <c r="H262" i="1" s="1"/>
  <c r="M261" i="1"/>
  <c r="I261" i="1"/>
  <c r="K261" i="1"/>
  <c r="L261" i="1"/>
  <c r="J261" i="1"/>
  <c r="L262" i="1" l="1"/>
  <c r="M262" i="1"/>
  <c r="K262" i="1"/>
  <c r="I262" i="1"/>
  <c r="J262" i="1"/>
  <c r="A263" i="1"/>
  <c r="H263" i="1" s="1"/>
  <c r="C264" i="1"/>
  <c r="D263" i="1"/>
  <c r="E263" i="1" s="1"/>
  <c r="B263" i="1"/>
  <c r="F262" i="1"/>
  <c r="G262" i="1" s="1"/>
  <c r="F263" i="1" l="1"/>
  <c r="G263" i="1" s="1"/>
  <c r="I263" i="1"/>
  <c r="L263" i="1"/>
  <c r="K263" i="1"/>
  <c r="M263" i="1"/>
  <c r="J263" i="1"/>
  <c r="A264" i="1"/>
  <c r="H264" i="1" s="1"/>
  <c r="D264" i="1"/>
  <c r="E264" i="1" s="1"/>
  <c r="B264" i="1"/>
  <c r="C265" i="1"/>
  <c r="F264" i="1" l="1"/>
  <c r="G264" i="1" s="1"/>
  <c r="M264" i="1"/>
  <c r="I264" i="1"/>
  <c r="K264" i="1"/>
  <c r="L264" i="1"/>
  <c r="J264" i="1"/>
  <c r="D265" i="1"/>
  <c r="E265" i="1" s="1"/>
  <c r="A265" i="1"/>
  <c r="H265" i="1" s="1"/>
  <c r="C266" i="1"/>
  <c r="B265" i="1"/>
  <c r="E266" i="1" l="1"/>
  <c r="F265" i="1"/>
  <c r="G265" i="1" s="1"/>
  <c r="K265" i="1"/>
  <c r="J265" i="1"/>
  <c r="M265" i="1"/>
  <c r="L265" i="1"/>
  <c r="I265" i="1"/>
  <c r="A266" i="1"/>
  <c r="H266" i="1" s="1"/>
  <c r="B266" i="1"/>
  <c r="C267" i="1"/>
  <c r="D266" i="1"/>
  <c r="J266" i="1" l="1"/>
  <c r="K266" i="1"/>
  <c r="I266" i="1"/>
  <c r="M266" i="1"/>
  <c r="L266" i="1"/>
  <c r="F266" i="1"/>
  <c r="G266" i="1" s="1"/>
  <c r="C268" i="1"/>
  <c r="B267" i="1"/>
  <c r="A267" i="1"/>
  <c r="H267" i="1" s="1"/>
  <c r="D267" i="1"/>
  <c r="E267" i="1" s="1"/>
  <c r="B268" i="1" l="1"/>
  <c r="A268" i="1"/>
  <c r="H268" i="1" s="1"/>
  <c r="D268" i="1"/>
  <c r="E268" i="1" s="1"/>
  <c r="C269" i="1"/>
  <c r="F267" i="1"/>
  <c r="G267" i="1" s="1"/>
  <c r="K267" i="1"/>
  <c r="I267" i="1"/>
  <c r="J267" i="1"/>
  <c r="L267" i="1"/>
  <c r="M267" i="1"/>
  <c r="D269" i="1" l="1"/>
  <c r="E269" i="1" s="1"/>
  <c r="C270" i="1"/>
  <c r="A269" i="1"/>
  <c r="H269" i="1" s="1"/>
  <c r="B269" i="1"/>
  <c r="F268" i="1"/>
  <c r="G268" i="1" s="1"/>
  <c r="I268" i="1"/>
  <c r="J268" i="1"/>
  <c r="L268" i="1"/>
  <c r="M268" i="1"/>
  <c r="K268" i="1"/>
  <c r="M269" i="1" l="1"/>
  <c r="I269" i="1"/>
  <c r="J269" i="1"/>
  <c r="L269" i="1"/>
  <c r="K269" i="1"/>
  <c r="A270" i="1"/>
  <c r="H270" i="1" s="1"/>
  <c r="B270" i="1"/>
  <c r="D270" i="1"/>
  <c r="E270" i="1" s="1"/>
  <c r="C271" i="1"/>
  <c r="F269" i="1"/>
  <c r="G269" i="1" s="1"/>
  <c r="F270" i="1" l="1"/>
  <c r="G270" i="1" s="1"/>
  <c r="J270" i="1"/>
  <c r="I270" i="1"/>
  <c r="K270" i="1"/>
  <c r="L270" i="1"/>
  <c r="M270" i="1"/>
  <c r="C272" i="1"/>
  <c r="A271" i="1"/>
  <c r="H271" i="1" s="1"/>
  <c r="B271" i="1"/>
  <c r="D271" i="1"/>
  <c r="E271" i="1" s="1"/>
  <c r="M271" i="1" l="1"/>
  <c r="K271" i="1"/>
  <c r="I271" i="1"/>
  <c r="L271" i="1"/>
  <c r="J271" i="1"/>
  <c r="C273" i="1"/>
  <c r="D272" i="1"/>
  <c r="E272" i="1" s="1"/>
  <c r="A272" i="1"/>
  <c r="H272" i="1" s="1"/>
  <c r="B272" i="1"/>
  <c r="F271" i="1"/>
  <c r="G271" i="1" s="1"/>
  <c r="F272" i="1" l="1"/>
  <c r="G272" i="1" s="1"/>
  <c r="D273" i="1"/>
  <c r="E273" i="1" s="1"/>
  <c r="A273" i="1"/>
  <c r="H273" i="1" s="1"/>
  <c r="C274" i="1"/>
  <c r="B273" i="1"/>
  <c r="M272" i="1"/>
  <c r="J272" i="1"/>
  <c r="I272" i="1"/>
  <c r="K272" i="1"/>
  <c r="L272" i="1"/>
  <c r="C275" i="1" l="1"/>
  <c r="B274" i="1"/>
  <c r="D274" i="1"/>
  <c r="E274" i="1" s="1"/>
  <c r="A274" i="1"/>
  <c r="H274" i="1" s="1"/>
  <c r="J273" i="1"/>
  <c r="K273" i="1"/>
  <c r="M273" i="1"/>
  <c r="I273" i="1"/>
  <c r="L273" i="1"/>
  <c r="F273" i="1"/>
  <c r="G273" i="1" s="1"/>
  <c r="M274" i="1" l="1"/>
  <c r="K274" i="1"/>
  <c r="L274" i="1"/>
  <c r="I274" i="1"/>
  <c r="J274" i="1"/>
  <c r="F274" i="1"/>
  <c r="G274" i="1" s="1"/>
  <c r="D275" i="1"/>
  <c r="E275" i="1" s="1"/>
  <c r="B275" i="1"/>
  <c r="C276" i="1"/>
  <c r="A275" i="1"/>
  <c r="H275" i="1" s="1"/>
  <c r="F275" i="1" l="1"/>
  <c r="G275" i="1" s="1"/>
  <c r="L275" i="1"/>
  <c r="I275" i="1"/>
  <c r="K275" i="1"/>
  <c r="M275" i="1"/>
  <c r="J275" i="1"/>
  <c r="A276" i="1"/>
  <c r="H276" i="1" s="1"/>
  <c r="B276" i="1"/>
  <c r="D276" i="1"/>
  <c r="E276" i="1" s="1"/>
  <c r="C277" i="1"/>
  <c r="I276" i="1" l="1"/>
  <c r="K276" i="1"/>
  <c r="L276" i="1"/>
  <c r="M276" i="1"/>
  <c r="J276" i="1"/>
  <c r="D277" i="1"/>
  <c r="E277" i="1" s="1"/>
  <c r="C278" i="1"/>
  <c r="A277" i="1"/>
  <c r="H277" i="1" s="1"/>
  <c r="B277" i="1"/>
  <c r="F276" i="1"/>
  <c r="G276" i="1" s="1"/>
  <c r="E278" i="1" l="1"/>
  <c r="M277" i="1"/>
  <c r="K277" i="1"/>
  <c r="I277" i="1"/>
  <c r="J277" i="1"/>
  <c r="L277" i="1"/>
  <c r="F277" i="1"/>
  <c r="G277" i="1" s="1"/>
  <c r="A278" i="1"/>
  <c r="H278" i="1" s="1"/>
  <c r="C279" i="1"/>
  <c r="B278" i="1"/>
  <c r="D278" i="1"/>
  <c r="K278" i="1" l="1"/>
  <c r="M278" i="1"/>
  <c r="I278" i="1"/>
  <c r="J278" i="1"/>
  <c r="L278" i="1"/>
  <c r="F278" i="1"/>
  <c r="G278" i="1" s="1"/>
  <c r="A279" i="1"/>
  <c r="H279" i="1" s="1"/>
  <c r="B279" i="1"/>
  <c r="D279" i="1"/>
  <c r="E279" i="1" s="1"/>
  <c r="C280" i="1"/>
  <c r="I279" i="1" l="1"/>
  <c r="K279" i="1"/>
  <c r="J279" i="1"/>
  <c r="L279" i="1"/>
  <c r="M279" i="1"/>
  <c r="C281" i="1"/>
  <c r="A280" i="1"/>
  <c r="H280" i="1" s="1"/>
  <c r="B280" i="1"/>
  <c r="D280" i="1"/>
  <c r="E280" i="1" s="1"/>
  <c r="F279" i="1"/>
  <c r="G279" i="1" s="1"/>
  <c r="L280" i="1" l="1"/>
  <c r="J280" i="1"/>
  <c r="K280" i="1"/>
  <c r="M280" i="1"/>
  <c r="I280" i="1"/>
  <c r="B281" i="1"/>
  <c r="D281" i="1"/>
  <c r="E281" i="1" s="1"/>
  <c r="C282" i="1"/>
  <c r="A281" i="1"/>
  <c r="H281" i="1" s="1"/>
  <c r="F280" i="1"/>
  <c r="G280" i="1" s="1"/>
  <c r="A282" i="1" l="1"/>
  <c r="H282" i="1" s="1"/>
  <c r="C283" i="1"/>
  <c r="D282" i="1"/>
  <c r="E282" i="1" s="1"/>
  <c r="B282" i="1"/>
  <c r="F281" i="1"/>
  <c r="G281" i="1" s="1"/>
  <c r="J281" i="1"/>
  <c r="L281" i="1"/>
  <c r="I281" i="1"/>
  <c r="K281" i="1"/>
  <c r="M281" i="1"/>
  <c r="F282" i="1" l="1"/>
  <c r="G282" i="1" s="1"/>
  <c r="B283" i="1"/>
  <c r="D283" i="1"/>
  <c r="E283" i="1" s="1"/>
  <c r="C284" i="1"/>
  <c r="A283" i="1"/>
  <c r="H283" i="1" s="1"/>
  <c r="I282" i="1"/>
  <c r="J282" i="1"/>
  <c r="K282" i="1"/>
  <c r="L282" i="1"/>
  <c r="M282" i="1"/>
  <c r="M283" i="1" l="1"/>
  <c r="K283" i="1"/>
  <c r="L283" i="1"/>
  <c r="I283" i="1"/>
  <c r="J283" i="1"/>
  <c r="A284" i="1"/>
  <c r="H284" i="1" s="1"/>
  <c r="B284" i="1"/>
  <c r="D284" i="1"/>
  <c r="E284" i="1" s="1"/>
  <c r="C285" i="1"/>
  <c r="F283" i="1"/>
  <c r="G283" i="1" s="1"/>
  <c r="F284" i="1" l="1"/>
  <c r="G284" i="1" s="1"/>
  <c r="J284" i="1"/>
  <c r="I284" i="1"/>
  <c r="K284" i="1"/>
  <c r="L284" i="1"/>
  <c r="M284" i="1"/>
  <c r="D285" i="1"/>
  <c r="E285" i="1" s="1"/>
  <c r="A285" i="1"/>
  <c r="H285" i="1" s="1"/>
  <c r="C286" i="1"/>
  <c r="B285" i="1"/>
  <c r="I285" i="1" l="1"/>
  <c r="J285" i="1"/>
  <c r="K285" i="1"/>
  <c r="L285" i="1"/>
  <c r="M285" i="1"/>
  <c r="F285" i="1"/>
  <c r="G285" i="1" s="1"/>
  <c r="D286" i="1"/>
  <c r="E286" i="1" s="1"/>
  <c r="C287" i="1"/>
  <c r="B286" i="1"/>
  <c r="A286" i="1"/>
  <c r="H286" i="1" s="1"/>
  <c r="F286" i="1" l="1"/>
  <c r="G286" i="1" s="1"/>
  <c r="K286" i="1"/>
  <c r="M286" i="1"/>
  <c r="L286" i="1"/>
  <c r="I286" i="1"/>
  <c r="J286" i="1"/>
  <c r="A287" i="1"/>
  <c r="H287" i="1" s="1"/>
  <c r="B287" i="1"/>
  <c r="D287" i="1"/>
  <c r="E287" i="1" s="1"/>
  <c r="C288" i="1"/>
  <c r="I287" i="1" l="1"/>
  <c r="K287" i="1"/>
  <c r="J287" i="1"/>
  <c r="L287" i="1"/>
  <c r="M287" i="1"/>
  <c r="C289" i="1"/>
  <c r="A288" i="1"/>
  <c r="H288" i="1" s="1"/>
  <c r="B288" i="1"/>
  <c r="D288" i="1"/>
  <c r="E288" i="1" s="1"/>
  <c r="F287" i="1"/>
  <c r="G287" i="1" s="1"/>
  <c r="B289" i="1" l="1"/>
  <c r="D289" i="1"/>
  <c r="E289" i="1" s="1"/>
  <c r="C290" i="1"/>
  <c r="A289" i="1"/>
  <c r="H289" i="1" s="1"/>
  <c r="L288" i="1"/>
  <c r="M288" i="1"/>
  <c r="J288" i="1"/>
  <c r="K288" i="1"/>
  <c r="I288" i="1"/>
  <c r="F288" i="1"/>
  <c r="G288" i="1" s="1"/>
  <c r="J289" i="1" l="1"/>
  <c r="L289" i="1"/>
  <c r="M289" i="1"/>
  <c r="I289" i="1"/>
  <c r="K289" i="1"/>
  <c r="A290" i="1"/>
  <c r="H290" i="1" s="1"/>
  <c r="C291" i="1"/>
  <c r="D290" i="1"/>
  <c r="E290" i="1" s="1"/>
  <c r="B290" i="1"/>
  <c r="F289" i="1"/>
  <c r="G289" i="1" s="1"/>
  <c r="F290" i="1" l="1"/>
  <c r="G290" i="1" s="1"/>
  <c r="I290" i="1"/>
  <c r="J290" i="1"/>
  <c r="K290" i="1"/>
  <c r="L290" i="1"/>
  <c r="M290" i="1"/>
  <c r="B291" i="1"/>
  <c r="C292" i="1"/>
  <c r="A291" i="1"/>
  <c r="H291" i="1" s="1"/>
  <c r="D291" i="1"/>
  <c r="E291" i="1" s="1"/>
  <c r="A292" i="1" l="1"/>
  <c r="H292" i="1" s="1"/>
  <c r="B292" i="1"/>
  <c r="D292" i="1"/>
  <c r="E292" i="1" s="1"/>
  <c r="C293" i="1"/>
  <c r="F291" i="1"/>
  <c r="G291" i="1" s="1"/>
  <c r="M291" i="1"/>
  <c r="J291" i="1"/>
  <c r="K291" i="1"/>
  <c r="L291" i="1"/>
  <c r="I291" i="1"/>
  <c r="C294" i="1" l="1"/>
  <c r="A293" i="1"/>
  <c r="H293" i="1" s="1"/>
  <c r="D293" i="1"/>
  <c r="E293" i="1" s="1"/>
  <c r="B293" i="1"/>
  <c r="F292" i="1"/>
  <c r="G292" i="1" s="1"/>
  <c r="J292" i="1"/>
  <c r="L292" i="1"/>
  <c r="M292" i="1"/>
  <c r="I292" i="1"/>
  <c r="K292" i="1"/>
  <c r="F293" i="1" l="1"/>
  <c r="G293" i="1" s="1"/>
  <c r="I293" i="1"/>
  <c r="J293" i="1"/>
  <c r="K293" i="1"/>
  <c r="L293" i="1"/>
  <c r="M293" i="1"/>
  <c r="D294" i="1"/>
  <c r="E294" i="1" s="1"/>
  <c r="B294" i="1"/>
  <c r="A294" i="1"/>
  <c r="H294" i="1" s="1"/>
  <c r="C295" i="1"/>
  <c r="F294" i="1" l="1"/>
  <c r="G294" i="1" s="1"/>
  <c r="B295" i="1"/>
  <c r="D295" i="1"/>
  <c r="E295" i="1" s="1"/>
  <c r="C296" i="1"/>
  <c r="A295" i="1"/>
  <c r="H295" i="1" s="1"/>
  <c r="K294" i="1"/>
  <c r="M294" i="1"/>
  <c r="I294" i="1"/>
  <c r="J294" i="1"/>
  <c r="L294" i="1"/>
  <c r="I295" i="1" l="1"/>
  <c r="L295" i="1"/>
  <c r="M295" i="1"/>
  <c r="J295" i="1"/>
  <c r="K295" i="1"/>
  <c r="C297" i="1"/>
  <c r="A296" i="1"/>
  <c r="H296" i="1" s="1"/>
  <c r="B296" i="1"/>
  <c r="D296" i="1"/>
  <c r="E296" i="1" s="1"/>
  <c r="F295" i="1"/>
  <c r="G295" i="1" s="1"/>
  <c r="L296" i="1" l="1"/>
  <c r="M296" i="1"/>
  <c r="I296" i="1"/>
  <c r="K296" i="1"/>
  <c r="J296" i="1"/>
  <c r="B297" i="1"/>
  <c r="D297" i="1"/>
  <c r="E297" i="1" s="1"/>
  <c r="C298" i="1"/>
  <c r="A297" i="1"/>
  <c r="H297" i="1" s="1"/>
  <c r="F296" i="1"/>
  <c r="G296" i="1" s="1"/>
  <c r="B298" i="1" l="1"/>
  <c r="A298" i="1"/>
  <c r="H298" i="1" s="1"/>
  <c r="D298" i="1"/>
  <c r="E298" i="1" s="1"/>
  <c r="C299" i="1"/>
  <c r="F297" i="1"/>
  <c r="G297" i="1" s="1"/>
  <c r="L297" i="1"/>
  <c r="I297" i="1"/>
  <c r="M297" i="1"/>
  <c r="J297" i="1"/>
  <c r="K297" i="1"/>
  <c r="A299" i="1" l="1"/>
  <c r="H299" i="1" s="1"/>
  <c r="D299" i="1"/>
  <c r="E299" i="1" s="1"/>
  <c r="C300" i="1"/>
  <c r="B299" i="1"/>
  <c r="F298" i="1"/>
  <c r="G298" i="1" s="1"/>
  <c r="I298" i="1"/>
  <c r="J298" i="1"/>
  <c r="K298" i="1"/>
  <c r="L298" i="1"/>
  <c r="M298" i="1"/>
  <c r="B300" i="1" l="1"/>
  <c r="A300" i="1"/>
  <c r="H300" i="1" s="1"/>
  <c r="D300" i="1"/>
  <c r="E300" i="1" s="1"/>
  <c r="C301" i="1"/>
  <c r="F299" i="1"/>
  <c r="G299" i="1" s="1"/>
  <c r="M299" i="1"/>
  <c r="J299" i="1"/>
  <c r="L299" i="1"/>
  <c r="I299" i="1"/>
  <c r="K299" i="1"/>
  <c r="C302" i="1" l="1"/>
  <c r="A301" i="1"/>
  <c r="H301" i="1" s="1"/>
  <c r="B301" i="1"/>
  <c r="D301" i="1"/>
  <c r="E301" i="1" s="1"/>
  <c r="F300" i="1"/>
  <c r="G300" i="1" s="1"/>
  <c r="K300" i="1"/>
  <c r="M300" i="1"/>
  <c r="I300" i="1"/>
  <c r="L300" i="1"/>
  <c r="J300" i="1"/>
  <c r="F301" i="1" l="1"/>
  <c r="G301" i="1" s="1"/>
  <c r="M301" i="1"/>
  <c r="J301" i="1"/>
  <c r="L301" i="1"/>
  <c r="I301" i="1"/>
  <c r="K301" i="1"/>
  <c r="C303" i="1"/>
  <c r="D302" i="1"/>
  <c r="E302" i="1" s="1"/>
  <c r="A302" i="1"/>
  <c r="H302" i="1" s="1"/>
  <c r="B302" i="1"/>
  <c r="F302" i="1" l="1"/>
  <c r="G302" i="1" s="1"/>
  <c r="C304" i="1"/>
  <c r="A303" i="1"/>
  <c r="H303" i="1" s="1"/>
  <c r="B303" i="1"/>
  <c r="D303" i="1"/>
  <c r="E303" i="1" s="1"/>
  <c r="M302" i="1"/>
  <c r="J302" i="1"/>
  <c r="I302" i="1"/>
  <c r="K302" i="1"/>
  <c r="L302" i="1"/>
  <c r="F303" i="1" l="1"/>
  <c r="G303" i="1" s="1"/>
  <c r="J303" i="1"/>
  <c r="K303" i="1"/>
  <c r="L303" i="1"/>
  <c r="M303" i="1"/>
  <c r="I303" i="1"/>
  <c r="B304" i="1"/>
  <c r="C305" i="1"/>
  <c r="A304" i="1"/>
  <c r="H304" i="1" s="1"/>
  <c r="D304" i="1"/>
  <c r="E304" i="1" s="1"/>
  <c r="C306" i="1" l="1"/>
  <c r="B305" i="1"/>
  <c r="D305" i="1"/>
  <c r="E305" i="1" s="1"/>
  <c r="A305" i="1"/>
  <c r="H305" i="1" s="1"/>
  <c r="F304" i="1"/>
  <c r="G304" i="1" s="1"/>
  <c r="L304" i="1"/>
  <c r="K304" i="1"/>
  <c r="M304" i="1"/>
  <c r="I304" i="1"/>
  <c r="J304" i="1"/>
  <c r="L305" i="1" l="1"/>
  <c r="M305" i="1"/>
  <c r="I305" i="1"/>
  <c r="J305" i="1"/>
  <c r="K305" i="1"/>
  <c r="F305" i="1"/>
  <c r="G305" i="1" s="1"/>
  <c r="C307" i="1"/>
  <c r="A306" i="1"/>
  <c r="H306" i="1" s="1"/>
  <c r="B306" i="1"/>
  <c r="D306" i="1"/>
  <c r="E306" i="1" s="1"/>
  <c r="A307" i="1" l="1"/>
  <c r="H307" i="1" s="1"/>
  <c r="D307" i="1"/>
  <c r="E307" i="1" s="1"/>
  <c r="C308" i="1"/>
  <c r="B307" i="1"/>
  <c r="F306" i="1"/>
  <c r="G306" i="1" s="1"/>
  <c r="I306" i="1"/>
  <c r="K306" i="1"/>
  <c r="J306" i="1"/>
  <c r="L306" i="1"/>
  <c r="M306" i="1"/>
  <c r="C309" i="1" l="1"/>
  <c r="A308" i="1"/>
  <c r="H308" i="1" s="1"/>
  <c r="B308" i="1"/>
  <c r="D308" i="1"/>
  <c r="E308" i="1" s="1"/>
  <c r="F307" i="1"/>
  <c r="G307" i="1" s="1"/>
  <c r="M307" i="1"/>
  <c r="L307" i="1"/>
  <c r="J307" i="1"/>
  <c r="I307" i="1"/>
  <c r="K307" i="1"/>
  <c r="F308" i="1" l="1"/>
  <c r="G308" i="1" s="1"/>
  <c r="I308" i="1"/>
  <c r="M308" i="1"/>
  <c r="J308" i="1"/>
  <c r="K308" i="1"/>
  <c r="L308" i="1"/>
  <c r="D309" i="1"/>
  <c r="E309" i="1" s="1"/>
  <c r="A309" i="1"/>
  <c r="H309" i="1" s="1"/>
  <c r="B309" i="1"/>
  <c r="C310" i="1"/>
  <c r="M309" i="1" l="1"/>
  <c r="J309" i="1"/>
  <c r="L309" i="1"/>
  <c r="K309" i="1"/>
  <c r="I309" i="1"/>
  <c r="F309" i="1"/>
  <c r="G309" i="1" s="1"/>
  <c r="A310" i="1"/>
  <c r="H310" i="1" s="1"/>
  <c r="D310" i="1"/>
  <c r="E310" i="1" s="1"/>
  <c r="B310" i="1"/>
  <c r="C311" i="1"/>
  <c r="I310" i="1" l="1"/>
  <c r="J310" i="1"/>
  <c r="K310" i="1"/>
  <c r="M310" i="1"/>
  <c r="L310" i="1"/>
  <c r="D311" i="1"/>
  <c r="E311" i="1" s="1"/>
  <c r="A311" i="1"/>
  <c r="H311" i="1" s="1"/>
  <c r="B311" i="1"/>
  <c r="C312" i="1"/>
  <c r="F310" i="1"/>
  <c r="G310" i="1" s="1"/>
  <c r="M311" i="1" l="1"/>
  <c r="L311" i="1"/>
  <c r="K311" i="1"/>
  <c r="I311" i="1"/>
  <c r="J311" i="1"/>
  <c r="F311" i="1"/>
  <c r="G311" i="1" s="1"/>
  <c r="B312" i="1"/>
  <c r="D312" i="1"/>
  <c r="E312" i="1" s="1"/>
  <c r="A312" i="1"/>
  <c r="H312" i="1" s="1"/>
  <c r="C313" i="1"/>
  <c r="D313" i="1" l="1"/>
  <c r="E313" i="1" s="1"/>
  <c r="A313" i="1"/>
  <c r="H313" i="1" s="1"/>
  <c r="B313" i="1"/>
  <c r="C314" i="1"/>
  <c r="L312" i="1"/>
  <c r="I312" i="1"/>
  <c r="M312" i="1"/>
  <c r="J312" i="1"/>
  <c r="K312" i="1"/>
  <c r="F312" i="1"/>
  <c r="G312" i="1" s="1"/>
  <c r="B314" i="1" l="1"/>
  <c r="A314" i="1"/>
  <c r="H314" i="1" s="1"/>
  <c r="D314" i="1"/>
  <c r="E314" i="1" s="1"/>
  <c r="C315" i="1"/>
  <c r="I313" i="1"/>
  <c r="M313" i="1"/>
  <c r="J313" i="1"/>
  <c r="K313" i="1"/>
  <c r="L313" i="1"/>
  <c r="F313" i="1"/>
  <c r="G313" i="1" s="1"/>
  <c r="D315" i="1" l="1"/>
  <c r="E315" i="1" s="1"/>
  <c r="A315" i="1"/>
  <c r="H315" i="1" s="1"/>
  <c r="B315" i="1"/>
  <c r="C316" i="1"/>
  <c r="F314" i="1"/>
  <c r="G314" i="1" s="1"/>
  <c r="I314" i="1"/>
  <c r="K314" i="1"/>
  <c r="L314" i="1"/>
  <c r="J314" i="1"/>
  <c r="M314" i="1"/>
  <c r="D316" i="1" l="1"/>
  <c r="E316" i="1" s="1"/>
  <c r="B316" i="1"/>
  <c r="A316" i="1"/>
  <c r="H316" i="1" s="1"/>
  <c r="C317" i="1"/>
  <c r="K315" i="1"/>
  <c r="J315" i="1"/>
  <c r="L315" i="1"/>
  <c r="M315" i="1"/>
  <c r="I315" i="1"/>
  <c r="F315" i="1"/>
  <c r="G315" i="1" s="1"/>
  <c r="A317" i="1" l="1"/>
  <c r="H317" i="1" s="1"/>
  <c r="D317" i="1"/>
  <c r="E317" i="1" s="1"/>
  <c r="B317" i="1"/>
  <c r="C318" i="1"/>
  <c r="I316" i="1"/>
  <c r="L316" i="1"/>
  <c r="J316" i="1"/>
  <c r="K316" i="1"/>
  <c r="M316" i="1"/>
  <c r="F316" i="1"/>
  <c r="G316" i="1" s="1"/>
  <c r="D318" i="1" l="1"/>
  <c r="E318" i="1" s="1"/>
  <c r="B318" i="1"/>
  <c r="A318" i="1"/>
  <c r="H318" i="1" s="1"/>
  <c r="C319" i="1"/>
  <c r="F317" i="1"/>
  <c r="G317" i="1" s="1"/>
  <c r="M317" i="1"/>
  <c r="J317" i="1"/>
  <c r="L317" i="1"/>
  <c r="I317" i="1"/>
  <c r="K317" i="1"/>
  <c r="B319" i="1" l="1"/>
  <c r="D319" i="1"/>
  <c r="E319" i="1" s="1"/>
  <c r="A319" i="1"/>
  <c r="H319" i="1" s="1"/>
  <c r="C320" i="1"/>
  <c r="J318" i="1"/>
  <c r="K318" i="1"/>
  <c r="L318" i="1"/>
  <c r="M318" i="1"/>
  <c r="I318" i="1"/>
  <c r="F318" i="1"/>
  <c r="G318" i="1" s="1"/>
  <c r="A320" i="1" l="1"/>
  <c r="H320" i="1" s="1"/>
  <c r="B320" i="1"/>
  <c r="D320" i="1"/>
  <c r="E320" i="1" s="1"/>
  <c r="C321" i="1"/>
  <c r="I319" i="1"/>
  <c r="J319" i="1"/>
  <c r="K319" i="1"/>
  <c r="L319" i="1"/>
  <c r="M319" i="1"/>
  <c r="F319" i="1"/>
  <c r="G319" i="1" s="1"/>
  <c r="A321" i="1" l="1"/>
  <c r="H321" i="1" s="1"/>
  <c r="B321" i="1"/>
  <c r="D321" i="1"/>
  <c r="E321" i="1" s="1"/>
  <c r="C322" i="1"/>
  <c r="F320" i="1"/>
  <c r="G320" i="1" s="1"/>
  <c r="K320" i="1"/>
  <c r="L320" i="1"/>
  <c r="M320" i="1"/>
  <c r="I320" i="1"/>
  <c r="J320" i="1"/>
  <c r="A322" i="1" l="1"/>
  <c r="H322" i="1" s="1"/>
  <c r="B322" i="1"/>
  <c r="D322" i="1"/>
  <c r="E322" i="1" s="1"/>
  <c r="C323" i="1"/>
  <c r="F321" i="1"/>
  <c r="G321" i="1" s="1"/>
  <c r="L321" i="1"/>
  <c r="M321" i="1"/>
  <c r="I321" i="1"/>
  <c r="J321" i="1"/>
  <c r="K321" i="1"/>
  <c r="A323" i="1" l="1"/>
  <c r="H323" i="1" s="1"/>
  <c r="D323" i="1"/>
  <c r="E323" i="1" s="1"/>
  <c r="B323" i="1"/>
  <c r="C324" i="1"/>
  <c r="F322" i="1"/>
  <c r="G322" i="1" s="1"/>
  <c r="J322" i="1"/>
  <c r="M322" i="1"/>
  <c r="K322" i="1"/>
  <c r="L322" i="1"/>
  <c r="I322" i="1"/>
  <c r="D324" i="1" l="1"/>
  <c r="E324" i="1" s="1"/>
  <c r="A324" i="1"/>
  <c r="H324" i="1" s="1"/>
  <c r="B324" i="1"/>
  <c r="C325" i="1"/>
  <c r="F323" i="1"/>
  <c r="G323" i="1" s="1"/>
  <c r="L323" i="1"/>
  <c r="J323" i="1"/>
  <c r="M323" i="1"/>
  <c r="I323" i="1"/>
  <c r="K323" i="1"/>
  <c r="B325" i="1" l="1"/>
  <c r="A325" i="1"/>
  <c r="H325" i="1" s="1"/>
  <c r="D325" i="1"/>
  <c r="E325" i="1" s="1"/>
  <c r="C326" i="1"/>
  <c r="I324" i="1"/>
  <c r="J324" i="1"/>
  <c r="L324" i="1"/>
  <c r="K324" i="1"/>
  <c r="M324" i="1"/>
  <c r="F324" i="1"/>
  <c r="G324" i="1" s="1"/>
  <c r="B326" i="1" l="1"/>
  <c r="A326" i="1"/>
  <c r="H326" i="1" s="1"/>
  <c r="D326" i="1"/>
  <c r="E326" i="1" s="1"/>
  <c r="C327" i="1"/>
  <c r="F325" i="1"/>
  <c r="G325" i="1" s="1"/>
  <c r="I325" i="1"/>
  <c r="K325" i="1"/>
  <c r="J325" i="1"/>
  <c r="L325" i="1"/>
  <c r="M325" i="1"/>
  <c r="D327" i="1" l="1"/>
  <c r="E327" i="1" s="1"/>
  <c r="A327" i="1"/>
  <c r="H327" i="1" s="1"/>
  <c r="B327" i="1"/>
  <c r="C328" i="1"/>
  <c r="F326" i="1"/>
  <c r="G326" i="1" s="1"/>
  <c r="K326" i="1"/>
  <c r="M326" i="1"/>
  <c r="I326" i="1"/>
  <c r="J326" i="1"/>
  <c r="L326" i="1"/>
  <c r="D328" i="1" l="1"/>
  <c r="E328" i="1" s="1"/>
  <c r="A328" i="1"/>
  <c r="H328" i="1" s="1"/>
  <c r="B328" i="1"/>
  <c r="C329" i="1"/>
  <c r="K327" i="1"/>
  <c r="I327" i="1"/>
  <c r="J327" i="1"/>
  <c r="L327" i="1"/>
  <c r="M327" i="1"/>
  <c r="F327" i="1"/>
  <c r="G327" i="1" s="1"/>
  <c r="D329" i="1" l="1"/>
  <c r="E329" i="1" s="1"/>
  <c r="A329" i="1"/>
  <c r="H329" i="1" s="1"/>
  <c r="B329" i="1"/>
  <c r="C330" i="1"/>
  <c r="L328" i="1"/>
  <c r="K328" i="1"/>
  <c r="M328" i="1"/>
  <c r="I328" i="1"/>
  <c r="J328" i="1"/>
  <c r="F328" i="1"/>
  <c r="G328" i="1" s="1"/>
  <c r="D330" i="1" l="1"/>
  <c r="E330" i="1" s="1"/>
  <c r="B330" i="1"/>
  <c r="A330" i="1"/>
  <c r="H330" i="1" s="1"/>
  <c r="C331" i="1"/>
  <c r="J329" i="1"/>
  <c r="L329" i="1"/>
  <c r="M329" i="1"/>
  <c r="K329" i="1"/>
  <c r="I329" i="1"/>
  <c r="F329" i="1"/>
  <c r="G329" i="1" s="1"/>
  <c r="A331" i="1" l="1"/>
  <c r="H331" i="1" s="1"/>
  <c r="B331" i="1"/>
  <c r="D331" i="1"/>
  <c r="E331" i="1" s="1"/>
  <c r="C332" i="1"/>
  <c r="K330" i="1"/>
  <c r="I330" i="1"/>
  <c r="L330" i="1"/>
  <c r="M330" i="1"/>
  <c r="J330" i="1"/>
  <c r="F330" i="1"/>
  <c r="G330" i="1" s="1"/>
  <c r="A332" i="1" l="1"/>
  <c r="H332" i="1" s="1"/>
  <c r="B332" i="1"/>
  <c r="D332" i="1"/>
  <c r="E332" i="1" s="1"/>
  <c r="C333" i="1"/>
  <c r="F331" i="1"/>
  <c r="G331" i="1" s="1"/>
  <c r="K331" i="1"/>
  <c r="I331" i="1"/>
  <c r="J331" i="1"/>
  <c r="L331" i="1"/>
  <c r="M331" i="1"/>
  <c r="B333" i="1" l="1"/>
  <c r="D333" i="1"/>
  <c r="E333" i="1" s="1"/>
  <c r="A333" i="1"/>
  <c r="H333" i="1" s="1"/>
  <c r="C334" i="1"/>
  <c r="F332" i="1"/>
  <c r="G332" i="1" s="1"/>
  <c r="I332" i="1"/>
  <c r="J332" i="1"/>
  <c r="K332" i="1"/>
  <c r="L332" i="1"/>
  <c r="M332" i="1"/>
  <c r="B334" i="1" l="1"/>
  <c r="A334" i="1"/>
  <c r="H334" i="1" s="1"/>
  <c r="D334" i="1"/>
  <c r="E334" i="1" s="1"/>
  <c r="C335" i="1"/>
  <c r="M333" i="1"/>
  <c r="I333" i="1"/>
  <c r="J333" i="1"/>
  <c r="K333" i="1"/>
  <c r="L333" i="1"/>
  <c r="F333" i="1"/>
  <c r="G333" i="1" s="1"/>
  <c r="B335" i="1" l="1"/>
  <c r="A335" i="1"/>
  <c r="H335" i="1" s="1"/>
  <c r="D335" i="1"/>
  <c r="E335" i="1" s="1"/>
  <c r="C336" i="1"/>
  <c r="F334" i="1"/>
  <c r="G334" i="1" s="1"/>
  <c r="K334" i="1"/>
  <c r="M334" i="1"/>
  <c r="J334" i="1"/>
  <c r="L334" i="1"/>
  <c r="I334" i="1"/>
  <c r="I335" i="1" l="1"/>
  <c r="J335" i="1"/>
  <c r="K335" i="1"/>
  <c r="M335" i="1"/>
  <c r="L335" i="1"/>
  <c r="A336" i="1"/>
  <c r="H336" i="1" s="1"/>
  <c r="B336" i="1"/>
  <c r="D336" i="1"/>
  <c r="E336" i="1" s="1"/>
  <c r="C337" i="1"/>
  <c r="F335" i="1"/>
  <c r="G335" i="1" s="1"/>
  <c r="F336" i="1" l="1"/>
  <c r="G336" i="1" s="1"/>
  <c r="K336" i="1"/>
  <c r="I336" i="1"/>
  <c r="L336" i="1"/>
  <c r="J336" i="1"/>
  <c r="M336" i="1"/>
  <c r="B337" i="1"/>
  <c r="D337" i="1"/>
  <c r="E337" i="1" s="1"/>
  <c r="A337" i="1"/>
  <c r="H337" i="1" s="1"/>
  <c r="C338" i="1"/>
  <c r="F337" i="1" l="1"/>
  <c r="G337" i="1" s="1"/>
  <c r="M337" i="1"/>
  <c r="J337" i="1"/>
  <c r="L337" i="1"/>
  <c r="I337" i="1"/>
  <c r="K337" i="1"/>
  <c r="D338" i="1"/>
  <c r="E338" i="1" s="1"/>
  <c r="A338" i="1"/>
  <c r="H338" i="1" s="1"/>
  <c r="B338" i="1"/>
  <c r="C339" i="1"/>
  <c r="I338" i="1" l="1"/>
  <c r="J338" i="1"/>
  <c r="K338" i="1"/>
  <c r="L338" i="1"/>
  <c r="M338" i="1"/>
  <c r="F338" i="1"/>
  <c r="G338" i="1" s="1"/>
  <c r="B339" i="1"/>
  <c r="A339" i="1"/>
  <c r="H339" i="1" s="1"/>
  <c r="D339" i="1"/>
  <c r="E339" i="1" s="1"/>
  <c r="C340" i="1"/>
  <c r="A340" i="1" l="1"/>
  <c r="H340" i="1" s="1"/>
  <c r="D340" i="1"/>
  <c r="E340" i="1" s="1"/>
  <c r="B340" i="1"/>
  <c r="C341" i="1"/>
  <c r="F339" i="1"/>
  <c r="G339" i="1" s="1"/>
  <c r="L339" i="1"/>
  <c r="M339" i="1"/>
  <c r="K339" i="1"/>
  <c r="J339" i="1"/>
  <c r="I339" i="1"/>
  <c r="B341" i="1" l="1"/>
  <c r="D341" i="1"/>
  <c r="E341" i="1" s="1"/>
  <c r="A341" i="1"/>
  <c r="H341" i="1" s="1"/>
  <c r="C342" i="1"/>
  <c r="F340" i="1"/>
  <c r="G340" i="1" s="1"/>
  <c r="I340" i="1"/>
  <c r="J340" i="1"/>
  <c r="L340" i="1"/>
  <c r="M340" i="1"/>
  <c r="K340" i="1"/>
  <c r="F341" i="1" l="1"/>
  <c r="G341" i="1" s="1"/>
  <c r="A342" i="1"/>
  <c r="H342" i="1" s="1"/>
  <c r="B342" i="1"/>
  <c r="D342" i="1"/>
  <c r="E342" i="1" s="1"/>
  <c r="C343" i="1"/>
  <c r="J341" i="1"/>
  <c r="K341" i="1"/>
  <c r="L341" i="1"/>
  <c r="M341" i="1"/>
  <c r="I341" i="1"/>
  <c r="A343" i="1" l="1"/>
  <c r="H343" i="1" s="1"/>
  <c r="B343" i="1"/>
  <c r="D343" i="1"/>
  <c r="E343" i="1" s="1"/>
  <c r="C344" i="1"/>
  <c r="F342" i="1"/>
  <c r="G342" i="1" s="1"/>
  <c r="I342" i="1"/>
  <c r="J342" i="1"/>
  <c r="K342" i="1"/>
  <c r="L342" i="1"/>
  <c r="M342" i="1"/>
  <c r="A344" i="1" l="1"/>
  <c r="H344" i="1" s="1"/>
  <c r="B344" i="1"/>
  <c r="D344" i="1"/>
  <c r="E344" i="1" s="1"/>
  <c r="C345" i="1"/>
  <c r="F343" i="1"/>
  <c r="G343" i="1" s="1"/>
  <c r="I343" i="1"/>
  <c r="K343" i="1"/>
  <c r="M343" i="1"/>
  <c r="J343" i="1"/>
  <c r="L343" i="1"/>
  <c r="A345" i="1" l="1"/>
  <c r="H345" i="1" s="1"/>
  <c r="B345" i="1"/>
  <c r="D345" i="1"/>
  <c r="E345" i="1" s="1"/>
  <c r="C346" i="1"/>
  <c r="F344" i="1"/>
  <c r="G344" i="1" s="1"/>
  <c r="K344" i="1"/>
  <c r="L344" i="1"/>
  <c r="M344" i="1"/>
  <c r="I344" i="1"/>
  <c r="J344" i="1"/>
  <c r="D346" i="1" l="1"/>
  <c r="E346" i="1" s="1"/>
  <c r="A346" i="1"/>
  <c r="H346" i="1" s="1"/>
  <c r="B346" i="1"/>
  <c r="C347" i="1"/>
  <c r="F345" i="1"/>
  <c r="G345" i="1" s="1"/>
  <c r="M345" i="1"/>
  <c r="K345" i="1"/>
  <c r="J345" i="1"/>
  <c r="L345" i="1"/>
  <c r="I345" i="1"/>
  <c r="B347" i="1" l="1"/>
  <c r="A347" i="1"/>
  <c r="H347" i="1" s="1"/>
  <c r="D347" i="1"/>
  <c r="E347" i="1" s="1"/>
  <c r="C348" i="1"/>
  <c r="I346" i="1"/>
  <c r="J346" i="1"/>
  <c r="K346" i="1"/>
  <c r="M346" i="1"/>
  <c r="L346" i="1"/>
  <c r="F346" i="1"/>
  <c r="G346" i="1" s="1"/>
  <c r="F347" i="1" l="1"/>
  <c r="G347" i="1" s="1"/>
  <c r="A348" i="1"/>
  <c r="H348" i="1" s="1"/>
  <c r="B348" i="1"/>
  <c r="D348" i="1"/>
  <c r="E348" i="1" s="1"/>
  <c r="C349" i="1"/>
  <c r="M347" i="1"/>
  <c r="I347" i="1"/>
  <c r="J347" i="1"/>
  <c r="K347" i="1"/>
  <c r="L347" i="1"/>
  <c r="B349" i="1" l="1"/>
  <c r="D349" i="1"/>
  <c r="E349" i="1" s="1"/>
  <c r="A349" i="1"/>
  <c r="H349" i="1" s="1"/>
  <c r="C350" i="1"/>
  <c r="F348" i="1"/>
  <c r="G348" i="1" s="1"/>
  <c r="I348" i="1"/>
  <c r="L348" i="1"/>
  <c r="M348" i="1"/>
  <c r="J348" i="1"/>
  <c r="K348" i="1"/>
  <c r="D350" i="1" l="1"/>
  <c r="E350" i="1" s="1"/>
  <c r="A350" i="1"/>
  <c r="H350" i="1" s="1"/>
  <c r="B350" i="1"/>
  <c r="C351" i="1"/>
  <c r="M349" i="1"/>
  <c r="I349" i="1"/>
  <c r="J349" i="1"/>
  <c r="K349" i="1"/>
  <c r="L349" i="1"/>
  <c r="F349" i="1"/>
  <c r="G349" i="1" s="1"/>
  <c r="A351" i="1" l="1"/>
  <c r="H351" i="1" s="1"/>
  <c r="B351" i="1"/>
  <c r="D351" i="1"/>
  <c r="E351" i="1" s="1"/>
  <c r="C352" i="1"/>
  <c r="I350" i="1"/>
  <c r="J350" i="1"/>
  <c r="L350" i="1"/>
  <c r="K350" i="1"/>
  <c r="M350" i="1"/>
  <c r="F350" i="1"/>
  <c r="G350" i="1" s="1"/>
  <c r="A352" i="1" l="1"/>
  <c r="H352" i="1" s="1"/>
  <c r="B352" i="1"/>
  <c r="D352" i="1"/>
  <c r="E352" i="1" s="1"/>
  <c r="C353" i="1"/>
  <c r="F351" i="1"/>
  <c r="G351" i="1" s="1"/>
  <c r="I351" i="1"/>
  <c r="J351" i="1"/>
  <c r="L351" i="1"/>
  <c r="M351" i="1"/>
  <c r="K351" i="1"/>
  <c r="A353" i="1" l="1"/>
  <c r="H353" i="1" s="1"/>
  <c r="B353" i="1"/>
  <c r="D353" i="1"/>
  <c r="E353" i="1" s="1"/>
  <c r="C354" i="1"/>
  <c r="F352" i="1"/>
  <c r="G352" i="1" s="1"/>
  <c r="K352" i="1"/>
  <c r="I352" i="1"/>
  <c r="J352" i="1"/>
  <c r="L352" i="1"/>
  <c r="M352" i="1"/>
  <c r="B354" i="1" l="1"/>
  <c r="A354" i="1"/>
  <c r="H354" i="1" s="1"/>
  <c r="D354" i="1"/>
  <c r="E354" i="1" s="1"/>
  <c r="C355" i="1"/>
  <c r="F353" i="1"/>
  <c r="G353" i="1" s="1"/>
  <c r="L353" i="1"/>
  <c r="M353" i="1"/>
  <c r="I353" i="1"/>
  <c r="J353" i="1"/>
  <c r="K353" i="1"/>
  <c r="D355" i="1" l="1"/>
  <c r="E355" i="1" s="1"/>
  <c r="A355" i="1"/>
  <c r="H355" i="1" s="1"/>
  <c r="B355" i="1"/>
  <c r="C356" i="1"/>
  <c r="F354" i="1"/>
  <c r="G354" i="1" s="1"/>
  <c r="I354" i="1"/>
  <c r="J354" i="1"/>
  <c r="K354" i="1"/>
  <c r="L354" i="1"/>
  <c r="M354" i="1"/>
  <c r="D356" i="1" l="1"/>
  <c r="E356" i="1" s="1"/>
  <c r="A356" i="1"/>
  <c r="H356" i="1" s="1"/>
  <c r="B356" i="1"/>
  <c r="C357" i="1"/>
  <c r="K355" i="1"/>
  <c r="L355" i="1"/>
  <c r="M355" i="1"/>
  <c r="I355" i="1"/>
  <c r="J355" i="1"/>
  <c r="F355" i="1"/>
  <c r="G355" i="1" s="1"/>
  <c r="A357" i="1" l="1"/>
  <c r="H357" i="1" s="1"/>
  <c r="D357" i="1"/>
  <c r="E357" i="1" s="1"/>
  <c r="B357" i="1"/>
  <c r="C358" i="1"/>
  <c r="I356" i="1"/>
  <c r="K356" i="1"/>
  <c r="J356" i="1"/>
  <c r="L356" i="1"/>
  <c r="M356" i="1"/>
  <c r="F356" i="1"/>
  <c r="G356" i="1" s="1"/>
  <c r="A358" i="1" l="1"/>
  <c r="H358" i="1" s="1"/>
  <c r="B358" i="1"/>
  <c r="D358" i="1"/>
  <c r="E358" i="1" s="1"/>
  <c r="C359" i="1"/>
  <c r="F357" i="1"/>
  <c r="G357" i="1" s="1"/>
  <c r="K357" i="1"/>
  <c r="M357" i="1"/>
  <c r="I357" i="1"/>
  <c r="J357" i="1"/>
  <c r="L357" i="1"/>
  <c r="A359" i="1" l="1"/>
  <c r="H359" i="1" s="1"/>
  <c r="C360" i="1"/>
  <c r="D359" i="1"/>
  <c r="E359" i="1" s="1"/>
  <c r="B359" i="1"/>
  <c r="F358" i="1"/>
  <c r="G358" i="1" s="1"/>
  <c r="J358" i="1"/>
  <c r="L358" i="1"/>
  <c r="M358" i="1"/>
  <c r="K358" i="1"/>
  <c r="I358" i="1"/>
  <c r="F359" i="1" l="1"/>
  <c r="G359" i="1" s="1"/>
  <c r="A360" i="1"/>
  <c r="H360" i="1" s="1"/>
  <c r="B360" i="1"/>
  <c r="C361" i="1"/>
  <c r="D360" i="1"/>
  <c r="E360" i="1" s="1"/>
  <c r="I359" i="1"/>
  <c r="M359" i="1"/>
  <c r="J359" i="1"/>
  <c r="K359" i="1"/>
  <c r="L359" i="1"/>
  <c r="A361" i="1" l="1"/>
  <c r="H361" i="1" s="1"/>
  <c r="B361" i="1"/>
  <c r="C362" i="1"/>
  <c r="D361" i="1"/>
  <c r="E361" i="1" s="1"/>
  <c r="F360" i="1"/>
  <c r="G360" i="1" s="1"/>
  <c r="J360" i="1"/>
  <c r="K360" i="1"/>
  <c r="L360" i="1"/>
  <c r="M360" i="1"/>
  <c r="I360" i="1"/>
  <c r="F361" i="1" l="1"/>
  <c r="G361" i="1" s="1"/>
  <c r="D362" i="1"/>
  <c r="E362" i="1" s="1"/>
  <c r="C363" i="1"/>
  <c r="A362" i="1"/>
  <c r="H362" i="1" s="1"/>
  <c r="B362" i="1"/>
  <c r="I361" i="1"/>
  <c r="K361" i="1"/>
  <c r="M361" i="1"/>
  <c r="J361" i="1"/>
  <c r="L361" i="1"/>
  <c r="I362" i="1" l="1"/>
  <c r="J362" i="1"/>
  <c r="M362" i="1"/>
  <c r="K362" i="1"/>
  <c r="L362" i="1"/>
  <c r="B363" i="1"/>
  <c r="C364" i="1"/>
  <c r="A363" i="1"/>
  <c r="H363" i="1" s="1"/>
  <c r="D363" i="1"/>
  <c r="E363" i="1" s="1"/>
  <c r="F362" i="1"/>
  <c r="G362" i="1" s="1"/>
  <c r="F363" i="1" l="1"/>
  <c r="G363" i="1" s="1"/>
  <c r="K363" i="1"/>
  <c r="L363" i="1"/>
  <c r="J363" i="1"/>
  <c r="I363" i="1"/>
  <c r="M363" i="1"/>
  <c r="C365" i="1"/>
  <c r="A364" i="1"/>
  <c r="H364" i="1" s="1"/>
  <c r="D364" i="1"/>
  <c r="E364" i="1" s="1"/>
  <c r="B364" i="1"/>
  <c r="I364" i="1" l="1"/>
  <c r="J364" i="1"/>
  <c r="K364" i="1"/>
  <c r="L364" i="1"/>
  <c r="M364" i="1"/>
  <c r="D365" i="1"/>
  <c r="E365" i="1" s="1"/>
  <c r="C366" i="1"/>
  <c r="A365" i="1"/>
  <c r="H365" i="1" s="1"/>
  <c r="B365" i="1"/>
  <c r="F364" i="1"/>
  <c r="G364" i="1" s="1"/>
  <c r="L365" i="1" l="1"/>
  <c r="J365" i="1"/>
  <c r="M365" i="1"/>
  <c r="I365" i="1"/>
  <c r="K365" i="1"/>
  <c r="A366" i="1"/>
  <c r="H366" i="1" s="1"/>
  <c r="B366" i="1"/>
  <c r="D366" i="1"/>
  <c r="E366" i="1" s="1"/>
  <c r="C367" i="1"/>
  <c r="F365" i="1"/>
  <c r="G365" i="1" s="1"/>
  <c r="F366" i="1" l="1"/>
  <c r="G366" i="1" s="1"/>
  <c r="C368" i="1"/>
  <c r="A367" i="1"/>
  <c r="H367" i="1" s="1"/>
  <c r="D367" i="1"/>
  <c r="E367" i="1" s="1"/>
  <c r="B367" i="1"/>
  <c r="I366" i="1"/>
  <c r="J366" i="1"/>
  <c r="K366" i="1"/>
  <c r="L366" i="1"/>
  <c r="M366" i="1"/>
  <c r="F367" i="1" l="1"/>
  <c r="G367" i="1" s="1"/>
  <c r="J367" i="1"/>
  <c r="K367" i="1"/>
  <c r="L367" i="1"/>
  <c r="M367" i="1"/>
  <c r="I367" i="1"/>
  <c r="C369" i="1"/>
  <c r="B368" i="1"/>
  <c r="D368" i="1"/>
  <c r="E368" i="1" s="1"/>
  <c r="A368" i="1"/>
  <c r="H368" i="1" s="1"/>
  <c r="A369" i="1" l="1"/>
  <c r="H369" i="1" s="1"/>
  <c r="B369" i="1"/>
  <c r="D369" i="1"/>
  <c r="E369" i="1" s="1"/>
  <c r="C370" i="1"/>
  <c r="M368" i="1"/>
  <c r="K368" i="1"/>
  <c r="I368" i="1"/>
  <c r="J368" i="1"/>
  <c r="L368" i="1"/>
  <c r="F368" i="1"/>
  <c r="G368" i="1" s="1"/>
  <c r="D370" i="1" l="1"/>
  <c r="E370" i="1" s="1"/>
  <c r="C371" i="1"/>
  <c r="A370" i="1"/>
  <c r="H370" i="1" s="1"/>
  <c r="B370" i="1"/>
  <c r="F369" i="1"/>
  <c r="G369" i="1" s="1"/>
  <c r="J369" i="1"/>
  <c r="K369" i="1"/>
  <c r="L369" i="1"/>
  <c r="M369" i="1"/>
  <c r="I369" i="1"/>
  <c r="I370" i="1" l="1"/>
  <c r="J370" i="1"/>
  <c r="M370" i="1"/>
  <c r="K370" i="1"/>
  <c r="L370" i="1"/>
  <c r="B371" i="1"/>
  <c r="A371" i="1"/>
  <c r="H371" i="1" s="1"/>
  <c r="D371" i="1"/>
  <c r="E371" i="1" s="1"/>
  <c r="C372" i="1"/>
  <c r="F370" i="1"/>
  <c r="G370" i="1" s="1"/>
  <c r="F371" i="1" l="1"/>
  <c r="G371" i="1" s="1"/>
  <c r="B372" i="1"/>
  <c r="C373" i="1"/>
  <c r="A372" i="1"/>
  <c r="H372" i="1" s="1"/>
  <c r="D372" i="1"/>
  <c r="E372" i="1" s="1"/>
  <c r="K371" i="1"/>
  <c r="M371" i="1"/>
  <c r="L371" i="1"/>
  <c r="I371" i="1"/>
  <c r="J371" i="1"/>
  <c r="F372" i="1" l="1"/>
  <c r="G372" i="1" s="1"/>
  <c r="J372" i="1"/>
  <c r="K372" i="1"/>
  <c r="L372" i="1"/>
  <c r="M372" i="1"/>
  <c r="I372" i="1"/>
  <c r="B373" i="1"/>
  <c r="C374" i="1"/>
  <c r="D373" i="1"/>
  <c r="E373" i="1" s="1"/>
  <c r="A373" i="1"/>
  <c r="H373" i="1" s="1"/>
  <c r="B374" i="1" l="1"/>
  <c r="D374" i="1"/>
  <c r="E374" i="1" s="1"/>
  <c r="A374" i="1"/>
  <c r="H374" i="1" s="1"/>
  <c r="C375" i="1"/>
  <c r="I373" i="1"/>
  <c r="K373" i="1"/>
  <c r="L373" i="1"/>
  <c r="M373" i="1"/>
  <c r="J373" i="1"/>
  <c r="F373" i="1"/>
  <c r="G373" i="1" s="1"/>
  <c r="D375" i="1" l="1"/>
  <c r="E375" i="1" s="1"/>
  <c r="A375" i="1"/>
  <c r="H375" i="1" s="1"/>
  <c r="B375" i="1"/>
  <c r="C376" i="1"/>
  <c r="L374" i="1"/>
  <c r="K374" i="1"/>
  <c r="M374" i="1"/>
  <c r="I374" i="1"/>
  <c r="J374" i="1"/>
  <c r="F374" i="1"/>
  <c r="G374" i="1" s="1"/>
  <c r="A376" i="1" l="1"/>
  <c r="H376" i="1" s="1"/>
  <c r="B376" i="1"/>
  <c r="C377" i="1"/>
  <c r="D376" i="1"/>
  <c r="E376" i="1" s="1"/>
  <c r="J375" i="1"/>
  <c r="M375" i="1"/>
  <c r="K375" i="1"/>
  <c r="I375" i="1"/>
  <c r="L375" i="1"/>
  <c r="F375" i="1"/>
  <c r="G375" i="1" s="1"/>
  <c r="F376" i="1" l="1"/>
  <c r="G376" i="1" s="1"/>
  <c r="A377" i="1"/>
  <c r="H377" i="1" s="1"/>
  <c r="C378" i="1"/>
  <c r="B377" i="1"/>
  <c r="D377" i="1"/>
  <c r="E377" i="1" s="1"/>
  <c r="L376" i="1"/>
  <c r="M376" i="1"/>
  <c r="J376" i="1"/>
  <c r="K376" i="1"/>
  <c r="I376" i="1"/>
  <c r="E378" i="1" l="1"/>
  <c r="F377" i="1"/>
  <c r="G377" i="1" s="1"/>
  <c r="D378" i="1"/>
  <c r="C379" i="1"/>
  <c r="B378" i="1"/>
  <c r="A378" i="1"/>
  <c r="H378" i="1" s="1"/>
  <c r="L377" i="1"/>
  <c r="I377" i="1"/>
  <c r="K377" i="1"/>
  <c r="M377" i="1"/>
  <c r="J377" i="1"/>
  <c r="I378" i="1" l="1"/>
  <c r="J378" i="1"/>
  <c r="K378" i="1"/>
  <c r="M378" i="1"/>
  <c r="L378" i="1"/>
  <c r="A379" i="1"/>
  <c r="H379" i="1" s="1"/>
  <c r="C380" i="1"/>
  <c r="D379" i="1"/>
  <c r="E379" i="1" s="1"/>
  <c r="B379" i="1"/>
  <c r="F378" i="1"/>
  <c r="G378" i="1" s="1"/>
  <c r="F379" i="1" l="1"/>
  <c r="G379" i="1" s="1"/>
  <c r="C381" i="1"/>
  <c r="A380" i="1"/>
  <c r="H380" i="1" s="1"/>
  <c r="B380" i="1"/>
  <c r="D380" i="1"/>
  <c r="E380" i="1" s="1"/>
  <c r="K379" i="1"/>
  <c r="M379" i="1"/>
  <c r="J379" i="1"/>
  <c r="I379" i="1"/>
  <c r="L379" i="1"/>
  <c r="F380" i="1" l="1"/>
  <c r="G380" i="1" s="1"/>
  <c r="J380" i="1"/>
  <c r="K380" i="1"/>
  <c r="L380" i="1"/>
  <c r="M380" i="1"/>
  <c r="I380" i="1"/>
  <c r="B381" i="1"/>
  <c r="C382" i="1"/>
  <c r="D381" i="1"/>
  <c r="E381" i="1" s="1"/>
  <c r="A381" i="1"/>
  <c r="H381" i="1" s="1"/>
  <c r="B382" i="1" l="1"/>
  <c r="D382" i="1"/>
  <c r="E382" i="1" s="1"/>
  <c r="A382" i="1"/>
  <c r="H382" i="1" s="1"/>
  <c r="C383" i="1"/>
  <c r="M381" i="1"/>
  <c r="I381" i="1"/>
  <c r="K381" i="1"/>
  <c r="L381" i="1"/>
  <c r="J381" i="1"/>
  <c r="F381" i="1"/>
  <c r="G381" i="1" s="1"/>
  <c r="C384" i="1" l="1"/>
  <c r="D383" i="1"/>
  <c r="E383" i="1" s="1"/>
  <c r="A383" i="1"/>
  <c r="H383" i="1" s="1"/>
  <c r="B383" i="1"/>
  <c r="J382" i="1"/>
  <c r="M382" i="1"/>
  <c r="I382" i="1"/>
  <c r="K382" i="1"/>
  <c r="L382" i="1"/>
  <c r="F382" i="1"/>
  <c r="G382" i="1" s="1"/>
  <c r="K383" i="1" l="1"/>
  <c r="L383" i="1"/>
  <c r="I383" i="1"/>
  <c r="M383" i="1"/>
  <c r="J383" i="1"/>
  <c r="F383" i="1"/>
  <c r="G383" i="1" s="1"/>
  <c r="A384" i="1"/>
  <c r="H384" i="1" s="1"/>
  <c r="B384" i="1"/>
  <c r="C385" i="1"/>
  <c r="D384" i="1"/>
  <c r="E384" i="1" s="1"/>
  <c r="L384" i="1" l="1"/>
  <c r="J384" i="1"/>
  <c r="I384" i="1"/>
  <c r="M384" i="1"/>
  <c r="K384" i="1"/>
  <c r="F384" i="1"/>
  <c r="G384" i="1" s="1"/>
  <c r="C386" i="1"/>
  <c r="B385" i="1"/>
  <c r="D385" i="1"/>
  <c r="E385" i="1" s="1"/>
  <c r="A385" i="1"/>
  <c r="H385" i="1" s="1"/>
  <c r="D386" i="1" l="1"/>
  <c r="E386" i="1" s="1"/>
  <c r="A386" i="1"/>
  <c r="H386" i="1" s="1"/>
  <c r="C387" i="1"/>
  <c r="B386" i="1"/>
  <c r="I385" i="1"/>
  <c r="M385" i="1"/>
  <c r="L385" i="1"/>
  <c r="J385" i="1"/>
  <c r="K385" i="1"/>
  <c r="F385" i="1"/>
  <c r="G385" i="1" s="1"/>
  <c r="A387" i="1" l="1"/>
  <c r="H387" i="1" s="1"/>
  <c r="D387" i="1"/>
  <c r="E387" i="1" s="1"/>
  <c r="B387" i="1"/>
  <c r="C388" i="1"/>
  <c r="M386" i="1"/>
  <c r="I386" i="1"/>
  <c r="J386" i="1"/>
  <c r="K386" i="1"/>
  <c r="L386" i="1"/>
  <c r="F386" i="1"/>
  <c r="G386" i="1" s="1"/>
  <c r="C389" i="1" l="1"/>
  <c r="A388" i="1"/>
  <c r="H388" i="1" s="1"/>
  <c r="D388" i="1"/>
  <c r="E388" i="1" s="1"/>
  <c r="B388" i="1"/>
  <c r="F387" i="1"/>
  <c r="G387" i="1" s="1"/>
  <c r="K387" i="1"/>
  <c r="M387" i="1"/>
  <c r="I387" i="1"/>
  <c r="L387" i="1"/>
  <c r="J387" i="1"/>
  <c r="F388" i="1" l="1"/>
  <c r="G388" i="1" s="1"/>
  <c r="K388" i="1"/>
  <c r="J388" i="1"/>
  <c r="L388" i="1"/>
  <c r="M388" i="1"/>
  <c r="I388" i="1"/>
  <c r="B389" i="1"/>
  <c r="C390" i="1"/>
  <c r="D389" i="1"/>
  <c r="E389" i="1" s="1"/>
  <c r="A389" i="1"/>
  <c r="H389" i="1" s="1"/>
  <c r="D390" i="1" l="1"/>
  <c r="E390" i="1" s="1"/>
  <c r="C391" i="1"/>
  <c r="A390" i="1"/>
  <c r="H390" i="1" s="1"/>
  <c r="B390" i="1"/>
  <c r="M389" i="1"/>
  <c r="J389" i="1"/>
  <c r="I389" i="1"/>
  <c r="K389" i="1"/>
  <c r="L389" i="1"/>
  <c r="F389" i="1"/>
  <c r="G389" i="1" s="1"/>
  <c r="J390" i="1" l="1"/>
  <c r="M390" i="1"/>
  <c r="K390" i="1"/>
  <c r="L390" i="1"/>
  <c r="I390" i="1"/>
  <c r="D391" i="1"/>
  <c r="E391" i="1" s="1"/>
  <c r="C392" i="1"/>
  <c r="A391" i="1"/>
  <c r="H391" i="1" s="1"/>
  <c r="B391" i="1"/>
  <c r="F390" i="1"/>
  <c r="G390" i="1" s="1"/>
  <c r="K391" i="1" l="1"/>
  <c r="M391" i="1"/>
  <c r="L391" i="1"/>
  <c r="I391" i="1"/>
  <c r="J391" i="1"/>
  <c r="A392" i="1"/>
  <c r="H392" i="1" s="1"/>
  <c r="B392" i="1"/>
  <c r="D392" i="1"/>
  <c r="E392" i="1" s="1"/>
  <c r="C393" i="1"/>
  <c r="F391" i="1"/>
  <c r="G391" i="1" s="1"/>
  <c r="F392" i="1" l="1"/>
  <c r="G392" i="1" s="1"/>
  <c r="L392" i="1"/>
  <c r="I392" i="1"/>
  <c r="J392" i="1"/>
  <c r="M392" i="1"/>
  <c r="K392" i="1"/>
  <c r="C394" i="1"/>
  <c r="B393" i="1"/>
  <c r="D393" i="1"/>
  <c r="E393" i="1" s="1"/>
  <c r="A393" i="1"/>
  <c r="H393" i="1" s="1"/>
  <c r="D394" i="1" l="1"/>
  <c r="E394" i="1" s="1"/>
  <c r="C395" i="1"/>
  <c r="A394" i="1"/>
  <c r="H394" i="1" s="1"/>
  <c r="B394" i="1"/>
  <c r="I393" i="1"/>
  <c r="L393" i="1"/>
  <c r="M393" i="1"/>
  <c r="K393" i="1"/>
  <c r="J393" i="1"/>
  <c r="F393" i="1"/>
  <c r="G393" i="1" s="1"/>
  <c r="I394" i="1" l="1"/>
  <c r="K394" i="1"/>
  <c r="L394" i="1"/>
  <c r="M394" i="1"/>
  <c r="J394" i="1"/>
  <c r="A395" i="1"/>
  <c r="H395" i="1" s="1"/>
  <c r="D395" i="1"/>
  <c r="E395" i="1" s="1"/>
  <c r="C396" i="1"/>
  <c r="B395" i="1"/>
  <c r="F394" i="1"/>
  <c r="G394" i="1" s="1"/>
  <c r="C397" i="1" l="1"/>
  <c r="A396" i="1"/>
  <c r="H396" i="1" s="1"/>
  <c r="B396" i="1"/>
  <c r="D396" i="1"/>
  <c r="E396" i="1" s="1"/>
  <c r="F395" i="1"/>
  <c r="G395" i="1" s="1"/>
  <c r="K395" i="1"/>
  <c r="L395" i="1"/>
  <c r="M395" i="1"/>
  <c r="I395" i="1"/>
  <c r="J395" i="1"/>
  <c r="F396" i="1" l="1"/>
  <c r="G396" i="1" s="1"/>
  <c r="K396" i="1"/>
  <c r="M396" i="1"/>
  <c r="L396" i="1"/>
  <c r="J396" i="1"/>
  <c r="I396" i="1"/>
  <c r="A397" i="1"/>
  <c r="H397" i="1" s="1"/>
  <c r="C398" i="1"/>
  <c r="B397" i="1"/>
  <c r="D397" i="1"/>
  <c r="E397" i="1" s="1"/>
  <c r="E398" i="1" l="1"/>
  <c r="D398" i="1"/>
  <c r="C399" i="1"/>
  <c r="A398" i="1"/>
  <c r="H398" i="1" s="1"/>
  <c r="B398" i="1"/>
  <c r="M397" i="1"/>
  <c r="I397" i="1"/>
  <c r="J397" i="1"/>
  <c r="K397" i="1"/>
  <c r="L397" i="1"/>
  <c r="F397" i="1"/>
  <c r="G397" i="1" s="1"/>
  <c r="I398" i="1" l="1"/>
  <c r="J398" i="1"/>
  <c r="K398" i="1"/>
  <c r="M398" i="1"/>
  <c r="L398" i="1"/>
  <c r="D399" i="1"/>
  <c r="E399" i="1" s="1"/>
  <c r="A399" i="1"/>
  <c r="H399" i="1" s="1"/>
  <c r="C400" i="1"/>
  <c r="B399" i="1"/>
  <c r="F398" i="1"/>
  <c r="G398" i="1" s="1"/>
  <c r="A400" i="1" l="1"/>
  <c r="H400" i="1" s="1"/>
  <c r="B400" i="1"/>
  <c r="C401" i="1"/>
  <c r="D400" i="1"/>
  <c r="E400" i="1" s="1"/>
  <c r="J399" i="1"/>
  <c r="K399" i="1"/>
  <c r="I399" i="1"/>
  <c r="L399" i="1"/>
  <c r="M399" i="1"/>
  <c r="F399" i="1"/>
  <c r="G399" i="1" s="1"/>
  <c r="F400" i="1" l="1"/>
  <c r="G400" i="1" s="1"/>
  <c r="B401" i="1"/>
  <c r="A401" i="1"/>
  <c r="H401" i="1" s="1"/>
  <c r="D401" i="1"/>
  <c r="E401" i="1" s="1"/>
  <c r="C402" i="1"/>
  <c r="L400" i="1"/>
  <c r="J400" i="1"/>
  <c r="I400" i="1"/>
  <c r="M400" i="1"/>
  <c r="K400" i="1"/>
  <c r="D402" i="1" l="1"/>
  <c r="E402" i="1" s="1"/>
  <c r="B402" i="1"/>
  <c r="C403" i="1"/>
  <c r="A402" i="1"/>
  <c r="H402" i="1" s="1"/>
  <c r="F401" i="1"/>
  <c r="G401" i="1" s="1"/>
  <c r="L401" i="1"/>
  <c r="M401" i="1"/>
  <c r="I401" i="1"/>
  <c r="J401" i="1"/>
  <c r="K401" i="1"/>
  <c r="F402" i="1" l="1"/>
  <c r="G402" i="1" s="1"/>
  <c r="L402" i="1"/>
  <c r="J402" i="1"/>
  <c r="M402" i="1"/>
  <c r="I402" i="1"/>
  <c r="K402" i="1"/>
  <c r="A403" i="1"/>
  <c r="H403" i="1" s="1"/>
  <c r="D403" i="1"/>
  <c r="E403" i="1" s="1"/>
  <c r="C404" i="1"/>
  <c r="B403" i="1"/>
  <c r="L403" i="1" l="1"/>
  <c r="M403" i="1"/>
  <c r="I403" i="1"/>
  <c r="J403" i="1"/>
  <c r="K403" i="1"/>
  <c r="F403" i="1"/>
  <c r="G403" i="1" s="1"/>
  <c r="C405" i="1"/>
  <c r="A404" i="1"/>
  <c r="H404" i="1" s="1"/>
  <c r="B404" i="1"/>
  <c r="D404" i="1"/>
  <c r="E404" i="1" s="1"/>
  <c r="K404" i="1" l="1"/>
  <c r="J404" i="1"/>
  <c r="L404" i="1"/>
  <c r="I404" i="1"/>
  <c r="M404" i="1"/>
  <c r="C406" i="1"/>
  <c r="A405" i="1"/>
  <c r="H405" i="1" s="1"/>
  <c r="B405" i="1"/>
  <c r="D405" i="1"/>
  <c r="E405" i="1" s="1"/>
  <c r="F404" i="1"/>
  <c r="G404" i="1" s="1"/>
  <c r="M405" i="1" l="1"/>
  <c r="J405" i="1"/>
  <c r="K405" i="1"/>
  <c r="I405" i="1"/>
  <c r="L405" i="1"/>
  <c r="A406" i="1"/>
  <c r="H406" i="1" s="1"/>
  <c r="D406" i="1"/>
  <c r="E406" i="1" s="1"/>
  <c r="B406" i="1"/>
  <c r="C407" i="1"/>
  <c r="F405" i="1"/>
  <c r="G405" i="1" s="1"/>
  <c r="J406" i="1" l="1"/>
  <c r="M406" i="1"/>
  <c r="I406" i="1"/>
  <c r="L406" i="1"/>
  <c r="K406" i="1"/>
  <c r="A407" i="1"/>
  <c r="H407" i="1" s="1"/>
  <c r="B407" i="1"/>
  <c r="D407" i="1"/>
  <c r="E407" i="1" s="1"/>
  <c r="C408" i="1"/>
  <c r="F406" i="1"/>
  <c r="G406" i="1" s="1"/>
  <c r="F407" i="1" l="1"/>
  <c r="G407" i="1" s="1"/>
  <c r="J407" i="1"/>
  <c r="K407" i="1"/>
  <c r="L407" i="1"/>
  <c r="I407" i="1"/>
  <c r="M407" i="1"/>
  <c r="B408" i="1"/>
  <c r="D408" i="1"/>
  <c r="E408" i="1" s="1"/>
  <c r="A408" i="1"/>
  <c r="H408" i="1" s="1"/>
  <c r="C409" i="1"/>
  <c r="F408" i="1" l="1"/>
  <c r="G408" i="1" s="1"/>
  <c r="D409" i="1"/>
  <c r="E409" i="1" s="1"/>
  <c r="A409" i="1"/>
  <c r="H409" i="1" s="1"/>
  <c r="C410" i="1"/>
  <c r="B409" i="1"/>
  <c r="L408" i="1"/>
  <c r="J408" i="1"/>
  <c r="K408" i="1"/>
  <c r="M408" i="1"/>
  <c r="I408" i="1"/>
  <c r="B410" i="1" l="1"/>
  <c r="D410" i="1"/>
  <c r="E410" i="1" s="1"/>
  <c r="C411" i="1"/>
  <c r="A410" i="1"/>
  <c r="H410" i="1" s="1"/>
  <c r="J409" i="1"/>
  <c r="M409" i="1"/>
  <c r="K409" i="1"/>
  <c r="L409" i="1"/>
  <c r="I409" i="1"/>
  <c r="F409" i="1"/>
  <c r="G409" i="1" s="1"/>
  <c r="L410" i="1" l="1"/>
  <c r="I410" i="1"/>
  <c r="M410" i="1"/>
  <c r="J410" i="1"/>
  <c r="K410" i="1"/>
  <c r="A411" i="1"/>
  <c r="H411" i="1" s="1"/>
  <c r="D411" i="1"/>
  <c r="E411" i="1" s="1"/>
  <c r="B411" i="1"/>
  <c r="C412" i="1"/>
  <c r="F410" i="1"/>
  <c r="G410" i="1" s="1"/>
  <c r="F411" i="1" l="1"/>
  <c r="G411" i="1" s="1"/>
  <c r="K411" i="1"/>
  <c r="M411" i="1"/>
  <c r="L411" i="1"/>
  <c r="J411" i="1"/>
  <c r="I411" i="1"/>
  <c r="D412" i="1"/>
  <c r="E412" i="1" s="1"/>
  <c r="C413" i="1"/>
  <c r="A412" i="1"/>
  <c r="H412" i="1" s="1"/>
  <c r="B412" i="1"/>
  <c r="A413" i="1" l="1"/>
  <c r="H413" i="1" s="1"/>
  <c r="D413" i="1"/>
  <c r="E413" i="1" s="1"/>
  <c r="C414" i="1"/>
  <c r="B413" i="1"/>
  <c r="F412" i="1"/>
  <c r="G412" i="1" s="1"/>
  <c r="I412" i="1"/>
  <c r="K412" i="1"/>
  <c r="J412" i="1"/>
  <c r="M412" i="1"/>
  <c r="L412" i="1"/>
  <c r="C415" i="1" l="1"/>
  <c r="A414" i="1"/>
  <c r="H414" i="1" s="1"/>
  <c r="D414" i="1"/>
  <c r="E414" i="1" s="1"/>
  <c r="B414" i="1"/>
  <c r="F413" i="1"/>
  <c r="G413" i="1" s="1"/>
  <c r="K413" i="1"/>
  <c r="M413" i="1"/>
  <c r="L413" i="1"/>
  <c r="J413" i="1"/>
  <c r="I413" i="1"/>
  <c r="F414" i="1" l="1"/>
  <c r="G414" i="1" s="1"/>
  <c r="J414" i="1"/>
  <c r="I414" i="1"/>
  <c r="M414" i="1"/>
  <c r="K414" i="1"/>
  <c r="L414" i="1"/>
  <c r="C416" i="1"/>
  <c r="A415" i="1"/>
  <c r="H415" i="1" s="1"/>
  <c r="B415" i="1"/>
  <c r="D415" i="1"/>
  <c r="E415" i="1" s="1"/>
  <c r="B416" i="1" l="1"/>
  <c r="C417" i="1"/>
  <c r="D416" i="1"/>
  <c r="E416" i="1" s="1"/>
  <c r="A416" i="1"/>
  <c r="H416" i="1" s="1"/>
  <c r="M415" i="1"/>
  <c r="L415" i="1"/>
  <c r="I415" i="1"/>
  <c r="J415" i="1"/>
  <c r="K415" i="1"/>
  <c r="F415" i="1"/>
  <c r="G415" i="1" s="1"/>
  <c r="L416" i="1" l="1"/>
  <c r="K416" i="1"/>
  <c r="M416" i="1"/>
  <c r="I416" i="1"/>
  <c r="J416" i="1"/>
  <c r="F416" i="1"/>
  <c r="G416" i="1" s="1"/>
  <c r="A417" i="1"/>
  <c r="H417" i="1" s="1"/>
  <c r="C418" i="1"/>
  <c r="B417" i="1"/>
  <c r="D417" i="1"/>
  <c r="E417" i="1" s="1"/>
  <c r="J417" i="1" l="1"/>
  <c r="L417" i="1"/>
  <c r="K417" i="1"/>
  <c r="M417" i="1"/>
  <c r="I417" i="1"/>
  <c r="F417" i="1"/>
  <c r="G417" i="1" s="1"/>
  <c r="B418" i="1"/>
  <c r="D418" i="1"/>
  <c r="E418" i="1" s="1"/>
  <c r="C419" i="1"/>
  <c r="A418" i="1"/>
  <c r="H418" i="1" s="1"/>
  <c r="L418" i="1" l="1"/>
  <c r="K418" i="1"/>
  <c r="I418" i="1"/>
  <c r="J418" i="1"/>
  <c r="M418" i="1"/>
  <c r="A419" i="1"/>
  <c r="H419" i="1" s="1"/>
  <c r="C420" i="1"/>
  <c r="B419" i="1"/>
  <c r="D419" i="1"/>
  <c r="E419" i="1" s="1"/>
  <c r="F418" i="1"/>
  <c r="G418" i="1" s="1"/>
  <c r="F419" i="1" l="1"/>
  <c r="G419" i="1" s="1"/>
  <c r="D420" i="1"/>
  <c r="E420" i="1" s="1"/>
  <c r="A420" i="1"/>
  <c r="H420" i="1" s="1"/>
  <c r="C421" i="1"/>
  <c r="B420" i="1"/>
  <c r="K419" i="1"/>
  <c r="L419" i="1"/>
  <c r="J419" i="1"/>
  <c r="I419" i="1"/>
  <c r="M419" i="1"/>
  <c r="E421" i="1" l="1"/>
  <c r="A421" i="1"/>
  <c r="H421" i="1" s="1"/>
  <c r="D421" i="1"/>
  <c r="B421" i="1"/>
  <c r="C422" i="1"/>
  <c r="I420" i="1"/>
  <c r="J420" i="1"/>
  <c r="K420" i="1"/>
  <c r="L420" i="1"/>
  <c r="M420" i="1"/>
  <c r="F420" i="1"/>
  <c r="G420" i="1" s="1"/>
  <c r="C423" i="1" l="1"/>
  <c r="A422" i="1"/>
  <c r="H422" i="1" s="1"/>
  <c r="D422" i="1"/>
  <c r="E422" i="1" s="1"/>
  <c r="B422" i="1"/>
  <c r="F421" i="1"/>
  <c r="G421" i="1" s="1"/>
  <c r="K421" i="1"/>
  <c r="M421" i="1"/>
  <c r="L421" i="1"/>
  <c r="I421" i="1"/>
  <c r="J421" i="1"/>
  <c r="F422" i="1" l="1"/>
  <c r="G422" i="1" s="1"/>
  <c r="J422" i="1"/>
  <c r="L422" i="1"/>
  <c r="I422" i="1"/>
  <c r="M422" i="1"/>
  <c r="K422" i="1"/>
  <c r="C424" i="1"/>
  <c r="A423" i="1"/>
  <c r="H423" i="1" s="1"/>
  <c r="B423" i="1"/>
  <c r="D423" i="1"/>
  <c r="E423" i="1" s="1"/>
  <c r="B424" i="1" l="1"/>
  <c r="D424" i="1"/>
  <c r="E424" i="1" s="1"/>
  <c r="A424" i="1"/>
  <c r="H424" i="1" s="1"/>
  <c r="C425" i="1"/>
  <c r="L423" i="1"/>
  <c r="M423" i="1"/>
  <c r="I423" i="1"/>
  <c r="J423" i="1"/>
  <c r="K423" i="1"/>
  <c r="F423" i="1"/>
  <c r="G423" i="1" s="1"/>
  <c r="E425" i="1" l="1"/>
  <c r="A425" i="1"/>
  <c r="H425" i="1" s="1"/>
  <c r="C426" i="1"/>
  <c r="D425" i="1"/>
  <c r="B425" i="1"/>
  <c r="J424" i="1"/>
  <c r="I424" i="1"/>
  <c r="K424" i="1"/>
  <c r="L424" i="1"/>
  <c r="M424" i="1"/>
  <c r="F424" i="1"/>
  <c r="G424" i="1" s="1"/>
  <c r="F425" i="1" l="1"/>
  <c r="G425" i="1" s="1"/>
  <c r="B426" i="1"/>
  <c r="D426" i="1"/>
  <c r="E426" i="1" s="1"/>
  <c r="A426" i="1"/>
  <c r="H426" i="1" s="1"/>
  <c r="C427" i="1"/>
  <c r="J425" i="1"/>
  <c r="K425" i="1"/>
  <c r="L425" i="1"/>
  <c r="M425" i="1"/>
  <c r="I425" i="1"/>
  <c r="A427" i="1" l="1"/>
  <c r="H427" i="1" s="1"/>
  <c r="B427" i="1"/>
  <c r="D427" i="1"/>
  <c r="E427" i="1" s="1"/>
  <c r="C428" i="1"/>
  <c r="L426" i="1"/>
  <c r="M426" i="1"/>
  <c r="I426" i="1"/>
  <c r="J426" i="1"/>
  <c r="K426" i="1"/>
  <c r="F426" i="1"/>
  <c r="G426" i="1" s="1"/>
  <c r="D428" i="1" l="1"/>
  <c r="E428" i="1" s="1"/>
  <c r="C429" i="1"/>
  <c r="B428" i="1"/>
  <c r="A428" i="1"/>
  <c r="H428" i="1" s="1"/>
  <c r="F427" i="1"/>
  <c r="G427" i="1" s="1"/>
  <c r="J427" i="1"/>
  <c r="I427" i="1"/>
  <c r="K427" i="1"/>
  <c r="L427" i="1"/>
  <c r="M427" i="1"/>
  <c r="J428" i="1" l="1"/>
  <c r="L428" i="1"/>
  <c r="K428" i="1"/>
  <c r="M428" i="1"/>
  <c r="I428" i="1"/>
  <c r="B429" i="1"/>
  <c r="A429" i="1"/>
  <c r="H429" i="1" s="1"/>
  <c r="C430" i="1"/>
  <c r="D429" i="1"/>
  <c r="E429" i="1" s="1"/>
  <c r="F428" i="1"/>
  <c r="G428" i="1" s="1"/>
  <c r="M429" i="1" l="1"/>
  <c r="L429" i="1"/>
  <c r="J429" i="1"/>
  <c r="I429" i="1"/>
  <c r="K429" i="1"/>
  <c r="C431" i="1"/>
  <c r="B430" i="1"/>
  <c r="D430" i="1"/>
  <c r="E430" i="1" s="1"/>
  <c r="A430" i="1"/>
  <c r="H430" i="1" s="1"/>
  <c r="F429" i="1"/>
  <c r="G429" i="1" s="1"/>
  <c r="K430" i="1" l="1"/>
  <c r="L430" i="1"/>
  <c r="I430" i="1"/>
  <c r="M430" i="1"/>
  <c r="J430" i="1"/>
  <c r="F430" i="1"/>
  <c r="G430" i="1" s="1"/>
  <c r="A431" i="1"/>
  <c r="H431" i="1" s="1"/>
  <c r="B431" i="1"/>
  <c r="C432" i="1"/>
  <c r="D431" i="1"/>
  <c r="E431" i="1" s="1"/>
  <c r="F431" i="1" l="1"/>
  <c r="G431" i="1" s="1"/>
  <c r="B432" i="1"/>
  <c r="D432" i="1"/>
  <c r="E432" i="1" s="1"/>
  <c r="C433" i="1"/>
  <c r="A432" i="1"/>
  <c r="H432" i="1" s="1"/>
  <c r="K431" i="1"/>
  <c r="M431" i="1"/>
  <c r="I431" i="1"/>
  <c r="L431" i="1"/>
  <c r="J431" i="1"/>
  <c r="L432" i="1" l="1"/>
  <c r="M432" i="1"/>
  <c r="K432" i="1"/>
  <c r="I432" i="1"/>
  <c r="J432" i="1"/>
  <c r="A433" i="1"/>
  <c r="H433" i="1" s="1"/>
  <c r="C434" i="1"/>
  <c r="B433" i="1"/>
  <c r="D433" i="1"/>
  <c r="E433" i="1" s="1"/>
  <c r="F432" i="1"/>
  <c r="G432" i="1" s="1"/>
  <c r="J433" i="1" l="1"/>
  <c r="K433" i="1"/>
  <c r="M433" i="1"/>
  <c r="L433" i="1"/>
  <c r="I433" i="1"/>
  <c r="F433" i="1"/>
  <c r="G433" i="1" s="1"/>
  <c r="C435" i="1"/>
  <c r="B434" i="1"/>
  <c r="D434" i="1"/>
  <c r="E434" i="1" s="1"/>
  <c r="A434" i="1"/>
  <c r="H434" i="1" s="1"/>
  <c r="L434" i="1" l="1"/>
  <c r="J434" i="1"/>
  <c r="M434" i="1"/>
  <c r="I434" i="1"/>
  <c r="K434" i="1"/>
  <c r="A435" i="1"/>
  <c r="H435" i="1" s="1"/>
  <c r="B435" i="1"/>
  <c r="C436" i="1"/>
  <c r="D435" i="1"/>
  <c r="E435" i="1" s="1"/>
  <c r="F434" i="1"/>
  <c r="G434" i="1" s="1"/>
  <c r="F435" i="1" l="1"/>
  <c r="G435" i="1" s="1"/>
  <c r="D436" i="1"/>
  <c r="E436" i="1" s="1"/>
  <c r="A436" i="1"/>
  <c r="H436" i="1" s="1"/>
  <c r="C437" i="1"/>
  <c r="B436" i="1"/>
  <c r="K435" i="1"/>
  <c r="L435" i="1"/>
  <c r="M435" i="1"/>
  <c r="J435" i="1"/>
  <c r="I435" i="1"/>
  <c r="A437" i="1" l="1"/>
  <c r="H437" i="1" s="1"/>
  <c r="B437" i="1"/>
  <c r="C438" i="1"/>
  <c r="D437" i="1"/>
  <c r="E437" i="1" s="1"/>
  <c r="I436" i="1"/>
  <c r="L436" i="1"/>
  <c r="M436" i="1"/>
  <c r="K436" i="1"/>
  <c r="J436" i="1"/>
  <c r="F436" i="1"/>
  <c r="G436" i="1" s="1"/>
  <c r="F437" i="1" l="1"/>
  <c r="G437" i="1" s="1"/>
  <c r="C439" i="1"/>
  <c r="A438" i="1"/>
  <c r="H438" i="1" s="1"/>
  <c r="B438" i="1"/>
  <c r="D438" i="1"/>
  <c r="E438" i="1" s="1"/>
  <c r="I437" i="1"/>
  <c r="J437" i="1"/>
  <c r="K437" i="1"/>
  <c r="M437" i="1"/>
  <c r="L437" i="1"/>
  <c r="F438" i="1" l="1"/>
  <c r="G438" i="1" s="1"/>
  <c r="I438" i="1"/>
  <c r="M438" i="1"/>
  <c r="J438" i="1"/>
  <c r="K438" i="1"/>
  <c r="L438" i="1"/>
  <c r="C440" i="1"/>
  <c r="A439" i="1"/>
  <c r="H439" i="1" s="1"/>
  <c r="B439" i="1"/>
  <c r="D439" i="1"/>
  <c r="E439" i="1" s="1"/>
  <c r="M439" i="1" l="1"/>
  <c r="L439" i="1"/>
  <c r="J439" i="1"/>
  <c r="I439" i="1"/>
  <c r="K439" i="1"/>
  <c r="B440" i="1"/>
  <c r="D440" i="1"/>
  <c r="E440" i="1" s="1"/>
  <c r="A440" i="1"/>
  <c r="H440" i="1" s="1"/>
  <c r="C441" i="1"/>
  <c r="F439" i="1"/>
  <c r="G439" i="1" s="1"/>
  <c r="J440" i="1" l="1"/>
  <c r="L440" i="1"/>
  <c r="M440" i="1"/>
  <c r="K440" i="1"/>
  <c r="I440" i="1"/>
  <c r="F440" i="1"/>
  <c r="G440" i="1" s="1"/>
  <c r="A441" i="1"/>
  <c r="H441" i="1" s="1"/>
  <c r="D441" i="1"/>
  <c r="E441" i="1" s="1"/>
  <c r="C442" i="1"/>
  <c r="B441" i="1"/>
  <c r="J441" i="1" l="1"/>
  <c r="M441" i="1"/>
  <c r="K441" i="1"/>
  <c r="L441" i="1"/>
  <c r="I441" i="1"/>
  <c r="B442" i="1"/>
  <c r="C443" i="1"/>
  <c r="D442" i="1"/>
  <c r="E442" i="1" s="1"/>
  <c r="A442" i="1"/>
  <c r="H442" i="1" s="1"/>
  <c r="F441" i="1"/>
  <c r="G441" i="1" s="1"/>
  <c r="F442" i="1" l="1"/>
  <c r="G442" i="1" s="1"/>
  <c r="A443" i="1"/>
  <c r="H443" i="1" s="1"/>
  <c r="B443" i="1"/>
  <c r="D443" i="1"/>
  <c r="E443" i="1" s="1"/>
  <c r="C444" i="1"/>
  <c r="I442" i="1"/>
  <c r="L442" i="1"/>
  <c r="J442" i="1"/>
  <c r="M442" i="1"/>
  <c r="K442" i="1"/>
  <c r="F443" i="1" l="1"/>
  <c r="G443" i="1" s="1"/>
  <c r="D444" i="1"/>
  <c r="E444" i="1" s="1"/>
  <c r="A444" i="1"/>
  <c r="H444" i="1" s="1"/>
  <c r="C445" i="1"/>
  <c r="B444" i="1"/>
  <c r="I443" i="1"/>
  <c r="K443" i="1"/>
  <c r="J443" i="1"/>
  <c r="L443" i="1"/>
  <c r="M443" i="1"/>
  <c r="A445" i="1" l="1"/>
  <c r="H445" i="1" s="1"/>
  <c r="D445" i="1"/>
  <c r="E445" i="1" s="1"/>
  <c r="B445" i="1"/>
  <c r="C446" i="1"/>
  <c r="J444" i="1"/>
  <c r="M444" i="1"/>
  <c r="I444" i="1"/>
  <c r="L444" i="1"/>
  <c r="K444" i="1"/>
  <c r="F444" i="1"/>
  <c r="G444" i="1" s="1"/>
  <c r="C447" i="1" l="1"/>
  <c r="B446" i="1"/>
  <c r="A446" i="1"/>
  <c r="H446" i="1" s="1"/>
  <c r="D446" i="1"/>
  <c r="E446" i="1" s="1"/>
  <c r="F445" i="1"/>
  <c r="G445" i="1" s="1"/>
  <c r="M445" i="1"/>
  <c r="I445" i="1"/>
  <c r="L445" i="1"/>
  <c r="J445" i="1"/>
  <c r="K445" i="1"/>
  <c r="F446" i="1" l="1"/>
  <c r="G446" i="1" s="1"/>
  <c r="M446" i="1"/>
  <c r="J446" i="1"/>
  <c r="K446" i="1"/>
  <c r="L446" i="1"/>
  <c r="I446" i="1"/>
  <c r="C448" i="1"/>
  <c r="B447" i="1"/>
  <c r="D447" i="1"/>
  <c r="E447" i="1" s="1"/>
  <c r="A447" i="1"/>
  <c r="H447" i="1" s="1"/>
  <c r="B448" i="1" l="1"/>
  <c r="A448" i="1"/>
  <c r="H448" i="1" s="1"/>
  <c r="D448" i="1"/>
  <c r="E448" i="1" s="1"/>
  <c r="C449" i="1"/>
  <c r="I447" i="1"/>
  <c r="K447" i="1"/>
  <c r="L447" i="1"/>
  <c r="J447" i="1"/>
  <c r="M447" i="1"/>
  <c r="F447" i="1"/>
  <c r="G447" i="1" s="1"/>
  <c r="A449" i="1" l="1"/>
  <c r="H449" i="1" s="1"/>
  <c r="D449" i="1"/>
  <c r="E449" i="1" s="1"/>
  <c r="C450" i="1"/>
  <c r="B449" i="1"/>
  <c r="F448" i="1"/>
  <c r="G448" i="1" s="1"/>
  <c r="J448" i="1"/>
  <c r="K448" i="1"/>
  <c r="L448" i="1"/>
  <c r="M448" i="1"/>
  <c r="I448" i="1"/>
  <c r="A450" i="1" l="1"/>
  <c r="H450" i="1" s="1"/>
  <c r="C451" i="1"/>
  <c r="D450" i="1"/>
  <c r="E450" i="1" s="1"/>
  <c r="B450" i="1"/>
  <c r="F449" i="1"/>
  <c r="G449" i="1" s="1"/>
  <c r="L449" i="1"/>
  <c r="J449" i="1"/>
  <c r="M449" i="1"/>
  <c r="I449" i="1"/>
  <c r="K449" i="1"/>
  <c r="F450" i="1" l="1"/>
  <c r="G450" i="1" s="1"/>
  <c r="D451" i="1"/>
  <c r="E451" i="1" s="1"/>
  <c r="C452" i="1"/>
  <c r="A451" i="1"/>
  <c r="H451" i="1" s="1"/>
  <c r="B451" i="1"/>
  <c r="K450" i="1"/>
  <c r="M450" i="1"/>
  <c r="L450" i="1"/>
  <c r="J450" i="1"/>
  <c r="I450" i="1"/>
  <c r="I451" i="1" l="1"/>
  <c r="L451" i="1"/>
  <c r="J451" i="1"/>
  <c r="K451" i="1"/>
  <c r="M451" i="1"/>
  <c r="A452" i="1"/>
  <c r="H452" i="1" s="1"/>
  <c r="D452" i="1"/>
  <c r="E452" i="1" s="1"/>
  <c r="B452" i="1"/>
  <c r="C453" i="1"/>
  <c r="F451" i="1"/>
  <c r="G451" i="1" s="1"/>
  <c r="F452" i="1" l="1"/>
  <c r="G452" i="1" s="1"/>
  <c r="I452" i="1"/>
  <c r="K452" i="1"/>
  <c r="M452" i="1"/>
  <c r="J452" i="1"/>
  <c r="L452" i="1"/>
  <c r="C454" i="1"/>
  <c r="A453" i="1"/>
  <c r="H453" i="1" s="1"/>
  <c r="B453" i="1"/>
  <c r="D453" i="1"/>
  <c r="E453" i="1" s="1"/>
  <c r="C455" i="1" l="1"/>
  <c r="D454" i="1"/>
  <c r="E454" i="1" s="1"/>
  <c r="B454" i="1"/>
  <c r="A454" i="1"/>
  <c r="H454" i="1" s="1"/>
  <c r="J453" i="1"/>
  <c r="I453" i="1"/>
  <c r="M453" i="1"/>
  <c r="K453" i="1"/>
  <c r="L453" i="1"/>
  <c r="F453" i="1"/>
  <c r="G453" i="1" s="1"/>
  <c r="I454" i="1" l="1"/>
  <c r="L454" i="1"/>
  <c r="K454" i="1"/>
  <c r="J454" i="1"/>
  <c r="M454" i="1"/>
  <c r="F454" i="1"/>
  <c r="G454" i="1" s="1"/>
  <c r="B455" i="1"/>
  <c r="D455" i="1"/>
  <c r="E455" i="1" s="1"/>
  <c r="C456" i="1"/>
  <c r="A455" i="1"/>
  <c r="H455" i="1" s="1"/>
  <c r="J455" i="1" l="1"/>
  <c r="L455" i="1"/>
  <c r="M455" i="1"/>
  <c r="K455" i="1"/>
  <c r="I455" i="1"/>
  <c r="A456" i="1"/>
  <c r="H456" i="1" s="1"/>
  <c r="D456" i="1"/>
  <c r="E456" i="1" s="1"/>
  <c r="C457" i="1"/>
  <c r="B456" i="1"/>
  <c r="F455" i="1"/>
  <c r="G455" i="1" s="1"/>
  <c r="F456" i="1" l="1"/>
  <c r="G456" i="1" s="1"/>
  <c r="B457" i="1"/>
  <c r="D457" i="1"/>
  <c r="E457" i="1" s="1"/>
  <c r="C458" i="1"/>
  <c r="A457" i="1"/>
  <c r="H457" i="1" s="1"/>
  <c r="J456" i="1"/>
  <c r="K456" i="1"/>
  <c r="L456" i="1"/>
  <c r="M456" i="1"/>
  <c r="I456" i="1"/>
  <c r="L457" i="1" l="1"/>
  <c r="J457" i="1"/>
  <c r="K457" i="1"/>
  <c r="I457" i="1"/>
  <c r="M457" i="1"/>
  <c r="A458" i="1"/>
  <c r="H458" i="1" s="1"/>
  <c r="B458" i="1"/>
  <c r="C459" i="1"/>
  <c r="D458" i="1"/>
  <c r="E458" i="1" s="1"/>
  <c r="F457" i="1"/>
  <c r="G457" i="1" s="1"/>
  <c r="F458" i="1" l="1"/>
  <c r="G458" i="1" s="1"/>
  <c r="D459" i="1"/>
  <c r="E459" i="1" s="1"/>
  <c r="C460" i="1"/>
  <c r="B459" i="1"/>
  <c r="A459" i="1"/>
  <c r="H459" i="1" s="1"/>
  <c r="J458" i="1"/>
  <c r="I458" i="1"/>
  <c r="K458" i="1"/>
  <c r="L458" i="1"/>
  <c r="M458" i="1"/>
  <c r="J459" i="1" l="1"/>
  <c r="M459" i="1"/>
  <c r="K459" i="1"/>
  <c r="L459" i="1"/>
  <c r="I459" i="1"/>
  <c r="A460" i="1"/>
  <c r="H460" i="1" s="1"/>
  <c r="D460" i="1"/>
  <c r="E460" i="1" s="1"/>
  <c r="C461" i="1"/>
  <c r="B460" i="1"/>
  <c r="F459" i="1"/>
  <c r="G459" i="1" s="1"/>
  <c r="F460" i="1" l="1"/>
  <c r="G460" i="1" s="1"/>
  <c r="C462" i="1"/>
  <c r="D461" i="1"/>
  <c r="E461" i="1" s="1"/>
  <c r="A461" i="1"/>
  <c r="H461" i="1" s="1"/>
  <c r="B461" i="1"/>
  <c r="M460" i="1"/>
  <c r="I460" i="1"/>
  <c r="J460" i="1"/>
  <c r="K460" i="1"/>
  <c r="L460" i="1"/>
  <c r="J461" i="1" l="1"/>
  <c r="K461" i="1"/>
  <c r="I461" i="1"/>
  <c r="M461" i="1"/>
  <c r="L461" i="1"/>
  <c r="F461" i="1"/>
  <c r="G461" i="1" s="1"/>
  <c r="C463" i="1"/>
  <c r="A462" i="1"/>
  <c r="H462" i="1" s="1"/>
  <c r="B462" i="1"/>
  <c r="D462" i="1"/>
  <c r="E462" i="1" s="1"/>
  <c r="B463" i="1" l="1"/>
  <c r="D463" i="1"/>
  <c r="E463" i="1" s="1"/>
  <c r="A463" i="1"/>
  <c r="H463" i="1" s="1"/>
  <c r="C464" i="1"/>
  <c r="K462" i="1"/>
  <c r="M462" i="1"/>
  <c r="J462" i="1"/>
  <c r="I462" i="1"/>
  <c r="L462" i="1"/>
  <c r="F462" i="1"/>
  <c r="G462" i="1" s="1"/>
  <c r="A464" i="1" l="1"/>
  <c r="H464" i="1" s="1"/>
  <c r="C465" i="1"/>
  <c r="B464" i="1"/>
  <c r="D464" i="1"/>
  <c r="E464" i="1" s="1"/>
  <c r="J463" i="1"/>
  <c r="I463" i="1"/>
  <c r="K463" i="1"/>
  <c r="L463" i="1"/>
  <c r="M463" i="1"/>
  <c r="F463" i="1"/>
  <c r="G463" i="1" s="1"/>
  <c r="F464" i="1" l="1"/>
  <c r="G464" i="1" s="1"/>
  <c r="B465" i="1"/>
  <c r="A465" i="1"/>
  <c r="H465" i="1" s="1"/>
  <c r="D465" i="1"/>
  <c r="E465" i="1" s="1"/>
  <c r="C466" i="1"/>
  <c r="J464" i="1"/>
  <c r="K464" i="1"/>
  <c r="M464" i="1"/>
  <c r="L464" i="1"/>
  <c r="I464" i="1"/>
  <c r="A466" i="1" l="1"/>
  <c r="H466" i="1" s="1"/>
  <c r="B466" i="1"/>
  <c r="D466" i="1"/>
  <c r="E466" i="1" s="1"/>
  <c r="C467" i="1"/>
  <c r="F465" i="1"/>
  <c r="G465" i="1" s="1"/>
  <c r="L465" i="1"/>
  <c r="M465" i="1"/>
  <c r="I465" i="1"/>
  <c r="K465" i="1"/>
  <c r="J465" i="1"/>
  <c r="D467" i="1" l="1"/>
  <c r="E467" i="1" s="1"/>
  <c r="C468" i="1"/>
  <c r="A467" i="1"/>
  <c r="H467" i="1" s="1"/>
  <c r="B467" i="1"/>
  <c r="F466" i="1"/>
  <c r="G466" i="1" s="1"/>
  <c r="I466" i="1"/>
  <c r="K466" i="1"/>
  <c r="M466" i="1"/>
  <c r="J466" i="1"/>
  <c r="L466" i="1"/>
  <c r="J467" i="1" l="1"/>
  <c r="L467" i="1"/>
  <c r="M467" i="1"/>
  <c r="K467" i="1"/>
  <c r="I467" i="1"/>
  <c r="A468" i="1"/>
  <c r="H468" i="1" s="1"/>
  <c r="D468" i="1"/>
  <c r="E468" i="1" s="1"/>
  <c r="C469" i="1"/>
  <c r="B468" i="1"/>
  <c r="F467" i="1"/>
  <c r="G467" i="1" s="1"/>
  <c r="F468" i="1" l="1"/>
  <c r="G468" i="1" s="1"/>
  <c r="C470" i="1"/>
  <c r="D469" i="1"/>
  <c r="E469" i="1" s="1"/>
  <c r="A469" i="1"/>
  <c r="H469" i="1" s="1"/>
  <c r="B469" i="1"/>
  <c r="M468" i="1"/>
  <c r="L468" i="1"/>
  <c r="J468" i="1"/>
  <c r="I468" i="1"/>
  <c r="K468" i="1"/>
  <c r="J469" i="1" l="1"/>
  <c r="K469" i="1"/>
  <c r="L469" i="1"/>
  <c r="I469" i="1"/>
  <c r="M469" i="1"/>
  <c r="F469" i="1"/>
  <c r="G469" i="1" s="1"/>
  <c r="C471" i="1"/>
  <c r="D470" i="1"/>
  <c r="E470" i="1" s="1"/>
  <c r="A470" i="1"/>
  <c r="H470" i="1" s="1"/>
  <c r="B470" i="1"/>
  <c r="F470" i="1" l="1"/>
  <c r="G470" i="1" s="1"/>
  <c r="B471" i="1"/>
  <c r="D471" i="1"/>
  <c r="E471" i="1" s="1"/>
  <c r="C472" i="1"/>
  <c r="A471" i="1"/>
  <c r="H471" i="1" s="1"/>
  <c r="J470" i="1"/>
  <c r="M470" i="1"/>
  <c r="I470" i="1"/>
  <c r="K470" i="1"/>
  <c r="L470" i="1"/>
  <c r="L471" i="1" l="1"/>
  <c r="K471" i="1"/>
  <c r="I471" i="1"/>
  <c r="J471" i="1"/>
  <c r="M471" i="1"/>
  <c r="A472" i="1"/>
  <c r="H472" i="1" s="1"/>
  <c r="C473" i="1"/>
  <c r="D472" i="1"/>
  <c r="E472" i="1" s="1"/>
  <c r="B472" i="1"/>
  <c r="F471" i="1"/>
  <c r="G471" i="1" s="1"/>
  <c r="B473" i="1" l="1"/>
  <c r="D473" i="1"/>
  <c r="E473" i="1" s="1"/>
  <c r="C474" i="1"/>
  <c r="A473" i="1"/>
  <c r="H473" i="1" s="1"/>
  <c r="F472" i="1"/>
  <c r="G472" i="1" s="1"/>
  <c r="J472" i="1"/>
  <c r="K472" i="1"/>
  <c r="M472" i="1"/>
  <c r="I472" i="1"/>
  <c r="L472" i="1"/>
  <c r="L473" i="1" l="1"/>
  <c r="J473" i="1"/>
  <c r="K473" i="1"/>
  <c r="M473" i="1"/>
  <c r="I473" i="1"/>
  <c r="A474" i="1"/>
  <c r="H474" i="1" s="1"/>
  <c r="B474" i="1"/>
  <c r="D474" i="1"/>
  <c r="E474" i="1" s="1"/>
  <c r="C475" i="1"/>
  <c r="F473" i="1"/>
  <c r="G473" i="1" s="1"/>
  <c r="F474" i="1" l="1"/>
  <c r="G474" i="1" s="1"/>
  <c r="I474" i="1"/>
  <c r="K474" i="1"/>
  <c r="M474" i="1"/>
  <c r="J474" i="1"/>
  <c r="L474" i="1"/>
  <c r="D475" i="1"/>
  <c r="E475" i="1" s="1"/>
  <c r="B475" i="1"/>
  <c r="C476" i="1"/>
  <c r="A475" i="1"/>
  <c r="H475" i="1" s="1"/>
  <c r="F475" i="1" l="1"/>
  <c r="G475" i="1" s="1"/>
  <c r="J475" i="1"/>
  <c r="L475" i="1"/>
  <c r="K475" i="1"/>
  <c r="M475" i="1"/>
  <c r="I475" i="1"/>
  <c r="A476" i="1"/>
  <c r="H476" i="1" s="1"/>
  <c r="D476" i="1"/>
  <c r="E476" i="1" s="1"/>
  <c r="B476" i="1"/>
  <c r="C477" i="1"/>
  <c r="F476" i="1" l="1"/>
  <c r="G476" i="1" s="1"/>
  <c r="M476" i="1"/>
  <c r="I476" i="1"/>
  <c r="L476" i="1"/>
  <c r="K476" i="1"/>
  <c r="J476" i="1"/>
  <c r="C478" i="1"/>
  <c r="A477" i="1"/>
  <c r="H477" i="1" s="1"/>
  <c r="B477" i="1"/>
  <c r="D477" i="1"/>
  <c r="E477" i="1" s="1"/>
  <c r="C479" i="1" l="1"/>
  <c r="A478" i="1"/>
  <c r="H478" i="1" s="1"/>
  <c r="B478" i="1"/>
  <c r="D478" i="1"/>
  <c r="E478" i="1" s="1"/>
  <c r="J477" i="1"/>
  <c r="K477" i="1"/>
  <c r="L477" i="1"/>
  <c r="I477" i="1"/>
  <c r="M477" i="1"/>
  <c r="F477" i="1"/>
  <c r="G477" i="1" s="1"/>
  <c r="F478" i="1" l="1"/>
  <c r="G478" i="1" s="1"/>
  <c r="I478" i="1"/>
  <c r="J478" i="1"/>
  <c r="M478" i="1"/>
  <c r="K478" i="1"/>
  <c r="L478" i="1"/>
  <c r="B479" i="1"/>
  <c r="A479" i="1"/>
  <c r="H479" i="1" s="1"/>
  <c r="C480" i="1"/>
  <c r="D479" i="1"/>
  <c r="E479" i="1" s="1"/>
  <c r="J479" i="1" l="1"/>
  <c r="L479" i="1"/>
  <c r="M479" i="1"/>
  <c r="I479" i="1"/>
  <c r="K479" i="1"/>
  <c r="F479" i="1"/>
  <c r="G479" i="1" s="1"/>
  <c r="C481" i="1"/>
  <c r="B480" i="1"/>
  <c r="D480" i="1"/>
  <c r="E480" i="1" s="1"/>
  <c r="A480" i="1"/>
  <c r="H480" i="1" s="1"/>
  <c r="B481" i="1" l="1"/>
  <c r="D481" i="1"/>
  <c r="E481" i="1" s="1"/>
  <c r="C482" i="1"/>
  <c r="A481" i="1"/>
  <c r="H481" i="1" s="1"/>
  <c r="I480" i="1"/>
  <c r="K480" i="1"/>
  <c r="L480" i="1"/>
  <c r="M480" i="1"/>
  <c r="J480" i="1"/>
  <c r="F480" i="1"/>
  <c r="G480" i="1" s="1"/>
  <c r="J481" i="1" l="1"/>
  <c r="L481" i="1"/>
  <c r="M481" i="1"/>
  <c r="I481" i="1"/>
  <c r="K481" i="1"/>
  <c r="A482" i="1"/>
  <c r="H482" i="1" s="1"/>
  <c r="B482" i="1"/>
  <c r="D482" i="1"/>
  <c r="E482" i="1" s="1"/>
  <c r="C483" i="1"/>
  <c r="F481" i="1"/>
  <c r="G481" i="1" s="1"/>
  <c r="F482" i="1" l="1"/>
  <c r="G482" i="1" s="1"/>
  <c r="J482" i="1"/>
  <c r="M482" i="1"/>
  <c r="I482" i="1"/>
  <c r="K482" i="1"/>
  <c r="L482" i="1"/>
  <c r="B483" i="1"/>
  <c r="D483" i="1"/>
  <c r="E483" i="1" s="1"/>
  <c r="C484" i="1"/>
  <c r="A483" i="1"/>
  <c r="H483" i="1" s="1"/>
  <c r="F483" i="1" l="1"/>
  <c r="G483" i="1" s="1"/>
  <c r="J483" i="1"/>
  <c r="L483" i="1"/>
  <c r="I483" i="1"/>
  <c r="K483" i="1"/>
  <c r="M483" i="1"/>
  <c r="A484" i="1"/>
  <c r="H484" i="1" s="1"/>
  <c r="D484" i="1"/>
  <c r="E484" i="1" s="1"/>
  <c r="B484" i="1"/>
  <c r="C485" i="1"/>
  <c r="F484" i="1" l="1"/>
  <c r="G484" i="1" s="1"/>
  <c r="K484" i="1"/>
  <c r="L484" i="1"/>
  <c r="M484" i="1"/>
  <c r="J484" i="1"/>
  <c r="I484" i="1"/>
  <c r="D485" i="1"/>
  <c r="E485" i="1" s="1"/>
  <c r="C486" i="1"/>
  <c r="A485" i="1"/>
  <c r="H485" i="1" s="1"/>
  <c r="B485" i="1"/>
  <c r="A486" i="1" l="1"/>
  <c r="H486" i="1" s="1"/>
  <c r="D486" i="1"/>
  <c r="E486" i="1" s="1"/>
  <c r="B486" i="1"/>
  <c r="C487" i="1"/>
  <c r="F485" i="1"/>
  <c r="G485" i="1" s="1"/>
  <c r="K485" i="1"/>
  <c r="L485" i="1"/>
  <c r="J485" i="1"/>
  <c r="M485" i="1"/>
  <c r="I485" i="1"/>
  <c r="E487" i="1" l="1"/>
  <c r="A487" i="1"/>
  <c r="H487" i="1" s="1"/>
  <c r="B487" i="1"/>
  <c r="C488" i="1"/>
  <c r="D487" i="1"/>
  <c r="F486" i="1"/>
  <c r="G486" i="1" s="1"/>
  <c r="L486" i="1"/>
  <c r="J486" i="1"/>
  <c r="K486" i="1"/>
  <c r="M486" i="1"/>
  <c r="I486" i="1"/>
  <c r="F487" i="1" l="1"/>
  <c r="G487" i="1" s="1"/>
  <c r="C489" i="1"/>
  <c r="A488" i="1"/>
  <c r="H488" i="1" s="1"/>
  <c r="D488" i="1"/>
  <c r="E488" i="1" s="1"/>
  <c r="B488" i="1"/>
  <c r="J487" i="1"/>
  <c r="K487" i="1"/>
  <c r="L487" i="1"/>
  <c r="M487" i="1"/>
  <c r="I487" i="1"/>
  <c r="F488" i="1" l="1"/>
  <c r="G488" i="1" s="1"/>
  <c r="K488" i="1"/>
  <c r="M488" i="1"/>
  <c r="I488" i="1"/>
  <c r="L488" i="1"/>
  <c r="J488" i="1"/>
  <c r="B489" i="1"/>
  <c r="D489" i="1"/>
  <c r="E489" i="1" s="1"/>
  <c r="A489" i="1"/>
  <c r="H489" i="1" s="1"/>
  <c r="C490" i="1"/>
  <c r="E490" i="1" l="1"/>
  <c r="F489" i="1"/>
  <c r="G489" i="1" s="1"/>
  <c r="D490" i="1"/>
  <c r="B490" i="1"/>
  <c r="C491" i="1"/>
  <c r="A490" i="1"/>
  <c r="H490" i="1" s="1"/>
  <c r="M489" i="1"/>
  <c r="J489" i="1"/>
  <c r="L489" i="1"/>
  <c r="I489" i="1"/>
  <c r="K489" i="1"/>
  <c r="K490" i="1" l="1"/>
  <c r="L490" i="1"/>
  <c r="I490" i="1"/>
  <c r="J490" i="1"/>
  <c r="M490" i="1"/>
  <c r="B491" i="1"/>
  <c r="D491" i="1"/>
  <c r="E491" i="1" s="1"/>
  <c r="C492" i="1"/>
  <c r="A491" i="1"/>
  <c r="H491" i="1" s="1"/>
  <c r="F490" i="1"/>
  <c r="G490" i="1" s="1"/>
  <c r="F491" i="1" l="1"/>
  <c r="G491" i="1" s="1"/>
  <c r="A492" i="1"/>
  <c r="H492" i="1" s="1"/>
  <c r="B492" i="1"/>
  <c r="C493" i="1"/>
  <c r="D492" i="1"/>
  <c r="E492" i="1" s="1"/>
  <c r="K491" i="1"/>
  <c r="M491" i="1"/>
  <c r="I491" i="1"/>
  <c r="L491" i="1"/>
  <c r="J491" i="1"/>
  <c r="E493" i="1" l="1"/>
  <c r="F492" i="1"/>
  <c r="G492" i="1" s="1"/>
  <c r="D493" i="1"/>
  <c r="B493" i="1"/>
  <c r="C494" i="1"/>
  <c r="A493" i="1"/>
  <c r="H493" i="1" s="1"/>
  <c r="L492" i="1"/>
  <c r="M492" i="1"/>
  <c r="J492" i="1"/>
  <c r="K492" i="1"/>
  <c r="I492" i="1"/>
  <c r="E494" i="1" l="1"/>
  <c r="D494" i="1"/>
  <c r="A494" i="1"/>
  <c r="H494" i="1" s="1"/>
  <c r="C495" i="1"/>
  <c r="B494" i="1"/>
  <c r="M493" i="1"/>
  <c r="I493" i="1"/>
  <c r="J493" i="1"/>
  <c r="K493" i="1"/>
  <c r="L493" i="1"/>
  <c r="F493" i="1"/>
  <c r="G493" i="1" s="1"/>
  <c r="A495" i="1" l="1"/>
  <c r="H495" i="1" s="1"/>
  <c r="B495" i="1"/>
  <c r="D495" i="1"/>
  <c r="E495" i="1" s="1"/>
  <c r="C496" i="1"/>
  <c r="M494" i="1"/>
  <c r="L494" i="1"/>
  <c r="K494" i="1"/>
  <c r="J494" i="1"/>
  <c r="I494" i="1"/>
  <c r="F494" i="1"/>
  <c r="G494" i="1" s="1"/>
  <c r="A496" i="1" l="1"/>
  <c r="H496" i="1" s="1"/>
  <c r="C497" i="1"/>
  <c r="B496" i="1"/>
  <c r="D496" i="1"/>
  <c r="E496" i="1" s="1"/>
  <c r="F495" i="1"/>
  <c r="G495" i="1" s="1"/>
  <c r="J495" i="1"/>
  <c r="K495" i="1"/>
  <c r="L495" i="1"/>
  <c r="I495" i="1"/>
  <c r="M495" i="1"/>
  <c r="F496" i="1" l="1"/>
  <c r="G496" i="1" s="1"/>
  <c r="B497" i="1"/>
  <c r="D497" i="1"/>
  <c r="E497" i="1" s="1"/>
  <c r="C498" i="1"/>
  <c r="A497" i="1"/>
  <c r="H497" i="1" s="1"/>
  <c r="I496" i="1"/>
  <c r="J496" i="1"/>
  <c r="K496" i="1"/>
  <c r="L496" i="1"/>
  <c r="M496" i="1"/>
  <c r="B498" i="1" l="1"/>
  <c r="C499" i="1"/>
  <c r="D498" i="1"/>
  <c r="E498" i="1" s="1"/>
  <c r="A498" i="1"/>
  <c r="H498" i="1" s="1"/>
  <c r="J497" i="1"/>
  <c r="L497" i="1"/>
  <c r="M497" i="1"/>
  <c r="K497" i="1"/>
  <c r="I497" i="1"/>
  <c r="F497" i="1"/>
  <c r="G497" i="1" s="1"/>
  <c r="J498" i="1" l="1"/>
  <c r="L498" i="1"/>
  <c r="K498" i="1"/>
  <c r="I498" i="1"/>
  <c r="M498" i="1"/>
  <c r="F498" i="1"/>
  <c r="G498" i="1" s="1"/>
  <c r="B499" i="1"/>
  <c r="D499" i="1"/>
  <c r="E499" i="1" s="1"/>
  <c r="C500" i="1"/>
  <c r="A499" i="1"/>
  <c r="H499" i="1" s="1"/>
  <c r="L499" i="1" l="1"/>
  <c r="I499" i="1"/>
  <c r="J499" i="1"/>
  <c r="K499" i="1"/>
  <c r="M499" i="1"/>
  <c r="C501" i="1"/>
  <c r="D500" i="1"/>
  <c r="E500" i="1" s="1"/>
  <c r="A500" i="1"/>
  <c r="H500" i="1" s="1"/>
  <c r="B500" i="1"/>
  <c r="F499" i="1"/>
  <c r="G499" i="1" s="1"/>
  <c r="K500" i="1" l="1"/>
  <c r="J500" i="1"/>
  <c r="L500" i="1"/>
  <c r="I500" i="1"/>
  <c r="M500" i="1"/>
  <c r="F500" i="1"/>
  <c r="G500" i="1" s="1"/>
  <c r="C502" i="1"/>
  <c r="D501" i="1"/>
  <c r="E501" i="1" s="1"/>
  <c r="A501" i="1"/>
  <c r="H501" i="1" s="1"/>
  <c r="B501" i="1"/>
  <c r="J501" i="1" l="1"/>
  <c r="I501" i="1"/>
  <c r="K501" i="1"/>
  <c r="L501" i="1"/>
  <c r="M501" i="1"/>
  <c r="A502" i="1"/>
  <c r="H502" i="1" s="1"/>
  <c r="B502" i="1"/>
  <c r="C503" i="1"/>
  <c r="D502" i="1"/>
  <c r="E502" i="1" s="1"/>
  <c r="F501" i="1"/>
  <c r="G501" i="1" s="1"/>
  <c r="C504" i="1" l="1"/>
  <c r="A503" i="1"/>
  <c r="H503" i="1" s="1"/>
  <c r="B503" i="1"/>
  <c r="D503" i="1"/>
  <c r="E503" i="1" s="1"/>
  <c r="M502" i="1"/>
  <c r="L502" i="1"/>
  <c r="J502" i="1"/>
  <c r="K502" i="1"/>
  <c r="I502" i="1"/>
  <c r="F502" i="1"/>
  <c r="G502" i="1" s="1"/>
  <c r="F503" i="1" l="1"/>
  <c r="G503" i="1" s="1"/>
  <c r="I503" i="1"/>
  <c r="K503" i="1"/>
  <c r="M503" i="1"/>
  <c r="L503" i="1"/>
  <c r="J503" i="1"/>
  <c r="A504" i="1"/>
  <c r="H504" i="1" s="1"/>
  <c r="C505" i="1"/>
  <c r="B504" i="1"/>
  <c r="D504" i="1"/>
  <c r="E504" i="1" s="1"/>
  <c r="B505" i="1" l="1"/>
  <c r="D505" i="1"/>
  <c r="E505" i="1" s="1"/>
  <c r="A505" i="1"/>
  <c r="H505" i="1" s="1"/>
  <c r="C506" i="1"/>
  <c r="I504" i="1"/>
  <c r="J504" i="1"/>
  <c r="K504" i="1"/>
  <c r="M504" i="1"/>
  <c r="L504" i="1"/>
  <c r="F504" i="1"/>
  <c r="G504" i="1" s="1"/>
  <c r="A506" i="1" l="1"/>
  <c r="H506" i="1" s="1"/>
  <c r="D506" i="1"/>
  <c r="E506" i="1" s="1"/>
  <c r="C507" i="1"/>
  <c r="B506" i="1"/>
  <c r="I505" i="1"/>
  <c r="K505" i="1"/>
  <c r="J505" i="1"/>
  <c r="L505" i="1"/>
  <c r="M505" i="1"/>
  <c r="F505" i="1"/>
  <c r="G505" i="1" s="1"/>
  <c r="B507" i="1" l="1"/>
  <c r="D507" i="1"/>
  <c r="E507" i="1" s="1"/>
  <c r="C508" i="1"/>
  <c r="A507" i="1"/>
  <c r="H507" i="1" s="1"/>
  <c r="F506" i="1"/>
  <c r="G506" i="1" s="1"/>
  <c r="L506" i="1"/>
  <c r="M506" i="1"/>
  <c r="I506" i="1"/>
  <c r="K506" i="1"/>
  <c r="J506" i="1"/>
  <c r="K507" i="1" l="1"/>
  <c r="M507" i="1"/>
  <c r="L507" i="1"/>
  <c r="I507" i="1"/>
  <c r="J507" i="1"/>
  <c r="A508" i="1"/>
  <c r="H508" i="1" s="1"/>
  <c r="B508" i="1"/>
  <c r="D508" i="1"/>
  <c r="E508" i="1" s="1"/>
  <c r="C509" i="1"/>
  <c r="F507" i="1"/>
  <c r="G507" i="1" s="1"/>
  <c r="D509" i="1" l="1"/>
  <c r="E509" i="1" s="1"/>
  <c r="A509" i="1"/>
  <c r="H509" i="1" s="1"/>
  <c r="B509" i="1"/>
  <c r="C510" i="1"/>
  <c r="F508" i="1"/>
  <c r="G508" i="1" s="1"/>
  <c r="M508" i="1"/>
  <c r="J508" i="1"/>
  <c r="K508" i="1"/>
  <c r="I508" i="1"/>
  <c r="L508" i="1"/>
  <c r="B510" i="1" l="1"/>
  <c r="A510" i="1"/>
  <c r="H510" i="1" s="1"/>
  <c r="C511" i="1"/>
  <c r="D510" i="1"/>
  <c r="E510" i="1" s="1"/>
  <c r="I509" i="1"/>
  <c r="K509" i="1"/>
  <c r="M509" i="1"/>
  <c r="L509" i="1"/>
  <c r="J509" i="1"/>
  <c r="F509" i="1"/>
  <c r="G509" i="1" s="1"/>
  <c r="F510" i="1" l="1"/>
  <c r="G510" i="1" s="1"/>
  <c r="C512" i="1"/>
  <c r="B511" i="1"/>
  <c r="A511" i="1"/>
  <c r="H511" i="1" s="1"/>
  <c r="D511" i="1"/>
  <c r="E511" i="1" s="1"/>
  <c r="I510" i="1"/>
  <c r="J510" i="1"/>
  <c r="L510" i="1"/>
  <c r="K510" i="1"/>
  <c r="M510" i="1"/>
  <c r="F511" i="1" l="1"/>
  <c r="G511" i="1" s="1"/>
  <c r="L511" i="1"/>
  <c r="M511" i="1"/>
  <c r="I511" i="1"/>
  <c r="J511" i="1"/>
  <c r="K511" i="1"/>
  <c r="D512" i="1"/>
  <c r="E512" i="1" s="1"/>
  <c r="C513" i="1"/>
  <c r="A512" i="1"/>
  <c r="H512" i="1" s="1"/>
  <c r="B512" i="1"/>
  <c r="F512" i="1" l="1"/>
  <c r="G512" i="1" s="1"/>
  <c r="B513" i="1"/>
  <c r="D513" i="1"/>
  <c r="E513" i="1" s="1"/>
  <c r="C514" i="1"/>
  <c r="A513" i="1"/>
  <c r="H513" i="1" s="1"/>
  <c r="I512" i="1"/>
  <c r="J512" i="1"/>
  <c r="K512" i="1"/>
  <c r="L512" i="1"/>
  <c r="M512" i="1"/>
  <c r="K513" i="1" l="1"/>
  <c r="L513" i="1"/>
  <c r="J513" i="1"/>
  <c r="M513" i="1"/>
  <c r="I513" i="1"/>
  <c r="C515" i="1"/>
  <c r="A514" i="1"/>
  <c r="H514" i="1" s="1"/>
  <c r="D514" i="1"/>
  <c r="E514" i="1" s="1"/>
  <c r="B514" i="1"/>
  <c r="F513" i="1"/>
  <c r="G513" i="1" s="1"/>
  <c r="F514" i="1" l="1"/>
  <c r="G514" i="1" s="1"/>
  <c r="I514" i="1"/>
  <c r="M514" i="1"/>
  <c r="J514" i="1"/>
  <c r="K514" i="1"/>
  <c r="L514" i="1"/>
  <c r="C516" i="1"/>
  <c r="A515" i="1"/>
  <c r="H515" i="1" s="1"/>
  <c r="B515" i="1"/>
  <c r="D515" i="1"/>
  <c r="E515" i="1" s="1"/>
  <c r="K515" i="1" l="1"/>
  <c r="I515" i="1"/>
  <c r="J515" i="1"/>
  <c r="L515" i="1"/>
  <c r="M515" i="1"/>
  <c r="A516" i="1"/>
  <c r="H516" i="1" s="1"/>
  <c r="B516" i="1"/>
  <c r="D516" i="1"/>
  <c r="E516" i="1" s="1"/>
  <c r="C517" i="1"/>
  <c r="F515" i="1"/>
  <c r="G515" i="1" s="1"/>
  <c r="D517" i="1" l="1"/>
  <c r="E517" i="1" s="1"/>
  <c r="C518" i="1"/>
  <c r="A517" i="1"/>
  <c r="H517" i="1" s="1"/>
  <c r="B517" i="1"/>
  <c r="F516" i="1"/>
  <c r="G516" i="1" s="1"/>
  <c r="K516" i="1"/>
  <c r="L516" i="1"/>
  <c r="M516" i="1"/>
  <c r="I516" i="1"/>
  <c r="J516" i="1"/>
  <c r="L517" i="1" l="1"/>
  <c r="I517" i="1"/>
  <c r="J517" i="1"/>
  <c r="K517" i="1"/>
  <c r="M517" i="1"/>
  <c r="B518" i="1"/>
  <c r="C519" i="1"/>
  <c r="A518" i="1"/>
  <c r="H518" i="1" s="1"/>
  <c r="D518" i="1"/>
  <c r="E518" i="1" s="1"/>
  <c r="F517" i="1"/>
  <c r="G517" i="1" s="1"/>
  <c r="M518" i="1" l="1"/>
  <c r="K518" i="1"/>
  <c r="L518" i="1"/>
  <c r="I518" i="1"/>
  <c r="J518" i="1"/>
  <c r="A519" i="1"/>
  <c r="H519" i="1" s="1"/>
  <c r="B519" i="1"/>
  <c r="D519" i="1"/>
  <c r="E519" i="1" s="1"/>
  <c r="C520" i="1"/>
  <c r="F518" i="1"/>
  <c r="G518" i="1" s="1"/>
  <c r="M519" i="1" l="1"/>
  <c r="I519" i="1"/>
  <c r="J519" i="1"/>
  <c r="K519" i="1"/>
  <c r="L519" i="1"/>
  <c r="F519" i="1"/>
  <c r="G519" i="1" s="1"/>
  <c r="D520" i="1"/>
  <c r="E520" i="1" s="1"/>
  <c r="B520" i="1"/>
  <c r="C521" i="1"/>
  <c r="A520" i="1"/>
  <c r="H520" i="1" s="1"/>
  <c r="F520" i="1" l="1"/>
  <c r="G520" i="1" s="1"/>
  <c r="I520" i="1"/>
  <c r="J520" i="1"/>
  <c r="K520" i="1"/>
  <c r="L520" i="1"/>
  <c r="M520" i="1"/>
  <c r="A521" i="1"/>
  <c r="H521" i="1" s="1"/>
  <c r="B521" i="1"/>
  <c r="D521" i="1"/>
  <c r="E521" i="1" s="1"/>
  <c r="C522" i="1"/>
  <c r="I521" i="1" l="1"/>
  <c r="J521" i="1"/>
  <c r="K521" i="1"/>
  <c r="L521" i="1"/>
  <c r="M521" i="1"/>
  <c r="C523" i="1"/>
  <c r="A522" i="1"/>
  <c r="H522" i="1" s="1"/>
  <c r="B522" i="1"/>
  <c r="D522" i="1"/>
  <c r="E522" i="1" s="1"/>
  <c r="F521" i="1"/>
  <c r="G521" i="1" s="1"/>
  <c r="F522" i="1" l="1"/>
  <c r="G522" i="1" s="1"/>
  <c r="I522" i="1"/>
  <c r="J522" i="1"/>
  <c r="M522" i="1"/>
  <c r="K522" i="1"/>
  <c r="L522" i="1"/>
  <c r="D523" i="1"/>
  <c r="E523" i="1" s="1"/>
  <c r="C524" i="1"/>
  <c r="B523" i="1"/>
  <c r="A523" i="1"/>
  <c r="H523" i="1" s="1"/>
  <c r="A524" i="1" l="1"/>
  <c r="H524" i="1" s="1"/>
  <c r="B524" i="1"/>
  <c r="D524" i="1"/>
  <c r="E524" i="1" s="1"/>
  <c r="C525" i="1"/>
  <c r="F523" i="1"/>
  <c r="G523" i="1" s="1"/>
  <c r="I523" i="1"/>
  <c r="J523" i="1"/>
  <c r="L523" i="1"/>
  <c r="M523" i="1"/>
  <c r="K523" i="1"/>
  <c r="K524" i="1" l="1"/>
  <c r="L524" i="1"/>
  <c r="J524" i="1"/>
  <c r="M524" i="1"/>
  <c r="I524" i="1"/>
  <c r="C526" i="1"/>
  <c r="A525" i="1"/>
  <c r="H525" i="1" s="1"/>
  <c r="B525" i="1"/>
  <c r="D525" i="1"/>
  <c r="E525" i="1" s="1"/>
  <c r="F524" i="1"/>
  <c r="G524" i="1" s="1"/>
  <c r="F525" i="1" l="1"/>
  <c r="G525" i="1" s="1"/>
  <c r="M525" i="1"/>
  <c r="I525" i="1"/>
  <c r="J525" i="1"/>
  <c r="K525" i="1"/>
  <c r="L525" i="1"/>
  <c r="D526" i="1"/>
  <c r="E526" i="1" s="1"/>
  <c r="B526" i="1"/>
  <c r="C527" i="1"/>
  <c r="A526" i="1"/>
  <c r="H526" i="1" s="1"/>
  <c r="F526" i="1" l="1"/>
  <c r="G526" i="1" s="1"/>
  <c r="J526" i="1"/>
  <c r="M526" i="1"/>
  <c r="I526" i="1"/>
  <c r="K526" i="1"/>
  <c r="L526" i="1"/>
  <c r="A527" i="1"/>
  <c r="H527" i="1" s="1"/>
  <c r="B527" i="1"/>
  <c r="D527" i="1"/>
  <c r="E527" i="1" s="1"/>
  <c r="C528" i="1"/>
  <c r="L527" i="1" l="1"/>
  <c r="M527" i="1"/>
  <c r="I527" i="1"/>
  <c r="J527" i="1"/>
  <c r="K527" i="1"/>
  <c r="A528" i="1"/>
  <c r="H528" i="1" s="1"/>
  <c r="D528" i="1"/>
  <c r="E528" i="1" s="1"/>
  <c r="C529" i="1"/>
  <c r="B528" i="1"/>
  <c r="F527" i="1"/>
  <c r="G527" i="1" s="1"/>
  <c r="F528" i="1" l="1"/>
  <c r="G528" i="1" s="1"/>
  <c r="B529" i="1"/>
  <c r="D529" i="1"/>
  <c r="E529" i="1" s="1"/>
  <c r="C530" i="1"/>
  <c r="A529" i="1"/>
  <c r="H529" i="1" s="1"/>
  <c r="M528" i="1"/>
  <c r="I528" i="1"/>
  <c r="J528" i="1"/>
  <c r="K528" i="1"/>
  <c r="L528" i="1"/>
  <c r="L529" i="1" l="1"/>
  <c r="M529" i="1"/>
  <c r="I529" i="1"/>
  <c r="J529" i="1"/>
  <c r="K529" i="1"/>
  <c r="C531" i="1"/>
  <c r="A530" i="1"/>
  <c r="H530" i="1" s="1"/>
  <c r="B530" i="1"/>
  <c r="D530" i="1"/>
  <c r="E530" i="1" s="1"/>
  <c r="F529" i="1"/>
  <c r="G529" i="1" s="1"/>
  <c r="F530" i="1" l="1"/>
  <c r="G530" i="1" s="1"/>
  <c r="K530" i="1"/>
  <c r="L530" i="1"/>
  <c r="M530" i="1"/>
  <c r="I530" i="1"/>
  <c r="J530" i="1"/>
  <c r="A531" i="1"/>
  <c r="H531" i="1" s="1"/>
  <c r="B531" i="1"/>
  <c r="D531" i="1"/>
  <c r="E531" i="1" s="1"/>
  <c r="C532" i="1"/>
  <c r="K531" i="1" l="1"/>
  <c r="L531" i="1"/>
  <c r="M531" i="1"/>
  <c r="I531" i="1"/>
  <c r="J531" i="1"/>
  <c r="A532" i="1"/>
  <c r="H532" i="1" s="1"/>
  <c r="D532" i="1"/>
  <c r="E532" i="1" s="1"/>
  <c r="C533" i="1"/>
  <c r="B532" i="1"/>
  <c r="F531" i="1"/>
  <c r="G531" i="1" s="1"/>
  <c r="D533" i="1" l="1"/>
  <c r="E533" i="1" s="1"/>
  <c r="C534" i="1"/>
  <c r="A533" i="1"/>
  <c r="H533" i="1" s="1"/>
  <c r="B533" i="1"/>
  <c r="F532" i="1"/>
  <c r="G532" i="1" s="1"/>
  <c r="M532" i="1"/>
  <c r="L532" i="1"/>
  <c r="I532" i="1"/>
  <c r="K532" i="1"/>
  <c r="J532" i="1"/>
  <c r="M533" i="1" l="1"/>
  <c r="J533" i="1"/>
  <c r="K533" i="1"/>
  <c r="L533" i="1"/>
  <c r="I533" i="1"/>
  <c r="C535" i="1"/>
  <c r="D534" i="1"/>
  <c r="E534" i="1" s="1"/>
  <c r="A534" i="1"/>
  <c r="H534" i="1" s="1"/>
  <c r="B534" i="1"/>
  <c r="F533" i="1"/>
  <c r="G533" i="1" s="1"/>
  <c r="I534" i="1" l="1"/>
  <c r="J534" i="1"/>
  <c r="M534" i="1"/>
  <c r="K534" i="1"/>
  <c r="L534" i="1"/>
  <c r="F534" i="1"/>
  <c r="G534" i="1" s="1"/>
  <c r="B535" i="1"/>
  <c r="D535" i="1"/>
  <c r="E535" i="1" s="1"/>
  <c r="C536" i="1"/>
  <c r="A535" i="1"/>
  <c r="H535" i="1" s="1"/>
  <c r="A536" i="1" l="1"/>
  <c r="H536" i="1" s="1"/>
  <c r="C537" i="1"/>
  <c r="B536" i="1"/>
  <c r="D536" i="1"/>
  <c r="E536" i="1" s="1"/>
  <c r="F535" i="1"/>
  <c r="G535" i="1" s="1"/>
  <c r="J535" i="1"/>
  <c r="K535" i="1"/>
  <c r="I535" i="1"/>
  <c r="L535" i="1"/>
  <c r="M535" i="1"/>
  <c r="F536" i="1" l="1"/>
  <c r="G536" i="1" s="1"/>
  <c r="B537" i="1"/>
  <c r="D537" i="1"/>
  <c r="E537" i="1" s="1"/>
  <c r="C538" i="1"/>
  <c r="A537" i="1"/>
  <c r="H537" i="1" s="1"/>
  <c r="L536" i="1"/>
  <c r="M536" i="1"/>
  <c r="I536" i="1"/>
  <c r="J536" i="1"/>
  <c r="K536" i="1"/>
  <c r="L537" i="1" l="1"/>
  <c r="I537" i="1"/>
  <c r="J537" i="1"/>
  <c r="K537" i="1"/>
  <c r="M537" i="1"/>
  <c r="D538" i="1"/>
  <c r="E538" i="1" s="1"/>
  <c r="A538" i="1"/>
  <c r="H538" i="1" s="1"/>
  <c r="B538" i="1"/>
  <c r="C539" i="1"/>
  <c r="F537" i="1"/>
  <c r="G537" i="1" s="1"/>
  <c r="M538" i="1" l="1"/>
  <c r="J538" i="1"/>
  <c r="K538" i="1"/>
  <c r="L538" i="1"/>
  <c r="I538" i="1"/>
  <c r="F538" i="1"/>
  <c r="G538" i="1" s="1"/>
  <c r="C540" i="1"/>
  <c r="A539" i="1"/>
  <c r="H539" i="1" s="1"/>
  <c r="B539" i="1"/>
  <c r="D539" i="1"/>
  <c r="E539" i="1" s="1"/>
  <c r="B540" i="1" l="1"/>
  <c r="A540" i="1"/>
  <c r="H540" i="1" s="1"/>
  <c r="D540" i="1"/>
  <c r="E540" i="1" s="1"/>
  <c r="C541" i="1"/>
  <c r="F539" i="1"/>
  <c r="G539" i="1" s="1"/>
  <c r="M539" i="1"/>
  <c r="I539" i="1"/>
  <c r="J539" i="1"/>
  <c r="K539" i="1"/>
  <c r="L539" i="1"/>
  <c r="C542" i="1" l="1"/>
  <c r="A541" i="1"/>
  <c r="H541" i="1" s="1"/>
  <c r="B541" i="1"/>
  <c r="D541" i="1"/>
  <c r="E541" i="1" s="1"/>
  <c r="F540" i="1"/>
  <c r="G540" i="1" s="1"/>
  <c r="J540" i="1"/>
  <c r="L540" i="1"/>
  <c r="K540" i="1"/>
  <c r="M540" i="1"/>
  <c r="I540" i="1"/>
  <c r="F541" i="1" l="1"/>
  <c r="G541" i="1" s="1"/>
  <c r="M541" i="1"/>
  <c r="J541" i="1"/>
  <c r="K541" i="1"/>
  <c r="L541" i="1"/>
  <c r="I541" i="1"/>
  <c r="B542" i="1"/>
  <c r="C543" i="1"/>
  <c r="A542" i="1"/>
  <c r="H542" i="1" s="1"/>
  <c r="D542" i="1"/>
  <c r="E542" i="1" s="1"/>
  <c r="B543" i="1" l="1"/>
  <c r="D543" i="1"/>
  <c r="E543" i="1" s="1"/>
  <c r="A543" i="1"/>
  <c r="H543" i="1" s="1"/>
  <c r="C544" i="1"/>
  <c r="F542" i="1"/>
  <c r="G542" i="1" s="1"/>
  <c r="K542" i="1"/>
  <c r="M542" i="1"/>
  <c r="L542" i="1"/>
  <c r="I542" i="1"/>
  <c r="J542" i="1"/>
  <c r="B544" i="1" l="1"/>
  <c r="D544" i="1"/>
  <c r="E544" i="1" s="1"/>
  <c r="A544" i="1"/>
  <c r="H544" i="1" s="1"/>
  <c r="C545" i="1"/>
  <c r="J543" i="1"/>
  <c r="L543" i="1"/>
  <c r="M543" i="1"/>
  <c r="K543" i="1"/>
  <c r="I543" i="1"/>
  <c r="F543" i="1"/>
  <c r="G543" i="1" s="1"/>
  <c r="B545" i="1" l="1"/>
  <c r="D545" i="1"/>
  <c r="E545" i="1" s="1"/>
  <c r="C546" i="1"/>
  <c r="A545" i="1"/>
  <c r="H545" i="1" s="1"/>
  <c r="F544" i="1"/>
  <c r="G544" i="1" s="1"/>
  <c r="I544" i="1"/>
  <c r="J544" i="1"/>
  <c r="K544" i="1"/>
  <c r="M544" i="1"/>
  <c r="L544" i="1"/>
  <c r="I545" i="1" l="1"/>
  <c r="K545" i="1"/>
  <c r="L545" i="1"/>
  <c r="M545" i="1"/>
  <c r="J545" i="1"/>
  <c r="A546" i="1"/>
  <c r="H546" i="1" s="1"/>
  <c r="B546" i="1"/>
  <c r="D546" i="1"/>
  <c r="E546" i="1" s="1"/>
  <c r="C547" i="1"/>
  <c r="F545" i="1"/>
  <c r="G545" i="1" s="1"/>
  <c r="C548" i="1" l="1"/>
  <c r="D547" i="1"/>
  <c r="E547" i="1" s="1"/>
  <c r="A547" i="1"/>
  <c r="H547" i="1" s="1"/>
  <c r="B547" i="1"/>
  <c r="F546" i="1"/>
  <c r="G546" i="1" s="1"/>
  <c r="M546" i="1"/>
  <c r="I546" i="1"/>
  <c r="J546" i="1"/>
  <c r="L546" i="1"/>
  <c r="K546" i="1"/>
  <c r="E548" i="1" l="1"/>
  <c r="A548" i="1"/>
  <c r="H548" i="1" s="1"/>
  <c r="D548" i="1"/>
  <c r="C549" i="1"/>
  <c r="B548" i="1"/>
  <c r="I547" i="1"/>
  <c r="J547" i="1"/>
  <c r="K547" i="1"/>
  <c r="L547" i="1"/>
  <c r="M547" i="1"/>
  <c r="F547" i="1"/>
  <c r="G547" i="1" s="1"/>
  <c r="E549" i="1" l="1"/>
  <c r="B549" i="1"/>
  <c r="C550" i="1"/>
  <c r="A549" i="1"/>
  <c r="H549" i="1" s="1"/>
  <c r="D549" i="1"/>
  <c r="F548" i="1"/>
  <c r="G548" i="1" s="1"/>
  <c r="M548" i="1"/>
  <c r="L548" i="1"/>
  <c r="I548" i="1"/>
  <c r="J548" i="1"/>
  <c r="K548" i="1"/>
  <c r="F549" i="1" l="1"/>
  <c r="G549" i="1" s="1"/>
  <c r="M549" i="1"/>
  <c r="J549" i="1"/>
  <c r="K549" i="1"/>
  <c r="L549" i="1"/>
  <c r="I549" i="1"/>
  <c r="C551" i="1"/>
  <c r="D550" i="1"/>
  <c r="E550" i="1" s="1"/>
  <c r="A550" i="1"/>
  <c r="H550" i="1" s="1"/>
  <c r="B550" i="1"/>
  <c r="B551" i="1" l="1"/>
  <c r="D551" i="1"/>
  <c r="E551" i="1" s="1"/>
  <c r="C552" i="1"/>
  <c r="A551" i="1"/>
  <c r="H551" i="1" s="1"/>
  <c r="F550" i="1"/>
  <c r="G550" i="1" s="1"/>
  <c r="L550" i="1"/>
  <c r="M550" i="1"/>
  <c r="I550" i="1"/>
  <c r="J550" i="1"/>
  <c r="K550" i="1"/>
  <c r="I551" i="1" l="1"/>
  <c r="K551" i="1"/>
  <c r="J551" i="1"/>
  <c r="L551" i="1"/>
  <c r="M551" i="1"/>
  <c r="A552" i="1"/>
  <c r="H552" i="1" s="1"/>
  <c r="C553" i="1"/>
  <c r="B552" i="1"/>
  <c r="D552" i="1"/>
  <c r="E552" i="1" s="1"/>
  <c r="F551" i="1"/>
  <c r="G551" i="1" s="1"/>
  <c r="E553" i="1" l="1"/>
  <c r="J552" i="1"/>
  <c r="K552" i="1"/>
  <c r="L552" i="1"/>
  <c r="I552" i="1"/>
  <c r="M552" i="1"/>
  <c r="A553" i="1"/>
  <c r="H553" i="1" s="1"/>
  <c r="C554" i="1"/>
  <c r="B553" i="1"/>
  <c r="D553" i="1"/>
  <c r="F552" i="1"/>
  <c r="G552" i="1" s="1"/>
  <c r="E554" i="1" l="1"/>
  <c r="A554" i="1"/>
  <c r="H554" i="1" s="1"/>
  <c r="B554" i="1"/>
  <c r="C555" i="1"/>
  <c r="D554" i="1"/>
  <c r="K553" i="1"/>
  <c r="L553" i="1"/>
  <c r="I553" i="1"/>
  <c r="J553" i="1"/>
  <c r="M553" i="1"/>
  <c r="F553" i="1"/>
  <c r="G553" i="1" s="1"/>
  <c r="E555" i="1" l="1"/>
  <c r="F554" i="1"/>
  <c r="G554" i="1" s="1"/>
  <c r="D555" i="1"/>
  <c r="C556" i="1"/>
  <c r="A555" i="1"/>
  <c r="H555" i="1" s="1"/>
  <c r="B555" i="1"/>
  <c r="I554" i="1"/>
  <c r="K554" i="1"/>
  <c r="M554" i="1"/>
  <c r="J554" i="1"/>
  <c r="L554" i="1"/>
  <c r="L555" i="1" l="1"/>
  <c r="M555" i="1"/>
  <c r="I555" i="1"/>
  <c r="J555" i="1"/>
  <c r="K555" i="1"/>
  <c r="A556" i="1"/>
  <c r="H556" i="1" s="1"/>
  <c r="D556" i="1"/>
  <c r="E556" i="1" s="1"/>
  <c r="B556" i="1"/>
  <c r="C557" i="1"/>
  <c r="F555" i="1"/>
  <c r="G555" i="1" s="1"/>
  <c r="E557" i="1" l="1"/>
  <c r="F556" i="1"/>
  <c r="G556" i="1" s="1"/>
  <c r="C558" i="1"/>
  <c r="A557" i="1"/>
  <c r="H557" i="1" s="1"/>
  <c r="D557" i="1"/>
  <c r="B557" i="1"/>
  <c r="M556" i="1"/>
  <c r="I556" i="1"/>
  <c r="J556" i="1"/>
  <c r="L556" i="1"/>
  <c r="K556" i="1"/>
  <c r="F557" i="1" l="1"/>
  <c r="G557" i="1" s="1"/>
  <c r="I557" i="1"/>
  <c r="M557" i="1"/>
  <c r="J557" i="1"/>
  <c r="K557" i="1"/>
  <c r="L557" i="1"/>
  <c r="C559" i="1"/>
  <c r="A558" i="1"/>
  <c r="H558" i="1" s="1"/>
  <c r="B558" i="1"/>
  <c r="D558" i="1"/>
  <c r="E558" i="1" s="1"/>
  <c r="J558" i="1" l="1"/>
  <c r="L558" i="1"/>
  <c r="K558" i="1"/>
  <c r="M558" i="1"/>
  <c r="I558" i="1"/>
  <c r="B559" i="1"/>
  <c r="D559" i="1"/>
  <c r="E559" i="1" s="1"/>
  <c r="A559" i="1"/>
  <c r="H559" i="1" s="1"/>
  <c r="C560" i="1"/>
  <c r="F558" i="1"/>
  <c r="G558" i="1" s="1"/>
  <c r="L559" i="1" l="1"/>
  <c r="I559" i="1"/>
  <c r="M559" i="1"/>
  <c r="J559" i="1"/>
  <c r="K559" i="1"/>
  <c r="F559" i="1"/>
  <c r="G559" i="1" s="1"/>
  <c r="D560" i="1"/>
  <c r="E560" i="1" s="1"/>
  <c r="A560" i="1"/>
  <c r="H560" i="1" s="1"/>
  <c r="C561" i="1"/>
  <c r="B560" i="1"/>
  <c r="F560" i="1" l="1"/>
  <c r="G560" i="1" s="1"/>
  <c r="A561" i="1"/>
  <c r="H561" i="1" s="1"/>
  <c r="B561" i="1"/>
  <c r="D561" i="1"/>
  <c r="E561" i="1" s="1"/>
  <c r="C562" i="1"/>
  <c r="J560" i="1"/>
  <c r="L560" i="1"/>
  <c r="I560" i="1"/>
  <c r="K560" i="1"/>
  <c r="M560" i="1"/>
  <c r="A562" i="1" l="1"/>
  <c r="H562" i="1" s="1"/>
  <c r="B562" i="1"/>
  <c r="D562" i="1"/>
  <c r="E562" i="1" s="1"/>
  <c r="C563" i="1"/>
  <c r="F561" i="1"/>
  <c r="G561" i="1" s="1"/>
  <c r="J561" i="1"/>
  <c r="L561" i="1"/>
  <c r="M561" i="1"/>
  <c r="K561" i="1"/>
  <c r="I561" i="1"/>
  <c r="I562" i="1" l="1"/>
  <c r="K562" i="1"/>
  <c r="L562" i="1"/>
  <c r="M562" i="1"/>
  <c r="J562" i="1"/>
  <c r="D563" i="1"/>
  <c r="E563" i="1" s="1"/>
  <c r="C564" i="1"/>
  <c r="A563" i="1"/>
  <c r="H563" i="1" s="1"/>
  <c r="B563" i="1"/>
  <c r="F562" i="1"/>
  <c r="G562" i="1" s="1"/>
  <c r="F563" i="1" l="1"/>
  <c r="G563" i="1" s="1"/>
  <c r="L563" i="1"/>
  <c r="M563" i="1"/>
  <c r="I563" i="1"/>
  <c r="J563" i="1"/>
  <c r="K563" i="1"/>
  <c r="A564" i="1"/>
  <c r="H564" i="1" s="1"/>
  <c r="D564" i="1"/>
  <c r="E564" i="1" s="1"/>
  <c r="C565" i="1"/>
  <c r="B564" i="1"/>
  <c r="M564" i="1" l="1"/>
  <c r="L564" i="1"/>
  <c r="I564" i="1"/>
  <c r="K564" i="1"/>
  <c r="J564" i="1"/>
  <c r="F564" i="1"/>
  <c r="G564" i="1" s="1"/>
  <c r="C566" i="1"/>
  <c r="A565" i="1"/>
  <c r="H565" i="1" s="1"/>
  <c r="D565" i="1"/>
  <c r="E565" i="1" s="1"/>
  <c r="B565" i="1"/>
  <c r="C567" i="1" l="1"/>
  <c r="D566" i="1"/>
  <c r="E566" i="1" s="1"/>
  <c r="A566" i="1"/>
  <c r="H566" i="1" s="1"/>
  <c r="B566" i="1"/>
  <c r="F565" i="1"/>
  <c r="G565" i="1" s="1"/>
  <c r="J565" i="1"/>
  <c r="K565" i="1"/>
  <c r="I565" i="1"/>
  <c r="M565" i="1"/>
  <c r="L565" i="1"/>
  <c r="K566" i="1" l="1"/>
  <c r="L566" i="1"/>
  <c r="M566" i="1"/>
  <c r="I566" i="1"/>
  <c r="J566" i="1"/>
  <c r="F566" i="1"/>
  <c r="G566" i="1" s="1"/>
  <c r="B567" i="1"/>
  <c r="D567" i="1"/>
  <c r="E567" i="1" s="1"/>
  <c r="C568" i="1"/>
  <c r="A567" i="1"/>
  <c r="H567" i="1" s="1"/>
  <c r="L567" i="1" l="1"/>
  <c r="M567" i="1"/>
  <c r="K567" i="1"/>
  <c r="J567" i="1"/>
  <c r="I567" i="1"/>
  <c r="D568" i="1"/>
  <c r="E568" i="1" s="1"/>
  <c r="A568" i="1"/>
  <c r="H568" i="1" s="1"/>
  <c r="C569" i="1"/>
  <c r="B568" i="1"/>
  <c r="F567" i="1"/>
  <c r="G567" i="1" s="1"/>
  <c r="B569" i="1" l="1"/>
  <c r="D569" i="1"/>
  <c r="E569" i="1" s="1"/>
  <c r="C570" i="1"/>
  <c r="A569" i="1"/>
  <c r="H569" i="1" s="1"/>
  <c r="J568" i="1"/>
  <c r="K568" i="1"/>
  <c r="I568" i="1"/>
  <c r="L568" i="1"/>
  <c r="M568" i="1"/>
  <c r="F568" i="1"/>
  <c r="G568" i="1" s="1"/>
  <c r="I569" i="1" l="1"/>
  <c r="J569" i="1"/>
  <c r="M569" i="1"/>
  <c r="L569" i="1"/>
  <c r="K569" i="1"/>
  <c r="A570" i="1"/>
  <c r="H570" i="1" s="1"/>
  <c r="B570" i="1"/>
  <c r="C571" i="1"/>
  <c r="D570" i="1"/>
  <c r="E570" i="1" s="1"/>
  <c r="F569" i="1"/>
  <c r="G569" i="1" s="1"/>
  <c r="C572" i="1" l="1"/>
  <c r="D571" i="1"/>
  <c r="E571" i="1" s="1"/>
  <c r="A571" i="1"/>
  <c r="H571" i="1" s="1"/>
  <c r="B571" i="1"/>
  <c r="L570" i="1"/>
  <c r="M570" i="1"/>
  <c r="J570" i="1"/>
  <c r="I570" i="1"/>
  <c r="K570" i="1"/>
  <c r="F570" i="1"/>
  <c r="G570" i="1" s="1"/>
  <c r="D572" i="1" l="1"/>
  <c r="E572" i="1" s="1"/>
  <c r="B572" i="1"/>
  <c r="A572" i="1"/>
  <c r="H572" i="1" s="1"/>
  <c r="C573" i="1"/>
  <c r="I571" i="1"/>
  <c r="L571" i="1"/>
  <c r="J571" i="1"/>
  <c r="K571" i="1"/>
  <c r="M571" i="1"/>
  <c r="F571" i="1"/>
  <c r="G571" i="1" s="1"/>
  <c r="A573" i="1" l="1"/>
  <c r="H573" i="1" s="1"/>
  <c r="D573" i="1"/>
  <c r="E573" i="1" s="1"/>
  <c r="C574" i="1"/>
  <c r="B573" i="1"/>
  <c r="M572" i="1"/>
  <c r="I572" i="1"/>
  <c r="K572" i="1"/>
  <c r="J572" i="1"/>
  <c r="L572" i="1"/>
  <c r="F572" i="1"/>
  <c r="G572" i="1" s="1"/>
  <c r="A574" i="1" l="1"/>
  <c r="H574" i="1" s="1"/>
  <c r="B574" i="1"/>
  <c r="C575" i="1"/>
  <c r="D574" i="1"/>
  <c r="E574" i="1" s="1"/>
  <c r="F573" i="1"/>
  <c r="G573" i="1" s="1"/>
  <c r="J573" i="1"/>
  <c r="K573" i="1"/>
  <c r="L573" i="1"/>
  <c r="M573" i="1"/>
  <c r="I573" i="1"/>
  <c r="F574" i="1" l="1"/>
  <c r="G574" i="1" s="1"/>
  <c r="B575" i="1"/>
  <c r="D575" i="1"/>
  <c r="E575" i="1" s="1"/>
  <c r="A575" i="1"/>
  <c r="H575" i="1" s="1"/>
  <c r="C576" i="1"/>
  <c r="M574" i="1"/>
  <c r="I574" i="1"/>
  <c r="K574" i="1"/>
  <c r="L574" i="1"/>
  <c r="J574" i="1"/>
  <c r="C577" i="1" l="1"/>
  <c r="B576" i="1"/>
  <c r="A576" i="1"/>
  <c r="H576" i="1" s="1"/>
  <c r="D576" i="1"/>
  <c r="E576" i="1" s="1"/>
  <c r="L575" i="1"/>
  <c r="M575" i="1"/>
  <c r="J575" i="1"/>
  <c r="I575" i="1"/>
  <c r="K575" i="1"/>
  <c r="F575" i="1"/>
  <c r="G575" i="1" s="1"/>
  <c r="F576" i="1" l="1"/>
  <c r="G576" i="1" s="1"/>
  <c r="J576" i="1"/>
  <c r="K576" i="1"/>
  <c r="I576" i="1"/>
  <c r="L576" i="1"/>
  <c r="M576" i="1"/>
  <c r="A577" i="1"/>
  <c r="H577" i="1" s="1"/>
  <c r="B577" i="1"/>
  <c r="D577" i="1"/>
  <c r="E577" i="1" s="1"/>
  <c r="C578" i="1"/>
  <c r="K577" i="1" l="1"/>
  <c r="M577" i="1"/>
  <c r="J577" i="1"/>
  <c r="I577" i="1"/>
  <c r="L577" i="1"/>
  <c r="D578" i="1"/>
  <c r="E578" i="1" s="1"/>
  <c r="C579" i="1"/>
  <c r="A578" i="1"/>
  <c r="H578" i="1" s="1"/>
  <c r="B578" i="1"/>
  <c r="F577" i="1"/>
  <c r="G577" i="1" s="1"/>
  <c r="F578" i="1" l="1"/>
  <c r="G578" i="1" s="1"/>
  <c r="K578" i="1"/>
  <c r="L578" i="1"/>
  <c r="M578" i="1"/>
  <c r="I578" i="1"/>
  <c r="J578" i="1"/>
  <c r="B579" i="1"/>
  <c r="D579" i="1"/>
  <c r="E579" i="1" s="1"/>
  <c r="C580" i="1"/>
  <c r="A579" i="1"/>
  <c r="H579" i="1" s="1"/>
  <c r="F579" i="1" l="1"/>
  <c r="G579" i="1" s="1"/>
  <c r="I579" i="1"/>
  <c r="J579" i="1"/>
  <c r="K579" i="1"/>
  <c r="M579" i="1"/>
  <c r="L579" i="1"/>
  <c r="A580" i="1"/>
  <c r="H580" i="1" s="1"/>
  <c r="D580" i="1"/>
  <c r="E580" i="1" s="1"/>
  <c r="B580" i="1"/>
  <c r="C581" i="1"/>
  <c r="F580" i="1" l="1"/>
  <c r="G580" i="1" s="1"/>
  <c r="I580" i="1"/>
  <c r="J580" i="1"/>
  <c r="L580" i="1"/>
  <c r="K580" i="1"/>
  <c r="M580" i="1"/>
  <c r="C582" i="1"/>
  <c r="D581" i="1"/>
  <c r="E581" i="1" s="1"/>
  <c r="B581" i="1"/>
  <c r="A581" i="1"/>
  <c r="H581" i="1" s="1"/>
  <c r="F581" i="1" l="1"/>
  <c r="G581" i="1" s="1"/>
  <c r="B582" i="1"/>
  <c r="C583" i="1"/>
  <c r="A582" i="1"/>
  <c r="H582" i="1" s="1"/>
  <c r="D582" i="1"/>
  <c r="E582" i="1" s="1"/>
  <c r="J581" i="1"/>
  <c r="K581" i="1"/>
  <c r="L581" i="1"/>
  <c r="I581" i="1"/>
  <c r="M581" i="1"/>
  <c r="F582" i="1" l="1"/>
  <c r="G582" i="1" s="1"/>
  <c r="M582" i="1"/>
  <c r="L582" i="1"/>
  <c r="K582" i="1"/>
  <c r="I582" i="1"/>
  <c r="J582" i="1"/>
  <c r="D583" i="1"/>
  <c r="E583" i="1" s="1"/>
  <c r="A583" i="1"/>
  <c r="H583" i="1" s="1"/>
  <c r="C584" i="1"/>
  <c r="B583" i="1"/>
  <c r="M583" i="1" l="1"/>
  <c r="I583" i="1"/>
  <c r="L583" i="1"/>
  <c r="K583" i="1"/>
  <c r="J583" i="1"/>
  <c r="F583" i="1"/>
  <c r="G583" i="1" s="1"/>
  <c r="A584" i="1"/>
  <c r="H584" i="1" s="1"/>
  <c r="D584" i="1"/>
  <c r="E584" i="1" s="1"/>
  <c r="C585" i="1"/>
  <c r="B584" i="1"/>
  <c r="K584" i="1" l="1"/>
  <c r="L584" i="1"/>
  <c r="M584" i="1"/>
  <c r="I584" i="1"/>
  <c r="J584" i="1"/>
  <c r="B585" i="1"/>
  <c r="D585" i="1"/>
  <c r="E585" i="1" s="1"/>
  <c r="C586" i="1"/>
  <c r="A585" i="1"/>
  <c r="H585" i="1" s="1"/>
  <c r="F584" i="1"/>
  <c r="G584" i="1" s="1"/>
  <c r="C587" i="1" l="1"/>
  <c r="D586" i="1"/>
  <c r="E586" i="1" s="1"/>
  <c r="A586" i="1"/>
  <c r="H586" i="1" s="1"/>
  <c r="B586" i="1"/>
  <c r="F585" i="1"/>
  <c r="G585" i="1" s="1"/>
  <c r="I585" i="1"/>
  <c r="K585" i="1"/>
  <c r="M585" i="1"/>
  <c r="L585" i="1"/>
  <c r="J585" i="1"/>
  <c r="I586" i="1" l="1"/>
  <c r="L586" i="1"/>
  <c r="M586" i="1"/>
  <c r="K586" i="1"/>
  <c r="J586" i="1"/>
  <c r="F586" i="1"/>
  <c r="G586" i="1" s="1"/>
  <c r="A587" i="1"/>
  <c r="H587" i="1" s="1"/>
  <c r="B587" i="1"/>
  <c r="D587" i="1"/>
  <c r="E587" i="1" s="1"/>
  <c r="C588" i="1"/>
  <c r="J587" i="1" l="1"/>
  <c r="K587" i="1"/>
  <c r="L587" i="1"/>
  <c r="I587" i="1"/>
  <c r="M587" i="1"/>
  <c r="B588" i="1"/>
  <c r="A588" i="1"/>
  <c r="H588" i="1" s="1"/>
  <c r="D588" i="1"/>
  <c r="E588" i="1" s="1"/>
  <c r="C589" i="1"/>
  <c r="F587" i="1"/>
  <c r="G587" i="1" s="1"/>
  <c r="F588" i="1" l="1"/>
  <c r="G588" i="1" s="1"/>
  <c r="M588" i="1"/>
  <c r="L588" i="1"/>
  <c r="J588" i="1"/>
  <c r="I588" i="1"/>
  <c r="K588" i="1"/>
  <c r="C590" i="1"/>
  <c r="A589" i="1"/>
  <c r="H589" i="1" s="1"/>
  <c r="B589" i="1"/>
  <c r="D589" i="1"/>
  <c r="E589" i="1" s="1"/>
  <c r="C591" i="1" l="1"/>
  <c r="B590" i="1"/>
  <c r="D590" i="1"/>
  <c r="E590" i="1" s="1"/>
  <c r="A590" i="1"/>
  <c r="H590" i="1" s="1"/>
  <c r="K589" i="1"/>
  <c r="J589" i="1"/>
  <c r="L589" i="1"/>
  <c r="I589" i="1"/>
  <c r="M589" i="1"/>
  <c r="F589" i="1"/>
  <c r="G589" i="1" s="1"/>
  <c r="I590" i="1" l="1"/>
  <c r="J590" i="1"/>
  <c r="K590" i="1"/>
  <c r="M590" i="1"/>
  <c r="L590" i="1"/>
  <c r="F590" i="1"/>
  <c r="G590" i="1" s="1"/>
  <c r="C592" i="1"/>
  <c r="B591" i="1"/>
  <c r="D591" i="1"/>
  <c r="E591" i="1" s="1"/>
  <c r="A591" i="1"/>
  <c r="H591" i="1" s="1"/>
  <c r="A592" i="1" l="1"/>
  <c r="H592" i="1" s="1"/>
  <c r="C593" i="1"/>
  <c r="B592" i="1"/>
  <c r="D592" i="1"/>
  <c r="E592" i="1" s="1"/>
  <c r="L591" i="1"/>
  <c r="M591" i="1"/>
  <c r="I591" i="1"/>
  <c r="J591" i="1"/>
  <c r="K591" i="1"/>
  <c r="F591" i="1"/>
  <c r="G591" i="1" s="1"/>
  <c r="F592" i="1" l="1"/>
  <c r="G592" i="1" s="1"/>
  <c r="B593" i="1"/>
  <c r="D593" i="1"/>
  <c r="E593" i="1" s="1"/>
  <c r="C594" i="1"/>
  <c r="A593" i="1"/>
  <c r="H593" i="1" s="1"/>
  <c r="L592" i="1"/>
  <c r="K592" i="1"/>
  <c r="M592" i="1"/>
  <c r="I592" i="1"/>
  <c r="J592" i="1"/>
  <c r="B594" i="1" l="1"/>
  <c r="D594" i="1"/>
  <c r="E594" i="1" s="1"/>
  <c r="A594" i="1"/>
  <c r="H594" i="1" s="1"/>
  <c r="C595" i="1"/>
  <c r="L593" i="1"/>
  <c r="J593" i="1"/>
  <c r="K593" i="1"/>
  <c r="M593" i="1"/>
  <c r="I593" i="1"/>
  <c r="F593" i="1"/>
  <c r="G593" i="1" s="1"/>
  <c r="B595" i="1" l="1"/>
  <c r="D595" i="1"/>
  <c r="E595" i="1" s="1"/>
  <c r="C596" i="1"/>
  <c r="A595" i="1"/>
  <c r="H595" i="1" s="1"/>
  <c r="K594" i="1"/>
  <c r="L594" i="1"/>
  <c r="M594" i="1"/>
  <c r="I594" i="1"/>
  <c r="J594" i="1"/>
  <c r="F594" i="1"/>
  <c r="G594" i="1" s="1"/>
  <c r="A596" i="1" l="1"/>
  <c r="H596" i="1" s="1"/>
  <c r="D596" i="1"/>
  <c r="E596" i="1" s="1"/>
  <c r="C597" i="1"/>
  <c r="B596" i="1"/>
  <c r="M595" i="1"/>
  <c r="L595" i="1"/>
  <c r="I595" i="1"/>
  <c r="J595" i="1"/>
  <c r="K595" i="1"/>
  <c r="F595" i="1"/>
  <c r="G595" i="1" s="1"/>
  <c r="I596" i="1" l="1"/>
  <c r="J596" i="1"/>
  <c r="L596" i="1"/>
  <c r="M596" i="1"/>
  <c r="K596" i="1"/>
  <c r="C598" i="1"/>
  <c r="B597" i="1"/>
  <c r="D597" i="1"/>
  <c r="E597" i="1" s="1"/>
  <c r="A597" i="1"/>
  <c r="H597" i="1" s="1"/>
  <c r="F596" i="1"/>
  <c r="G596" i="1" s="1"/>
  <c r="F597" i="1" l="1"/>
  <c r="G597" i="1" s="1"/>
  <c r="A598" i="1"/>
  <c r="H598" i="1" s="1"/>
  <c r="B598" i="1"/>
  <c r="D598" i="1"/>
  <c r="E598" i="1" s="1"/>
  <c r="C599" i="1"/>
  <c r="J597" i="1"/>
  <c r="K597" i="1"/>
  <c r="L597" i="1"/>
  <c r="I597" i="1"/>
  <c r="M597" i="1"/>
  <c r="B599" i="1" l="1"/>
  <c r="D599" i="1"/>
  <c r="E599" i="1" s="1"/>
  <c r="C600" i="1"/>
  <c r="A599" i="1"/>
  <c r="H599" i="1" s="1"/>
  <c r="F598" i="1"/>
  <c r="G598" i="1" s="1"/>
  <c r="I598" i="1"/>
  <c r="J598" i="1"/>
  <c r="L598" i="1"/>
  <c r="K598" i="1"/>
  <c r="M598" i="1"/>
  <c r="J599" i="1" l="1"/>
  <c r="M599" i="1"/>
  <c r="L599" i="1"/>
  <c r="I599" i="1"/>
  <c r="K599" i="1"/>
  <c r="D600" i="1"/>
  <c r="E600" i="1" s="1"/>
  <c r="A600" i="1"/>
  <c r="H600" i="1" s="1"/>
  <c r="B600" i="1"/>
  <c r="C601" i="1"/>
  <c r="F599" i="1"/>
  <c r="G599" i="1" s="1"/>
  <c r="L600" i="1" l="1"/>
  <c r="M600" i="1"/>
  <c r="J600" i="1"/>
  <c r="K600" i="1"/>
  <c r="I600" i="1"/>
  <c r="F600" i="1"/>
  <c r="G600" i="1" s="1"/>
  <c r="C602" i="1"/>
  <c r="A601" i="1"/>
  <c r="H601" i="1" s="1"/>
  <c r="D601" i="1"/>
  <c r="E601" i="1" s="1"/>
  <c r="B601" i="1"/>
  <c r="B602" i="1" l="1"/>
  <c r="C603" i="1"/>
  <c r="A602" i="1"/>
  <c r="H602" i="1" s="1"/>
  <c r="D602" i="1"/>
  <c r="E602" i="1" s="1"/>
  <c r="F601" i="1"/>
  <c r="G601" i="1" s="1"/>
  <c r="M601" i="1"/>
  <c r="K601" i="1"/>
  <c r="L601" i="1"/>
  <c r="I601" i="1"/>
  <c r="J601" i="1"/>
  <c r="F602" i="1" l="1"/>
  <c r="G602" i="1" s="1"/>
  <c r="I602" i="1"/>
  <c r="J602" i="1"/>
  <c r="K602" i="1"/>
  <c r="L602" i="1"/>
  <c r="M602" i="1"/>
  <c r="B603" i="1"/>
  <c r="A603" i="1"/>
  <c r="H603" i="1" s="1"/>
  <c r="D603" i="1"/>
  <c r="E603" i="1" s="1"/>
  <c r="C604" i="1"/>
  <c r="A604" i="1" l="1"/>
  <c r="H604" i="1" s="1"/>
  <c r="B604" i="1"/>
  <c r="D604" i="1"/>
  <c r="E604" i="1" s="1"/>
  <c r="C605" i="1"/>
  <c r="F603" i="1"/>
  <c r="G603" i="1" s="1"/>
  <c r="L603" i="1"/>
  <c r="K603" i="1"/>
  <c r="M603" i="1"/>
  <c r="J603" i="1"/>
  <c r="I603" i="1"/>
  <c r="B605" i="1" l="1"/>
  <c r="A605" i="1"/>
  <c r="H605" i="1" s="1"/>
  <c r="D605" i="1"/>
  <c r="E605" i="1" s="1"/>
  <c r="C606" i="1"/>
  <c r="F604" i="1"/>
  <c r="G604" i="1" s="1"/>
  <c r="I604" i="1"/>
  <c r="K604" i="1"/>
  <c r="L604" i="1"/>
  <c r="J604" i="1"/>
  <c r="M604" i="1"/>
  <c r="A606" i="1" l="1"/>
  <c r="H606" i="1" s="1"/>
  <c r="B606" i="1"/>
  <c r="D606" i="1"/>
  <c r="E606" i="1" s="1"/>
  <c r="C607" i="1"/>
  <c r="F605" i="1"/>
  <c r="G605" i="1" s="1"/>
  <c r="M605" i="1"/>
  <c r="L605" i="1"/>
  <c r="I605" i="1"/>
  <c r="J605" i="1"/>
  <c r="K605" i="1"/>
  <c r="A607" i="1" l="1"/>
  <c r="H607" i="1" s="1"/>
  <c r="B607" i="1"/>
  <c r="D607" i="1"/>
  <c r="E607" i="1" s="1"/>
  <c r="C608" i="1"/>
  <c r="F606" i="1"/>
  <c r="G606" i="1" s="1"/>
  <c r="J606" i="1"/>
  <c r="K606" i="1"/>
  <c r="L606" i="1"/>
  <c r="I606" i="1"/>
  <c r="M606" i="1"/>
  <c r="F607" i="1" l="1"/>
  <c r="G607" i="1" s="1"/>
  <c r="B608" i="1"/>
  <c r="D608" i="1"/>
  <c r="E608" i="1" s="1"/>
  <c r="A608" i="1"/>
  <c r="H608" i="1" s="1"/>
  <c r="C609" i="1"/>
  <c r="M607" i="1"/>
  <c r="I607" i="1"/>
  <c r="K607" i="1"/>
  <c r="L607" i="1"/>
  <c r="J607" i="1"/>
  <c r="A609" i="1" l="1"/>
  <c r="H609" i="1" s="1"/>
  <c r="D609" i="1"/>
  <c r="E609" i="1" s="1"/>
  <c r="C610" i="1"/>
  <c r="B609" i="1"/>
  <c r="M608" i="1"/>
  <c r="I608" i="1"/>
  <c r="K608" i="1"/>
  <c r="L608" i="1"/>
  <c r="J608" i="1"/>
  <c r="F608" i="1"/>
  <c r="G608" i="1" s="1"/>
  <c r="A610" i="1" l="1"/>
  <c r="H610" i="1" s="1"/>
  <c r="B610" i="1"/>
  <c r="D610" i="1"/>
  <c r="E610" i="1" s="1"/>
  <c r="C611" i="1"/>
  <c r="F609" i="1"/>
  <c r="G609" i="1" s="1"/>
  <c r="J609" i="1"/>
  <c r="K609" i="1"/>
  <c r="L609" i="1"/>
  <c r="M609" i="1"/>
  <c r="I609" i="1"/>
  <c r="A611" i="1" l="1"/>
  <c r="H611" i="1" s="1"/>
  <c r="B611" i="1"/>
  <c r="D611" i="1"/>
  <c r="E611" i="1" s="1"/>
  <c r="C612" i="1"/>
  <c r="F610" i="1"/>
  <c r="G610" i="1" s="1"/>
  <c r="I610" i="1"/>
  <c r="K610" i="1"/>
  <c r="J610" i="1"/>
  <c r="M610" i="1"/>
  <c r="L610" i="1"/>
  <c r="D612" i="1" l="1"/>
  <c r="E612" i="1" s="1"/>
  <c r="C613" i="1"/>
  <c r="A612" i="1"/>
  <c r="H612" i="1" s="1"/>
  <c r="B612" i="1"/>
  <c r="I611" i="1"/>
  <c r="M611" i="1"/>
  <c r="J611" i="1"/>
  <c r="K611" i="1"/>
  <c r="L611" i="1"/>
  <c r="F611" i="1"/>
  <c r="G611" i="1" s="1"/>
  <c r="L612" i="1" l="1"/>
  <c r="M612" i="1"/>
  <c r="I612" i="1"/>
  <c r="J612" i="1"/>
  <c r="K612" i="1"/>
  <c r="A613" i="1"/>
  <c r="H613" i="1" s="1"/>
  <c r="D613" i="1"/>
  <c r="E613" i="1" s="1"/>
  <c r="C614" i="1"/>
  <c r="B613" i="1"/>
  <c r="F612" i="1"/>
  <c r="G612" i="1" s="1"/>
  <c r="B614" i="1" l="1"/>
  <c r="D614" i="1"/>
  <c r="E614" i="1" s="1"/>
  <c r="C615" i="1"/>
  <c r="A614" i="1"/>
  <c r="H614" i="1" s="1"/>
  <c r="F613" i="1"/>
  <c r="G613" i="1" s="1"/>
  <c r="I613" i="1"/>
  <c r="J613" i="1"/>
  <c r="L613" i="1"/>
  <c r="K613" i="1"/>
  <c r="M613" i="1"/>
  <c r="I614" i="1" l="1"/>
  <c r="J614" i="1"/>
  <c r="K614" i="1"/>
  <c r="L614" i="1"/>
  <c r="M614" i="1"/>
  <c r="C616" i="1"/>
  <c r="A615" i="1"/>
  <c r="H615" i="1" s="1"/>
  <c r="B615" i="1"/>
  <c r="D615" i="1"/>
  <c r="E615" i="1" s="1"/>
  <c r="F614" i="1"/>
  <c r="G614" i="1" s="1"/>
  <c r="M615" i="1" l="1"/>
  <c r="I615" i="1"/>
  <c r="J615" i="1"/>
  <c r="K615" i="1"/>
  <c r="L615" i="1"/>
  <c r="D616" i="1"/>
  <c r="E616" i="1" s="1"/>
  <c r="A616" i="1"/>
  <c r="H616" i="1" s="1"/>
  <c r="C617" i="1"/>
  <c r="B616" i="1"/>
  <c r="F615" i="1"/>
  <c r="G615" i="1" s="1"/>
  <c r="J616" i="1" l="1"/>
  <c r="L616" i="1"/>
  <c r="K616" i="1"/>
  <c r="M616" i="1"/>
  <c r="I616" i="1"/>
  <c r="A617" i="1"/>
  <c r="H617" i="1" s="1"/>
  <c r="C618" i="1"/>
  <c r="B617" i="1"/>
  <c r="D617" i="1"/>
  <c r="E617" i="1" s="1"/>
  <c r="F616" i="1"/>
  <c r="G616" i="1" s="1"/>
  <c r="B618" i="1" l="1"/>
  <c r="A618" i="1"/>
  <c r="H618" i="1" s="1"/>
  <c r="D618" i="1"/>
  <c r="E618" i="1" s="1"/>
  <c r="C619" i="1"/>
  <c r="K617" i="1"/>
  <c r="L617" i="1"/>
  <c r="M617" i="1"/>
  <c r="I617" i="1"/>
  <c r="J617" i="1"/>
  <c r="F617" i="1"/>
  <c r="G617" i="1" s="1"/>
  <c r="B619" i="1" l="1"/>
  <c r="C620" i="1"/>
  <c r="D619" i="1"/>
  <c r="E619" i="1" s="1"/>
  <c r="A619" i="1"/>
  <c r="H619" i="1" s="1"/>
  <c r="F618" i="1"/>
  <c r="G618" i="1" s="1"/>
  <c r="K618" i="1"/>
  <c r="M618" i="1"/>
  <c r="L618" i="1"/>
  <c r="I618" i="1"/>
  <c r="J618" i="1"/>
  <c r="L619" i="1" l="1"/>
  <c r="M619" i="1"/>
  <c r="J619" i="1"/>
  <c r="I619" i="1"/>
  <c r="K619" i="1"/>
  <c r="F619" i="1"/>
  <c r="G619" i="1" s="1"/>
  <c r="D620" i="1"/>
  <c r="E620" i="1" s="1"/>
  <c r="B620" i="1"/>
  <c r="C621" i="1"/>
  <c r="A620" i="1"/>
  <c r="H620" i="1" s="1"/>
  <c r="F620" i="1" l="1"/>
  <c r="G620" i="1" s="1"/>
  <c r="I620" i="1"/>
  <c r="L620" i="1"/>
  <c r="M620" i="1"/>
  <c r="J620" i="1"/>
  <c r="K620" i="1"/>
  <c r="A621" i="1"/>
  <c r="H621" i="1" s="1"/>
  <c r="D621" i="1"/>
  <c r="E621" i="1" s="1"/>
  <c r="C622" i="1"/>
  <c r="B621" i="1"/>
  <c r="F621" i="1" l="1"/>
  <c r="G621" i="1" s="1"/>
  <c r="M621" i="1"/>
  <c r="J621" i="1"/>
  <c r="L621" i="1"/>
  <c r="K621" i="1"/>
  <c r="I621" i="1"/>
  <c r="D622" i="1"/>
  <c r="E622" i="1" s="1"/>
  <c r="C623" i="1"/>
  <c r="A622" i="1"/>
  <c r="H622" i="1" s="1"/>
  <c r="B622" i="1"/>
  <c r="C624" i="1" l="1"/>
  <c r="A623" i="1"/>
  <c r="H623" i="1" s="1"/>
  <c r="B623" i="1"/>
  <c r="D623" i="1"/>
  <c r="E623" i="1" s="1"/>
  <c r="F622" i="1"/>
  <c r="G622" i="1" s="1"/>
  <c r="L622" i="1"/>
  <c r="I622" i="1"/>
  <c r="M622" i="1"/>
  <c r="J622" i="1"/>
  <c r="K622" i="1"/>
  <c r="F623" i="1" l="1"/>
  <c r="G623" i="1" s="1"/>
  <c r="I623" i="1"/>
  <c r="L623" i="1"/>
  <c r="J623" i="1"/>
  <c r="K623" i="1"/>
  <c r="M623" i="1"/>
  <c r="B624" i="1"/>
  <c r="D624" i="1"/>
  <c r="E624" i="1" s="1"/>
  <c r="C625" i="1"/>
  <c r="A624" i="1"/>
  <c r="H624" i="1" s="1"/>
  <c r="F624" i="1" l="1"/>
  <c r="G624" i="1" s="1"/>
  <c r="M624" i="1"/>
  <c r="I624" i="1"/>
  <c r="J624" i="1"/>
  <c r="K624" i="1"/>
  <c r="L624" i="1"/>
  <c r="A625" i="1"/>
  <c r="H625" i="1" s="1"/>
  <c r="D625" i="1"/>
  <c r="E625" i="1" s="1"/>
  <c r="B625" i="1"/>
  <c r="C626" i="1"/>
  <c r="J625" i="1" l="1"/>
  <c r="L625" i="1"/>
  <c r="M625" i="1"/>
  <c r="I625" i="1"/>
  <c r="K625" i="1"/>
  <c r="F625" i="1"/>
  <c r="G625" i="1" s="1"/>
  <c r="D626" i="1"/>
  <c r="E626" i="1" s="1"/>
  <c r="C627" i="1"/>
  <c r="A626" i="1"/>
  <c r="H626" i="1" s="1"/>
  <c r="B626" i="1"/>
  <c r="F626" i="1" l="1"/>
  <c r="G626" i="1" s="1"/>
  <c r="B627" i="1"/>
  <c r="C628" i="1"/>
  <c r="D627" i="1"/>
  <c r="E627" i="1" s="1"/>
  <c r="A627" i="1"/>
  <c r="H627" i="1" s="1"/>
  <c r="L626" i="1"/>
  <c r="J626" i="1"/>
  <c r="I626" i="1"/>
  <c r="K626" i="1"/>
  <c r="M626" i="1"/>
  <c r="F627" i="1" l="1"/>
  <c r="G627" i="1" s="1"/>
  <c r="K627" i="1"/>
  <c r="L627" i="1"/>
  <c r="M627" i="1"/>
  <c r="J627" i="1"/>
  <c r="I627" i="1"/>
  <c r="D628" i="1"/>
  <c r="E628" i="1" s="1"/>
  <c r="C629" i="1"/>
  <c r="B628" i="1"/>
  <c r="A628" i="1"/>
  <c r="H628" i="1" s="1"/>
  <c r="A629" i="1" l="1"/>
  <c r="H629" i="1" s="1"/>
  <c r="D629" i="1"/>
  <c r="E629" i="1" s="1"/>
  <c r="C630" i="1"/>
  <c r="B629" i="1"/>
  <c r="F628" i="1"/>
  <c r="G628" i="1" s="1"/>
  <c r="I628" i="1"/>
  <c r="L628" i="1"/>
  <c r="M628" i="1"/>
  <c r="J628" i="1"/>
  <c r="K628" i="1"/>
  <c r="C631" i="1" l="1"/>
  <c r="A630" i="1"/>
  <c r="H630" i="1" s="1"/>
  <c r="B630" i="1"/>
  <c r="D630" i="1"/>
  <c r="E630" i="1" s="1"/>
  <c r="F629" i="1"/>
  <c r="G629" i="1" s="1"/>
  <c r="I629" i="1"/>
  <c r="J629" i="1"/>
  <c r="L629" i="1"/>
  <c r="K629" i="1"/>
  <c r="M629" i="1"/>
  <c r="F630" i="1" l="1"/>
  <c r="G630" i="1" s="1"/>
  <c r="J630" i="1"/>
  <c r="K630" i="1"/>
  <c r="L630" i="1"/>
  <c r="M630" i="1"/>
  <c r="I630" i="1"/>
  <c r="C632" i="1"/>
  <c r="A631" i="1"/>
  <c r="H631" i="1" s="1"/>
  <c r="D631" i="1"/>
  <c r="E631" i="1" s="1"/>
  <c r="B631" i="1"/>
  <c r="B632" i="1" l="1"/>
  <c r="D632" i="1"/>
  <c r="E632" i="1" s="1"/>
  <c r="A632" i="1"/>
  <c r="H632" i="1" s="1"/>
  <c r="C633" i="1"/>
  <c r="M631" i="1"/>
  <c r="K631" i="1"/>
  <c r="L631" i="1"/>
  <c r="I631" i="1"/>
  <c r="J631" i="1"/>
  <c r="F631" i="1"/>
  <c r="G631" i="1" s="1"/>
  <c r="A633" i="1" l="1"/>
  <c r="H633" i="1" s="1"/>
  <c r="C634" i="1"/>
  <c r="B633" i="1"/>
  <c r="D633" i="1"/>
  <c r="E633" i="1" s="1"/>
  <c r="J632" i="1"/>
  <c r="K632" i="1"/>
  <c r="I632" i="1"/>
  <c r="L632" i="1"/>
  <c r="M632" i="1"/>
  <c r="F632" i="1"/>
  <c r="G632" i="1" s="1"/>
  <c r="F633" i="1" l="1"/>
  <c r="G633" i="1" s="1"/>
  <c r="B634" i="1"/>
  <c r="D634" i="1"/>
  <c r="E634" i="1" s="1"/>
  <c r="A634" i="1"/>
  <c r="H634" i="1" s="1"/>
  <c r="C635" i="1"/>
  <c r="J633" i="1"/>
  <c r="K633" i="1"/>
  <c r="M633" i="1"/>
  <c r="I633" i="1"/>
  <c r="L633" i="1"/>
  <c r="A635" i="1" l="1"/>
  <c r="H635" i="1" s="1"/>
  <c r="B635" i="1"/>
  <c r="D635" i="1"/>
  <c r="E635" i="1" s="1"/>
  <c r="C636" i="1"/>
  <c r="L634" i="1"/>
  <c r="I634" i="1"/>
  <c r="M634" i="1"/>
  <c r="J634" i="1"/>
  <c r="K634" i="1"/>
  <c r="F634" i="1"/>
  <c r="G634" i="1" s="1"/>
  <c r="J635" i="1" l="1"/>
  <c r="I635" i="1"/>
  <c r="K635" i="1"/>
  <c r="L635" i="1"/>
  <c r="M635" i="1"/>
  <c r="D636" i="1"/>
  <c r="E636" i="1" s="1"/>
  <c r="C637" i="1"/>
  <c r="A636" i="1"/>
  <c r="H636" i="1" s="1"/>
  <c r="B636" i="1"/>
  <c r="F635" i="1"/>
  <c r="G635" i="1" s="1"/>
  <c r="I636" i="1" l="1"/>
  <c r="K636" i="1"/>
  <c r="L636" i="1"/>
  <c r="J636" i="1"/>
  <c r="M636" i="1"/>
  <c r="C638" i="1"/>
  <c r="B637" i="1"/>
  <c r="A637" i="1"/>
  <c r="H637" i="1" s="1"/>
  <c r="D637" i="1"/>
  <c r="E637" i="1" s="1"/>
  <c r="F636" i="1"/>
  <c r="G636" i="1" s="1"/>
  <c r="M637" i="1" l="1"/>
  <c r="J637" i="1"/>
  <c r="K637" i="1"/>
  <c r="I637" i="1"/>
  <c r="L637" i="1"/>
  <c r="A638" i="1"/>
  <c r="H638" i="1" s="1"/>
  <c r="D638" i="1"/>
  <c r="E638" i="1" s="1"/>
  <c r="C639" i="1"/>
  <c r="B638" i="1"/>
  <c r="F637" i="1"/>
  <c r="G637" i="1" s="1"/>
  <c r="A639" i="1" l="1"/>
  <c r="H639" i="1" s="1"/>
  <c r="C640" i="1"/>
  <c r="B639" i="1"/>
  <c r="D639" i="1"/>
  <c r="E639" i="1" s="1"/>
  <c r="F638" i="1"/>
  <c r="G638" i="1" s="1"/>
  <c r="L638" i="1"/>
  <c r="I638" i="1"/>
  <c r="J638" i="1"/>
  <c r="K638" i="1"/>
  <c r="M638" i="1"/>
  <c r="F639" i="1" l="1"/>
  <c r="G639" i="1" s="1"/>
  <c r="M639" i="1"/>
  <c r="L639" i="1"/>
  <c r="K639" i="1"/>
  <c r="I639" i="1"/>
  <c r="J639" i="1"/>
  <c r="B640" i="1"/>
  <c r="D640" i="1"/>
  <c r="E640" i="1" s="1"/>
  <c r="C641" i="1"/>
  <c r="A640" i="1"/>
  <c r="H640" i="1" s="1"/>
  <c r="F640" i="1" l="1"/>
  <c r="G640" i="1" s="1"/>
  <c r="M640" i="1"/>
  <c r="K640" i="1"/>
  <c r="L640" i="1"/>
  <c r="I640" i="1"/>
  <c r="J640" i="1"/>
  <c r="D641" i="1"/>
  <c r="E641" i="1" s="1"/>
  <c r="C642" i="1"/>
  <c r="A641" i="1"/>
  <c r="H641" i="1" s="1"/>
  <c r="B641" i="1"/>
  <c r="F641" i="1" l="1"/>
  <c r="G641" i="1" s="1"/>
  <c r="B642" i="1"/>
  <c r="D642" i="1"/>
  <c r="E642" i="1" s="1"/>
  <c r="C643" i="1"/>
  <c r="A642" i="1"/>
  <c r="H642" i="1" s="1"/>
  <c r="J641" i="1"/>
  <c r="K641" i="1"/>
  <c r="I641" i="1"/>
  <c r="L641" i="1"/>
  <c r="M641" i="1"/>
  <c r="A643" i="1" l="1"/>
  <c r="H643" i="1" s="1"/>
  <c r="B643" i="1"/>
  <c r="C644" i="1"/>
  <c r="D643" i="1"/>
  <c r="E643" i="1" s="1"/>
  <c r="M642" i="1"/>
  <c r="L642" i="1"/>
  <c r="I642" i="1"/>
  <c r="J642" i="1"/>
  <c r="K642" i="1"/>
  <c r="F642" i="1"/>
  <c r="G642" i="1" s="1"/>
  <c r="F643" i="1" l="1"/>
  <c r="G643" i="1" s="1"/>
  <c r="D644" i="1"/>
  <c r="E644" i="1" s="1"/>
  <c r="C645" i="1"/>
  <c r="A644" i="1"/>
  <c r="H644" i="1" s="1"/>
  <c r="B644" i="1"/>
  <c r="K643" i="1"/>
  <c r="L643" i="1"/>
  <c r="I643" i="1"/>
  <c r="J643" i="1"/>
  <c r="M643" i="1"/>
  <c r="I644" i="1" l="1"/>
  <c r="J644" i="1"/>
  <c r="K644" i="1"/>
  <c r="L644" i="1"/>
  <c r="M644" i="1"/>
  <c r="F644" i="1"/>
  <c r="G644" i="1" s="1"/>
  <c r="D645" i="1"/>
  <c r="E645" i="1" s="1"/>
  <c r="C646" i="1"/>
  <c r="B645" i="1"/>
  <c r="A645" i="1"/>
  <c r="H645" i="1" s="1"/>
  <c r="E646" i="1" l="1"/>
  <c r="C647" i="1"/>
  <c r="A646" i="1"/>
  <c r="H646" i="1" s="1"/>
  <c r="B646" i="1"/>
  <c r="D646" i="1"/>
  <c r="F645" i="1"/>
  <c r="G645" i="1" s="1"/>
  <c r="J645" i="1"/>
  <c r="L645" i="1"/>
  <c r="K645" i="1"/>
  <c r="M645" i="1"/>
  <c r="I645" i="1"/>
  <c r="F646" i="1" l="1"/>
  <c r="G646" i="1" s="1"/>
  <c r="L646" i="1"/>
  <c r="J646" i="1"/>
  <c r="K646" i="1"/>
  <c r="I646" i="1"/>
  <c r="M646" i="1"/>
  <c r="C648" i="1"/>
  <c r="A647" i="1"/>
  <c r="H647" i="1" s="1"/>
  <c r="B647" i="1"/>
  <c r="D647" i="1"/>
  <c r="E647" i="1" s="1"/>
  <c r="K647" i="1" l="1"/>
  <c r="M647" i="1"/>
  <c r="L647" i="1"/>
  <c r="I647" i="1"/>
  <c r="J647" i="1"/>
  <c r="D648" i="1"/>
  <c r="E648" i="1" s="1"/>
  <c r="A648" i="1"/>
  <c r="H648" i="1" s="1"/>
  <c r="B648" i="1"/>
  <c r="C649" i="1"/>
  <c r="F647" i="1"/>
  <c r="G647" i="1" s="1"/>
  <c r="I648" i="1" l="1"/>
  <c r="L648" i="1"/>
  <c r="M648" i="1"/>
  <c r="K648" i="1"/>
  <c r="J648" i="1"/>
  <c r="F648" i="1"/>
  <c r="G648" i="1" s="1"/>
  <c r="A649" i="1"/>
  <c r="H649" i="1" s="1"/>
  <c r="D649" i="1"/>
  <c r="E649" i="1" s="1"/>
  <c r="C650" i="1"/>
  <c r="B649" i="1"/>
  <c r="J649" i="1" l="1"/>
  <c r="K649" i="1"/>
  <c r="L649" i="1"/>
  <c r="M649" i="1"/>
  <c r="I649" i="1"/>
  <c r="D650" i="1"/>
  <c r="E650" i="1" s="1"/>
  <c r="A650" i="1"/>
  <c r="H650" i="1" s="1"/>
  <c r="B650" i="1"/>
  <c r="C651" i="1"/>
  <c r="F649" i="1"/>
  <c r="G649" i="1" s="1"/>
  <c r="L650" i="1" l="1"/>
  <c r="I650" i="1"/>
  <c r="M650" i="1"/>
  <c r="J650" i="1"/>
  <c r="K650" i="1"/>
  <c r="F650" i="1"/>
  <c r="G650" i="1" s="1"/>
  <c r="A651" i="1"/>
  <c r="H651" i="1" s="1"/>
  <c r="B651" i="1"/>
  <c r="C652" i="1"/>
  <c r="D651" i="1"/>
  <c r="E651" i="1" s="1"/>
  <c r="M651" i="1" l="1"/>
  <c r="J651" i="1"/>
  <c r="I651" i="1"/>
  <c r="K651" i="1"/>
  <c r="L651" i="1"/>
  <c r="F651" i="1"/>
  <c r="G651" i="1" s="1"/>
  <c r="D652" i="1"/>
  <c r="E652" i="1" s="1"/>
  <c r="C653" i="1"/>
  <c r="A652" i="1"/>
  <c r="H652" i="1" s="1"/>
  <c r="B652" i="1"/>
  <c r="F652" i="1" l="1"/>
  <c r="G652" i="1" s="1"/>
  <c r="M652" i="1"/>
  <c r="I652" i="1"/>
  <c r="J652" i="1"/>
  <c r="K652" i="1"/>
  <c r="L652" i="1"/>
  <c r="A653" i="1"/>
  <c r="H653" i="1" s="1"/>
  <c r="D653" i="1"/>
  <c r="E653" i="1" s="1"/>
  <c r="C654" i="1"/>
  <c r="B653" i="1"/>
  <c r="F653" i="1" l="1"/>
  <c r="G653" i="1" s="1"/>
  <c r="M653" i="1"/>
  <c r="I653" i="1"/>
  <c r="J653" i="1"/>
  <c r="K653" i="1"/>
  <c r="L653" i="1"/>
  <c r="B654" i="1"/>
  <c r="D654" i="1"/>
  <c r="E654" i="1" s="1"/>
  <c r="C655" i="1"/>
  <c r="A654" i="1"/>
  <c r="H654" i="1" s="1"/>
  <c r="F654" i="1" l="1"/>
  <c r="G654" i="1" s="1"/>
  <c r="L654" i="1"/>
  <c r="M654" i="1"/>
  <c r="J654" i="1"/>
  <c r="K654" i="1"/>
  <c r="I654" i="1"/>
  <c r="C656" i="1"/>
  <c r="A655" i="1"/>
  <c r="H655" i="1" s="1"/>
  <c r="B655" i="1"/>
  <c r="D655" i="1"/>
  <c r="E655" i="1" s="1"/>
  <c r="M655" i="1" l="1"/>
  <c r="K655" i="1"/>
  <c r="L655" i="1"/>
  <c r="I655" i="1"/>
  <c r="J655" i="1"/>
  <c r="D656" i="1"/>
  <c r="E656" i="1" s="1"/>
  <c r="C657" i="1"/>
  <c r="A656" i="1"/>
  <c r="H656" i="1" s="1"/>
  <c r="B656" i="1"/>
  <c r="F655" i="1"/>
  <c r="G655" i="1" s="1"/>
  <c r="I656" i="1" l="1"/>
  <c r="L656" i="1"/>
  <c r="M656" i="1"/>
  <c r="K656" i="1"/>
  <c r="J656" i="1"/>
  <c r="A657" i="1"/>
  <c r="H657" i="1" s="1"/>
  <c r="D657" i="1"/>
  <c r="E657" i="1" s="1"/>
  <c r="C658" i="1"/>
  <c r="B657" i="1"/>
  <c r="F656" i="1"/>
  <c r="G656" i="1" s="1"/>
  <c r="K657" i="1" l="1"/>
  <c r="L657" i="1"/>
  <c r="M657" i="1"/>
  <c r="I657" i="1"/>
  <c r="J657" i="1"/>
  <c r="B658" i="1"/>
  <c r="D658" i="1"/>
  <c r="E658" i="1" s="1"/>
  <c r="C659" i="1"/>
  <c r="A658" i="1"/>
  <c r="H658" i="1" s="1"/>
  <c r="F657" i="1"/>
  <c r="G657" i="1" s="1"/>
  <c r="A659" i="1" l="1"/>
  <c r="H659" i="1" s="1"/>
  <c r="D659" i="1"/>
  <c r="E659" i="1" s="1"/>
  <c r="B659" i="1"/>
  <c r="C660" i="1"/>
  <c r="F658" i="1"/>
  <c r="G658" i="1" s="1"/>
  <c r="M658" i="1"/>
  <c r="K658" i="1"/>
  <c r="L658" i="1"/>
  <c r="I658" i="1"/>
  <c r="J658" i="1"/>
  <c r="K659" i="1" l="1"/>
  <c r="L659" i="1"/>
  <c r="M659" i="1"/>
  <c r="J659" i="1"/>
  <c r="I659" i="1"/>
  <c r="D660" i="1"/>
  <c r="E660" i="1" s="1"/>
  <c r="B660" i="1"/>
  <c r="C661" i="1"/>
  <c r="A660" i="1"/>
  <c r="H660" i="1" s="1"/>
  <c r="F659" i="1"/>
  <c r="G659" i="1" s="1"/>
  <c r="A661" i="1" l="1"/>
  <c r="H661" i="1" s="1"/>
  <c r="D661" i="1"/>
  <c r="E661" i="1" s="1"/>
  <c r="B661" i="1"/>
  <c r="C662" i="1"/>
  <c r="F660" i="1"/>
  <c r="G660" i="1" s="1"/>
  <c r="L660" i="1"/>
  <c r="M660" i="1"/>
  <c r="I660" i="1"/>
  <c r="J660" i="1"/>
  <c r="K660" i="1"/>
  <c r="I661" i="1" l="1"/>
  <c r="J661" i="1"/>
  <c r="L661" i="1"/>
  <c r="K661" i="1"/>
  <c r="M661" i="1"/>
  <c r="C663" i="1"/>
  <c r="A662" i="1"/>
  <c r="H662" i="1" s="1"/>
  <c r="B662" i="1"/>
  <c r="D662" i="1"/>
  <c r="E662" i="1" s="1"/>
  <c r="F661" i="1"/>
  <c r="G661" i="1" s="1"/>
  <c r="L662" i="1" l="1"/>
  <c r="M662" i="1"/>
  <c r="I662" i="1"/>
  <c r="J662" i="1"/>
  <c r="K662" i="1"/>
  <c r="A663" i="1"/>
  <c r="H663" i="1" s="1"/>
  <c r="C664" i="1"/>
  <c r="D663" i="1"/>
  <c r="E663" i="1" s="1"/>
  <c r="B663" i="1"/>
  <c r="F662" i="1"/>
  <c r="G662" i="1" s="1"/>
  <c r="F663" i="1" l="1"/>
  <c r="G663" i="1" s="1"/>
  <c r="B664" i="1"/>
  <c r="D664" i="1"/>
  <c r="E664" i="1" s="1"/>
  <c r="C665" i="1"/>
  <c r="A664" i="1"/>
  <c r="H664" i="1" s="1"/>
  <c r="M663" i="1"/>
  <c r="I663" i="1"/>
  <c r="J663" i="1"/>
  <c r="K663" i="1"/>
  <c r="L663" i="1"/>
  <c r="L664" i="1" l="1"/>
  <c r="M664" i="1"/>
  <c r="K664" i="1"/>
  <c r="I664" i="1"/>
  <c r="J664" i="1"/>
  <c r="A665" i="1"/>
  <c r="H665" i="1" s="1"/>
  <c r="D665" i="1"/>
  <c r="E665" i="1" s="1"/>
  <c r="C666" i="1"/>
  <c r="B665" i="1"/>
  <c r="F664" i="1"/>
  <c r="G664" i="1" s="1"/>
  <c r="B666" i="1" l="1"/>
  <c r="C667" i="1"/>
  <c r="D666" i="1"/>
  <c r="E666" i="1" s="1"/>
  <c r="A666" i="1"/>
  <c r="H666" i="1" s="1"/>
  <c r="F665" i="1"/>
  <c r="G665" i="1" s="1"/>
  <c r="J665" i="1"/>
  <c r="K665" i="1"/>
  <c r="L665" i="1"/>
  <c r="I665" i="1"/>
  <c r="M665" i="1"/>
  <c r="L666" i="1" l="1"/>
  <c r="M666" i="1"/>
  <c r="J666" i="1"/>
  <c r="K666" i="1"/>
  <c r="I666" i="1"/>
  <c r="A667" i="1"/>
  <c r="H667" i="1" s="1"/>
  <c r="B667" i="1"/>
  <c r="D667" i="1"/>
  <c r="E667" i="1" s="1"/>
  <c r="C668" i="1"/>
  <c r="F666" i="1"/>
  <c r="G666" i="1" s="1"/>
  <c r="E668" i="1" l="1"/>
  <c r="D668" i="1"/>
  <c r="C669" i="1"/>
  <c r="A668" i="1"/>
  <c r="H668" i="1" s="1"/>
  <c r="B668" i="1"/>
  <c r="F667" i="1"/>
  <c r="G667" i="1" s="1"/>
  <c r="I667" i="1"/>
  <c r="K667" i="1"/>
  <c r="M667" i="1"/>
  <c r="J667" i="1"/>
  <c r="L667" i="1"/>
  <c r="J668" i="1" l="1"/>
  <c r="K668" i="1"/>
  <c r="L668" i="1"/>
  <c r="I668" i="1"/>
  <c r="M668" i="1"/>
  <c r="B669" i="1"/>
  <c r="A669" i="1"/>
  <c r="H669" i="1" s="1"/>
  <c r="D669" i="1"/>
  <c r="E669" i="1" s="1"/>
  <c r="C670" i="1"/>
  <c r="F668" i="1"/>
  <c r="G668" i="1" s="1"/>
  <c r="F669" i="1" l="1"/>
  <c r="G669" i="1" s="1"/>
  <c r="M669" i="1"/>
  <c r="I669" i="1"/>
  <c r="J669" i="1"/>
  <c r="L669" i="1"/>
  <c r="K669" i="1"/>
  <c r="C671" i="1"/>
  <c r="A670" i="1"/>
  <c r="H670" i="1" s="1"/>
  <c r="D670" i="1"/>
  <c r="E670" i="1" s="1"/>
  <c r="B670" i="1"/>
  <c r="E671" i="1" l="1"/>
  <c r="I670" i="1"/>
  <c r="J670" i="1"/>
  <c r="K670" i="1"/>
  <c r="L670" i="1"/>
  <c r="M670" i="1"/>
  <c r="C672" i="1"/>
  <c r="A671" i="1"/>
  <c r="H671" i="1" s="1"/>
  <c r="B671" i="1"/>
  <c r="D671" i="1"/>
  <c r="F670" i="1"/>
  <c r="G670" i="1" s="1"/>
  <c r="L671" i="1" l="1"/>
  <c r="M671" i="1"/>
  <c r="I671" i="1"/>
  <c r="J671" i="1"/>
  <c r="K671" i="1"/>
  <c r="B672" i="1"/>
  <c r="D672" i="1"/>
  <c r="E672" i="1" s="1"/>
  <c r="C673" i="1"/>
  <c r="A672" i="1"/>
  <c r="H672" i="1" s="1"/>
  <c r="F671" i="1"/>
  <c r="G671" i="1" s="1"/>
  <c r="A673" i="1" l="1"/>
  <c r="H673" i="1" s="1"/>
  <c r="B673" i="1"/>
  <c r="C674" i="1"/>
  <c r="D673" i="1"/>
  <c r="E673" i="1" s="1"/>
  <c r="F672" i="1"/>
  <c r="G672" i="1" s="1"/>
  <c r="L672" i="1"/>
  <c r="M672" i="1"/>
  <c r="I672" i="1"/>
  <c r="J672" i="1"/>
  <c r="K672" i="1"/>
  <c r="F673" i="1" l="1"/>
  <c r="G673" i="1" s="1"/>
  <c r="B674" i="1"/>
  <c r="D674" i="1"/>
  <c r="E674" i="1" s="1"/>
  <c r="A674" i="1"/>
  <c r="H674" i="1" s="1"/>
  <c r="C675" i="1"/>
  <c r="J673" i="1"/>
  <c r="K673" i="1"/>
  <c r="L673" i="1"/>
  <c r="I673" i="1"/>
  <c r="M673" i="1"/>
  <c r="A675" i="1" l="1"/>
  <c r="H675" i="1" s="1"/>
  <c r="B675" i="1"/>
  <c r="C676" i="1"/>
  <c r="D675" i="1"/>
  <c r="E675" i="1" s="1"/>
  <c r="M674" i="1"/>
  <c r="L674" i="1"/>
  <c r="I674" i="1"/>
  <c r="J674" i="1"/>
  <c r="K674" i="1"/>
  <c r="F674" i="1"/>
  <c r="G674" i="1" s="1"/>
  <c r="F675" i="1" l="1"/>
  <c r="G675" i="1" s="1"/>
  <c r="C677" i="1"/>
  <c r="A676" i="1"/>
  <c r="H676" i="1" s="1"/>
  <c r="B676" i="1"/>
  <c r="D676" i="1"/>
  <c r="E676" i="1" s="1"/>
  <c r="K675" i="1"/>
  <c r="M675" i="1"/>
  <c r="L675" i="1"/>
  <c r="I675" i="1"/>
  <c r="J675" i="1"/>
  <c r="F676" i="1" l="1"/>
  <c r="G676" i="1" s="1"/>
  <c r="K676" i="1"/>
  <c r="L676" i="1"/>
  <c r="M676" i="1"/>
  <c r="J676" i="1"/>
  <c r="I676" i="1"/>
  <c r="C678" i="1"/>
  <c r="A677" i="1"/>
  <c r="H677" i="1" s="1"/>
  <c r="B677" i="1"/>
  <c r="D677" i="1"/>
  <c r="E677" i="1" s="1"/>
  <c r="B678" i="1" l="1"/>
  <c r="C679" i="1"/>
  <c r="D678" i="1"/>
  <c r="E678" i="1" s="1"/>
  <c r="A678" i="1"/>
  <c r="H678" i="1" s="1"/>
  <c r="J677" i="1"/>
  <c r="K677" i="1"/>
  <c r="L677" i="1"/>
  <c r="M677" i="1"/>
  <c r="I677" i="1"/>
  <c r="F677" i="1"/>
  <c r="G677" i="1" s="1"/>
  <c r="K678" i="1" l="1"/>
  <c r="M678" i="1"/>
  <c r="L678" i="1"/>
  <c r="I678" i="1"/>
  <c r="J678" i="1"/>
  <c r="F678" i="1"/>
  <c r="G678" i="1" s="1"/>
  <c r="D679" i="1"/>
  <c r="E679" i="1" s="1"/>
  <c r="C680" i="1"/>
  <c r="A679" i="1"/>
  <c r="H679" i="1" s="1"/>
  <c r="B679" i="1"/>
  <c r="L679" i="1" l="1"/>
  <c r="M679" i="1"/>
  <c r="I679" i="1"/>
  <c r="J679" i="1"/>
  <c r="K679" i="1"/>
  <c r="F679" i="1"/>
  <c r="G679" i="1" s="1"/>
  <c r="D680" i="1"/>
  <c r="E680" i="1" s="1"/>
  <c r="B680" i="1"/>
  <c r="A680" i="1"/>
  <c r="H680" i="1" s="1"/>
  <c r="C681" i="1"/>
  <c r="F680" i="1" l="1"/>
  <c r="G680" i="1" s="1"/>
  <c r="A681" i="1"/>
  <c r="H681" i="1" s="1"/>
  <c r="D681" i="1"/>
  <c r="E681" i="1" s="1"/>
  <c r="B681" i="1"/>
  <c r="C682" i="1"/>
  <c r="J680" i="1"/>
  <c r="K680" i="1"/>
  <c r="L680" i="1"/>
  <c r="M680" i="1"/>
  <c r="I680" i="1"/>
  <c r="C683" i="1" l="1"/>
  <c r="A682" i="1"/>
  <c r="H682" i="1" s="1"/>
  <c r="B682" i="1"/>
  <c r="D682" i="1"/>
  <c r="E682" i="1" s="1"/>
  <c r="F681" i="1"/>
  <c r="G681" i="1" s="1"/>
  <c r="I681" i="1"/>
  <c r="L681" i="1"/>
  <c r="M681" i="1"/>
  <c r="K681" i="1"/>
  <c r="J681" i="1"/>
  <c r="F682" i="1" l="1"/>
  <c r="G682" i="1" s="1"/>
  <c r="L682" i="1"/>
  <c r="I682" i="1"/>
  <c r="J682" i="1"/>
  <c r="K682" i="1"/>
  <c r="M682" i="1"/>
  <c r="C684" i="1"/>
  <c r="A683" i="1"/>
  <c r="H683" i="1" s="1"/>
  <c r="B683" i="1"/>
  <c r="D683" i="1"/>
  <c r="E683" i="1" s="1"/>
  <c r="B684" i="1" l="1"/>
  <c r="D684" i="1"/>
  <c r="E684" i="1" s="1"/>
  <c r="C685" i="1"/>
  <c r="A684" i="1"/>
  <c r="H684" i="1" s="1"/>
  <c r="I683" i="1"/>
  <c r="K683" i="1"/>
  <c r="M683" i="1"/>
  <c r="J683" i="1"/>
  <c r="L683" i="1"/>
  <c r="F683" i="1"/>
  <c r="G683" i="1" s="1"/>
  <c r="J684" i="1" l="1"/>
  <c r="I684" i="1"/>
  <c r="K684" i="1"/>
  <c r="L684" i="1"/>
  <c r="M684" i="1"/>
  <c r="A685" i="1"/>
  <c r="H685" i="1" s="1"/>
  <c r="D685" i="1"/>
  <c r="E685" i="1" s="1"/>
  <c r="C686" i="1"/>
  <c r="B685" i="1"/>
  <c r="F684" i="1"/>
  <c r="G684" i="1" s="1"/>
  <c r="C687" i="1" l="1"/>
  <c r="A686" i="1"/>
  <c r="H686" i="1" s="1"/>
  <c r="B686" i="1"/>
  <c r="D686" i="1"/>
  <c r="E686" i="1" s="1"/>
  <c r="F685" i="1"/>
  <c r="G685" i="1" s="1"/>
  <c r="I685" i="1"/>
  <c r="J685" i="1"/>
  <c r="K685" i="1"/>
  <c r="L685" i="1"/>
  <c r="M685" i="1"/>
  <c r="I686" i="1" l="1"/>
  <c r="J686" i="1"/>
  <c r="K686" i="1"/>
  <c r="L686" i="1"/>
  <c r="M686" i="1"/>
  <c r="F686" i="1"/>
  <c r="G686" i="1" s="1"/>
  <c r="D687" i="1"/>
  <c r="E687" i="1" s="1"/>
  <c r="C688" i="1"/>
  <c r="B687" i="1"/>
  <c r="A687" i="1"/>
  <c r="H687" i="1" s="1"/>
  <c r="D688" i="1" l="1"/>
  <c r="E688" i="1" s="1"/>
  <c r="C689" i="1"/>
  <c r="A688" i="1"/>
  <c r="H688" i="1" s="1"/>
  <c r="B688" i="1"/>
  <c r="F687" i="1"/>
  <c r="G687" i="1" s="1"/>
  <c r="K687" i="1"/>
  <c r="L687" i="1"/>
  <c r="M687" i="1"/>
  <c r="I687" i="1"/>
  <c r="J687" i="1"/>
  <c r="M688" i="1" l="1"/>
  <c r="I688" i="1"/>
  <c r="J688" i="1"/>
  <c r="K688" i="1"/>
  <c r="L688" i="1"/>
  <c r="C690" i="1"/>
  <c r="A689" i="1"/>
  <c r="H689" i="1" s="1"/>
  <c r="B689" i="1"/>
  <c r="D689" i="1"/>
  <c r="E689" i="1" s="1"/>
  <c r="F688" i="1"/>
  <c r="G688" i="1" s="1"/>
  <c r="K689" i="1" l="1"/>
  <c r="L689" i="1"/>
  <c r="I689" i="1"/>
  <c r="M689" i="1"/>
  <c r="J689" i="1"/>
  <c r="B690" i="1"/>
  <c r="D690" i="1"/>
  <c r="E690" i="1" s="1"/>
  <c r="C691" i="1"/>
  <c r="A690" i="1"/>
  <c r="H690" i="1" s="1"/>
  <c r="F689" i="1"/>
  <c r="G689" i="1" s="1"/>
  <c r="A691" i="1" l="1"/>
  <c r="H691" i="1" s="1"/>
  <c r="B691" i="1"/>
  <c r="D691" i="1"/>
  <c r="E691" i="1" s="1"/>
  <c r="C692" i="1"/>
  <c r="F690" i="1"/>
  <c r="G690" i="1" s="1"/>
  <c r="J690" i="1"/>
  <c r="K690" i="1"/>
  <c r="L690" i="1"/>
  <c r="M690" i="1"/>
  <c r="I690" i="1"/>
  <c r="F691" i="1" l="1"/>
  <c r="G691" i="1" s="1"/>
  <c r="A692" i="1"/>
  <c r="H692" i="1" s="1"/>
  <c r="D692" i="1"/>
  <c r="E692" i="1" s="1"/>
  <c r="C693" i="1"/>
  <c r="B692" i="1"/>
  <c r="K691" i="1"/>
  <c r="L691" i="1"/>
  <c r="M691" i="1"/>
  <c r="J691" i="1"/>
  <c r="I691" i="1"/>
  <c r="A693" i="1" l="1"/>
  <c r="H693" i="1" s="1"/>
  <c r="B693" i="1"/>
  <c r="D693" i="1"/>
  <c r="E693" i="1" s="1"/>
  <c r="C694" i="1"/>
  <c r="F692" i="1"/>
  <c r="G692" i="1" s="1"/>
  <c r="I692" i="1"/>
  <c r="L692" i="1"/>
  <c r="J692" i="1"/>
  <c r="K692" i="1"/>
  <c r="M692" i="1"/>
  <c r="C695" i="1" l="1"/>
  <c r="A694" i="1"/>
  <c r="H694" i="1" s="1"/>
  <c r="B694" i="1"/>
  <c r="D694" i="1"/>
  <c r="E694" i="1" s="1"/>
  <c r="F693" i="1"/>
  <c r="G693" i="1" s="1"/>
  <c r="M693" i="1"/>
  <c r="I693" i="1"/>
  <c r="K693" i="1"/>
  <c r="L693" i="1"/>
  <c r="J693" i="1"/>
  <c r="A695" i="1" l="1"/>
  <c r="H695" i="1" s="1"/>
  <c r="C696" i="1"/>
  <c r="B695" i="1"/>
  <c r="D695" i="1"/>
  <c r="E695" i="1" s="1"/>
  <c r="F694" i="1"/>
  <c r="G694" i="1" s="1"/>
  <c r="I694" i="1"/>
  <c r="J694" i="1"/>
  <c r="K694" i="1"/>
  <c r="L694" i="1"/>
  <c r="M694" i="1"/>
  <c r="J695" i="1" l="1"/>
  <c r="K695" i="1"/>
  <c r="L695" i="1"/>
  <c r="M695" i="1"/>
  <c r="I695" i="1"/>
  <c r="F695" i="1"/>
  <c r="G695" i="1" s="1"/>
  <c r="A696" i="1"/>
  <c r="H696" i="1" s="1"/>
  <c r="C697" i="1"/>
  <c r="B696" i="1"/>
  <c r="D696" i="1"/>
  <c r="E696" i="1" s="1"/>
  <c r="K696" i="1" l="1"/>
  <c r="L696" i="1"/>
  <c r="J696" i="1"/>
  <c r="M696" i="1"/>
  <c r="I696" i="1"/>
  <c r="F696" i="1"/>
  <c r="G696" i="1" s="1"/>
  <c r="B697" i="1"/>
  <c r="C698" i="1"/>
  <c r="A697" i="1"/>
  <c r="H697" i="1" s="1"/>
  <c r="D697" i="1"/>
  <c r="E697" i="1" s="1"/>
  <c r="F697" i="1" l="1"/>
  <c r="G697" i="1" s="1"/>
  <c r="J697" i="1"/>
  <c r="I697" i="1"/>
  <c r="K697" i="1"/>
  <c r="L697" i="1"/>
  <c r="M697" i="1"/>
  <c r="C699" i="1"/>
  <c r="A698" i="1"/>
  <c r="H698" i="1" s="1"/>
  <c r="B698" i="1"/>
  <c r="D698" i="1"/>
  <c r="E698" i="1" s="1"/>
  <c r="I698" i="1" l="1"/>
  <c r="K698" i="1"/>
  <c r="J698" i="1"/>
  <c r="L698" i="1"/>
  <c r="M698" i="1"/>
  <c r="A699" i="1"/>
  <c r="H699" i="1" s="1"/>
  <c r="B699" i="1"/>
  <c r="D699" i="1"/>
  <c r="E699" i="1" s="1"/>
  <c r="C700" i="1"/>
  <c r="F698" i="1"/>
  <c r="G698" i="1" s="1"/>
  <c r="F699" i="1" l="1"/>
  <c r="G699" i="1" s="1"/>
  <c r="J699" i="1"/>
  <c r="K699" i="1"/>
  <c r="I699" i="1"/>
  <c r="L699" i="1"/>
  <c r="M699" i="1"/>
  <c r="A700" i="1"/>
  <c r="H700" i="1" s="1"/>
  <c r="D700" i="1"/>
  <c r="E700" i="1" s="1"/>
  <c r="C701" i="1"/>
  <c r="B700" i="1"/>
  <c r="I700" i="1" l="1"/>
  <c r="J700" i="1"/>
  <c r="K700" i="1"/>
  <c r="L700" i="1"/>
  <c r="M700" i="1"/>
  <c r="C702" i="1"/>
  <c r="D701" i="1"/>
  <c r="E701" i="1" s="1"/>
  <c r="A701" i="1"/>
  <c r="H701" i="1" s="1"/>
  <c r="B701" i="1"/>
  <c r="F700" i="1"/>
  <c r="G700" i="1" s="1"/>
  <c r="I701" i="1" l="1"/>
  <c r="L701" i="1"/>
  <c r="M701" i="1"/>
  <c r="J701" i="1"/>
  <c r="K701" i="1"/>
  <c r="F701" i="1"/>
  <c r="G701" i="1" s="1"/>
  <c r="C703" i="1"/>
  <c r="A702" i="1"/>
  <c r="H702" i="1" s="1"/>
  <c r="B702" i="1"/>
  <c r="D702" i="1"/>
  <c r="E702" i="1" s="1"/>
  <c r="C704" i="1" l="1"/>
  <c r="A703" i="1"/>
  <c r="H703" i="1" s="1"/>
  <c r="B703" i="1"/>
  <c r="D703" i="1"/>
  <c r="E703" i="1" s="1"/>
  <c r="F702" i="1"/>
  <c r="G702" i="1" s="1"/>
  <c r="M702" i="1"/>
  <c r="I702" i="1"/>
  <c r="J702" i="1"/>
  <c r="K702" i="1"/>
  <c r="L702" i="1"/>
  <c r="F703" i="1" l="1"/>
  <c r="G703" i="1" s="1"/>
  <c r="M703" i="1"/>
  <c r="I703" i="1"/>
  <c r="L703" i="1"/>
  <c r="J703" i="1"/>
  <c r="K703" i="1"/>
  <c r="C705" i="1"/>
  <c r="D704" i="1"/>
  <c r="E704" i="1" s="1"/>
  <c r="A704" i="1"/>
  <c r="H704" i="1" s="1"/>
  <c r="B704" i="1"/>
  <c r="E705" i="1" l="1"/>
  <c r="F704" i="1"/>
  <c r="G704" i="1" s="1"/>
  <c r="C706" i="1"/>
  <c r="A705" i="1"/>
  <c r="H705" i="1" s="1"/>
  <c r="B705" i="1"/>
  <c r="D705" i="1"/>
  <c r="M704" i="1"/>
  <c r="J704" i="1"/>
  <c r="K704" i="1"/>
  <c r="L704" i="1"/>
  <c r="I704" i="1"/>
  <c r="F705" i="1" l="1"/>
  <c r="G705" i="1" s="1"/>
  <c r="K705" i="1"/>
  <c r="L705" i="1"/>
  <c r="M705" i="1"/>
  <c r="I705" i="1"/>
  <c r="J705" i="1"/>
  <c r="B706" i="1"/>
  <c r="D706" i="1"/>
  <c r="E706" i="1" s="1"/>
  <c r="C707" i="1"/>
  <c r="A706" i="1"/>
  <c r="H706" i="1" s="1"/>
  <c r="F706" i="1" l="1"/>
  <c r="G706" i="1" s="1"/>
  <c r="J706" i="1"/>
  <c r="K706" i="1"/>
  <c r="I706" i="1"/>
  <c r="L706" i="1"/>
  <c r="M706" i="1"/>
  <c r="A707" i="1"/>
  <c r="H707" i="1" s="1"/>
  <c r="B707" i="1"/>
  <c r="D707" i="1"/>
  <c r="E707" i="1" s="1"/>
  <c r="C708" i="1"/>
  <c r="L707" i="1" l="1"/>
  <c r="K707" i="1"/>
  <c r="I707" i="1"/>
  <c r="J707" i="1"/>
  <c r="M707" i="1"/>
  <c r="D708" i="1"/>
  <c r="E708" i="1" s="1"/>
  <c r="C709" i="1"/>
  <c r="A708" i="1"/>
  <c r="H708" i="1" s="1"/>
  <c r="B708" i="1"/>
  <c r="F707" i="1"/>
  <c r="G707" i="1" s="1"/>
  <c r="K708" i="1" l="1"/>
  <c r="L708" i="1"/>
  <c r="M708" i="1"/>
  <c r="I708" i="1"/>
  <c r="J708" i="1"/>
  <c r="A709" i="1"/>
  <c r="H709" i="1" s="1"/>
  <c r="B709" i="1"/>
  <c r="D709" i="1"/>
  <c r="E709" i="1" s="1"/>
  <c r="C710" i="1"/>
  <c r="F708" i="1"/>
  <c r="G708" i="1" s="1"/>
  <c r="B710" i="1" l="1"/>
  <c r="D710" i="1"/>
  <c r="E710" i="1" s="1"/>
  <c r="C711" i="1"/>
  <c r="A710" i="1"/>
  <c r="H710" i="1" s="1"/>
  <c r="F709" i="1"/>
  <c r="G709" i="1" s="1"/>
  <c r="L709" i="1"/>
  <c r="I709" i="1"/>
  <c r="K709" i="1"/>
  <c r="M709" i="1"/>
  <c r="J709" i="1"/>
  <c r="K710" i="1" l="1"/>
  <c r="L710" i="1"/>
  <c r="M710" i="1"/>
  <c r="I710" i="1"/>
  <c r="J710" i="1"/>
  <c r="D711" i="1"/>
  <c r="E711" i="1" s="1"/>
  <c r="C712" i="1"/>
  <c r="A711" i="1"/>
  <c r="H711" i="1" s="1"/>
  <c r="B711" i="1"/>
  <c r="F710" i="1"/>
  <c r="G710" i="1" s="1"/>
  <c r="J711" i="1" l="1"/>
  <c r="K711" i="1"/>
  <c r="L711" i="1"/>
  <c r="M711" i="1"/>
  <c r="I711" i="1"/>
  <c r="A712" i="1"/>
  <c r="H712" i="1" s="1"/>
  <c r="B712" i="1"/>
  <c r="D712" i="1"/>
  <c r="E712" i="1" s="1"/>
  <c r="C713" i="1"/>
  <c r="F711" i="1"/>
  <c r="G711" i="1" s="1"/>
  <c r="C714" i="1" l="1"/>
  <c r="B713" i="1"/>
  <c r="A713" i="1"/>
  <c r="H713" i="1" s="1"/>
  <c r="D713" i="1"/>
  <c r="E713" i="1" s="1"/>
  <c r="F712" i="1"/>
  <c r="G712" i="1" s="1"/>
  <c r="J712" i="1"/>
  <c r="K712" i="1"/>
  <c r="L712" i="1"/>
  <c r="M712" i="1"/>
  <c r="I712" i="1"/>
  <c r="I713" i="1" l="1"/>
  <c r="J713" i="1"/>
  <c r="L713" i="1"/>
  <c r="K713" i="1"/>
  <c r="M713" i="1"/>
  <c r="A714" i="1"/>
  <c r="H714" i="1" s="1"/>
  <c r="B714" i="1"/>
  <c r="D714" i="1"/>
  <c r="E714" i="1" s="1"/>
  <c r="C715" i="1"/>
  <c r="F713" i="1"/>
  <c r="G713" i="1" s="1"/>
  <c r="E715" i="1" l="1"/>
  <c r="C716" i="1"/>
  <c r="A715" i="1"/>
  <c r="H715" i="1" s="1"/>
  <c r="B715" i="1"/>
  <c r="D715" i="1"/>
  <c r="F714" i="1"/>
  <c r="G714" i="1" s="1"/>
  <c r="I714" i="1"/>
  <c r="J714" i="1"/>
  <c r="K714" i="1"/>
  <c r="L714" i="1"/>
  <c r="M714" i="1"/>
  <c r="K715" i="1" l="1"/>
  <c r="L715" i="1"/>
  <c r="I715" i="1"/>
  <c r="M715" i="1"/>
  <c r="J715" i="1"/>
  <c r="D716" i="1"/>
  <c r="E716" i="1" s="1"/>
  <c r="C717" i="1"/>
  <c r="A716" i="1"/>
  <c r="H716" i="1" s="1"/>
  <c r="B716" i="1"/>
  <c r="F715" i="1"/>
  <c r="G715" i="1" s="1"/>
  <c r="I716" i="1" l="1"/>
  <c r="J716" i="1"/>
  <c r="K716" i="1"/>
  <c r="L716" i="1"/>
  <c r="M716" i="1"/>
  <c r="F716" i="1"/>
  <c r="G716" i="1" s="1"/>
  <c r="D717" i="1"/>
  <c r="E717" i="1" s="1"/>
  <c r="B717" i="1"/>
  <c r="A717" i="1"/>
  <c r="H717" i="1" s="1"/>
  <c r="C718" i="1"/>
  <c r="F717" i="1" l="1"/>
  <c r="G717" i="1" s="1"/>
  <c r="B718" i="1"/>
  <c r="D718" i="1"/>
  <c r="E718" i="1" s="1"/>
  <c r="A718" i="1"/>
  <c r="H718" i="1" s="1"/>
  <c r="C719" i="1"/>
  <c r="M717" i="1"/>
  <c r="I717" i="1"/>
  <c r="L717" i="1"/>
  <c r="J717" i="1"/>
  <c r="K717" i="1"/>
  <c r="C720" i="1" l="1"/>
  <c r="A719" i="1"/>
  <c r="H719" i="1" s="1"/>
  <c r="D719" i="1"/>
  <c r="E719" i="1" s="1"/>
  <c r="B719" i="1"/>
  <c r="J718" i="1"/>
  <c r="K718" i="1"/>
  <c r="L718" i="1"/>
  <c r="I718" i="1"/>
  <c r="M718" i="1"/>
  <c r="F718" i="1"/>
  <c r="G718" i="1" s="1"/>
  <c r="F719" i="1" l="1"/>
  <c r="G719" i="1" s="1"/>
  <c r="I719" i="1"/>
  <c r="J719" i="1"/>
  <c r="K719" i="1"/>
  <c r="M719" i="1"/>
  <c r="L719" i="1"/>
  <c r="C721" i="1"/>
  <c r="A720" i="1"/>
  <c r="H720" i="1" s="1"/>
  <c r="B720" i="1"/>
  <c r="D720" i="1"/>
  <c r="E720" i="1" s="1"/>
  <c r="E721" i="1" l="1"/>
  <c r="K720" i="1"/>
  <c r="L720" i="1"/>
  <c r="M720" i="1"/>
  <c r="I720" i="1"/>
  <c r="J720" i="1"/>
  <c r="A721" i="1"/>
  <c r="H721" i="1" s="1"/>
  <c r="B721" i="1"/>
  <c r="C722" i="1"/>
  <c r="D721" i="1"/>
  <c r="F720" i="1"/>
  <c r="G720" i="1" s="1"/>
  <c r="C723" i="1" l="1"/>
  <c r="D722" i="1"/>
  <c r="E722" i="1" s="1"/>
  <c r="A722" i="1"/>
  <c r="H722" i="1" s="1"/>
  <c r="B722" i="1"/>
  <c r="K721" i="1"/>
  <c r="L721" i="1"/>
  <c r="M721" i="1"/>
  <c r="I721" i="1"/>
  <c r="J721" i="1"/>
  <c r="F721" i="1"/>
  <c r="G721" i="1" s="1"/>
  <c r="L722" i="1" l="1"/>
  <c r="I722" i="1"/>
  <c r="J722" i="1"/>
  <c r="K722" i="1"/>
  <c r="M722" i="1"/>
  <c r="F722" i="1"/>
  <c r="G722" i="1" s="1"/>
  <c r="A723" i="1"/>
  <c r="H723" i="1" s="1"/>
  <c r="B723" i="1"/>
  <c r="D723" i="1"/>
  <c r="E723" i="1" s="1"/>
  <c r="C724" i="1"/>
  <c r="E724" i="1" l="1"/>
  <c r="F723" i="1"/>
  <c r="G723" i="1" s="1"/>
  <c r="M723" i="1"/>
  <c r="J723" i="1"/>
  <c r="I723" i="1"/>
  <c r="K723" i="1"/>
  <c r="L723" i="1"/>
  <c r="C725" i="1"/>
  <c r="A724" i="1"/>
  <c r="H724" i="1" s="1"/>
  <c r="B724" i="1"/>
  <c r="D724" i="1"/>
  <c r="F724" i="1" l="1"/>
  <c r="G724" i="1" s="1"/>
  <c r="J724" i="1"/>
  <c r="L724" i="1"/>
  <c r="M724" i="1"/>
  <c r="I724" i="1"/>
  <c r="K724" i="1"/>
  <c r="A725" i="1"/>
  <c r="H725" i="1" s="1"/>
  <c r="C726" i="1"/>
  <c r="B725" i="1"/>
  <c r="D725" i="1"/>
  <c r="E725" i="1" s="1"/>
  <c r="M725" i="1" l="1"/>
  <c r="K725" i="1"/>
  <c r="J725" i="1"/>
  <c r="I725" i="1"/>
  <c r="L725" i="1"/>
  <c r="C727" i="1"/>
  <c r="A726" i="1"/>
  <c r="H726" i="1" s="1"/>
  <c r="B726" i="1"/>
  <c r="D726" i="1"/>
  <c r="E726" i="1" s="1"/>
  <c r="F725" i="1"/>
  <c r="G725" i="1" s="1"/>
  <c r="F726" i="1" l="1"/>
  <c r="G726" i="1" s="1"/>
  <c r="J726" i="1"/>
  <c r="K726" i="1"/>
  <c r="L726" i="1"/>
  <c r="M726" i="1"/>
  <c r="I726" i="1"/>
  <c r="A727" i="1"/>
  <c r="H727" i="1" s="1"/>
  <c r="B727" i="1"/>
  <c r="D727" i="1"/>
  <c r="E727" i="1" s="1"/>
  <c r="C728" i="1"/>
  <c r="B728" i="1" l="1"/>
  <c r="D728" i="1"/>
  <c r="E728" i="1" s="1"/>
  <c r="C729" i="1"/>
  <c r="A728" i="1"/>
  <c r="H728" i="1" s="1"/>
  <c r="F727" i="1"/>
  <c r="G727" i="1" s="1"/>
  <c r="M727" i="1"/>
  <c r="L727" i="1"/>
  <c r="I727" i="1"/>
  <c r="J727" i="1"/>
  <c r="K727" i="1"/>
  <c r="K728" i="1" l="1"/>
  <c r="J728" i="1"/>
  <c r="L728" i="1"/>
  <c r="M728" i="1"/>
  <c r="I728" i="1"/>
  <c r="F728" i="1"/>
  <c r="G728" i="1" s="1"/>
  <c r="A729" i="1"/>
  <c r="H729" i="1" s="1"/>
  <c r="B729" i="1"/>
  <c r="C730" i="1"/>
  <c r="D729" i="1"/>
  <c r="E729" i="1" s="1"/>
  <c r="M729" i="1" l="1"/>
  <c r="K729" i="1"/>
  <c r="I729" i="1"/>
  <c r="J729" i="1"/>
  <c r="L729" i="1"/>
  <c r="F729" i="1"/>
  <c r="G729" i="1" s="1"/>
  <c r="D730" i="1"/>
  <c r="E730" i="1" s="1"/>
  <c r="C731" i="1"/>
  <c r="A730" i="1"/>
  <c r="H730" i="1" s="1"/>
  <c r="B730" i="1"/>
  <c r="F730" i="1" l="1"/>
  <c r="G730" i="1" s="1"/>
  <c r="C732" i="1"/>
  <c r="A731" i="1"/>
  <c r="H731" i="1" s="1"/>
  <c r="B731" i="1"/>
  <c r="D731" i="1"/>
  <c r="E731" i="1" s="1"/>
  <c r="I730" i="1"/>
  <c r="K730" i="1"/>
  <c r="L730" i="1"/>
  <c r="M730" i="1"/>
  <c r="J730" i="1"/>
  <c r="F731" i="1" l="1"/>
  <c r="G731" i="1" s="1"/>
  <c r="J731" i="1"/>
  <c r="K731" i="1"/>
  <c r="L731" i="1"/>
  <c r="M731" i="1"/>
  <c r="I731" i="1"/>
  <c r="C733" i="1"/>
  <c r="A732" i="1"/>
  <c r="H732" i="1" s="1"/>
  <c r="B732" i="1"/>
  <c r="D732" i="1"/>
  <c r="E732" i="1" s="1"/>
  <c r="C734" i="1" l="1"/>
  <c r="A733" i="1"/>
  <c r="H733" i="1" s="1"/>
  <c r="B733" i="1"/>
  <c r="D733" i="1"/>
  <c r="E733" i="1" s="1"/>
  <c r="I732" i="1"/>
  <c r="J732" i="1"/>
  <c r="K732" i="1"/>
  <c r="L732" i="1"/>
  <c r="M732" i="1"/>
  <c r="F732" i="1"/>
  <c r="G732" i="1" s="1"/>
  <c r="M733" i="1" l="1"/>
  <c r="K733" i="1"/>
  <c r="L733" i="1"/>
  <c r="I733" i="1"/>
  <c r="J733" i="1"/>
  <c r="C735" i="1"/>
  <c r="A734" i="1"/>
  <c r="H734" i="1" s="1"/>
  <c r="B734" i="1"/>
  <c r="D734" i="1"/>
  <c r="E734" i="1" s="1"/>
  <c r="F733" i="1"/>
  <c r="G733" i="1" s="1"/>
  <c r="F734" i="1" l="1"/>
  <c r="G734" i="1" s="1"/>
  <c r="J734" i="1"/>
  <c r="K734" i="1"/>
  <c r="L734" i="1"/>
  <c r="M734" i="1"/>
  <c r="I734" i="1"/>
  <c r="A735" i="1"/>
  <c r="H735" i="1" s="1"/>
  <c r="D735" i="1"/>
  <c r="E735" i="1" s="1"/>
  <c r="B735" i="1"/>
  <c r="C736" i="1"/>
  <c r="M735" i="1" l="1"/>
  <c r="I735" i="1"/>
  <c r="J735" i="1"/>
  <c r="K735" i="1"/>
  <c r="L735" i="1"/>
  <c r="F735" i="1"/>
  <c r="G735" i="1" s="1"/>
  <c r="B736" i="1"/>
  <c r="D736" i="1"/>
  <c r="E736" i="1" s="1"/>
  <c r="C737" i="1"/>
  <c r="A736" i="1"/>
  <c r="H736" i="1" s="1"/>
  <c r="A737" i="1" l="1"/>
  <c r="H737" i="1" s="1"/>
  <c r="B737" i="1"/>
  <c r="C738" i="1"/>
  <c r="D737" i="1"/>
  <c r="E737" i="1" s="1"/>
  <c r="L736" i="1"/>
  <c r="M736" i="1"/>
  <c r="I736" i="1"/>
  <c r="J736" i="1"/>
  <c r="K736" i="1"/>
  <c r="F736" i="1"/>
  <c r="G736" i="1" s="1"/>
  <c r="F737" i="1" l="1"/>
  <c r="G737" i="1" s="1"/>
  <c r="D738" i="1"/>
  <c r="E738" i="1" s="1"/>
  <c r="C739" i="1"/>
  <c r="A738" i="1"/>
  <c r="H738" i="1" s="1"/>
  <c r="B738" i="1"/>
  <c r="L737" i="1"/>
  <c r="I737" i="1"/>
  <c r="J737" i="1"/>
  <c r="M737" i="1"/>
  <c r="K737" i="1"/>
  <c r="K738" i="1" l="1"/>
  <c r="L738" i="1"/>
  <c r="J738" i="1"/>
  <c r="M738" i="1"/>
  <c r="I738" i="1"/>
  <c r="A739" i="1"/>
  <c r="H739" i="1" s="1"/>
  <c r="B739" i="1"/>
  <c r="D739" i="1"/>
  <c r="E739" i="1" s="1"/>
  <c r="C740" i="1"/>
  <c r="F738" i="1"/>
  <c r="G738" i="1" s="1"/>
  <c r="A740" i="1" l="1"/>
  <c r="H740" i="1" s="1"/>
  <c r="B740" i="1"/>
  <c r="C741" i="1"/>
  <c r="D740" i="1"/>
  <c r="E740" i="1" s="1"/>
  <c r="F739" i="1"/>
  <c r="G739" i="1" s="1"/>
  <c r="J739" i="1"/>
  <c r="K739" i="1"/>
  <c r="L739" i="1"/>
  <c r="M739" i="1"/>
  <c r="I739" i="1"/>
  <c r="F740" i="1" l="1"/>
  <c r="G740" i="1" s="1"/>
  <c r="D741" i="1"/>
  <c r="E741" i="1" s="1"/>
  <c r="C742" i="1"/>
  <c r="B741" i="1"/>
  <c r="A741" i="1"/>
  <c r="H741" i="1" s="1"/>
  <c r="M740" i="1"/>
  <c r="I740" i="1"/>
  <c r="J740" i="1"/>
  <c r="K740" i="1"/>
  <c r="L740" i="1"/>
  <c r="I741" i="1" l="1"/>
  <c r="J741" i="1"/>
  <c r="K741" i="1"/>
  <c r="L741" i="1"/>
  <c r="M741" i="1"/>
  <c r="C743" i="1"/>
  <c r="A742" i="1"/>
  <c r="H742" i="1" s="1"/>
  <c r="B742" i="1"/>
  <c r="D742" i="1"/>
  <c r="E742" i="1" s="1"/>
  <c r="F741" i="1"/>
  <c r="G741" i="1" s="1"/>
  <c r="J742" i="1" l="1"/>
  <c r="K742" i="1"/>
  <c r="L742" i="1"/>
  <c r="M742" i="1"/>
  <c r="I742" i="1"/>
  <c r="F742" i="1"/>
  <c r="G742" i="1" s="1"/>
  <c r="A743" i="1"/>
  <c r="H743" i="1" s="1"/>
  <c r="D743" i="1"/>
  <c r="E743" i="1" s="1"/>
  <c r="B743" i="1"/>
  <c r="C744" i="1"/>
  <c r="F743" i="1" l="1"/>
  <c r="G743" i="1" s="1"/>
  <c r="J743" i="1"/>
  <c r="K743" i="1"/>
  <c r="L743" i="1"/>
  <c r="M743" i="1"/>
  <c r="I743" i="1"/>
  <c r="B744" i="1"/>
  <c r="D744" i="1"/>
  <c r="E744" i="1" s="1"/>
  <c r="C745" i="1"/>
  <c r="A744" i="1"/>
  <c r="H744" i="1" s="1"/>
  <c r="F744" i="1" l="1"/>
  <c r="G744" i="1" s="1"/>
  <c r="M744" i="1"/>
  <c r="I744" i="1"/>
  <c r="K744" i="1"/>
  <c r="J744" i="1"/>
  <c r="L744" i="1"/>
  <c r="A745" i="1"/>
  <c r="H745" i="1" s="1"/>
  <c r="B745" i="1"/>
  <c r="D745" i="1"/>
  <c r="E745" i="1" s="1"/>
  <c r="C746" i="1"/>
  <c r="J745" i="1" l="1"/>
  <c r="K745" i="1"/>
  <c r="I745" i="1"/>
  <c r="L745" i="1"/>
  <c r="M745" i="1"/>
  <c r="D746" i="1"/>
  <c r="E746" i="1" s="1"/>
  <c r="B746" i="1"/>
  <c r="C747" i="1"/>
  <c r="A746" i="1"/>
  <c r="H746" i="1" s="1"/>
  <c r="F745" i="1"/>
  <c r="G745" i="1" s="1"/>
  <c r="I746" i="1" l="1"/>
  <c r="J746" i="1"/>
  <c r="M746" i="1"/>
  <c r="K746" i="1"/>
  <c r="L746" i="1"/>
  <c r="B747" i="1"/>
  <c r="D747" i="1"/>
  <c r="E747" i="1" s="1"/>
  <c r="C748" i="1"/>
  <c r="A747" i="1"/>
  <c r="H747" i="1" s="1"/>
  <c r="F746" i="1"/>
  <c r="G746" i="1" s="1"/>
  <c r="F747" i="1" l="1"/>
  <c r="G747" i="1" s="1"/>
  <c r="L747" i="1"/>
  <c r="M747" i="1"/>
  <c r="I747" i="1"/>
  <c r="J747" i="1"/>
  <c r="K747" i="1"/>
  <c r="B748" i="1"/>
  <c r="D748" i="1"/>
  <c r="E748" i="1" s="1"/>
  <c r="A748" i="1"/>
  <c r="H748" i="1" s="1"/>
  <c r="C749" i="1"/>
  <c r="F748" i="1" l="1"/>
  <c r="G748" i="1" s="1"/>
  <c r="D749" i="1"/>
  <c r="E749" i="1" s="1"/>
  <c r="C750" i="1"/>
  <c r="A749" i="1"/>
  <c r="H749" i="1" s="1"/>
  <c r="B749" i="1"/>
  <c r="J748" i="1"/>
  <c r="K748" i="1"/>
  <c r="L748" i="1"/>
  <c r="M748" i="1"/>
  <c r="I748" i="1"/>
  <c r="I749" i="1" l="1"/>
  <c r="J749" i="1"/>
  <c r="K749" i="1"/>
  <c r="M749" i="1"/>
  <c r="L749" i="1"/>
  <c r="D750" i="1"/>
  <c r="E750" i="1" s="1"/>
  <c r="C751" i="1"/>
  <c r="A750" i="1"/>
  <c r="H750" i="1" s="1"/>
  <c r="B750" i="1"/>
  <c r="F749" i="1"/>
  <c r="G749" i="1" s="1"/>
  <c r="L750" i="1" l="1"/>
  <c r="M750" i="1"/>
  <c r="I750" i="1"/>
  <c r="J750" i="1"/>
  <c r="K750" i="1"/>
  <c r="C752" i="1"/>
  <c r="D751" i="1"/>
  <c r="E751" i="1" s="1"/>
  <c r="A751" i="1"/>
  <c r="H751" i="1" s="1"/>
  <c r="B751" i="1"/>
  <c r="F750" i="1"/>
  <c r="G750" i="1" s="1"/>
  <c r="F751" i="1" l="1"/>
  <c r="G751" i="1" s="1"/>
  <c r="L751" i="1"/>
  <c r="M751" i="1"/>
  <c r="K751" i="1"/>
  <c r="I751" i="1"/>
  <c r="J751" i="1"/>
  <c r="B752" i="1"/>
  <c r="D752" i="1"/>
  <c r="E752" i="1" s="1"/>
  <c r="C753" i="1"/>
  <c r="A752" i="1"/>
  <c r="H752" i="1" s="1"/>
  <c r="F752" i="1" l="1"/>
  <c r="G752" i="1" s="1"/>
  <c r="M752" i="1"/>
  <c r="K752" i="1"/>
  <c r="L752" i="1"/>
  <c r="I752" i="1"/>
  <c r="J752" i="1"/>
  <c r="B753" i="1"/>
  <c r="A753" i="1"/>
  <c r="H753" i="1" s="1"/>
  <c r="D753" i="1"/>
  <c r="E753" i="1" s="1"/>
  <c r="C754" i="1"/>
  <c r="J753" i="1" l="1"/>
  <c r="K753" i="1"/>
  <c r="L753" i="1"/>
  <c r="I753" i="1"/>
  <c r="M753" i="1"/>
  <c r="D754" i="1"/>
  <c r="E754" i="1" s="1"/>
  <c r="C755" i="1"/>
  <c r="A754" i="1"/>
  <c r="H754" i="1" s="1"/>
  <c r="B754" i="1"/>
  <c r="F753" i="1"/>
  <c r="G753" i="1" s="1"/>
  <c r="I754" i="1" l="1"/>
  <c r="J754" i="1"/>
  <c r="L754" i="1"/>
  <c r="M754" i="1"/>
  <c r="K754" i="1"/>
  <c r="B755" i="1"/>
  <c r="D755" i="1"/>
  <c r="E755" i="1" s="1"/>
  <c r="A755" i="1"/>
  <c r="H755" i="1" s="1"/>
  <c r="C756" i="1"/>
  <c r="F754" i="1"/>
  <c r="G754" i="1" s="1"/>
  <c r="B756" i="1" l="1"/>
  <c r="C757" i="1"/>
  <c r="D756" i="1"/>
  <c r="E756" i="1" s="1"/>
  <c r="A756" i="1"/>
  <c r="H756" i="1" s="1"/>
  <c r="K755" i="1"/>
  <c r="L755" i="1"/>
  <c r="M755" i="1"/>
  <c r="I755" i="1"/>
  <c r="J755" i="1"/>
  <c r="F755" i="1"/>
  <c r="G755" i="1" s="1"/>
  <c r="I756" i="1" l="1"/>
  <c r="J756" i="1"/>
  <c r="K756" i="1"/>
  <c r="L756" i="1"/>
  <c r="M756" i="1"/>
  <c r="F756" i="1"/>
  <c r="G756" i="1" s="1"/>
  <c r="C758" i="1"/>
  <c r="A757" i="1"/>
  <c r="H757" i="1" s="1"/>
  <c r="B757" i="1"/>
  <c r="D757" i="1"/>
  <c r="E757" i="1" s="1"/>
  <c r="E758" i="1" l="1"/>
  <c r="D758" i="1"/>
  <c r="A758" i="1"/>
  <c r="H758" i="1" s="1"/>
  <c r="B758" i="1"/>
  <c r="C759" i="1"/>
  <c r="J757" i="1"/>
  <c r="K757" i="1"/>
  <c r="L757" i="1"/>
  <c r="M757" i="1"/>
  <c r="I757" i="1"/>
  <c r="F757" i="1"/>
  <c r="G757" i="1" s="1"/>
  <c r="C760" i="1" l="1"/>
  <c r="A759" i="1"/>
  <c r="H759" i="1" s="1"/>
  <c r="B759" i="1"/>
  <c r="D759" i="1"/>
  <c r="E759" i="1" s="1"/>
  <c r="K758" i="1"/>
  <c r="I758" i="1"/>
  <c r="L758" i="1"/>
  <c r="M758" i="1"/>
  <c r="J758" i="1"/>
  <c r="F758" i="1"/>
  <c r="G758" i="1" s="1"/>
  <c r="F759" i="1" l="1"/>
  <c r="G759" i="1" s="1"/>
  <c r="K759" i="1"/>
  <c r="L759" i="1"/>
  <c r="M759" i="1"/>
  <c r="I759" i="1"/>
  <c r="J759" i="1"/>
  <c r="B760" i="1"/>
  <c r="D760" i="1"/>
  <c r="E760" i="1" s="1"/>
  <c r="C761" i="1"/>
  <c r="A760" i="1"/>
  <c r="H760" i="1" s="1"/>
  <c r="F760" i="1" l="1"/>
  <c r="G760" i="1" s="1"/>
  <c r="M760" i="1"/>
  <c r="K760" i="1"/>
  <c r="L760" i="1"/>
  <c r="J760" i="1"/>
  <c r="I760" i="1"/>
  <c r="B761" i="1"/>
  <c r="D761" i="1"/>
  <c r="E761" i="1" s="1"/>
  <c r="C762" i="1"/>
  <c r="A761" i="1"/>
  <c r="H761" i="1" s="1"/>
  <c r="F761" i="1" l="1"/>
  <c r="G761" i="1" s="1"/>
  <c r="L761" i="1"/>
  <c r="M761" i="1"/>
  <c r="I761" i="1"/>
  <c r="J761" i="1"/>
  <c r="K761" i="1"/>
  <c r="A762" i="1"/>
  <c r="H762" i="1" s="1"/>
  <c r="D762" i="1"/>
  <c r="E762" i="1" s="1"/>
  <c r="B762" i="1"/>
  <c r="C763" i="1"/>
  <c r="I762" i="1" l="1"/>
  <c r="J762" i="1"/>
  <c r="K762" i="1"/>
  <c r="L762" i="1"/>
  <c r="M762" i="1"/>
  <c r="F762" i="1"/>
  <c r="G762" i="1" s="1"/>
  <c r="C764" i="1"/>
  <c r="A763" i="1"/>
  <c r="H763" i="1" s="1"/>
  <c r="B763" i="1"/>
  <c r="D763" i="1"/>
  <c r="E763" i="1" s="1"/>
  <c r="B764" i="1" l="1"/>
  <c r="D764" i="1"/>
  <c r="E764" i="1" s="1"/>
  <c r="C765" i="1"/>
  <c r="A764" i="1"/>
  <c r="H764" i="1" s="1"/>
  <c r="F763" i="1"/>
  <c r="G763" i="1" s="1"/>
  <c r="I763" i="1"/>
  <c r="K763" i="1"/>
  <c r="L763" i="1"/>
  <c r="M763" i="1"/>
  <c r="J763" i="1"/>
  <c r="I764" i="1" l="1"/>
  <c r="J764" i="1"/>
  <c r="K764" i="1"/>
  <c r="L764" i="1"/>
  <c r="M764" i="1"/>
  <c r="B765" i="1"/>
  <c r="C766" i="1"/>
  <c r="A765" i="1"/>
  <c r="H765" i="1" s="1"/>
  <c r="D765" i="1"/>
  <c r="E765" i="1" s="1"/>
  <c r="F764" i="1"/>
  <c r="G764" i="1" s="1"/>
  <c r="J765" i="1" l="1"/>
  <c r="K765" i="1"/>
  <c r="L765" i="1"/>
  <c r="M765" i="1"/>
  <c r="I765" i="1"/>
  <c r="A766" i="1"/>
  <c r="H766" i="1" s="1"/>
  <c r="B766" i="1"/>
  <c r="D766" i="1"/>
  <c r="E766" i="1" s="1"/>
  <c r="C767" i="1"/>
  <c r="F765" i="1"/>
  <c r="G765" i="1" s="1"/>
  <c r="F766" i="1" l="1"/>
  <c r="G766" i="1" s="1"/>
  <c r="C768" i="1"/>
  <c r="A767" i="1"/>
  <c r="H767" i="1" s="1"/>
  <c r="B767" i="1"/>
  <c r="D767" i="1"/>
  <c r="E767" i="1" s="1"/>
  <c r="K766" i="1"/>
  <c r="L766" i="1"/>
  <c r="M766" i="1"/>
  <c r="I766" i="1"/>
  <c r="J766" i="1"/>
  <c r="F767" i="1" l="1"/>
  <c r="G767" i="1" s="1"/>
  <c r="L767" i="1"/>
  <c r="I767" i="1"/>
  <c r="J767" i="1"/>
  <c r="K767" i="1"/>
  <c r="M767" i="1"/>
  <c r="B768" i="1"/>
  <c r="D768" i="1"/>
  <c r="E768" i="1" s="1"/>
  <c r="C769" i="1"/>
  <c r="A768" i="1"/>
  <c r="H768" i="1" s="1"/>
  <c r="F768" i="1" l="1"/>
  <c r="G768" i="1" s="1"/>
  <c r="I768" i="1"/>
  <c r="J768" i="1"/>
  <c r="L768" i="1"/>
  <c r="K768" i="1"/>
  <c r="M768" i="1"/>
  <c r="A769" i="1"/>
  <c r="H769" i="1" s="1"/>
  <c r="B769" i="1"/>
  <c r="C770" i="1"/>
  <c r="D769" i="1"/>
  <c r="E769" i="1" s="1"/>
  <c r="J769" i="1" l="1"/>
  <c r="K769" i="1"/>
  <c r="L769" i="1"/>
  <c r="I769" i="1"/>
  <c r="M769" i="1"/>
  <c r="F769" i="1"/>
  <c r="G769" i="1" s="1"/>
  <c r="D770" i="1"/>
  <c r="E770" i="1" s="1"/>
  <c r="C771" i="1"/>
  <c r="A770" i="1"/>
  <c r="H770" i="1" s="1"/>
  <c r="B770" i="1"/>
  <c r="F770" i="1" l="1"/>
  <c r="G770" i="1" s="1"/>
  <c r="M770" i="1"/>
  <c r="I770" i="1"/>
  <c r="J770" i="1"/>
  <c r="K770" i="1"/>
  <c r="L770" i="1"/>
  <c r="B771" i="1"/>
  <c r="A771" i="1"/>
  <c r="H771" i="1" s="1"/>
  <c r="D771" i="1"/>
  <c r="E771" i="1" s="1"/>
  <c r="C772" i="1"/>
  <c r="I771" i="1" l="1"/>
  <c r="M771" i="1"/>
  <c r="J771" i="1"/>
  <c r="K771" i="1"/>
  <c r="L771" i="1"/>
  <c r="A772" i="1"/>
  <c r="H772" i="1" s="1"/>
  <c r="B772" i="1"/>
  <c r="D772" i="1"/>
  <c r="E772" i="1" s="1"/>
  <c r="C773" i="1"/>
  <c r="F771" i="1"/>
  <c r="G771" i="1" s="1"/>
  <c r="C774" i="1" l="1"/>
  <c r="B773" i="1"/>
  <c r="D773" i="1"/>
  <c r="E773" i="1" s="1"/>
  <c r="A773" i="1"/>
  <c r="H773" i="1" s="1"/>
  <c r="F772" i="1"/>
  <c r="G772" i="1" s="1"/>
  <c r="K772" i="1"/>
  <c r="L772" i="1"/>
  <c r="M772" i="1"/>
  <c r="J772" i="1"/>
  <c r="I772" i="1"/>
  <c r="J773" i="1" l="1"/>
  <c r="K773" i="1"/>
  <c r="L773" i="1"/>
  <c r="M773" i="1"/>
  <c r="I773" i="1"/>
  <c r="F773" i="1"/>
  <c r="G773" i="1" s="1"/>
  <c r="C775" i="1"/>
  <c r="B774" i="1"/>
  <c r="A774" i="1"/>
  <c r="H774" i="1" s="1"/>
  <c r="D774" i="1"/>
  <c r="E774" i="1" s="1"/>
  <c r="C776" i="1" l="1"/>
  <c r="A775" i="1"/>
  <c r="H775" i="1" s="1"/>
  <c r="B775" i="1"/>
  <c r="D775" i="1"/>
  <c r="E775" i="1" s="1"/>
  <c r="F774" i="1"/>
  <c r="G774" i="1" s="1"/>
  <c r="I774" i="1"/>
  <c r="J774" i="1"/>
  <c r="K774" i="1"/>
  <c r="L774" i="1"/>
  <c r="M774" i="1"/>
  <c r="F775" i="1" l="1"/>
  <c r="G775" i="1" s="1"/>
  <c r="M775" i="1"/>
  <c r="I775" i="1"/>
  <c r="J775" i="1"/>
  <c r="K775" i="1"/>
  <c r="L775" i="1"/>
  <c r="D776" i="1"/>
  <c r="E776" i="1" s="1"/>
  <c r="A776" i="1"/>
  <c r="H776" i="1" s="1"/>
  <c r="B776" i="1"/>
  <c r="C777" i="1"/>
  <c r="F776" i="1" l="1"/>
  <c r="G776" i="1" s="1"/>
  <c r="I776" i="1"/>
  <c r="J776" i="1"/>
  <c r="K776" i="1"/>
  <c r="L776" i="1"/>
  <c r="M776" i="1"/>
  <c r="B777" i="1"/>
  <c r="D777" i="1"/>
  <c r="E777" i="1" s="1"/>
  <c r="A777" i="1"/>
  <c r="H777" i="1" s="1"/>
  <c r="C778" i="1"/>
  <c r="F777" i="1" l="1"/>
  <c r="G777" i="1" s="1"/>
  <c r="D778" i="1"/>
  <c r="E778" i="1" s="1"/>
  <c r="C779" i="1"/>
  <c r="A778" i="1"/>
  <c r="H778" i="1" s="1"/>
  <c r="B778" i="1"/>
  <c r="M777" i="1"/>
  <c r="L777" i="1"/>
  <c r="I777" i="1"/>
  <c r="J777" i="1"/>
  <c r="K777" i="1"/>
  <c r="M778" i="1" l="1"/>
  <c r="L778" i="1"/>
  <c r="I778" i="1"/>
  <c r="J778" i="1"/>
  <c r="K778" i="1"/>
  <c r="A779" i="1"/>
  <c r="H779" i="1" s="1"/>
  <c r="B779" i="1"/>
  <c r="D779" i="1"/>
  <c r="E779" i="1" s="1"/>
  <c r="C780" i="1"/>
  <c r="F778" i="1"/>
  <c r="G778" i="1" s="1"/>
  <c r="E780" i="1" l="1"/>
  <c r="F779" i="1"/>
  <c r="G779" i="1" s="1"/>
  <c r="D780" i="1"/>
  <c r="C781" i="1"/>
  <c r="A780" i="1"/>
  <c r="H780" i="1" s="1"/>
  <c r="B780" i="1"/>
  <c r="K779" i="1"/>
  <c r="L779" i="1"/>
  <c r="M779" i="1"/>
  <c r="I779" i="1"/>
  <c r="J779" i="1"/>
  <c r="K780" i="1" l="1"/>
  <c r="L780" i="1"/>
  <c r="M780" i="1"/>
  <c r="I780" i="1"/>
  <c r="J780" i="1"/>
  <c r="A781" i="1"/>
  <c r="H781" i="1" s="1"/>
  <c r="D781" i="1"/>
  <c r="E781" i="1" s="1"/>
  <c r="C782" i="1"/>
  <c r="B781" i="1"/>
  <c r="F780" i="1"/>
  <c r="G780" i="1" s="1"/>
  <c r="A782" i="1" l="1"/>
  <c r="H782" i="1" s="1"/>
  <c r="B782" i="1"/>
  <c r="D782" i="1"/>
  <c r="E782" i="1" s="1"/>
  <c r="C783" i="1"/>
  <c r="F781" i="1"/>
  <c r="G781" i="1" s="1"/>
  <c r="I781" i="1"/>
  <c r="J781" i="1"/>
  <c r="K781" i="1"/>
  <c r="M781" i="1"/>
  <c r="L781" i="1"/>
  <c r="F782" i="1" l="1"/>
  <c r="G782" i="1" s="1"/>
  <c r="C784" i="1"/>
  <c r="A783" i="1"/>
  <c r="H783" i="1" s="1"/>
  <c r="B783" i="1"/>
  <c r="D783" i="1"/>
  <c r="E783" i="1" s="1"/>
  <c r="K782" i="1"/>
  <c r="L782" i="1"/>
  <c r="I782" i="1"/>
  <c r="J782" i="1"/>
  <c r="M782" i="1"/>
  <c r="F783" i="1" l="1"/>
  <c r="G783" i="1" s="1"/>
  <c r="I783" i="1"/>
  <c r="J783" i="1"/>
  <c r="K783" i="1"/>
  <c r="L783" i="1"/>
  <c r="M783" i="1"/>
  <c r="D784" i="1"/>
  <c r="E784" i="1" s="1"/>
  <c r="A784" i="1"/>
  <c r="H784" i="1" s="1"/>
  <c r="C785" i="1"/>
  <c r="B784" i="1"/>
  <c r="F784" i="1" l="1"/>
  <c r="G784" i="1" s="1"/>
  <c r="M784" i="1"/>
  <c r="I784" i="1"/>
  <c r="J784" i="1"/>
  <c r="K784" i="1"/>
  <c r="L784" i="1"/>
  <c r="B785" i="1"/>
  <c r="C786" i="1"/>
  <c r="A785" i="1"/>
  <c r="H785" i="1" s="1"/>
  <c r="D785" i="1"/>
  <c r="E785" i="1" s="1"/>
  <c r="E786" i="1" l="1"/>
  <c r="D786" i="1"/>
  <c r="C787" i="1"/>
  <c r="A786" i="1"/>
  <c r="H786" i="1" s="1"/>
  <c r="B786" i="1"/>
  <c r="F785" i="1"/>
  <c r="G785" i="1" s="1"/>
  <c r="M785" i="1"/>
  <c r="I785" i="1"/>
  <c r="J785" i="1"/>
  <c r="K785" i="1"/>
  <c r="L785" i="1"/>
  <c r="K786" i="1" l="1"/>
  <c r="L786" i="1"/>
  <c r="M786" i="1"/>
  <c r="I786" i="1"/>
  <c r="J786" i="1"/>
  <c r="A787" i="1"/>
  <c r="H787" i="1" s="1"/>
  <c r="B787" i="1"/>
  <c r="D787" i="1"/>
  <c r="E787" i="1" s="1"/>
  <c r="C788" i="1"/>
  <c r="F786" i="1"/>
  <c r="G786" i="1" s="1"/>
  <c r="E788" i="1" l="1"/>
  <c r="F787" i="1"/>
  <c r="G787" i="1" s="1"/>
  <c r="C789" i="1"/>
  <c r="A788" i="1"/>
  <c r="H788" i="1" s="1"/>
  <c r="B788" i="1"/>
  <c r="D788" i="1"/>
  <c r="L787" i="1"/>
  <c r="M787" i="1"/>
  <c r="I787" i="1"/>
  <c r="J787" i="1"/>
  <c r="K787" i="1"/>
  <c r="F788" i="1" l="1"/>
  <c r="G788" i="1" s="1"/>
  <c r="J788" i="1"/>
  <c r="I788" i="1"/>
  <c r="K788" i="1"/>
  <c r="L788" i="1"/>
  <c r="M788" i="1"/>
  <c r="C790" i="1"/>
  <c r="B789" i="1"/>
  <c r="A789" i="1"/>
  <c r="H789" i="1" s="1"/>
  <c r="D789" i="1"/>
  <c r="E789" i="1" s="1"/>
  <c r="B790" i="1" l="1"/>
  <c r="A790" i="1"/>
  <c r="H790" i="1" s="1"/>
  <c r="D790" i="1"/>
  <c r="E790" i="1" s="1"/>
  <c r="C791" i="1"/>
  <c r="F789" i="1"/>
  <c r="G789" i="1" s="1"/>
  <c r="M789" i="1"/>
  <c r="I789" i="1"/>
  <c r="J789" i="1"/>
  <c r="K789" i="1"/>
  <c r="L789" i="1"/>
  <c r="B791" i="1" l="1"/>
  <c r="C792" i="1"/>
  <c r="A791" i="1"/>
  <c r="H791" i="1" s="1"/>
  <c r="D791" i="1"/>
  <c r="E791" i="1" s="1"/>
  <c r="F790" i="1"/>
  <c r="G790" i="1" s="1"/>
  <c r="I790" i="1"/>
  <c r="J790" i="1"/>
  <c r="L790" i="1"/>
  <c r="K790" i="1"/>
  <c r="M790" i="1"/>
  <c r="F791" i="1" l="1"/>
  <c r="G791" i="1" s="1"/>
  <c r="J791" i="1"/>
  <c r="K791" i="1"/>
  <c r="I791" i="1"/>
  <c r="L791" i="1"/>
  <c r="M791" i="1"/>
  <c r="B792" i="1"/>
  <c r="D792" i="1"/>
  <c r="E792" i="1" s="1"/>
  <c r="C793" i="1"/>
  <c r="A792" i="1"/>
  <c r="H792" i="1" s="1"/>
  <c r="F792" i="1" l="1"/>
  <c r="G792" i="1" s="1"/>
  <c r="M792" i="1"/>
  <c r="I792" i="1"/>
  <c r="J792" i="1"/>
  <c r="L792" i="1"/>
  <c r="K792" i="1"/>
  <c r="D793" i="1"/>
  <c r="E793" i="1" s="1"/>
  <c r="C794" i="1"/>
  <c r="B793" i="1"/>
  <c r="A793" i="1"/>
  <c r="H793" i="1" s="1"/>
  <c r="D794" i="1" l="1"/>
  <c r="E794" i="1" s="1"/>
  <c r="A794" i="1"/>
  <c r="H794" i="1" s="1"/>
  <c r="C795" i="1"/>
  <c r="B794" i="1"/>
  <c r="F793" i="1"/>
  <c r="G793" i="1" s="1"/>
  <c r="L793" i="1"/>
  <c r="I793" i="1"/>
  <c r="J793" i="1"/>
  <c r="M793" i="1"/>
  <c r="K793" i="1"/>
  <c r="C796" i="1" l="1"/>
  <c r="D795" i="1"/>
  <c r="E795" i="1" s="1"/>
  <c r="B795" i="1"/>
  <c r="A795" i="1"/>
  <c r="H795" i="1" s="1"/>
  <c r="J794" i="1"/>
  <c r="K794" i="1"/>
  <c r="M794" i="1"/>
  <c r="L794" i="1"/>
  <c r="I794" i="1"/>
  <c r="F794" i="1"/>
  <c r="G794" i="1" s="1"/>
  <c r="A796" i="1" l="1"/>
  <c r="H796" i="1" s="1"/>
  <c r="B796" i="1"/>
  <c r="C797" i="1"/>
  <c r="D796" i="1"/>
  <c r="E796" i="1" s="1"/>
  <c r="I795" i="1"/>
  <c r="J795" i="1"/>
  <c r="K795" i="1"/>
  <c r="M795" i="1"/>
  <c r="L795" i="1"/>
  <c r="F795" i="1"/>
  <c r="G795" i="1" s="1"/>
  <c r="E797" i="1" l="1"/>
  <c r="F796" i="1"/>
  <c r="G796" i="1" s="1"/>
  <c r="D797" i="1"/>
  <c r="B797" i="1"/>
  <c r="C798" i="1"/>
  <c r="A797" i="1"/>
  <c r="H797" i="1" s="1"/>
  <c r="L796" i="1"/>
  <c r="M796" i="1"/>
  <c r="J796" i="1"/>
  <c r="I796" i="1"/>
  <c r="K796" i="1"/>
  <c r="I797" i="1" l="1"/>
  <c r="J797" i="1"/>
  <c r="L797" i="1"/>
  <c r="M797" i="1"/>
  <c r="K797" i="1"/>
  <c r="C799" i="1"/>
  <c r="A798" i="1"/>
  <c r="H798" i="1" s="1"/>
  <c r="D798" i="1"/>
  <c r="E798" i="1" s="1"/>
  <c r="B798" i="1"/>
  <c r="F797" i="1"/>
  <c r="G797" i="1" s="1"/>
  <c r="L798" i="1" l="1"/>
  <c r="I798" i="1"/>
  <c r="J798" i="1"/>
  <c r="K798" i="1"/>
  <c r="M798" i="1"/>
  <c r="F798" i="1"/>
  <c r="G798" i="1" s="1"/>
  <c r="C800" i="1"/>
  <c r="A799" i="1"/>
  <c r="H799" i="1" s="1"/>
  <c r="B799" i="1"/>
  <c r="D799" i="1"/>
  <c r="E799" i="1" s="1"/>
  <c r="C801" i="1" l="1"/>
  <c r="A800" i="1"/>
  <c r="H800" i="1" s="1"/>
  <c r="B800" i="1"/>
  <c r="D800" i="1"/>
  <c r="E800" i="1" s="1"/>
  <c r="F799" i="1"/>
  <c r="G799" i="1" s="1"/>
  <c r="M799" i="1"/>
  <c r="J799" i="1"/>
  <c r="K799" i="1"/>
  <c r="L799" i="1"/>
  <c r="I799" i="1"/>
  <c r="F800" i="1" l="1"/>
  <c r="G800" i="1" s="1"/>
  <c r="M800" i="1"/>
  <c r="K800" i="1"/>
  <c r="L800" i="1"/>
  <c r="J800" i="1"/>
  <c r="I800" i="1"/>
  <c r="D801" i="1"/>
  <c r="E801" i="1" s="1"/>
  <c r="C802" i="1"/>
  <c r="A801" i="1"/>
  <c r="H801" i="1" s="1"/>
  <c r="B801" i="1"/>
  <c r="A802" i="1" l="1"/>
  <c r="H802" i="1" s="1"/>
  <c r="D802" i="1"/>
  <c r="E802" i="1" s="1"/>
  <c r="C803" i="1"/>
  <c r="B802" i="1"/>
  <c r="F801" i="1"/>
  <c r="G801" i="1" s="1"/>
  <c r="L801" i="1"/>
  <c r="M801" i="1"/>
  <c r="I801" i="1"/>
  <c r="K801" i="1"/>
  <c r="J801" i="1"/>
  <c r="E803" i="1" l="1"/>
  <c r="B803" i="1"/>
  <c r="D803" i="1"/>
  <c r="C804" i="1"/>
  <c r="A803" i="1"/>
  <c r="H803" i="1" s="1"/>
  <c r="F802" i="1"/>
  <c r="G802" i="1" s="1"/>
  <c r="J802" i="1"/>
  <c r="K802" i="1"/>
  <c r="L802" i="1"/>
  <c r="I802" i="1"/>
  <c r="M802" i="1"/>
  <c r="I803" i="1" l="1"/>
  <c r="L803" i="1"/>
  <c r="J803" i="1"/>
  <c r="K803" i="1"/>
  <c r="M803" i="1"/>
  <c r="A804" i="1"/>
  <c r="H804" i="1" s="1"/>
  <c r="B804" i="1"/>
  <c r="C805" i="1"/>
  <c r="D804" i="1"/>
  <c r="E804" i="1" s="1"/>
  <c r="F803" i="1"/>
  <c r="G803" i="1" s="1"/>
  <c r="D805" i="1" l="1"/>
  <c r="E805" i="1" s="1"/>
  <c r="C806" i="1"/>
  <c r="B805" i="1"/>
  <c r="A805" i="1"/>
  <c r="H805" i="1" s="1"/>
  <c r="F804" i="1"/>
  <c r="G804" i="1" s="1"/>
  <c r="J804" i="1"/>
  <c r="I804" i="1"/>
  <c r="K804" i="1"/>
  <c r="L804" i="1"/>
  <c r="M804" i="1"/>
  <c r="I805" i="1" l="1"/>
  <c r="K805" i="1"/>
  <c r="L805" i="1"/>
  <c r="M805" i="1"/>
  <c r="J805" i="1"/>
  <c r="A806" i="1"/>
  <c r="H806" i="1" s="1"/>
  <c r="B806" i="1"/>
  <c r="D806" i="1"/>
  <c r="E806" i="1" s="1"/>
  <c r="C807" i="1"/>
  <c r="F805" i="1"/>
  <c r="G805" i="1" s="1"/>
  <c r="F806" i="1" l="1"/>
  <c r="G806" i="1" s="1"/>
  <c r="C808" i="1"/>
  <c r="B807" i="1"/>
  <c r="D807" i="1"/>
  <c r="E807" i="1" s="1"/>
  <c r="A807" i="1"/>
  <c r="H807" i="1" s="1"/>
  <c r="I806" i="1"/>
  <c r="J806" i="1"/>
  <c r="L806" i="1"/>
  <c r="K806" i="1"/>
  <c r="M806" i="1"/>
  <c r="J807" i="1" l="1"/>
  <c r="K807" i="1"/>
  <c r="L807" i="1"/>
  <c r="I807" i="1"/>
  <c r="M807" i="1"/>
  <c r="F807" i="1"/>
  <c r="G807" i="1" s="1"/>
  <c r="C809" i="1"/>
  <c r="A808" i="1"/>
  <c r="H808" i="1" s="1"/>
  <c r="B808" i="1"/>
  <c r="D808" i="1"/>
  <c r="E808" i="1" s="1"/>
  <c r="B809" i="1" l="1"/>
  <c r="D809" i="1"/>
  <c r="E809" i="1" s="1"/>
  <c r="C810" i="1"/>
  <c r="A809" i="1"/>
  <c r="H809" i="1" s="1"/>
  <c r="F808" i="1"/>
  <c r="G808" i="1" s="1"/>
  <c r="I808" i="1"/>
  <c r="K808" i="1"/>
  <c r="M808" i="1"/>
  <c r="J808" i="1"/>
  <c r="L808" i="1"/>
  <c r="L809" i="1" l="1"/>
  <c r="K809" i="1"/>
  <c r="M809" i="1"/>
  <c r="J809" i="1"/>
  <c r="I809" i="1"/>
  <c r="A810" i="1"/>
  <c r="H810" i="1" s="1"/>
  <c r="B810" i="1"/>
  <c r="D810" i="1"/>
  <c r="E810" i="1" s="1"/>
  <c r="C811" i="1"/>
  <c r="F809" i="1"/>
  <c r="G809" i="1" s="1"/>
  <c r="B811" i="1" l="1"/>
  <c r="D811" i="1"/>
  <c r="E811" i="1" s="1"/>
  <c r="C812" i="1"/>
  <c r="A811" i="1"/>
  <c r="H811" i="1" s="1"/>
  <c r="F810" i="1"/>
  <c r="G810" i="1" s="1"/>
  <c r="L810" i="1"/>
  <c r="I810" i="1"/>
  <c r="J810" i="1"/>
  <c r="K810" i="1"/>
  <c r="M810" i="1"/>
  <c r="L811" i="1" l="1"/>
  <c r="I811" i="1"/>
  <c r="J811" i="1"/>
  <c r="K811" i="1"/>
  <c r="M811" i="1"/>
  <c r="D812" i="1"/>
  <c r="E812" i="1" s="1"/>
  <c r="A812" i="1"/>
  <c r="H812" i="1" s="1"/>
  <c r="C813" i="1"/>
  <c r="B812" i="1"/>
  <c r="F811" i="1"/>
  <c r="G811" i="1" s="1"/>
  <c r="E813" i="1" l="1"/>
  <c r="D813" i="1"/>
  <c r="A813" i="1"/>
  <c r="H813" i="1" s="1"/>
  <c r="C814" i="1"/>
  <c r="B813" i="1"/>
  <c r="J812" i="1"/>
  <c r="I812" i="1"/>
  <c r="K812" i="1"/>
  <c r="L812" i="1"/>
  <c r="M812" i="1"/>
  <c r="F812" i="1"/>
  <c r="G812" i="1" s="1"/>
  <c r="C815" i="1" l="1"/>
  <c r="A814" i="1"/>
  <c r="H814" i="1" s="1"/>
  <c r="D814" i="1"/>
  <c r="E814" i="1" s="1"/>
  <c r="B814" i="1"/>
  <c r="I813" i="1"/>
  <c r="L813" i="1"/>
  <c r="M813" i="1"/>
  <c r="J813" i="1"/>
  <c r="K813" i="1"/>
  <c r="F813" i="1"/>
  <c r="G813" i="1" s="1"/>
  <c r="F814" i="1" l="1"/>
  <c r="G814" i="1" s="1"/>
  <c r="K814" i="1"/>
  <c r="M814" i="1"/>
  <c r="I814" i="1"/>
  <c r="J814" i="1"/>
  <c r="L814" i="1"/>
  <c r="D815" i="1"/>
  <c r="E815" i="1" s="1"/>
  <c r="C816" i="1"/>
  <c r="A815" i="1"/>
  <c r="H815" i="1" s="1"/>
  <c r="B815" i="1"/>
  <c r="E816" i="1" l="1"/>
  <c r="A816" i="1"/>
  <c r="H816" i="1" s="1"/>
  <c r="B816" i="1"/>
  <c r="D816" i="1"/>
  <c r="C817" i="1"/>
  <c r="F815" i="1"/>
  <c r="G815" i="1" s="1"/>
  <c r="I815" i="1"/>
  <c r="M815" i="1"/>
  <c r="J815" i="1"/>
  <c r="K815" i="1"/>
  <c r="L815" i="1"/>
  <c r="B817" i="1" l="1"/>
  <c r="D817" i="1"/>
  <c r="E817" i="1" s="1"/>
  <c r="C818" i="1"/>
  <c r="A817" i="1"/>
  <c r="H817" i="1" s="1"/>
  <c r="F816" i="1"/>
  <c r="G816" i="1" s="1"/>
  <c r="M816" i="1"/>
  <c r="I816" i="1"/>
  <c r="K816" i="1"/>
  <c r="L816" i="1"/>
  <c r="J816" i="1"/>
  <c r="L817" i="1" l="1"/>
  <c r="M817" i="1"/>
  <c r="I817" i="1"/>
  <c r="K817" i="1"/>
  <c r="J817" i="1"/>
  <c r="A818" i="1"/>
  <c r="H818" i="1" s="1"/>
  <c r="D818" i="1"/>
  <c r="E818" i="1" s="1"/>
  <c r="C819" i="1"/>
  <c r="B818" i="1"/>
  <c r="F817" i="1"/>
  <c r="G817" i="1" s="1"/>
  <c r="B819" i="1" l="1"/>
  <c r="D819" i="1"/>
  <c r="E819" i="1" s="1"/>
  <c r="C820" i="1"/>
  <c r="A819" i="1"/>
  <c r="H819" i="1" s="1"/>
  <c r="F818" i="1"/>
  <c r="G818" i="1" s="1"/>
  <c r="M818" i="1"/>
  <c r="I818" i="1"/>
  <c r="J818" i="1"/>
  <c r="K818" i="1"/>
  <c r="L818" i="1"/>
  <c r="I819" i="1" l="1"/>
  <c r="L819" i="1"/>
  <c r="J819" i="1"/>
  <c r="K819" i="1"/>
  <c r="M819" i="1"/>
  <c r="A820" i="1"/>
  <c r="H820" i="1" s="1"/>
  <c r="B820" i="1"/>
  <c r="C821" i="1"/>
  <c r="D820" i="1"/>
  <c r="E820" i="1" s="1"/>
  <c r="F819" i="1"/>
  <c r="G819" i="1" s="1"/>
  <c r="F820" i="1" l="1"/>
  <c r="G820" i="1" s="1"/>
  <c r="D821" i="1"/>
  <c r="E821" i="1" s="1"/>
  <c r="C822" i="1"/>
  <c r="B821" i="1"/>
  <c r="A821" i="1"/>
  <c r="H821" i="1" s="1"/>
  <c r="L820" i="1"/>
  <c r="M820" i="1"/>
  <c r="J820" i="1"/>
  <c r="I820" i="1"/>
  <c r="K820" i="1"/>
  <c r="J821" i="1" l="1"/>
  <c r="K821" i="1"/>
  <c r="L821" i="1"/>
  <c r="M821" i="1"/>
  <c r="I821" i="1"/>
  <c r="A822" i="1"/>
  <c r="H822" i="1" s="1"/>
  <c r="C823" i="1"/>
  <c r="B822" i="1"/>
  <c r="D822" i="1"/>
  <c r="E822" i="1" s="1"/>
  <c r="F821" i="1"/>
  <c r="G821" i="1" s="1"/>
  <c r="F822" i="1" l="1"/>
  <c r="G822" i="1" s="1"/>
  <c r="D823" i="1"/>
  <c r="E823" i="1" s="1"/>
  <c r="C824" i="1"/>
  <c r="A823" i="1"/>
  <c r="H823" i="1" s="1"/>
  <c r="B823" i="1"/>
  <c r="K822" i="1"/>
  <c r="I822" i="1"/>
  <c r="J822" i="1"/>
  <c r="M822" i="1"/>
  <c r="L822" i="1"/>
  <c r="L823" i="1" l="1"/>
  <c r="I823" i="1"/>
  <c r="J823" i="1"/>
  <c r="K823" i="1"/>
  <c r="M823" i="1"/>
  <c r="A824" i="1"/>
  <c r="H824" i="1" s="1"/>
  <c r="B824" i="1"/>
  <c r="D824" i="1"/>
  <c r="E824" i="1" s="1"/>
  <c r="C825" i="1"/>
  <c r="F823" i="1"/>
  <c r="G823" i="1" s="1"/>
  <c r="F824" i="1" l="1"/>
  <c r="G824" i="1" s="1"/>
  <c r="A825" i="1"/>
  <c r="H825" i="1" s="1"/>
  <c r="B825" i="1"/>
  <c r="D825" i="1"/>
  <c r="E825" i="1" s="1"/>
  <c r="C826" i="1"/>
  <c r="M824" i="1"/>
  <c r="I824" i="1"/>
  <c r="J824" i="1"/>
  <c r="K824" i="1"/>
  <c r="L824" i="1"/>
  <c r="F825" i="1" l="1"/>
  <c r="G825" i="1" s="1"/>
  <c r="A826" i="1"/>
  <c r="H826" i="1" s="1"/>
  <c r="C827" i="1"/>
  <c r="B826" i="1"/>
  <c r="D826" i="1"/>
  <c r="E826" i="1" s="1"/>
  <c r="J825" i="1"/>
  <c r="L825" i="1"/>
  <c r="M825" i="1"/>
  <c r="I825" i="1"/>
  <c r="K825" i="1"/>
  <c r="F826" i="1" l="1"/>
  <c r="G826" i="1" s="1"/>
  <c r="B827" i="1"/>
  <c r="D827" i="1"/>
  <c r="E827" i="1" s="1"/>
  <c r="C828" i="1"/>
  <c r="A827" i="1"/>
  <c r="H827" i="1" s="1"/>
  <c r="J826" i="1"/>
  <c r="K826" i="1"/>
  <c r="M826" i="1"/>
  <c r="I826" i="1"/>
  <c r="L826" i="1"/>
  <c r="A828" i="1" l="1"/>
  <c r="H828" i="1" s="1"/>
  <c r="B828" i="1"/>
  <c r="D828" i="1"/>
  <c r="E828" i="1" s="1"/>
  <c r="C829" i="1"/>
  <c r="L827" i="1"/>
  <c r="J827" i="1"/>
  <c r="K827" i="1"/>
  <c r="M827" i="1"/>
  <c r="I827" i="1"/>
  <c r="F827" i="1"/>
  <c r="G827" i="1" s="1"/>
  <c r="D829" i="1" l="1"/>
  <c r="E829" i="1" s="1"/>
  <c r="C830" i="1"/>
  <c r="A829" i="1"/>
  <c r="H829" i="1" s="1"/>
  <c r="B829" i="1"/>
  <c r="F828" i="1"/>
  <c r="G828" i="1" s="1"/>
  <c r="L828" i="1"/>
  <c r="M828" i="1"/>
  <c r="J828" i="1"/>
  <c r="I828" i="1"/>
  <c r="K828" i="1"/>
  <c r="I829" i="1" l="1"/>
  <c r="J829" i="1"/>
  <c r="L829" i="1"/>
  <c r="M829" i="1"/>
  <c r="K829" i="1"/>
  <c r="D830" i="1"/>
  <c r="E830" i="1" s="1"/>
  <c r="B830" i="1"/>
  <c r="C831" i="1"/>
  <c r="A830" i="1"/>
  <c r="H830" i="1" s="1"/>
  <c r="F829" i="1"/>
  <c r="G829" i="1" s="1"/>
  <c r="C832" i="1" l="1"/>
  <c r="A831" i="1"/>
  <c r="H831" i="1" s="1"/>
  <c r="D831" i="1"/>
  <c r="E831" i="1" s="1"/>
  <c r="B831" i="1"/>
  <c r="F830" i="1"/>
  <c r="G830" i="1" s="1"/>
  <c r="I830" i="1"/>
  <c r="J830" i="1"/>
  <c r="L830" i="1"/>
  <c r="K830" i="1"/>
  <c r="M830" i="1"/>
  <c r="F831" i="1" l="1"/>
  <c r="G831" i="1" s="1"/>
  <c r="J831" i="1"/>
  <c r="K831" i="1"/>
  <c r="L831" i="1"/>
  <c r="I831" i="1"/>
  <c r="M831" i="1"/>
  <c r="C833" i="1"/>
  <c r="A832" i="1"/>
  <c r="H832" i="1" s="1"/>
  <c r="B832" i="1"/>
  <c r="D832" i="1"/>
  <c r="E832" i="1" s="1"/>
  <c r="M832" i="1" l="1"/>
  <c r="I832" i="1"/>
  <c r="L832" i="1"/>
  <c r="K832" i="1"/>
  <c r="J832" i="1"/>
  <c r="D833" i="1"/>
  <c r="E833" i="1" s="1"/>
  <c r="C834" i="1"/>
  <c r="A833" i="1"/>
  <c r="H833" i="1" s="1"/>
  <c r="B833" i="1"/>
  <c r="F832" i="1"/>
  <c r="G832" i="1" s="1"/>
  <c r="A834" i="1" l="1"/>
  <c r="H834" i="1" s="1"/>
  <c r="D834" i="1"/>
  <c r="E834" i="1" s="1"/>
  <c r="C835" i="1"/>
  <c r="B834" i="1"/>
  <c r="L833" i="1"/>
  <c r="K833" i="1"/>
  <c r="M833" i="1"/>
  <c r="J833" i="1"/>
  <c r="I833" i="1"/>
  <c r="F833" i="1"/>
  <c r="G833" i="1" s="1"/>
  <c r="B835" i="1" l="1"/>
  <c r="D835" i="1"/>
  <c r="E835" i="1" s="1"/>
  <c r="C836" i="1"/>
  <c r="A835" i="1"/>
  <c r="H835" i="1" s="1"/>
  <c r="F834" i="1"/>
  <c r="G834" i="1" s="1"/>
  <c r="J834" i="1"/>
  <c r="L834" i="1"/>
  <c r="M834" i="1"/>
  <c r="I834" i="1"/>
  <c r="K834" i="1"/>
  <c r="J835" i="1" l="1"/>
  <c r="L835" i="1"/>
  <c r="K835" i="1"/>
  <c r="M835" i="1"/>
  <c r="I835" i="1"/>
  <c r="A836" i="1"/>
  <c r="H836" i="1" s="1"/>
  <c r="B836" i="1"/>
  <c r="D836" i="1"/>
  <c r="E836" i="1" s="1"/>
  <c r="C837" i="1"/>
  <c r="F835" i="1"/>
  <c r="G835" i="1" s="1"/>
  <c r="D837" i="1" l="1"/>
  <c r="E837" i="1" s="1"/>
  <c r="C838" i="1"/>
  <c r="B837" i="1"/>
  <c r="A837" i="1"/>
  <c r="H837" i="1" s="1"/>
  <c r="F836" i="1"/>
  <c r="G836" i="1" s="1"/>
  <c r="L836" i="1"/>
  <c r="M836" i="1"/>
  <c r="J836" i="1"/>
  <c r="I836" i="1"/>
  <c r="K836" i="1"/>
  <c r="I837" i="1" l="1"/>
  <c r="J837" i="1"/>
  <c r="K837" i="1"/>
  <c r="L837" i="1"/>
  <c r="M837" i="1"/>
  <c r="D838" i="1"/>
  <c r="E838" i="1" s="1"/>
  <c r="C839" i="1"/>
  <c r="B838" i="1"/>
  <c r="A838" i="1"/>
  <c r="H838" i="1" s="1"/>
  <c r="F837" i="1"/>
  <c r="G837" i="1" s="1"/>
  <c r="E839" i="1" l="1"/>
  <c r="C840" i="1"/>
  <c r="B839" i="1"/>
  <c r="A839" i="1"/>
  <c r="H839" i="1" s="1"/>
  <c r="D839" i="1"/>
  <c r="F838" i="1"/>
  <c r="G838" i="1" s="1"/>
  <c r="I838" i="1"/>
  <c r="J838" i="1"/>
  <c r="L838" i="1"/>
  <c r="K838" i="1"/>
  <c r="M838" i="1"/>
  <c r="F839" i="1" l="1"/>
  <c r="G839" i="1" s="1"/>
  <c r="M839" i="1"/>
  <c r="J839" i="1"/>
  <c r="K839" i="1"/>
  <c r="L839" i="1"/>
  <c r="I839" i="1"/>
  <c r="C841" i="1"/>
  <c r="A840" i="1"/>
  <c r="H840" i="1" s="1"/>
  <c r="B840" i="1"/>
  <c r="D840" i="1"/>
  <c r="E840" i="1" s="1"/>
  <c r="L840" i="1" l="1"/>
  <c r="M840" i="1"/>
  <c r="I840" i="1"/>
  <c r="J840" i="1"/>
  <c r="K840" i="1"/>
  <c r="B841" i="1"/>
  <c r="D841" i="1"/>
  <c r="E841" i="1" s="1"/>
  <c r="C842" i="1"/>
  <c r="A841" i="1"/>
  <c r="H841" i="1" s="1"/>
  <c r="F840" i="1"/>
  <c r="G840" i="1" s="1"/>
  <c r="K841" i="1" l="1"/>
  <c r="J841" i="1"/>
  <c r="L841" i="1"/>
  <c r="M841" i="1"/>
  <c r="I841" i="1"/>
  <c r="F841" i="1"/>
  <c r="G841" i="1" s="1"/>
  <c r="A842" i="1"/>
  <c r="H842" i="1" s="1"/>
  <c r="B842" i="1"/>
  <c r="D842" i="1"/>
  <c r="E842" i="1" s="1"/>
  <c r="C843" i="1"/>
  <c r="K842" i="1" l="1"/>
  <c r="M842" i="1"/>
  <c r="L842" i="1"/>
  <c r="I842" i="1"/>
  <c r="J842" i="1"/>
  <c r="B843" i="1"/>
  <c r="D843" i="1"/>
  <c r="E843" i="1" s="1"/>
  <c r="C844" i="1"/>
  <c r="A843" i="1"/>
  <c r="H843" i="1" s="1"/>
  <c r="F842" i="1"/>
  <c r="G842" i="1" s="1"/>
  <c r="F843" i="1" l="1"/>
  <c r="G843" i="1" s="1"/>
  <c r="C845" i="1"/>
  <c r="A844" i="1"/>
  <c r="H844" i="1" s="1"/>
  <c r="B844" i="1"/>
  <c r="D844" i="1"/>
  <c r="E844" i="1" s="1"/>
  <c r="L843" i="1"/>
  <c r="J843" i="1"/>
  <c r="I843" i="1"/>
  <c r="M843" i="1"/>
  <c r="K843" i="1"/>
  <c r="F844" i="1" l="1"/>
  <c r="G844" i="1" s="1"/>
  <c r="K844" i="1"/>
  <c r="L844" i="1"/>
  <c r="I844" i="1"/>
  <c r="M844" i="1"/>
  <c r="J844" i="1"/>
  <c r="C846" i="1"/>
  <c r="D845" i="1"/>
  <c r="E845" i="1" s="1"/>
  <c r="A845" i="1"/>
  <c r="H845" i="1" s="1"/>
  <c r="B845" i="1"/>
  <c r="E846" i="1" l="1"/>
  <c r="F845" i="1"/>
  <c r="G845" i="1" s="1"/>
  <c r="C847" i="1"/>
  <c r="A846" i="1"/>
  <c r="H846" i="1" s="1"/>
  <c r="D846" i="1"/>
  <c r="B846" i="1"/>
  <c r="I845" i="1"/>
  <c r="L845" i="1"/>
  <c r="J845" i="1"/>
  <c r="M845" i="1"/>
  <c r="K845" i="1"/>
  <c r="F846" i="1" l="1"/>
  <c r="G846" i="1" s="1"/>
  <c r="K846" i="1"/>
  <c r="L846" i="1"/>
  <c r="J846" i="1"/>
  <c r="M846" i="1"/>
  <c r="I846" i="1"/>
  <c r="D847" i="1"/>
  <c r="E847" i="1" s="1"/>
  <c r="C848" i="1"/>
  <c r="A847" i="1"/>
  <c r="H847" i="1" s="1"/>
  <c r="B847" i="1"/>
  <c r="F847" i="1" l="1"/>
  <c r="G847" i="1" s="1"/>
  <c r="C849" i="1"/>
  <c r="B848" i="1"/>
  <c r="A848" i="1"/>
  <c r="H848" i="1" s="1"/>
  <c r="D848" i="1"/>
  <c r="E848" i="1" s="1"/>
  <c r="M847" i="1"/>
  <c r="J847" i="1"/>
  <c r="K847" i="1"/>
  <c r="L847" i="1"/>
  <c r="I847" i="1"/>
  <c r="F848" i="1" l="1"/>
  <c r="G848" i="1" s="1"/>
  <c r="M848" i="1"/>
  <c r="I848" i="1"/>
  <c r="K848" i="1"/>
  <c r="L848" i="1"/>
  <c r="J848" i="1"/>
  <c r="B849" i="1"/>
  <c r="D849" i="1"/>
  <c r="E849" i="1" s="1"/>
  <c r="C850" i="1"/>
  <c r="A849" i="1"/>
  <c r="H849" i="1" s="1"/>
  <c r="F849" i="1" l="1"/>
  <c r="G849" i="1" s="1"/>
  <c r="L849" i="1"/>
  <c r="M849" i="1"/>
  <c r="I849" i="1"/>
  <c r="J849" i="1"/>
  <c r="K849" i="1"/>
  <c r="A850" i="1"/>
  <c r="H850" i="1" s="1"/>
  <c r="C851" i="1"/>
  <c r="B850" i="1"/>
  <c r="D850" i="1"/>
  <c r="E850" i="1" s="1"/>
  <c r="B851" i="1" l="1"/>
  <c r="D851" i="1"/>
  <c r="E851" i="1" s="1"/>
  <c r="A851" i="1"/>
  <c r="H851" i="1" s="1"/>
  <c r="C852" i="1"/>
  <c r="L850" i="1"/>
  <c r="J850" i="1"/>
  <c r="K850" i="1"/>
  <c r="M850" i="1"/>
  <c r="I850" i="1"/>
  <c r="F850" i="1"/>
  <c r="G850" i="1" s="1"/>
  <c r="A852" i="1" l="1"/>
  <c r="H852" i="1" s="1"/>
  <c r="B852" i="1"/>
  <c r="D852" i="1"/>
  <c r="E852" i="1" s="1"/>
  <c r="C853" i="1"/>
  <c r="K851" i="1"/>
  <c r="L851" i="1"/>
  <c r="J851" i="1"/>
  <c r="M851" i="1"/>
  <c r="I851" i="1"/>
  <c r="F851" i="1"/>
  <c r="G851" i="1" s="1"/>
  <c r="B853" i="1" l="1"/>
  <c r="A853" i="1"/>
  <c r="H853" i="1" s="1"/>
  <c r="D853" i="1"/>
  <c r="E853" i="1" s="1"/>
  <c r="C854" i="1"/>
  <c r="F852" i="1"/>
  <c r="G852" i="1" s="1"/>
  <c r="K852" i="1"/>
  <c r="L852" i="1"/>
  <c r="J852" i="1"/>
  <c r="I852" i="1"/>
  <c r="M852" i="1"/>
  <c r="A854" i="1" l="1"/>
  <c r="H854" i="1" s="1"/>
  <c r="D854" i="1"/>
  <c r="E854" i="1" s="1"/>
  <c r="B854" i="1"/>
  <c r="C855" i="1"/>
  <c r="F853" i="1"/>
  <c r="G853" i="1" s="1"/>
  <c r="I853" i="1"/>
  <c r="J853" i="1"/>
  <c r="K853" i="1"/>
  <c r="L853" i="1"/>
  <c r="M853" i="1"/>
  <c r="B855" i="1" l="1"/>
  <c r="D855" i="1"/>
  <c r="E855" i="1" s="1"/>
  <c r="C856" i="1"/>
  <c r="A855" i="1"/>
  <c r="H855" i="1" s="1"/>
  <c r="F854" i="1"/>
  <c r="G854" i="1" s="1"/>
  <c r="M854" i="1"/>
  <c r="I854" i="1"/>
  <c r="L854" i="1"/>
  <c r="K854" i="1"/>
  <c r="J854" i="1"/>
  <c r="J855" i="1" l="1"/>
  <c r="K855" i="1"/>
  <c r="L855" i="1"/>
  <c r="I855" i="1"/>
  <c r="M855" i="1"/>
  <c r="C857" i="1"/>
  <c r="A856" i="1"/>
  <c r="H856" i="1" s="1"/>
  <c r="B856" i="1"/>
  <c r="D856" i="1"/>
  <c r="E856" i="1" s="1"/>
  <c r="F855" i="1"/>
  <c r="G855" i="1" s="1"/>
  <c r="F856" i="1" l="1"/>
  <c r="G856" i="1" s="1"/>
  <c r="M856" i="1"/>
  <c r="I856" i="1"/>
  <c r="K856" i="1"/>
  <c r="J856" i="1"/>
  <c r="L856" i="1"/>
  <c r="B857" i="1"/>
  <c r="D857" i="1"/>
  <c r="E857" i="1" s="1"/>
  <c r="C858" i="1"/>
  <c r="A857" i="1"/>
  <c r="H857" i="1" s="1"/>
  <c r="F857" i="1" l="1"/>
  <c r="G857" i="1" s="1"/>
  <c r="M857" i="1"/>
  <c r="K857" i="1"/>
  <c r="I857" i="1"/>
  <c r="J857" i="1"/>
  <c r="L857" i="1"/>
  <c r="D858" i="1"/>
  <c r="E858" i="1" s="1"/>
  <c r="C859" i="1"/>
  <c r="A858" i="1"/>
  <c r="H858" i="1" s="1"/>
  <c r="B858" i="1"/>
  <c r="B859" i="1" l="1"/>
  <c r="D859" i="1"/>
  <c r="E859" i="1" s="1"/>
  <c r="C860" i="1"/>
  <c r="A859" i="1"/>
  <c r="H859" i="1" s="1"/>
  <c r="F858" i="1"/>
  <c r="G858" i="1" s="1"/>
  <c r="J858" i="1"/>
  <c r="K858" i="1"/>
  <c r="I858" i="1"/>
  <c r="M858" i="1"/>
  <c r="L858" i="1"/>
  <c r="I859" i="1" l="1"/>
  <c r="K859" i="1"/>
  <c r="L859" i="1"/>
  <c r="M859" i="1"/>
  <c r="J859" i="1"/>
  <c r="D860" i="1"/>
  <c r="E860" i="1" s="1"/>
  <c r="C861" i="1"/>
  <c r="B860" i="1"/>
  <c r="A860" i="1"/>
  <c r="H860" i="1" s="1"/>
  <c r="F859" i="1"/>
  <c r="G859" i="1" s="1"/>
  <c r="L860" i="1" l="1"/>
  <c r="M860" i="1"/>
  <c r="K860" i="1"/>
  <c r="I860" i="1"/>
  <c r="J860" i="1"/>
  <c r="C862" i="1"/>
  <c r="A861" i="1"/>
  <c r="H861" i="1" s="1"/>
  <c r="D861" i="1"/>
  <c r="E861" i="1" s="1"/>
  <c r="B861" i="1"/>
  <c r="F860" i="1"/>
  <c r="G860" i="1" s="1"/>
  <c r="F861" i="1" l="1"/>
  <c r="G861" i="1" s="1"/>
  <c r="J861" i="1"/>
  <c r="I861" i="1"/>
  <c r="L861" i="1"/>
  <c r="K861" i="1"/>
  <c r="M861" i="1"/>
  <c r="B862" i="1"/>
  <c r="C863" i="1"/>
  <c r="A862" i="1"/>
  <c r="H862" i="1" s="1"/>
  <c r="D862" i="1"/>
  <c r="E862" i="1" s="1"/>
  <c r="A863" i="1" l="1"/>
  <c r="H863" i="1" s="1"/>
  <c r="B863" i="1"/>
  <c r="D863" i="1"/>
  <c r="E863" i="1" s="1"/>
  <c r="C864" i="1"/>
  <c r="F862" i="1"/>
  <c r="G862" i="1" s="1"/>
  <c r="I862" i="1"/>
  <c r="J862" i="1"/>
  <c r="K862" i="1"/>
  <c r="M862" i="1"/>
  <c r="L862" i="1"/>
  <c r="E864" i="1" l="1"/>
  <c r="C865" i="1"/>
  <c r="A864" i="1"/>
  <c r="H864" i="1" s="1"/>
  <c r="B864" i="1"/>
  <c r="D864" i="1"/>
  <c r="F863" i="1"/>
  <c r="G863" i="1" s="1"/>
  <c r="J863" i="1"/>
  <c r="K863" i="1"/>
  <c r="M863" i="1"/>
  <c r="L863" i="1"/>
  <c r="I863" i="1"/>
  <c r="F864" i="1" l="1"/>
  <c r="G864" i="1" s="1"/>
  <c r="M864" i="1"/>
  <c r="I864" i="1"/>
  <c r="L864" i="1"/>
  <c r="K864" i="1"/>
  <c r="J864" i="1"/>
  <c r="C866" i="1"/>
  <c r="B865" i="1"/>
  <c r="D865" i="1"/>
  <c r="E865" i="1" s="1"/>
  <c r="A865" i="1"/>
  <c r="H865" i="1" s="1"/>
  <c r="A866" i="1" l="1"/>
  <c r="H866" i="1" s="1"/>
  <c r="B866" i="1"/>
  <c r="D866" i="1"/>
  <c r="E866" i="1" s="1"/>
  <c r="C867" i="1"/>
  <c r="M865" i="1"/>
  <c r="I865" i="1"/>
  <c r="K865" i="1"/>
  <c r="J865" i="1"/>
  <c r="L865" i="1"/>
  <c r="F865" i="1"/>
  <c r="G865" i="1" s="1"/>
  <c r="B867" i="1" l="1"/>
  <c r="D867" i="1"/>
  <c r="E867" i="1" s="1"/>
  <c r="C868" i="1"/>
  <c r="A867" i="1"/>
  <c r="H867" i="1" s="1"/>
  <c r="F866" i="1"/>
  <c r="G866" i="1" s="1"/>
  <c r="K866" i="1"/>
  <c r="L866" i="1"/>
  <c r="I866" i="1"/>
  <c r="J866" i="1"/>
  <c r="M866" i="1"/>
  <c r="L867" i="1" l="1"/>
  <c r="I867" i="1"/>
  <c r="M867" i="1"/>
  <c r="K867" i="1"/>
  <c r="J867" i="1"/>
  <c r="A868" i="1"/>
  <c r="H868" i="1" s="1"/>
  <c r="B868" i="1"/>
  <c r="D868" i="1"/>
  <c r="E868" i="1" s="1"/>
  <c r="C869" i="1"/>
  <c r="F867" i="1"/>
  <c r="G867" i="1" s="1"/>
  <c r="A869" i="1" l="1"/>
  <c r="H869" i="1" s="1"/>
  <c r="B869" i="1"/>
  <c r="C870" i="1"/>
  <c r="D869" i="1"/>
  <c r="E869" i="1" s="1"/>
  <c r="F868" i="1"/>
  <c r="G868" i="1" s="1"/>
  <c r="I868" i="1"/>
  <c r="K868" i="1"/>
  <c r="M868" i="1"/>
  <c r="J868" i="1"/>
  <c r="L868" i="1"/>
  <c r="E870" i="1" l="1"/>
  <c r="F869" i="1"/>
  <c r="G869" i="1" s="1"/>
  <c r="B870" i="1"/>
  <c r="C871" i="1"/>
  <c r="A870" i="1"/>
  <c r="H870" i="1" s="1"/>
  <c r="D870" i="1"/>
  <c r="L869" i="1"/>
  <c r="M869" i="1"/>
  <c r="K869" i="1"/>
  <c r="I869" i="1"/>
  <c r="J869" i="1"/>
  <c r="F870" i="1" l="1"/>
  <c r="G870" i="1" s="1"/>
  <c r="K870" i="1"/>
  <c r="J870" i="1"/>
  <c r="L870" i="1"/>
  <c r="I870" i="1"/>
  <c r="M870" i="1"/>
  <c r="B871" i="1"/>
  <c r="D871" i="1"/>
  <c r="E871" i="1" s="1"/>
  <c r="A871" i="1"/>
  <c r="H871" i="1" s="1"/>
  <c r="C872" i="1"/>
  <c r="F871" i="1" l="1"/>
  <c r="G871" i="1" s="1"/>
  <c r="A872" i="1"/>
  <c r="H872" i="1" s="1"/>
  <c r="B872" i="1"/>
  <c r="D872" i="1"/>
  <c r="E872" i="1" s="1"/>
  <c r="C873" i="1"/>
  <c r="L871" i="1"/>
  <c r="K871" i="1"/>
  <c r="I871" i="1"/>
  <c r="M871" i="1"/>
  <c r="J871" i="1"/>
  <c r="A873" i="1" l="1"/>
  <c r="H873" i="1" s="1"/>
  <c r="C874" i="1"/>
  <c r="B873" i="1"/>
  <c r="D873" i="1"/>
  <c r="E873" i="1" s="1"/>
  <c r="F872" i="1"/>
  <c r="G872" i="1" s="1"/>
  <c r="I872" i="1"/>
  <c r="J872" i="1"/>
  <c r="K872" i="1"/>
  <c r="L872" i="1"/>
  <c r="M872" i="1"/>
  <c r="F873" i="1" l="1"/>
  <c r="G873" i="1" s="1"/>
  <c r="C875" i="1"/>
  <c r="D874" i="1"/>
  <c r="E874" i="1" s="1"/>
  <c r="B874" i="1"/>
  <c r="A874" i="1"/>
  <c r="H874" i="1" s="1"/>
  <c r="I873" i="1"/>
  <c r="J873" i="1"/>
  <c r="L873" i="1"/>
  <c r="M873" i="1"/>
  <c r="K873" i="1"/>
  <c r="I874" i="1" l="1"/>
  <c r="J874" i="1"/>
  <c r="K874" i="1"/>
  <c r="L874" i="1"/>
  <c r="M874" i="1"/>
  <c r="F874" i="1"/>
  <c r="G874" i="1" s="1"/>
  <c r="D875" i="1"/>
  <c r="E875" i="1" s="1"/>
  <c r="C876" i="1"/>
  <c r="A875" i="1"/>
  <c r="H875" i="1" s="1"/>
  <c r="B875" i="1"/>
  <c r="F875" i="1" l="1"/>
  <c r="G875" i="1" s="1"/>
  <c r="L875" i="1"/>
  <c r="I875" i="1"/>
  <c r="J875" i="1"/>
  <c r="M875" i="1"/>
  <c r="K875" i="1"/>
  <c r="A876" i="1"/>
  <c r="H876" i="1" s="1"/>
  <c r="B876" i="1"/>
  <c r="D876" i="1"/>
  <c r="E876" i="1" s="1"/>
  <c r="C877" i="1"/>
  <c r="I876" i="1" l="1"/>
  <c r="M876" i="1"/>
  <c r="K876" i="1"/>
  <c r="L876" i="1"/>
  <c r="J876" i="1"/>
  <c r="A877" i="1"/>
  <c r="H877" i="1" s="1"/>
  <c r="B877" i="1"/>
  <c r="D877" i="1"/>
  <c r="E877" i="1" s="1"/>
  <c r="C878" i="1"/>
  <c r="F876" i="1"/>
  <c r="G876" i="1" s="1"/>
  <c r="B878" i="1" l="1"/>
  <c r="A878" i="1"/>
  <c r="H878" i="1" s="1"/>
  <c r="D878" i="1"/>
  <c r="E878" i="1" s="1"/>
  <c r="C879" i="1"/>
  <c r="F877" i="1"/>
  <c r="G877" i="1" s="1"/>
  <c r="L877" i="1"/>
  <c r="M877" i="1"/>
  <c r="K877" i="1"/>
  <c r="I877" i="1"/>
  <c r="J877" i="1"/>
  <c r="D879" i="1" l="1"/>
  <c r="E879" i="1" s="1"/>
  <c r="C880" i="1"/>
  <c r="B879" i="1"/>
  <c r="A879" i="1"/>
  <c r="H879" i="1" s="1"/>
  <c r="F878" i="1"/>
  <c r="G878" i="1" s="1"/>
  <c r="M878" i="1"/>
  <c r="K878" i="1"/>
  <c r="L878" i="1"/>
  <c r="I878" i="1"/>
  <c r="J878" i="1"/>
  <c r="I879" i="1" l="1"/>
  <c r="J879" i="1"/>
  <c r="K879" i="1"/>
  <c r="L879" i="1"/>
  <c r="M879" i="1"/>
  <c r="B880" i="1"/>
  <c r="D880" i="1"/>
  <c r="E880" i="1" s="1"/>
  <c r="C881" i="1"/>
  <c r="A880" i="1"/>
  <c r="H880" i="1" s="1"/>
  <c r="F879" i="1"/>
  <c r="G879" i="1" s="1"/>
  <c r="L880" i="1" l="1"/>
  <c r="I880" i="1"/>
  <c r="J880" i="1"/>
  <c r="K880" i="1"/>
  <c r="M880" i="1"/>
  <c r="F880" i="1"/>
  <c r="G880" i="1" s="1"/>
  <c r="D881" i="1"/>
  <c r="E881" i="1" s="1"/>
  <c r="A881" i="1"/>
  <c r="H881" i="1" s="1"/>
  <c r="B881" i="1"/>
  <c r="C882" i="1"/>
  <c r="F881" i="1" l="1"/>
  <c r="G881" i="1" s="1"/>
  <c r="D882" i="1"/>
  <c r="E882" i="1" s="1"/>
  <c r="C883" i="1"/>
  <c r="A882" i="1"/>
  <c r="H882" i="1" s="1"/>
  <c r="B882" i="1"/>
  <c r="K881" i="1"/>
  <c r="L881" i="1"/>
  <c r="J881" i="1"/>
  <c r="I881" i="1"/>
  <c r="M881" i="1"/>
  <c r="M882" i="1" l="1"/>
  <c r="I882" i="1"/>
  <c r="K882" i="1"/>
  <c r="J882" i="1"/>
  <c r="L882" i="1"/>
  <c r="A883" i="1"/>
  <c r="H883" i="1" s="1"/>
  <c r="B883" i="1"/>
  <c r="C884" i="1"/>
  <c r="D883" i="1"/>
  <c r="E883" i="1" s="1"/>
  <c r="F882" i="1"/>
  <c r="G882" i="1" s="1"/>
  <c r="D884" i="1" l="1"/>
  <c r="E884" i="1" s="1"/>
  <c r="B884" i="1"/>
  <c r="A884" i="1"/>
  <c r="H884" i="1" s="1"/>
  <c r="C885" i="1"/>
  <c r="F883" i="1"/>
  <c r="G883" i="1" s="1"/>
  <c r="J883" i="1"/>
  <c r="K883" i="1"/>
  <c r="L883" i="1"/>
  <c r="M883" i="1"/>
  <c r="I883" i="1"/>
  <c r="D885" i="1" l="1"/>
  <c r="E885" i="1" s="1"/>
  <c r="C886" i="1"/>
  <c r="A885" i="1"/>
  <c r="H885" i="1" s="1"/>
  <c r="B885" i="1"/>
  <c r="I884" i="1"/>
  <c r="M884" i="1"/>
  <c r="J884" i="1"/>
  <c r="L884" i="1"/>
  <c r="K884" i="1"/>
  <c r="F884" i="1"/>
  <c r="G884" i="1" s="1"/>
  <c r="M885" i="1" l="1"/>
  <c r="I885" i="1"/>
  <c r="L885" i="1"/>
  <c r="J885" i="1"/>
  <c r="K885" i="1"/>
  <c r="B886" i="1"/>
  <c r="D886" i="1"/>
  <c r="E886" i="1" s="1"/>
  <c r="C887" i="1"/>
  <c r="A886" i="1"/>
  <c r="H886" i="1" s="1"/>
  <c r="F885" i="1"/>
  <c r="G885" i="1" s="1"/>
  <c r="B887" i="1" l="1"/>
  <c r="A887" i="1"/>
  <c r="H887" i="1" s="1"/>
  <c r="D887" i="1"/>
  <c r="E887" i="1" s="1"/>
  <c r="C888" i="1"/>
  <c r="F886" i="1"/>
  <c r="G886" i="1" s="1"/>
  <c r="K886" i="1"/>
  <c r="L886" i="1"/>
  <c r="M886" i="1"/>
  <c r="I886" i="1"/>
  <c r="J886" i="1"/>
  <c r="E888" i="1" l="1"/>
  <c r="D888" i="1"/>
  <c r="A888" i="1"/>
  <c r="H888" i="1" s="1"/>
  <c r="B888" i="1"/>
  <c r="C889" i="1"/>
  <c r="F887" i="1"/>
  <c r="G887" i="1" s="1"/>
  <c r="I887" i="1"/>
  <c r="L887" i="1"/>
  <c r="J887" i="1"/>
  <c r="K887" i="1"/>
  <c r="M887" i="1"/>
  <c r="B889" i="1" l="1"/>
  <c r="C890" i="1"/>
  <c r="D889" i="1"/>
  <c r="E889" i="1" s="1"/>
  <c r="A889" i="1"/>
  <c r="H889" i="1" s="1"/>
  <c r="M888" i="1"/>
  <c r="I888" i="1"/>
  <c r="J888" i="1"/>
  <c r="K888" i="1"/>
  <c r="L888" i="1"/>
  <c r="F888" i="1"/>
  <c r="G888" i="1" s="1"/>
  <c r="M889" i="1" l="1"/>
  <c r="L889" i="1"/>
  <c r="I889" i="1"/>
  <c r="J889" i="1"/>
  <c r="K889" i="1"/>
  <c r="F889" i="1"/>
  <c r="G889" i="1" s="1"/>
  <c r="D890" i="1"/>
  <c r="E890" i="1" s="1"/>
  <c r="C891" i="1"/>
  <c r="A890" i="1"/>
  <c r="H890" i="1" s="1"/>
  <c r="B890" i="1"/>
  <c r="F890" i="1" l="1"/>
  <c r="G890" i="1" s="1"/>
  <c r="M890" i="1"/>
  <c r="K890" i="1"/>
  <c r="J890" i="1"/>
  <c r="I890" i="1"/>
  <c r="L890" i="1"/>
  <c r="C892" i="1"/>
  <c r="A891" i="1"/>
  <c r="H891" i="1" s="1"/>
  <c r="B891" i="1"/>
  <c r="D891" i="1"/>
  <c r="E891" i="1" s="1"/>
  <c r="K891" i="1" l="1"/>
  <c r="I891" i="1"/>
  <c r="M891" i="1"/>
  <c r="J891" i="1"/>
  <c r="L891" i="1"/>
  <c r="C893" i="1"/>
  <c r="A892" i="1"/>
  <c r="H892" i="1" s="1"/>
  <c r="B892" i="1"/>
  <c r="D892" i="1"/>
  <c r="E892" i="1" s="1"/>
  <c r="F891" i="1"/>
  <c r="G891" i="1" s="1"/>
  <c r="L892" i="1" l="1"/>
  <c r="K892" i="1"/>
  <c r="I892" i="1"/>
  <c r="J892" i="1"/>
  <c r="M892" i="1"/>
  <c r="F892" i="1"/>
  <c r="G892" i="1" s="1"/>
  <c r="B893" i="1"/>
  <c r="D893" i="1"/>
  <c r="E893" i="1" s="1"/>
  <c r="C894" i="1"/>
  <c r="A893" i="1"/>
  <c r="H893" i="1" s="1"/>
  <c r="M893" i="1" l="1"/>
  <c r="J893" i="1"/>
  <c r="I893" i="1"/>
  <c r="K893" i="1"/>
  <c r="L893" i="1"/>
  <c r="C895" i="1"/>
  <c r="A894" i="1"/>
  <c r="H894" i="1" s="1"/>
  <c r="B894" i="1"/>
  <c r="D894" i="1"/>
  <c r="E894" i="1" s="1"/>
  <c r="F893" i="1"/>
  <c r="G893" i="1" s="1"/>
  <c r="F894" i="1" l="1"/>
  <c r="G894" i="1" s="1"/>
  <c r="J894" i="1"/>
  <c r="K894" i="1"/>
  <c r="I894" i="1"/>
  <c r="L894" i="1"/>
  <c r="M894" i="1"/>
  <c r="B895" i="1"/>
  <c r="A895" i="1"/>
  <c r="H895" i="1" s="1"/>
  <c r="D895" i="1"/>
  <c r="E895" i="1" s="1"/>
  <c r="C896" i="1"/>
  <c r="L895" i="1" l="1"/>
  <c r="I895" i="1"/>
  <c r="J895" i="1"/>
  <c r="K895" i="1"/>
  <c r="M895" i="1"/>
  <c r="B896" i="1"/>
  <c r="D896" i="1"/>
  <c r="E896" i="1" s="1"/>
  <c r="C897" i="1"/>
  <c r="A896" i="1"/>
  <c r="H896" i="1" s="1"/>
  <c r="F895" i="1"/>
  <c r="G895" i="1" s="1"/>
  <c r="F896" i="1" l="1"/>
  <c r="G896" i="1" s="1"/>
  <c r="C898" i="1"/>
  <c r="A897" i="1"/>
  <c r="H897" i="1" s="1"/>
  <c r="B897" i="1"/>
  <c r="D897" i="1"/>
  <c r="E897" i="1" s="1"/>
  <c r="I896" i="1"/>
  <c r="J896" i="1"/>
  <c r="K896" i="1"/>
  <c r="L896" i="1"/>
  <c r="M896" i="1"/>
  <c r="F897" i="1" l="1"/>
  <c r="G897" i="1" s="1"/>
  <c r="I897" i="1"/>
  <c r="J897" i="1"/>
  <c r="K897" i="1"/>
  <c r="L897" i="1"/>
  <c r="M897" i="1"/>
  <c r="D898" i="1"/>
  <c r="E898" i="1" s="1"/>
  <c r="C899" i="1"/>
  <c r="B898" i="1"/>
  <c r="A898" i="1"/>
  <c r="H898" i="1" s="1"/>
  <c r="B899" i="1" l="1"/>
  <c r="C900" i="1"/>
  <c r="A899" i="1"/>
  <c r="H899" i="1" s="1"/>
  <c r="D899" i="1"/>
  <c r="E899" i="1" s="1"/>
  <c r="F898" i="1"/>
  <c r="G898" i="1" s="1"/>
  <c r="M898" i="1"/>
  <c r="I898" i="1"/>
  <c r="K898" i="1"/>
  <c r="L898" i="1"/>
  <c r="J898" i="1"/>
  <c r="F899" i="1" l="1"/>
  <c r="G899" i="1" s="1"/>
  <c r="M899" i="1"/>
  <c r="I899" i="1"/>
  <c r="J899" i="1"/>
  <c r="K899" i="1"/>
  <c r="L899" i="1"/>
  <c r="C901" i="1"/>
  <c r="A900" i="1"/>
  <c r="H900" i="1" s="1"/>
  <c r="B900" i="1"/>
  <c r="D900" i="1"/>
  <c r="E900" i="1" s="1"/>
  <c r="J900" i="1" l="1"/>
  <c r="L900" i="1"/>
  <c r="I900" i="1"/>
  <c r="M900" i="1"/>
  <c r="K900" i="1"/>
  <c r="D901" i="1"/>
  <c r="E901" i="1" s="1"/>
  <c r="C902" i="1"/>
  <c r="B901" i="1"/>
  <c r="A901" i="1"/>
  <c r="H901" i="1" s="1"/>
  <c r="F900" i="1"/>
  <c r="G900" i="1" s="1"/>
  <c r="A902" i="1" l="1"/>
  <c r="H902" i="1" s="1"/>
  <c r="B902" i="1"/>
  <c r="D902" i="1"/>
  <c r="E902" i="1" s="1"/>
  <c r="C903" i="1"/>
  <c r="F901" i="1"/>
  <c r="G901" i="1" s="1"/>
  <c r="J901" i="1"/>
  <c r="L901" i="1"/>
  <c r="M901" i="1"/>
  <c r="I901" i="1"/>
  <c r="K901" i="1"/>
  <c r="D903" i="1" l="1"/>
  <c r="E903" i="1" s="1"/>
  <c r="C904" i="1"/>
  <c r="B903" i="1"/>
  <c r="A903" i="1"/>
  <c r="H903" i="1" s="1"/>
  <c r="F902" i="1"/>
  <c r="G902" i="1" s="1"/>
  <c r="K902" i="1"/>
  <c r="L902" i="1"/>
  <c r="I902" i="1"/>
  <c r="J902" i="1"/>
  <c r="M902" i="1"/>
  <c r="K903" i="1" l="1"/>
  <c r="M903" i="1"/>
  <c r="I903" i="1"/>
  <c r="L903" i="1"/>
  <c r="J903" i="1"/>
  <c r="B904" i="1"/>
  <c r="D904" i="1"/>
  <c r="E904" i="1" s="1"/>
  <c r="A904" i="1"/>
  <c r="H904" i="1" s="1"/>
  <c r="C905" i="1"/>
  <c r="F903" i="1"/>
  <c r="G903" i="1" s="1"/>
  <c r="A905" i="1" l="1"/>
  <c r="H905" i="1" s="1"/>
  <c r="B905" i="1"/>
  <c r="C906" i="1"/>
  <c r="D905" i="1"/>
  <c r="E905" i="1" s="1"/>
  <c r="F904" i="1"/>
  <c r="G904" i="1" s="1"/>
  <c r="M904" i="1"/>
  <c r="I904" i="1"/>
  <c r="J904" i="1"/>
  <c r="L904" i="1"/>
  <c r="K904" i="1"/>
  <c r="F905" i="1" l="1"/>
  <c r="G905" i="1" s="1"/>
  <c r="D906" i="1"/>
  <c r="E906" i="1" s="1"/>
  <c r="C907" i="1"/>
  <c r="A906" i="1"/>
  <c r="H906" i="1" s="1"/>
  <c r="B906" i="1"/>
  <c r="I905" i="1"/>
  <c r="J905" i="1"/>
  <c r="K905" i="1"/>
  <c r="M905" i="1"/>
  <c r="L905" i="1"/>
  <c r="M906" i="1" l="1"/>
  <c r="K906" i="1"/>
  <c r="I906" i="1"/>
  <c r="J906" i="1"/>
  <c r="L906" i="1"/>
  <c r="A907" i="1"/>
  <c r="H907" i="1" s="1"/>
  <c r="B907" i="1"/>
  <c r="D907" i="1"/>
  <c r="E907" i="1" s="1"/>
  <c r="F906" i="1"/>
  <c r="G906" i="1" s="1"/>
  <c r="F907" i="1" l="1"/>
  <c r="G907" i="1" s="1"/>
  <c r="M907" i="1"/>
  <c r="I907" i="1"/>
  <c r="J907" i="1"/>
  <c r="K907" i="1"/>
  <c r="L907" i="1"/>
</calcChain>
</file>

<file path=xl/comments1.xml><?xml version="1.0" encoding="utf-8"?>
<comments xmlns="http://schemas.openxmlformats.org/spreadsheetml/2006/main">
  <authors>
    <author>pranom</author>
  </authors>
  <commentList>
    <comment ref="BL6" authorId="0" shapeId="0">
      <text>
        <r>
          <rPr>
            <b/>
            <sz val="9"/>
            <color indexed="81"/>
            <rFont val="Tahoma"/>
            <family val="2"/>
          </rPr>
          <t>pranom:</t>
        </r>
        <r>
          <rPr>
            <sz val="9"/>
            <color indexed="81"/>
            <rFont val="Tahoma"/>
            <family val="2"/>
          </rPr>
          <t xml:space="preserve">
ปกสค 43,432 บาท
กยส. 330 บาท</t>
        </r>
      </text>
    </comment>
    <comment ref="BN6" authorId="0" shapeId="0">
      <text>
        <r>
          <rPr>
            <b/>
            <sz val="9"/>
            <color indexed="81"/>
            <rFont val="Tahoma"/>
            <family val="2"/>
          </rPr>
          <t>pranom:</t>
        </r>
        <r>
          <rPr>
            <sz val="9"/>
            <color indexed="81"/>
            <rFont val="Tahoma"/>
            <family val="2"/>
          </rPr>
          <t xml:space="preserve">
ปกสค. 38,365
เงินบังคับคดี 9,847 บาท</t>
        </r>
      </text>
    </comment>
    <comment ref="BL7" authorId="0" shapeId="0">
      <text>
        <r>
          <rPr>
            <b/>
            <sz val="9"/>
            <color indexed="81"/>
            <rFont val="Tahoma"/>
            <family val="2"/>
          </rPr>
          <t>pranom:</t>
        </r>
        <r>
          <rPr>
            <sz val="9"/>
            <color indexed="81"/>
            <rFont val="Tahoma"/>
            <family val="2"/>
          </rPr>
          <t xml:space="preserve">
ปกสค 15,454 บาท
กยส. 300 บาท</t>
        </r>
      </text>
    </comment>
    <comment ref="BN7" authorId="0" shapeId="0">
      <text>
        <r>
          <rPr>
            <b/>
            <sz val="9"/>
            <color indexed="81"/>
            <rFont val="Tahoma"/>
            <family val="2"/>
          </rPr>
          <t>pranom:</t>
        </r>
        <r>
          <rPr>
            <sz val="9"/>
            <color indexed="81"/>
            <rFont val="Tahoma"/>
            <family val="2"/>
          </rPr>
          <t xml:space="preserve">
ปกสค 12,723 บาท
เงินบังคับคดี 1,800 บาท</t>
        </r>
      </text>
    </comment>
  </commentList>
</comments>
</file>

<file path=xl/sharedStrings.xml><?xml version="1.0" encoding="utf-8"?>
<sst xmlns="http://schemas.openxmlformats.org/spreadsheetml/2006/main" count="369" uniqueCount="285">
  <si>
    <t>Job</t>
  </si>
  <si>
    <t>เดือน</t>
  </si>
  <si>
    <t>1-15 Jan 21</t>
  </si>
  <si>
    <t>Total</t>
  </si>
  <si>
    <t>16-31 Jan 21</t>
  </si>
  <si>
    <t>1-31 Jan 2021</t>
  </si>
  <si>
    <t>1-15 Feb 21</t>
  </si>
  <si>
    <t>16-28 Feb 21</t>
  </si>
  <si>
    <t>1-28 Feb 21</t>
  </si>
  <si>
    <t>1-15 Mar 2021</t>
  </si>
  <si>
    <t>16-31 Mar 21</t>
  </si>
  <si>
    <t>1-31 Mar 21</t>
  </si>
  <si>
    <t>1-15 April 21</t>
  </si>
  <si>
    <t>16-30 April 21</t>
  </si>
  <si>
    <t>1-30 April 21</t>
  </si>
  <si>
    <t>16-31 Oct 19</t>
  </si>
  <si>
    <t>ประกันสังคม</t>
  </si>
  <si>
    <t>1-15 Nov 19</t>
  </si>
  <si>
    <t>16-30 Nov 19</t>
  </si>
  <si>
    <t>1-15 Dec 19</t>
  </si>
  <si>
    <t>16-31 Dec 19</t>
  </si>
  <si>
    <t>1-15 Jan 20</t>
  </si>
  <si>
    <t>16-31 Jan 20</t>
  </si>
  <si>
    <t>1-15 Feb 20</t>
  </si>
  <si>
    <t>16-29 Feb 20</t>
  </si>
  <si>
    <t>1-15 Mar 20</t>
  </si>
  <si>
    <t>16-31 Mar 20</t>
  </si>
  <si>
    <t>1-15 Apr 20</t>
  </si>
  <si>
    <t>16-30 Apr 20</t>
  </si>
  <si>
    <t>1-15 May 20</t>
  </si>
  <si>
    <t>16-31 May 20</t>
  </si>
  <si>
    <t>1-15 Jun 20</t>
  </si>
  <si>
    <t>16-30 Jun 20</t>
  </si>
  <si>
    <t>1-15 July 20</t>
  </si>
  <si>
    <t>16-31 July 20</t>
  </si>
  <si>
    <t>1-15 Aug 20</t>
  </si>
  <si>
    <t>16-31 Aug 20</t>
  </si>
  <si>
    <t>1-15 Sep 20</t>
  </si>
  <si>
    <t>16-30 Sep 20</t>
  </si>
  <si>
    <t>1-15 Oct 20</t>
  </si>
  <si>
    <t>16-31 Oct 20</t>
  </si>
  <si>
    <t>1-15 Nov 20</t>
  </si>
  <si>
    <t>16-30 Nov 20</t>
  </si>
  <si>
    <t>1-15 Dec 20</t>
  </si>
  <si>
    <t>16-31 Dec 20</t>
  </si>
  <si>
    <t>ค่าแรง</t>
  </si>
  <si>
    <t>ค่าล่วงเวลา</t>
  </si>
  <si>
    <t>ค่าที่พัก</t>
  </si>
  <si>
    <t>ค่าตอบแทน</t>
  </si>
  <si>
    <t>จำนวนพนักงาน</t>
  </si>
  <si>
    <t>Total Oct 19</t>
  </si>
  <si>
    <t>Total Nov 19</t>
  </si>
  <si>
    <t>Total Dec 19</t>
  </si>
  <si>
    <t>Total Jan 20</t>
  </si>
  <si>
    <t>Total Feb 20</t>
  </si>
  <si>
    <t>Total Mar 20</t>
  </si>
  <si>
    <t>Total Apr 20</t>
  </si>
  <si>
    <t>Total May</t>
  </si>
  <si>
    <t>Total June</t>
  </si>
  <si>
    <t>Total July</t>
  </si>
  <si>
    <t>Total August</t>
  </si>
  <si>
    <t>KPN</t>
  </si>
  <si>
    <t>J19-1228</t>
  </si>
  <si>
    <t>MOCD 192</t>
  </si>
  <si>
    <t>J19-0192</t>
  </si>
  <si>
    <t>TTCL</t>
  </si>
  <si>
    <t>J19-0169</t>
  </si>
  <si>
    <t>SITE Ansell</t>
  </si>
  <si>
    <t>J19-1055</t>
  </si>
  <si>
    <t xml:space="preserve">New Main Gate, Firefighting &amp; Security, Driver Off </t>
  </si>
  <si>
    <t>J20-0462</t>
  </si>
  <si>
    <t xml:space="preserve">HD2IPC_work Package Phase 2,3 Project  </t>
  </si>
  <si>
    <t>J20-0721</t>
  </si>
  <si>
    <t xml:space="preserve">Install Instrument &amp; Electrical </t>
  </si>
  <si>
    <t>J20-0851</t>
  </si>
  <si>
    <t>The MRT Orange Line (East Section)Station 17</t>
  </si>
  <si>
    <t>J20-0864 OR 17</t>
  </si>
  <si>
    <t>The MRT Orange Line (East Section)Station 18</t>
  </si>
  <si>
    <t>J20-0864 OR 18</t>
  </si>
  <si>
    <t>FIT-2020KZ1</t>
  </si>
  <si>
    <t>J20-0962</t>
  </si>
  <si>
    <t>พีทีที โกลบอล เคมิคอล</t>
  </si>
  <si>
    <t>J20-0953</t>
  </si>
  <si>
    <t xml:space="preserve">TOPAZ DIPPING MACHINE LIGHTING &amp; POWER PLUG </t>
  </si>
  <si>
    <t>J20-1297</t>
  </si>
  <si>
    <t>ไทยโพลิเอททีลีน</t>
  </si>
  <si>
    <t>J20-0303</t>
  </si>
  <si>
    <t xml:space="preserve">Ansell </t>
  </si>
  <si>
    <t>J20-1378</t>
  </si>
  <si>
    <t>UAW เลย J19-1228</t>
  </si>
  <si>
    <t>J19-1288</t>
  </si>
  <si>
    <t>New Charge</t>
  </si>
  <si>
    <t>J19-0966</t>
  </si>
  <si>
    <t>DBN 1196</t>
  </si>
  <si>
    <t>J19-1196</t>
  </si>
  <si>
    <t>ORP</t>
  </si>
  <si>
    <t>J19-0792</t>
  </si>
  <si>
    <t>บัวใหญ่</t>
  </si>
  <si>
    <t>J18-1395</t>
  </si>
  <si>
    <t>UAWสระบุรี</t>
  </si>
  <si>
    <t>J19-0784</t>
  </si>
  <si>
    <t>EO</t>
  </si>
  <si>
    <t>J19-1342</t>
  </si>
  <si>
    <t>IRPC</t>
  </si>
  <si>
    <t>J18-1067</t>
  </si>
  <si>
    <t>INSTALLATION LEVEL WITH SOUNDER</t>
  </si>
  <si>
    <t>J18-1076</t>
  </si>
  <si>
    <t>HMC</t>
  </si>
  <si>
    <t>J19-0567</t>
  </si>
  <si>
    <t>Covestro</t>
  </si>
  <si>
    <t>J19-0762</t>
  </si>
  <si>
    <t>Phenol</t>
  </si>
  <si>
    <t>J19-1426</t>
  </si>
  <si>
    <t>อำนาจเจริญ</t>
  </si>
  <si>
    <t>J19-0085</t>
  </si>
  <si>
    <t>UAW (1) 16-31JAN 2020 (สังคม)</t>
  </si>
  <si>
    <t>นตและอ้อย 1-31 JAN 2020 (นศ.)</t>
  </si>
  <si>
    <t>J19-0853</t>
  </si>
  <si>
    <t>Covestro 1-29 FEB 2020 (นศ.)</t>
  </si>
  <si>
    <t>SITEไบโอฟูเอล</t>
  </si>
  <si>
    <t>J19-1491</t>
  </si>
  <si>
    <t>SITEนต.สิงห์บุรี</t>
  </si>
  <si>
    <t>J19-1330</t>
  </si>
  <si>
    <t>SITE Office</t>
  </si>
  <si>
    <t>J20-0004</t>
  </si>
  <si>
    <t>TMMA Installation Work</t>
  </si>
  <si>
    <t>J19-1304</t>
  </si>
  <si>
    <t>Installation Flow Exaust Steam To Process (ครบุรี)</t>
  </si>
  <si>
    <t>J20-0103</t>
  </si>
  <si>
    <t>Cable pulling work at GC7</t>
  </si>
  <si>
    <t>J19-1268</t>
  </si>
  <si>
    <t>Smart Factory Project BRAND'S Suntory (Thailand)</t>
  </si>
  <si>
    <t>J19-1187</t>
  </si>
  <si>
    <t>ONLINE MONITORING PROJECT</t>
  </si>
  <si>
    <t>J19-1306</t>
  </si>
  <si>
    <t>Utility Improvement New Equipment for GC13(bor16)</t>
  </si>
  <si>
    <t>J19-0915</t>
  </si>
  <si>
    <t>Installation Temporary JB &amp; Gas detector ( 10sets</t>
  </si>
  <si>
    <t>J19-0838</t>
  </si>
  <si>
    <t xml:space="preserve">Project ORU </t>
  </si>
  <si>
    <t>J19-0615</t>
  </si>
  <si>
    <t>Instrument Shut Down PM.Calibration and Verify</t>
  </si>
  <si>
    <t>J20-0318</t>
  </si>
  <si>
    <t>Fiber Optic Cable Installation Work</t>
  </si>
  <si>
    <t>J20-0122</t>
  </si>
  <si>
    <t>Project GC7</t>
  </si>
  <si>
    <t>J20-0231</t>
  </si>
  <si>
    <t>ETP T5527 Observation Basin  &amp; New Treated efflue</t>
  </si>
  <si>
    <t>J19-1151</t>
  </si>
  <si>
    <t>INSTALL INSTRUMENT &amp; ELECTRICAL I-19-135 ROC_MOCD2</t>
  </si>
  <si>
    <t>J20-0420</t>
  </si>
  <si>
    <t>INSTALLATION VIBRATION FOE SENSOR(PATHUMTHANI)</t>
  </si>
  <si>
    <t>J19-0827</t>
  </si>
  <si>
    <t xml:space="preserve">ติดตั้งเครื่องมือวัดความเป็นกรด-ด่าง และปรับปรุง </t>
  </si>
  <si>
    <t>J20-0123</t>
  </si>
  <si>
    <t xml:space="preserve">Automatic Anti-Foam feeding Phase A,B (MBF) </t>
  </si>
  <si>
    <t>J20-0202</t>
  </si>
  <si>
    <t>PROJECT: VSD BELT CONVEYOR</t>
  </si>
  <si>
    <t>J20-0415</t>
  </si>
  <si>
    <t xml:space="preserve">Heat Exchangers (2E-6203) and refrigerator </t>
  </si>
  <si>
    <t>J20-0032</t>
  </si>
  <si>
    <t>11 KV SWGR and PCM Room</t>
  </si>
  <si>
    <t>J20-0582</t>
  </si>
  <si>
    <t>Instrument Installation For Heat Source and Belt Dryer</t>
  </si>
  <si>
    <t>J20-0407</t>
  </si>
  <si>
    <t>INSTALLATIONS VIBRATION SENSOR @SCG</t>
  </si>
  <si>
    <t>J20-0370</t>
  </si>
  <si>
    <t>INSTALLATION VIBRATION (P&amp;A)</t>
  </si>
  <si>
    <t>J20-0156</t>
  </si>
  <si>
    <t>INSTALLATION VIBRATION FOR SENSOR(SAMUTPRAKARN)</t>
  </si>
  <si>
    <t xml:space="preserve"> J19-0828</t>
  </si>
  <si>
    <t xml:space="preserve">งานติดตั้งระบบไฟฟ้าโครงการปุ๋ยอัดเม็ด </t>
  </si>
  <si>
    <t>J20-0589</t>
  </si>
  <si>
    <t xml:space="preserve">Gas Detector Installation work (Additional) BST </t>
  </si>
  <si>
    <t>J19-1276</t>
  </si>
  <si>
    <t xml:space="preserve">Synchronization system control for ODC AN2 Project </t>
  </si>
  <si>
    <t>J20-0232</t>
  </si>
  <si>
    <t xml:space="preserve">บางกอกอินดัสเทรียลแก๊ส </t>
  </si>
  <si>
    <t>J20-0369</t>
  </si>
  <si>
    <t xml:space="preserve">SIAM TAKUMA (Myanmar) </t>
  </si>
  <si>
    <t>J19-0688</t>
  </si>
  <si>
    <t>งานติดตั้ง Flow transmeter water plant Size10",12" (ภูหลวง)</t>
  </si>
  <si>
    <t>J20-0199</t>
  </si>
  <si>
    <t>ระบบลากสายสัญญาณ ระบท่อวนSeed</t>
  </si>
  <si>
    <t>J20-0728</t>
  </si>
  <si>
    <t>ไทยโพลีอิททีลีน</t>
  </si>
  <si>
    <t>J20-0733</t>
  </si>
  <si>
    <t>AS1-2 Install Temp Controller</t>
  </si>
  <si>
    <t>J20-0739</t>
  </si>
  <si>
    <t>INSTALL INSTRUMENT &amp; ELECTRICAL FOR M2 SKID</t>
  </si>
  <si>
    <t>J20-0752</t>
  </si>
  <si>
    <t>เอ็นเอส-สยามยูไนเต็ทสตีล</t>
  </si>
  <si>
    <t>J20-0493</t>
  </si>
  <si>
    <t>Modify Panel Dryer 5</t>
  </si>
  <si>
    <t>J20-0856</t>
  </si>
  <si>
    <t>งานติดตั้ง Pressure Transducer ท่อดับเพลิง</t>
  </si>
  <si>
    <t>J20-0740</t>
  </si>
  <si>
    <t xml:space="preserve">The MRT Orange Line (East Section)Station 17&amp;18 </t>
  </si>
  <si>
    <t>J20-0864</t>
  </si>
  <si>
    <t xml:space="preserve">งานระบบ Lightning System </t>
  </si>
  <si>
    <t>J20-0890</t>
  </si>
  <si>
    <t>Replace And Install paging system v2 (TPC)</t>
  </si>
  <si>
    <t>J20-0896</t>
  </si>
  <si>
    <t>Alignment 11kV (บัวใหญ่ไบโอพาวเวอร์)</t>
  </si>
  <si>
    <t>J20-0936</t>
  </si>
  <si>
    <t>งานจ้างเหมาระบบ Instrument 2020</t>
  </si>
  <si>
    <t>J20-0872</t>
  </si>
  <si>
    <t xml:space="preserve">Control System Prevencetive Maiantatance &amp; Field </t>
  </si>
  <si>
    <t>J20-0633</t>
  </si>
  <si>
    <t>NEW ONLINE ANALYZER AT-9204 REVAMP PROJECT</t>
  </si>
  <si>
    <t>J20-0640</t>
  </si>
  <si>
    <t>โครงการติดตั้งเครื่อง TOC</t>
  </si>
  <si>
    <t>J19-1101</t>
  </si>
  <si>
    <t>งานเดินสายสัญญาณ on/off Valve Control รางA</t>
  </si>
  <si>
    <t>J19-0931</t>
  </si>
  <si>
    <t xml:space="preserve"> Offline Vibration Sensors for Unsafety Inspection</t>
  </si>
  <si>
    <t>J19-1155</t>
  </si>
  <si>
    <t>S::CAN Waste water online monitoring system</t>
  </si>
  <si>
    <t>J19-1021</t>
  </si>
  <si>
    <t>OFF GAS OPTIMIZATION PROJECT FOR HDPE1</t>
  </si>
  <si>
    <t>J18-1547</t>
  </si>
  <si>
    <t xml:space="preserve">น้ำตาลมิตรกาฬสินธุ์ </t>
  </si>
  <si>
    <t>J20-0861</t>
  </si>
  <si>
    <t>มิตรผลไบโอ-เพาเวอร์(ภูหลวง)</t>
  </si>
  <si>
    <t>J20-0773</t>
  </si>
  <si>
    <t>รวมเกษตรกรอุตสาหกรรม</t>
  </si>
  <si>
    <t>J20-0745</t>
  </si>
  <si>
    <t>Installation Work (TMMA)</t>
  </si>
  <si>
    <t>J20-0509</t>
  </si>
  <si>
    <t>J20-0891</t>
  </si>
  <si>
    <t>น้ำตาลทิพย์กำแพงเพชร</t>
  </si>
  <si>
    <t>J20-0467</t>
  </si>
  <si>
    <t>1 (ONE) COMPLETE SET OF WATER IN NMP ONLINE ไออาร์พีซี</t>
  </si>
  <si>
    <t>J20-0981</t>
  </si>
  <si>
    <t xml:space="preserve">Grounding system modification work at GC8 </t>
  </si>
  <si>
    <t>J20-1085</t>
  </si>
  <si>
    <t>BST ( Gas Detector additional )</t>
  </si>
  <si>
    <t>J20-1112</t>
  </si>
  <si>
    <t>ไนโตรเคมีอุตสาหกรรม</t>
  </si>
  <si>
    <t>J20-0858</t>
  </si>
  <si>
    <t>แอร์ ลิควิด</t>
  </si>
  <si>
    <t>J20-0751</t>
  </si>
  <si>
    <t>เรียล โซลูพลัส</t>
  </si>
  <si>
    <t>J20-0897</t>
  </si>
  <si>
    <t>Storage Tanks and Associated Facilities (ORP)</t>
  </si>
  <si>
    <t>J20-0948</t>
  </si>
  <si>
    <t>J20-0397</t>
  </si>
  <si>
    <t>พีทีที โกลบอล เคมิคอล (GC7 Area)</t>
  </si>
  <si>
    <t>J20-1072</t>
  </si>
  <si>
    <t>บริษัท แอนเซลล์ (ประเทศไทย) จำกัด</t>
  </si>
  <si>
    <t>J20-1175</t>
  </si>
  <si>
    <t>Project: AS1 Control Panel No.5</t>
  </si>
  <si>
    <t>J20-0920</t>
  </si>
  <si>
    <t>J20-1205</t>
  </si>
  <si>
    <t>J21-0040</t>
  </si>
  <si>
    <t>E&amp;I work for Increase Dilution Steam from HP Steam</t>
  </si>
  <si>
    <t>J21-0094</t>
  </si>
  <si>
    <t xml:space="preserve">Demolish Exiting dust monitor &amp; Install new dust </t>
  </si>
  <si>
    <t>J20-1079</t>
  </si>
  <si>
    <t>HDPE Pilot plant modification Project</t>
  </si>
  <si>
    <t>J21-0211</t>
  </si>
  <si>
    <t>โครงการติดตั้งระบบ Automatic antifoam feeding KS</t>
  </si>
  <si>
    <t>J20-1374</t>
  </si>
  <si>
    <t>Project : Ansell LKB Topaz Line 4</t>
  </si>
  <si>
    <t>J20-1148</t>
  </si>
  <si>
    <t>NEW PLANT LOADING (LS PLANT)</t>
  </si>
  <si>
    <t>J21-0189</t>
  </si>
  <si>
    <t>TOPAZ DIPPING MACHINE LIGHTING AND POWER PLUG</t>
  </si>
  <si>
    <t xml:space="preserve"> J21-0041</t>
  </si>
  <si>
    <t>งานแก้ไขสัญญาณรบกวน TS vibration sensor (Old) @SCG (GC 7)</t>
  </si>
  <si>
    <t>J21-0230</t>
  </si>
  <si>
    <t xml:space="preserve">Topaz New Transformer-4 3500 KVA And New MDB-4 </t>
  </si>
  <si>
    <t>J20-1348</t>
  </si>
  <si>
    <t xml:space="preserve"> Ansell_UT113_Install new water meter 4 unit</t>
  </si>
  <si>
    <t>J20-1367</t>
  </si>
  <si>
    <t>INSTRUMENT INSTALLATION WORK  (ไนโตรเคมีอุตสาหกรรม)</t>
  </si>
  <si>
    <t>J21-0270</t>
  </si>
  <si>
    <t xml:space="preserve">THE MRT PINK  &amp; YELLOW </t>
  </si>
  <si>
    <t>J21-0224</t>
  </si>
  <si>
    <t>งานติดตั้งรางกัลวาไนซ์ Tray 200 x 100 mm.</t>
  </si>
  <si>
    <t>J21-0273</t>
  </si>
  <si>
    <t>แถว</t>
  </si>
  <si>
    <t>เพิ่มคอลัม</t>
  </si>
  <si>
    <t>วันที่</t>
  </si>
  <si>
    <t>Job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</si>
</sst>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43" fontId="2" fillId="0" borderId="0" xfId="1" applyFont="1" applyBorder="1" applyAlignment="1">
      <alignment horizontal="center" vertical="center"/>
    </xf>
    <xf numFmtId="43" fontId="0" fillId="0" borderId="0" xfId="1" applyFont="1"/>
    <xf numFmtId="43" fontId="0" fillId="0" borderId="0" xfId="1" applyFont="1" applyFill="1"/>
    <xf numFmtId="43" fontId="2" fillId="0" borderId="1" xfId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43" fontId="2" fillId="0" borderId="8" xfId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15" fontId="2" fillId="0" borderId="8" xfId="0" applyNumberFormat="1" applyFont="1" applyBorder="1" applyAlignment="1">
      <alignment horizontal="center" vertical="center"/>
    </xf>
    <xf numFmtId="43" fontId="2" fillId="0" borderId="8" xfId="1" applyFont="1" applyBorder="1" applyAlignment="1">
      <alignment horizontal="center"/>
    </xf>
    <xf numFmtId="43" fontId="2" fillId="0" borderId="8" xfId="1" applyFont="1" applyFill="1" applyBorder="1" applyAlignment="1">
      <alignment horizontal="center" vertical="center"/>
    </xf>
    <xf numFmtId="43" fontId="2" fillId="0" borderId="8" xfId="0" applyNumberFormat="1" applyFont="1" applyBorder="1" applyAlignment="1">
      <alignment horizontal="center"/>
    </xf>
    <xf numFmtId="43" fontId="2" fillId="0" borderId="8" xfId="0" applyNumberFormat="1" applyFont="1" applyBorder="1"/>
    <xf numFmtId="43" fontId="2" fillId="0" borderId="11" xfId="1" applyFont="1" applyFill="1" applyBorder="1" applyAlignment="1">
      <alignment horizontal="center" vertical="center"/>
    </xf>
    <xf numFmtId="43" fontId="3" fillId="0" borderId="8" xfId="1" applyFont="1" applyFill="1" applyBorder="1" applyAlignment="1">
      <alignment horizontal="center" vertical="center"/>
    </xf>
    <xf numFmtId="43" fontId="4" fillId="0" borderId="0" xfId="1" applyFont="1"/>
    <xf numFmtId="0" fontId="4" fillId="0" borderId="0" xfId="0" applyFont="1"/>
    <xf numFmtId="0" fontId="0" fillId="0" borderId="8" xfId="0" applyBorder="1"/>
    <xf numFmtId="0" fontId="0" fillId="0" borderId="8" xfId="0" applyBorder="1" applyAlignment="1">
      <alignment horizontal="center"/>
    </xf>
    <xf numFmtId="43" fontId="0" fillId="0" borderId="8" xfId="1" applyFont="1" applyBorder="1" applyAlignment="1">
      <alignment horizontal="center"/>
    </xf>
    <xf numFmtId="43" fontId="0" fillId="0" borderId="8" xfId="1" applyFont="1" applyBorder="1"/>
    <xf numFmtId="43" fontId="0" fillId="0" borderId="8" xfId="1" applyFont="1" applyFill="1" applyBorder="1"/>
    <xf numFmtId="43" fontId="0" fillId="0" borderId="8" xfId="0" applyNumberFormat="1" applyBorder="1"/>
    <xf numFmtId="43" fontId="4" fillId="0" borderId="8" xfId="1" applyFont="1" applyBorder="1"/>
    <xf numFmtId="0" fontId="4" fillId="0" borderId="8" xfId="0" applyFont="1" applyBorder="1"/>
    <xf numFmtId="43" fontId="0" fillId="2" borderId="8" xfId="1" applyFont="1" applyFill="1" applyBorder="1" applyAlignment="1">
      <alignment horizontal="center"/>
    </xf>
    <xf numFmtId="43" fontId="0" fillId="0" borderId="8" xfId="1" applyFont="1" applyFill="1" applyBorder="1" applyAlignment="1">
      <alignment horizontal="center"/>
    </xf>
    <xf numFmtId="43" fontId="0" fillId="0" borderId="8" xfId="0" applyNumberFormat="1" applyBorder="1" applyAlignment="1">
      <alignment horizontal="center"/>
    </xf>
    <xf numFmtId="43" fontId="0" fillId="2" borderId="8" xfId="1" applyFont="1" applyFill="1" applyBorder="1"/>
    <xf numFmtId="43" fontId="0" fillId="3" borderId="8" xfId="1" applyFont="1" applyFill="1" applyBorder="1"/>
    <xf numFmtId="43" fontId="0" fillId="4" borderId="8" xfId="1" applyFont="1" applyFill="1" applyBorder="1"/>
    <xf numFmtId="43" fontId="4" fillId="0" borderId="8" xfId="1" applyFont="1" applyFill="1" applyBorder="1"/>
    <xf numFmtId="43" fontId="5" fillId="0" borderId="12" xfId="1" applyFont="1" applyFill="1" applyBorder="1" applyAlignment="1">
      <alignment horizontal="center"/>
    </xf>
    <xf numFmtId="43" fontId="5" fillId="0" borderId="4" xfId="1" applyFont="1" applyFill="1" applyBorder="1" applyAlignment="1">
      <alignment horizontal="center"/>
    </xf>
    <xf numFmtId="43" fontId="4" fillId="0" borderId="8" xfId="0" applyNumberFormat="1" applyFont="1" applyBorder="1"/>
    <xf numFmtId="43" fontId="0" fillId="2" borderId="8" xfId="0" applyNumberFormat="1" applyFill="1" applyBorder="1"/>
    <xf numFmtId="43" fontId="5" fillId="0" borderId="4" xfId="1" applyFont="1" applyFill="1" applyBorder="1" applyAlignment="1">
      <alignment vertical="top"/>
    </xf>
    <xf numFmtId="43" fontId="0" fillId="4" borderId="8" xfId="0" applyNumberFormat="1" applyFill="1" applyBorder="1"/>
    <xf numFmtId="0" fontId="0" fillId="4" borderId="8" xfId="0" applyFill="1" applyBorder="1"/>
    <xf numFmtId="0" fontId="0" fillId="4" borderId="8" xfId="0" applyFill="1" applyBorder="1" applyAlignment="1">
      <alignment horizontal="center"/>
    </xf>
    <xf numFmtId="43" fontId="5" fillId="0" borderId="12" xfId="1" applyFont="1" applyFill="1" applyBorder="1"/>
    <xf numFmtId="43" fontId="5" fillId="0" borderId="4" xfId="1" applyFont="1" applyFill="1" applyBorder="1"/>
    <xf numFmtId="0" fontId="0" fillId="2" borderId="8" xfId="0" applyFill="1" applyBorder="1"/>
    <xf numFmtId="0" fontId="0" fillId="2" borderId="8" xfId="0" applyFill="1" applyBorder="1" applyAlignment="1">
      <alignment horizontal="center"/>
    </xf>
    <xf numFmtId="43" fontId="5" fillId="0" borderId="12" xfId="1" applyFont="1" applyFill="1" applyBorder="1" applyAlignment="1">
      <alignment vertical="top" wrapText="1" readingOrder="1"/>
    </xf>
    <xf numFmtId="43" fontId="5" fillId="0" borderId="8" xfId="1" applyFont="1" applyFill="1" applyBorder="1"/>
    <xf numFmtId="43" fontId="5" fillId="0" borderId="12" xfId="1" applyFont="1" applyFill="1" applyBorder="1" applyAlignment="1">
      <alignment vertical="top"/>
    </xf>
    <xf numFmtId="0" fontId="0" fillId="0" borderId="4" xfId="0" applyBorder="1" applyAlignment="1">
      <alignment horizontal="center"/>
    </xf>
    <xf numFmtId="0" fontId="0" fillId="0" borderId="12" xfId="0" applyBorder="1"/>
    <xf numFmtId="43" fontId="4" fillId="0" borderId="12" xfId="1" applyFont="1" applyFill="1" applyBorder="1"/>
    <xf numFmtId="0" fontId="0" fillId="0" borderId="11" xfId="0" applyBorder="1"/>
    <xf numFmtId="43" fontId="4" fillId="0" borderId="11" xfId="1" applyFont="1" applyFill="1" applyBorder="1"/>
    <xf numFmtId="43" fontId="0" fillId="0" borderId="0" xfId="1" applyFont="1" applyAlignment="1">
      <alignment horizontal="center"/>
    </xf>
    <xf numFmtId="0" fontId="0" fillId="0" borderId="12" xfId="0" applyBorder="1" applyAlignment="1">
      <alignment horizontal="center"/>
    </xf>
    <xf numFmtId="43" fontId="0" fillId="0" borderId="12" xfId="1" applyFont="1" applyBorder="1" applyAlignment="1">
      <alignment horizontal="center"/>
    </xf>
    <xf numFmtId="43" fontId="0" fillId="0" borderId="12" xfId="1" applyFont="1" applyFill="1" applyBorder="1"/>
    <xf numFmtId="43" fontId="0" fillId="0" borderId="12" xfId="0" applyNumberFormat="1" applyBorder="1"/>
    <xf numFmtId="43" fontId="0" fillId="0" borderId="0" xfId="0" applyNumberFormat="1"/>
    <xf numFmtId="43" fontId="0" fillId="0" borderId="12" xfId="1" applyFont="1" applyBorder="1"/>
    <xf numFmtId="0" fontId="0" fillId="0" borderId="0" xfId="0" applyAlignment="1">
      <alignment horizontal="center"/>
    </xf>
    <xf numFmtId="43" fontId="0" fillId="5" borderId="0" xfId="1" applyFont="1" applyFill="1" applyBorder="1"/>
    <xf numFmtId="43" fontId="0" fillId="5" borderId="8" xfId="1" applyFont="1" applyFill="1" applyBorder="1"/>
    <xf numFmtId="43" fontId="0" fillId="5" borderId="0" xfId="1" applyFont="1" applyFill="1"/>
    <xf numFmtId="43" fontId="0" fillId="2" borderId="0" xfId="0" applyNumberFormat="1" applyFill="1"/>
    <xf numFmtId="43" fontId="0" fillId="2" borderId="0" xfId="1" applyFont="1" applyFill="1"/>
    <xf numFmtId="0" fontId="0" fillId="0" borderId="0" xfId="0" applyBorder="1" applyAlignment="1">
      <alignment horizontal="center"/>
    </xf>
    <xf numFmtId="0" fontId="0" fillId="4" borderId="0" xfId="0" applyFill="1"/>
    <xf numFmtId="2" fontId="0" fillId="0" borderId="0" xfId="0" applyNumberFormat="1"/>
    <xf numFmtId="2" fontId="0" fillId="0" borderId="0" xfId="1" applyNumberFormat="1" applyFont="1"/>
    <xf numFmtId="2" fontId="0" fillId="0" borderId="0" xfId="1" applyNumberFormat="1" applyFont="1" applyFill="1"/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1" applyNumberFormat="1" applyFont="1" applyAlignment="1">
      <alignment horizontal="center"/>
    </xf>
    <xf numFmtId="1" fontId="0" fillId="0" borderId="0" xfId="1" applyNumberFormat="1" applyFont="1"/>
    <xf numFmtId="1" fontId="0" fillId="0" borderId="0" xfId="1" applyNumberFormat="1" applyFont="1" applyFill="1"/>
    <xf numFmtId="2" fontId="2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8" xfId="1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/>
    </xf>
    <xf numFmtId="2" fontId="2" fillId="0" borderId="8" xfId="1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43" fontId="3" fillId="0" borderId="8" xfId="1" applyFont="1" applyBorder="1" applyAlignment="1">
      <alignment horizontal="center" vertical="center"/>
    </xf>
    <xf numFmtId="43" fontId="2" fillId="0" borderId="9" xfId="1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43" fontId="2" fillId="0" borderId="10" xfId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43" fontId="2" fillId="0" borderId="2" xfId="1" applyFont="1" applyFill="1" applyBorder="1" applyAlignment="1">
      <alignment horizontal="center" vertical="center"/>
    </xf>
    <xf numFmtId="43" fontId="2" fillId="0" borderId="0" xfId="1" applyFont="1" applyFill="1" applyBorder="1" applyAlignment="1">
      <alignment horizontal="center" vertical="center"/>
    </xf>
    <xf numFmtId="43" fontId="2" fillId="0" borderId="3" xfId="1" applyFont="1" applyFill="1" applyBorder="1" applyAlignment="1">
      <alignment horizontal="center" vertical="center"/>
    </xf>
    <xf numFmtId="43" fontId="2" fillId="0" borderId="4" xfId="1" applyFont="1" applyFill="1" applyBorder="1" applyAlignment="1">
      <alignment horizontal="center" vertical="center"/>
    </xf>
    <xf numFmtId="43" fontId="2" fillId="0" borderId="5" xfId="1" applyFont="1" applyFill="1" applyBorder="1" applyAlignment="1">
      <alignment horizontal="center" vertical="center"/>
    </xf>
    <xf numFmtId="43" fontId="2" fillId="0" borderId="6" xfId="1" applyFont="1" applyFill="1" applyBorder="1" applyAlignment="1">
      <alignment horizontal="center" vertical="center"/>
    </xf>
    <xf numFmtId="43" fontId="2" fillId="0" borderId="7" xfId="1" applyFont="1" applyFill="1" applyBorder="1" applyAlignment="1">
      <alignment horizontal="center" vertical="center"/>
    </xf>
    <xf numFmtId="43" fontId="2" fillId="0" borderId="8" xfId="1" applyFont="1" applyBorder="1" applyAlignment="1">
      <alignment horizontal="center" vertical="center"/>
    </xf>
    <xf numFmtId="43" fontId="2" fillId="0" borderId="5" xfId="1" applyFont="1" applyBorder="1" applyAlignment="1">
      <alignment horizontal="center"/>
    </xf>
    <xf numFmtId="43" fontId="2" fillId="0" borderId="6" xfId="1" applyFont="1" applyBorder="1" applyAlignment="1">
      <alignment horizontal="center"/>
    </xf>
    <xf numFmtId="43" fontId="2" fillId="0" borderId="7" xfId="1" applyFont="1" applyBorder="1" applyAlignment="1">
      <alignment horizontal="center"/>
    </xf>
    <xf numFmtId="43" fontId="3" fillId="0" borderId="5" xfId="1" applyFont="1" applyBorder="1" applyAlignment="1">
      <alignment horizontal="center"/>
    </xf>
    <xf numFmtId="43" fontId="3" fillId="0" borderId="6" xfId="1" applyFont="1" applyBorder="1" applyAlignment="1">
      <alignment horizontal="center"/>
    </xf>
    <xf numFmtId="43" fontId="3" fillId="0" borderId="7" xfId="1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W673"/>
  <sheetViews>
    <sheetView topLeftCell="CZ97" workbookViewId="0">
      <selection activeCell="B117" sqref="A117:XFD117"/>
    </sheetView>
  </sheetViews>
  <sheetFormatPr defaultRowHeight="15" x14ac:dyDescent="0.25"/>
  <cols>
    <col min="1" max="1" width="0" hidden="1" customWidth="1"/>
    <col min="3" max="3" width="56.28515625" bestFit="1" customWidth="1"/>
    <col min="4" max="4" width="14.85546875" style="62" bestFit="1" customWidth="1"/>
    <col min="5" max="5" width="13.5703125" style="55" hidden="1" customWidth="1"/>
    <col min="6" max="7" width="14.42578125" style="55" hidden="1" customWidth="1"/>
    <col min="8" max="9" width="12.85546875" style="55" hidden="1" customWidth="1"/>
    <col min="10" max="11" width="14" style="55" hidden="1" customWidth="1"/>
    <col min="12" max="12" width="13.85546875" style="55" hidden="1" customWidth="1"/>
    <col min="13" max="14" width="12.7109375" style="55" hidden="1" customWidth="1"/>
    <col min="15" max="15" width="13.7109375" style="55" hidden="1" customWidth="1"/>
    <col min="16" max="16" width="14.42578125" style="55" hidden="1" customWidth="1"/>
    <col min="17" max="17" width="13.85546875" style="62" hidden="1" customWidth="1"/>
    <col min="18" max="20" width="13.85546875" hidden="1" customWidth="1"/>
    <col min="21" max="21" width="14.42578125" hidden="1" customWidth="1"/>
    <col min="22" max="28" width="13.85546875" hidden="1" customWidth="1"/>
    <col min="29" max="29" width="14.42578125" hidden="1" customWidth="1"/>
    <col min="30" max="30" width="13.85546875" hidden="1" customWidth="1"/>
    <col min="31" max="31" width="14.42578125" hidden="1" customWidth="1"/>
    <col min="32" max="33" width="13.85546875" hidden="1" customWidth="1"/>
    <col min="34" max="34" width="14.42578125" hidden="1" customWidth="1"/>
    <col min="35" max="35" width="15.140625" hidden="1" customWidth="1"/>
    <col min="36" max="36" width="14.42578125" hidden="1" customWidth="1"/>
    <col min="37" max="38" width="13.85546875" hidden="1" customWidth="1"/>
    <col min="39" max="39" width="14.42578125" hidden="1" customWidth="1"/>
    <col min="40" max="40" width="13.85546875" hidden="1" customWidth="1"/>
    <col min="41" max="41" width="14.42578125" hidden="1" customWidth="1"/>
    <col min="42" max="43" width="13.85546875" hidden="1" customWidth="1"/>
    <col min="44" max="44" width="14.42578125" hidden="1" customWidth="1"/>
    <col min="45" max="45" width="13.85546875" hidden="1" customWidth="1"/>
    <col min="46" max="46" width="14.42578125" hidden="1" customWidth="1"/>
    <col min="47" max="47" width="13.85546875" hidden="1" customWidth="1"/>
    <col min="48" max="48" width="15.140625" hidden="1" customWidth="1"/>
    <col min="49" max="49" width="14.42578125" hidden="1" customWidth="1"/>
    <col min="50" max="50" width="13.85546875" hidden="1" customWidth="1"/>
    <col min="51" max="51" width="14.42578125" hidden="1" customWidth="1"/>
    <col min="52" max="53" width="15.140625" hidden="1" customWidth="1"/>
    <col min="54" max="54" width="14.42578125" hidden="1" customWidth="1"/>
    <col min="55" max="55" width="13.85546875" hidden="1" customWidth="1"/>
    <col min="56" max="56" width="14.42578125" hidden="1" customWidth="1"/>
    <col min="57" max="57" width="15.140625" hidden="1" customWidth="1"/>
    <col min="58" max="58" width="15.140625" style="4" hidden="1" customWidth="1"/>
    <col min="59" max="59" width="14.42578125" style="4" hidden="1" customWidth="1"/>
    <col min="60" max="60" width="13.85546875" hidden="1" customWidth="1"/>
    <col min="61" max="61" width="14.42578125" hidden="1" customWidth="1"/>
    <col min="62" max="62" width="13.85546875" hidden="1" customWidth="1"/>
    <col min="63" max="63" width="13.85546875" style="4" hidden="1" customWidth="1"/>
    <col min="64" max="64" width="14.42578125" style="4" hidden="1" customWidth="1"/>
    <col min="65" max="67" width="15.140625" hidden="1" customWidth="1"/>
    <col min="68" max="68" width="14.7109375" hidden="1" customWidth="1"/>
    <col min="69" max="69" width="14.5703125" hidden="1" customWidth="1"/>
    <col min="70" max="71" width="15.140625" hidden="1" customWidth="1"/>
    <col min="72" max="72" width="14.7109375" hidden="1" customWidth="1"/>
    <col min="73" max="73" width="14.7109375" style="4" hidden="1" customWidth="1"/>
    <col min="74" max="74" width="14.140625" style="5" hidden="1" customWidth="1"/>
    <col min="75" max="75" width="14.28515625" hidden="1" customWidth="1"/>
    <col min="76" max="77" width="13.28515625" style="4" bestFit="1" customWidth="1"/>
    <col min="78" max="78" width="11.5703125" style="4" bestFit="1" customWidth="1"/>
    <col min="79" max="79" width="13.7109375" style="4" bestFit="1" customWidth="1"/>
    <col min="80" max="80" width="17.42578125" style="4" bestFit="1" customWidth="1"/>
    <col min="81" max="83" width="13.28515625" style="4" bestFit="1" customWidth="1"/>
    <col min="84" max="84" width="11.5703125" style="4" bestFit="1" customWidth="1"/>
    <col min="85" max="85" width="13.7109375" style="4" bestFit="1" customWidth="1"/>
    <col min="86" max="86" width="17.42578125" style="4" bestFit="1" customWidth="1"/>
    <col min="87" max="87" width="13.28515625" style="4" bestFit="1" customWidth="1"/>
    <col min="88" max="88" width="13.28515625" bestFit="1" customWidth="1"/>
    <col min="89" max="90" width="13.28515625" style="4" bestFit="1" customWidth="1"/>
    <col min="91" max="91" width="11.5703125" style="4" bestFit="1" customWidth="1"/>
    <col min="92" max="92" width="13.7109375" style="4" bestFit="1" customWidth="1"/>
    <col min="93" max="93" width="17.42578125" style="4" bestFit="1" customWidth="1"/>
    <col min="94" max="94" width="13.28515625" bestFit="1" customWidth="1"/>
    <col min="95" max="96" width="13.28515625" style="18" bestFit="1" customWidth="1"/>
    <col min="97" max="97" width="11.5703125" style="18" bestFit="1" customWidth="1"/>
    <col min="98" max="98" width="13.7109375" style="18" bestFit="1" customWidth="1"/>
    <col min="99" max="99" width="17.42578125" style="18" bestFit="1" customWidth="1"/>
    <col min="100" max="100" width="13.28515625" style="18" bestFit="1" customWidth="1"/>
    <col min="101" max="101" width="13.28515625" style="19" bestFit="1" customWidth="1"/>
    <col min="102" max="103" width="13.28515625" style="4" bestFit="1" customWidth="1"/>
    <col min="104" max="104" width="11.5703125" style="4" bestFit="1" customWidth="1"/>
    <col min="105" max="105" width="13.7109375" style="4" bestFit="1" customWidth="1"/>
    <col min="106" max="106" width="17.42578125" style="4" bestFit="1" customWidth="1"/>
    <col min="107" max="107" width="13.28515625" bestFit="1" customWidth="1"/>
    <col min="108" max="109" width="13.28515625" style="4" bestFit="1" customWidth="1"/>
    <col min="110" max="110" width="11.5703125" style="4" bestFit="1" customWidth="1"/>
    <col min="111" max="111" width="13.7109375" style="4" bestFit="1" customWidth="1"/>
    <col min="112" max="112" width="17.42578125" style="4" bestFit="1" customWidth="1"/>
    <col min="113" max="116" width="13.28515625" style="4" bestFit="1" customWidth="1"/>
    <col min="117" max="117" width="11.5703125" style="4" bestFit="1" customWidth="1"/>
    <col min="118" max="118" width="13.7109375" style="4" bestFit="1" customWidth="1"/>
    <col min="119" max="119" width="17.42578125" style="4" bestFit="1" customWidth="1"/>
    <col min="120" max="120" width="13.28515625" style="4" bestFit="1" customWidth="1"/>
    <col min="121" max="121" width="8.5703125" style="4" bestFit="1" customWidth="1"/>
    <col min="122" max="122" width="13.28515625" style="4" bestFit="1" customWidth="1"/>
    <col min="123" max="123" width="9.7109375" style="4" bestFit="1" customWidth="1"/>
    <col min="124" max="124" width="13.7109375" style="4" bestFit="1" customWidth="1"/>
    <col min="125" max="125" width="17.42578125" style="4" bestFit="1" customWidth="1"/>
    <col min="126" max="126" width="20.85546875" style="4" customWidth="1"/>
    <col min="127" max="127" width="13.42578125" style="4" bestFit="1" customWidth="1"/>
  </cols>
  <sheetData>
    <row r="1" spans="1:361" s="73" customFormat="1" x14ac:dyDescent="0.25">
      <c r="D1" s="74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4"/>
      <c r="BF1" s="76"/>
      <c r="BG1" s="76"/>
      <c r="BK1" s="76"/>
      <c r="BL1" s="76"/>
      <c r="BU1" s="76"/>
      <c r="BV1" s="77"/>
      <c r="BX1" s="76">
        <v>1</v>
      </c>
      <c r="BY1" s="76">
        <f t="shared" ref="BY1:CI1" si="0">IF(BY4&lt;&gt;0,BX1+1,IF(OR(AND(BY4=0,BY2="Total"),AND(BY4=0,BY2&lt;&gt;0)),BX1,""))</f>
        <v>2</v>
      </c>
      <c r="BZ1" s="76">
        <f t="shared" si="0"/>
        <v>3</v>
      </c>
      <c r="CA1" s="76">
        <f t="shared" si="0"/>
        <v>4</v>
      </c>
      <c r="CB1" s="76">
        <f t="shared" si="0"/>
        <v>5</v>
      </c>
      <c r="CC1" s="76">
        <f t="shared" si="0"/>
        <v>5</v>
      </c>
      <c r="CD1" s="76">
        <f t="shared" si="0"/>
        <v>6</v>
      </c>
      <c r="CE1" s="76">
        <f t="shared" si="0"/>
        <v>7</v>
      </c>
      <c r="CF1" s="76">
        <f t="shared" si="0"/>
        <v>8</v>
      </c>
      <c r="CG1" s="76">
        <f t="shared" si="0"/>
        <v>9</v>
      </c>
      <c r="CH1" s="76">
        <f t="shared" si="0"/>
        <v>10</v>
      </c>
      <c r="CI1" s="76">
        <f t="shared" si="0"/>
        <v>10</v>
      </c>
      <c r="CJ1" s="76">
        <f>IF(CJ4&lt;&gt;0,CI1+1,IF(OR(AND(CJ4=0,CJ2="Total"),AND(CJ4=0,CJ2&lt;&gt;0)),CI1,""))</f>
        <v>10</v>
      </c>
      <c r="CK1" s="76">
        <f t="shared" ref="CK1:EV1" si="1">IF(CK4&lt;&gt;0,CJ1+1,IF(OR(AND(CK4=0,CK2="Total"),AND(CK4=0,CK2&lt;&gt;0)),CJ1,""))</f>
        <v>11</v>
      </c>
      <c r="CL1" s="76">
        <f t="shared" si="1"/>
        <v>12</v>
      </c>
      <c r="CM1" s="76">
        <f t="shared" si="1"/>
        <v>13</v>
      </c>
      <c r="CN1" s="76">
        <f t="shared" si="1"/>
        <v>14</v>
      </c>
      <c r="CO1" s="76">
        <f t="shared" si="1"/>
        <v>15</v>
      </c>
      <c r="CP1" s="76">
        <f t="shared" si="1"/>
        <v>15</v>
      </c>
      <c r="CQ1" s="76">
        <f t="shared" si="1"/>
        <v>16</v>
      </c>
      <c r="CR1" s="76">
        <f t="shared" si="1"/>
        <v>17</v>
      </c>
      <c r="CS1" s="76">
        <f t="shared" si="1"/>
        <v>18</v>
      </c>
      <c r="CT1" s="76">
        <f t="shared" si="1"/>
        <v>19</v>
      </c>
      <c r="CU1" s="76">
        <f t="shared" si="1"/>
        <v>20</v>
      </c>
      <c r="CV1" s="76">
        <f t="shared" si="1"/>
        <v>20</v>
      </c>
      <c r="CW1" s="76">
        <f t="shared" si="1"/>
        <v>20</v>
      </c>
      <c r="CX1" s="76">
        <f t="shared" si="1"/>
        <v>21</v>
      </c>
      <c r="CY1" s="76">
        <f t="shared" si="1"/>
        <v>22</v>
      </c>
      <c r="CZ1" s="76">
        <f t="shared" si="1"/>
        <v>23</v>
      </c>
      <c r="DA1" s="76">
        <f t="shared" si="1"/>
        <v>24</v>
      </c>
      <c r="DB1" s="76">
        <f t="shared" si="1"/>
        <v>25</v>
      </c>
      <c r="DC1" s="76">
        <f t="shared" si="1"/>
        <v>25</v>
      </c>
      <c r="DD1" s="76">
        <f t="shared" si="1"/>
        <v>26</v>
      </c>
      <c r="DE1" s="76">
        <f t="shared" si="1"/>
        <v>27</v>
      </c>
      <c r="DF1" s="76">
        <f t="shared" si="1"/>
        <v>28</v>
      </c>
      <c r="DG1" s="76">
        <f t="shared" si="1"/>
        <v>29</v>
      </c>
      <c r="DH1" s="76">
        <f t="shared" si="1"/>
        <v>30</v>
      </c>
      <c r="DI1" s="76">
        <f t="shared" si="1"/>
        <v>30</v>
      </c>
      <c r="DJ1" s="76">
        <f t="shared" si="1"/>
        <v>30</v>
      </c>
      <c r="DK1" s="76">
        <f t="shared" si="1"/>
        <v>31</v>
      </c>
      <c r="DL1" s="76">
        <f t="shared" si="1"/>
        <v>32</v>
      </c>
      <c r="DM1" s="76">
        <f t="shared" si="1"/>
        <v>33</v>
      </c>
      <c r="DN1" s="76">
        <f t="shared" si="1"/>
        <v>34</v>
      </c>
      <c r="DO1" s="76">
        <f t="shared" si="1"/>
        <v>35</v>
      </c>
      <c r="DP1" s="76">
        <f t="shared" si="1"/>
        <v>35</v>
      </c>
      <c r="DQ1" s="76">
        <f t="shared" si="1"/>
        <v>36</v>
      </c>
      <c r="DR1" s="76">
        <f t="shared" si="1"/>
        <v>37</v>
      </c>
      <c r="DS1" s="76">
        <f t="shared" si="1"/>
        <v>38</v>
      </c>
      <c r="DT1" s="76">
        <f t="shared" si="1"/>
        <v>39</v>
      </c>
      <c r="DU1" s="76">
        <f t="shared" si="1"/>
        <v>40</v>
      </c>
      <c r="DV1" s="76">
        <f t="shared" si="1"/>
        <v>40</v>
      </c>
      <c r="DW1" s="76">
        <f t="shared" si="1"/>
        <v>40</v>
      </c>
      <c r="DX1" s="76" t="str">
        <f t="shared" si="1"/>
        <v/>
      </c>
      <c r="DY1" s="76" t="str">
        <f t="shared" si="1"/>
        <v/>
      </c>
      <c r="DZ1" s="76" t="str">
        <f t="shared" si="1"/>
        <v/>
      </c>
      <c r="EA1" s="76" t="str">
        <f t="shared" si="1"/>
        <v/>
      </c>
      <c r="EB1" s="76" t="str">
        <f t="shared" si="1"/>
        <v/>
      </c>
      <c r="EC1" s="76" t="str">
        <f t="shared" si="1"/>
        <v/>
      </c>
      <c r="ED1" s="76" t="str">
        <f t="shared" si="1"/>
        <v/>
      </c>
      <c r="EE1" s="76" t="str">
        <f t="shared" si="1"/>
        <v/>
      </c>
      <c r="EF1" s="76" t="str">
        <f t="shared" si="1"/>
        <v/>
      </c>
      <c r="EG1" s="76" t="str">
        <f t="shared" si="1"/>
        <v/>
      </c>
      <c r="EH1" s="76" t="str">
        <f t="shared" si="1"/>
        <v/>
      </c>
      <c r="EI1" s="76" t="str">
        <f t="shared" si="1"/>
        <v/>
      </c>
      <c r="EJ1" s="76" t="str">
        <f t="shared" si="1"/>
        <v/>
      </c>
      <c r="EK1" s="76" t="str">
        <f t="shared" si="1"/>
        <v/>
      </c>
      <c r="EL1" s="76" t="str">
        <f t="shared" si="1"/>
        <v/>
      </c>
      <c r="EM1" s="76" t="str">
        <f t="shared" si="1"/>
        <v/>
      </c>
      <c r="EN1" s="76" t="str">
        <f t="shared" si="1"/>
        <v/>
      </c>
      <c r="EO1" s="76" t="str">
        <f t="shared" si="1"/>
        <v/>
      </c>
      <c r="EP1" s="76" t="str">
        <f t="shared" si="1"/>
        <v/>
      </c>
      <c r="EQ1" s="76" t="str">
        <f t="shared" si="1"/>
        <v/>
      </c>
      <c r="ER1" s="76" t="str">
        <f t="shared" si="1"/>
        <v/>
      </c>
      <c r="ES1" s="76" t="str">
        <f t="shared" si="1"/>
        <v/>
      </c>
      <c r="ET1" s="76" t="str">
        <f t="shared" si="1"/>
        <v/>
      </c>
      <c r="EU1" s="76" t="str">
        <f t="shared" si="1"/>
        <v/>
      </c>
      <c r="EV1" s="76" t="str">
        <f t="shared" si="1"/>
        <v/>
      </c>
      <c r="EW1" s="76" t="str">
        <f t="shared" ref="EW1:HH1" si="2">IF(EW4&lt;&gt;0,EV1+1,IF(OR(AND(EW4=0,EW2="Total"),AND(EW4=0,EW2&lt;&gt;0)),EV1,""))</f>
        <v/>
      </c>
      <c r="EX1" s="76" t="str">
        <f t="shared" si="2"/>
        <v/>
      </c>
      <c r="EY1" s="76" t="str">
        <f t="shared" si="2"/>
        <v/>
      </c>
      <c r="EZ1" s="76" t="str">
        <f t="shared" si="2"/>
        <v/>
      </c>
      <c r="FA1" s="76" t="str">
        <f t="shared" si="2"/>
        <v/>
      </c>
      <c r="FB1" s="76" t="str">
        <f t="shared" si="2"/>
        <v/>
      </c>
      <c r="FC1" s="76" t="str">
        <f t="shared" si="2"/>
        <v/>
      </c>
      <c r="FD1" s="76" t="str">
        <f t="shared" si="2"/>
        <v/>
      </c>
      <c r="FE1" s="76" t="str">
        <f t="shared" si="2"/>
        <v/>
      </c>
      <c r="FF1" s="76" t="str">
        <f t="shared" si="2"/>
        <v/>
      </c>
      <c r="FG1" s="76" t="str">
        <f t="shared" si="2"/>
        <v/>
      </c>
      <c r="FH1" s="76" t="str">
        <f t="shared" si="2"/>
        <v/>
      </c>
      <c r="FI1" s="76" t="str">
        <f t="shared" si="2"/>
        <v/>
      </c>
      <c r="FJ1" s="76" t="str">
        <f t="shared" si="2"/>
        <v/>
      </c>
      <c r="FK1" s="76" t="str">
        <f t="shared" si="2"/>
        <v/>
      </c>
      <c r="FL1" s="76" t="str">
        <f t="shared" si="2"/>
        <v/>
      </c>
      <c r="FM1" s="76" t="str">
        <f t="shared" si="2"/>
        <v/>
      </c>
      <c r="FN1" s="76" t="str">
        <f t="shared" si="2"/>
        <v/>
      </c>
      <c r="FO1" s="76" t="str">
        <f t="shared" si="2"/>
        <v/>
      </c>
      <c r="FP1" s="76" t="str">
        <f t="shared" si="2"/>
        <v/>
      </c>
      <c r="FQ1" s="76" t="str">
        <f t="shared" si="2"/>
        <v/>
      </c>
      <c r="FR1" s="76" t="str">
        <f t="shared" si="2"/>
        <v/>
      </c>
      <c r="FS1" s="76" t="str">
        <f t="shared" si="2"/>
        <v/>
      </c>
      <c r="FT1" s="76" t="str">
        <f t="shared" si="2"/>
        <v/>
      </c>
      <c r="FU1" s="76" t="str">
        <f t="shared" si="2"/>
        <v/>
      </c>
      <c r="FV1" s="76" t="str">
        <f t="shared" si="2"/>
        <v/>
      </c>
      <c r="FW1" s="76" t="str">
        <f t="shared" si="2"/>
        <v/>
      </c>
      <c r="FX1" s="76" t="str">
        <f t="shared" si="2"/>
        <v/>
      </c>
      <c r="FY1" s="76" t="str">
        <f t="shared" si="2"/>
        <v/>
      </c>
      <c r="FZ1" s="76" t="str">
        <f t="shared" si="2"/>
        <v/>
      </c>
      <c r="GA1" s="76" t="str">
        <f t="shared" si="2"/>
        <v/>
      </c>
      <c r="GB1" s="76" t="str">
        <f t="shared" si="2"/>
        <v/>
      </c>
      <c r="GC1" s="76" t="str">
        <f t="shared" si="2"/>
        <v/>
      </c>
      <c r="GD1" s="76" t="str">
        <f t="shared" si="2"/>
        <v/>
      </c>
      <c r="GE1" s="76" t="str">
        <f t="shared" si="2"/>
        <v/>
      </c>
      <c r="GF1" s="76" t="str">
        <f t="shared" si="2"/>
        <v/>
      </c>
      <c r="GG1" s="76" t="str">
        <f t="shared" si="2"/>
        <v/>
      </c>
      <c r="GH1" s="76" t="str">
        <f t="shared" si="2"/>
        <v/>
      </c>
      <c r="GI1" s="76" t="str">
        <f t="shared" si="2"/>
        <v/>
      </c>
      <c r="GJ1" s="76" t="str">
        <f t="shared" si="2"/>
        <v/>
      </c>
      <c r="GK1" s="76" t="str">
        <f t="shared" si="2"/>
        <v/>
      </c>
      <c r="GL1" s="76" t="str">
        <f t="shared" si="2"/>
        <v/>
      </c>
      <c r="GM1" s="76" t="str">
        <f t="shared" si="2"/>
        <v/>
      </c>
      <c r="GN1" s="76" t="str">
        <f t="shared" si="2"/>
        <v/>
      </c>
      <c r="GO1" s="76" t="str">
        <f t="shared" si="2"/>
        <v/>
      </c>
      <c r="GP1" s="76" t="str">
        <f t="shared" si="2"/>
        <v/>
      </c>
      <c r="GQ1" s="76" t="str">
        <f t="shared" si="2"/>
        <v/>
      </c>
      <c r="GR1" s="76" t="str">
        <f t="shared" si="2"/>
        <v/>
      </c>
      <c r="GS1" s="76" t="str">
        <f t="shared" si="2"/>
        <v/>
      </c>
      <c r="GT1" s="76" t="str">
        <f t="shared" si="2"/>
        <v/>
      </c>
      <c r="GU1" s="76" t="str">
        <f t="shared" si="2"/>
        <v/>
      </c>
      <c r="GV1" s="76" t="str">
        <f t="shared" si="2"/>
        <v/>
      </c>
      <c r="GW1" s="76" t="str">
        <f t="shared" si="2"/>
        <v/>
      </c>
      <c r="GX1" s="76" t="str">
        <f t="shared" si="2"/>
        <v/>
      </c>
      <c r="GY1" s="76" t="str">
        <f t="shared" si="2"/>
        <v/>
      </c>
      <c r="GZ1" s="76" t="str">
        <f t="shared" si="2"/>
        <v/>
      </c>
      <c r="HA1" s="76" t="str">
        <f t="shared" si="2"/>
        <v/>
      </c>
      <c r="HB1" s="76" t="str">
        <f t="shared" si="2"/>
        <v/>
      </c>
      <c r="HC1" s="76" t="str">
        <f t="shared" si="2"/>
        <v/>
      </c>
      <c r="HD1" s="76" t="str">
        <f t="shared" si="2"/>
        <v/>
      </c>
      <c r="HE1" s="76" t="str">
        <f t="shared" si="2"/>
        <v/>
      </c>
      <c r="HF1" s="76" t="str">
        <f t="shared" si="2"/>
        <v/>
      </c>
      <c r="HG1" s="76" t="str">
        <f t="shared" si="2"/>
        <v/>
      </c>
      <c r="HH1" s="76" t="str">
        <f t="shared" si="2"/>
        <v/>
      </c>
      <c r="HI1" s="76" t="str">
        <f t="shared" ref="HI1:JT1" si="3">IF(HI4&lt;&gt;0,HH1+1,IF(OR(AND(HI4=0,HI2="Total"),AND(HI4=0,HI2&lt;&gt;0)),HH1,""))</f>
        <v/>
      </c>
      <c r="HJ1" s="76" t="str">
        <f t="shared" si="3"/>
        <v/>
      </c>
      <c r="HK1" s="76" t="str">
        <f t="shared" si="3"/>
        <v/>
      </c>
      <c r="HL1" s="76" t="str">
        <f t="shared" si="3"/>
        <v/>
      </c>
      <c r="HM1" s="76" t="str">
        <f t="shared" si="3"/>
        <v/>
      </c>
      <c r="HN1" s="76" t="str">
        <f t="shared" si="3"/>
        <v/>
      </c>
      <c r="HO1" s="76" t="str">
        <f t="shared" si="3"/>
        <v/>
      </c>
      <c r="HP1" s="76" t="str">
        <f t="shared" si="3"/>
        <v/>
      </c>
      <c r="HQ1" s="76" t="str">
        <f t="shared" si="3"/>
        <v/>
      </c>
      <c r="HR1" s="76" t="str">
        <f t="shared" si="3"/>
        <v/>
      </c>
      <c r="HS1" s="76" t="str">
        <f t="shared" si="3"/>
        <v/>
      </c>
      <c r="HT1" s="76" t="str">
        <f t="shared" si="3"/>
        <v/>
      </c>
      <c r="HU1" s="76" t="str">
        <f t="shared" si="3"/>
        <v/>
      </c>
      <c r="HV1" s="76" t="str">
        <f t="shared" si="3"/>
        <v/>
      </c>
      <c r="HW1" s="76" t="str">
        <f t="shared" si="3"/>
        <v/>
      </c>
      <c r="HX1" s="76" t="str">
        <f t="shared" si="3"/>
        <v/>
      </c>
      <c r="HY1" s="76" t="str">
        <f t="shared" si="3"/>
        <v/>
      </c>
      <c r="HZ1" s="76" t="str">
        <f t="shared" si="3"/>
        <v/>
      </c>
      <c r="IA1" s="76" t="str">
        <f t="shared" si="3"/>
        <v/>
      </c>
      <c r="IB1" s="76" t="str">
        <f t="shared" si="3"/>
        <v/>
      </c>
      <c r="IC1" s="76" t="str">
        <f t="shared" si="3"/>
        <v/>
      </c>
      <c r="ID1" s="76" t="str">
        <f t="shared" si="3"/>
        <v/>
      </c>
      <c r="IE1" s="76" t="str">
        <f t="shared" si="3"/>
        <v/>
      </c>
      <c r="IF1" s="76" t="str">
        <f t="shared" si="3"/>
        <v/>
      </c>
      <c r="IG1" s="76" t="str">
        <f t="shared" si="3"/>
        <v/>
      </c>
      <c r="IH1" s="76" t="str">
        <f t="shared" si="3"/>
        <v/>
      </c>
      <c r="II1" s="76" t="str">
        <f t="shared" si="3"/>
        <v/>
      </c>
      <c r="IJ1" s="76" t="str">
        <f t="shared" si="3"/>
        <v/>
      </c>
      <c r="IK1" s="76" t="str">
        <f t="shared" si="3"/>
        <v/>
      </c>
      <c r="IL1" s="76" t="str">
        <f t="shared" si="3"/>
        <v/>
      </c>
      <c r="IM1" s="76" t="str">
        <f t="shared" si="3"/>
        <v/>
      </c>
      <c r="IN1" s="76" t="str">
        <f t="shared" si="3"/>
        <v/>
      </c>
      <c r="IO1" s="76" t="str">
        <f t="shared" si="3"/>
        <v/>
      </c>
      <c r="IP1" s="76" t="str">
        <f t="shared" si="3"/>
        <v/>
      </c>
      <c r="IQ1" s="76" t="str">
        <f t="shared" si="3"/>
        <v/>
      </c>
      <c r="IR1" s="76" t="str">
        <f t="shared" si="3"/>
        <v/>
      </c>
      <c r="IS1" s="76" t="str">
        <f t="shared" si="3"/>
        <v/>
      </c>
      <c r="IT1" s="76" t="str">
        <f t="shared" si="3"/>
        <v/>
      </c>
      <c r="IU1" s="76" t="str">
        <f t="shared" si="3"/>
        <v/>
      </c>
      <c r="IV1" s="76" t="str">
        <f t="shared" si="3"/>
        <v/>
      </c>
      <c r="IW1" s="76" t="str">
        <f t="shared" si="3"/>
        <v/>
      </c>
      <c r="IX1" s="76" t="str">
        <f t="shared" si="3"/>
        <v/>
      </c>
      <c r="IY1" s="76" t="str">
        <f t="shared" si="3"/>
        <v/>
      </c>
      <c r="IZ1" s="76" t="str">
        <f t="shared" si="3"/>
        <v/>
      </c>
      <c r="JA1" s="76" t="str">
        <f t="shared" si="3"/>
        <v/>
      </c>
      <c r="JB1" s="76" t="str">
        <f t="shared" si="3"/>
        <v/>
      </c>
      <c r="JC1" s="76" t="str">
        <f t="shared" si="3"/>
        <v/>
      </c>
      <c r="JD1" s="76" t="str">
        <f t="shared" si="3"/>
        <v/>
      </c>
      <c r="JE1" s="76" t="str">
        <f t="shared" si="3"/>
        <v/>
      </c>
      <c r="JF1" s="76" t="str">
        <f t="shared" si="3"/>
        <v/>
      </c>
      <c r="JG1" s="76" t="str">
        <f t="shared" si="3"/>
        <v/>
      </c>
      <c r="JH1" s="76" t="str">
        <f t="shared" si="3"/>
        <v/>
      </c>
      <c r="JI1" s="76" t="str">
        <f t="shared" si="3"/>
        <v/>
      </c>
      <c r="JJ1" s="76" t="str">
        <f t="shared" si="3"/>
        <v/>
      </c>
      <c r="JK1" s="76" t="str">
        <f t="shared" si="3"/>
        <v/>
      </c>
      <c r="JL1" s="76" t="str">
        <f t="shared" si="3"/>
        <v/>
      </c>
      <c r="JM1" s="76" t="str">
        <f t="shared" si="3"/>
        <v/>
      </c>
      <c r="JN1" s="76" t="str">
        <f t="shared" si="3"/>
        <v/>
      </c>
      <c r="JO1" s="76" t="str">
        <f t="shared" si="3"/>
        <v/>
      </c>
      <c r="JP1" s="76" t="str">
        <f t="shared" si="3"/>
        <v/>
      </c>
      <c r="JQ1" s="76" t="str">
        <f t="shared" si="3"/>
        <v/>
      </c>
      <c r="JR1" s="76" t="str">
        <f t="shared" si="3"/>
        <v/>
      </c>
      <c r="JS1" s="76" t="str">
        <f t="shared" si="3"/>
        <v/>
      </c>
      <c r="JT1" s="76" t="str">
        <f t="shared" si="3"/>
        <v/>
      </c>
      <c r="JU1" s="76" t="str">
        <f t="shared" ref="JU1:MF1" si="4">IF(JU4&lt;&gt;0,JT1+1,IF(OR(AND(JU4=0,JU2="Total"),AND(JU4=0,JU2&lt;&gt;0)),JT1,""))</f>
        <v/>
      </c>
      <c r="JV1" s="76" t="str">
        <f t="shared" si="4"/>
        <v/>
      </c>
      <c r="JW1" s="76" t="str">
        <f t="shared" si="4"/>
        <v/>
      </c>
      <c r="JX1" s="76" t="str">
        <f t="shared" si="4"/>
        <v/>
      </c>
      <c r="JY1" s="76" t="str">
        <f t="shared" si="4"/>
        <v/>
      </c>
      <c r="JZ1" s="76" t="str">
        <f t="shared" si="4"/>
        <v/>
      </c>
      <c r="KA1" s="76" t="str">
        <f t="shared" si="4"/>
        <v/>
      </c>
      <c r="KB1" s="76" t="str">
        <f t="shared" si="4"/>
        <v/>
      </c>
      <c r="KC1" s="76" t="str">
        <f t="shared" si="4"/>
        <v/>
      </c>
      <c r="KD1" s="76" t="str">
        <f t="shared" si="4"/>
        <v/>
      </c>
      <c r="KE1" s="76" t="str">
        <f t="shared" si="4"/>
        <v/>
      </c>
      <c r="KF1" s="76" t="str">
        <f t="shared" si="4"/>
        <v/>
      </c>
      <c r="KG1" s="76" t="str">
        <f t="shared" si="4"/>
        <v/>
      </c>
      <c r="KH1" s="76" t="str">
        <f t="shared" si="4"/>
        <v/>
      </c>
      <c r="KI1" s="76" t="str">
        <f t="shared" si="4"/>
        <v/>
      </c>
      <c r="KJ1" s="76" t="str">
        <f t="shared" si="4"/>
        <v/>
      </c>
      <c r="KK1" s="76" t="str">
        <f t="shared" si="4"/>
        <v/>
      </c>
      <c r="KL1" s="76" t="str">
        <f t="shared" si="4"/>
        <v/>
      </c>
      <c r="KM1" s="76" t="str">
        <f t="shared" si="4"/>
        <v/>
      </c>
      <c r="KN1" s="76" t="str">
        <f t="shared" si="4"/>
        <v/>
      </c>
      <c r="KO1" s="76" t="str">
        <f t="shared" si="4"/>
        <v/>
      </c>
      <c r="KP1" s="76" t="str">
        <f t="shared" si="4"/>
        <v/>
      </c>
      <c r="KQ1" s="76" t="str">
        <f t="shared" si="4"/>
        <v/>
      </c>
      <c r="KR1" s="76" t="str">
        <f t="shared" si="4"/>
        <v/>
      </c>
      <c r="KS1" s="76" t="str">
        <f t="shared" si="4"/>
        <v/>
      </c>
      <c r="KT1" s="76" t="str">
        <f t="shared" si="4"/>
        <v/>
      </c>
      <c r="KU1" s="76" t="str">
        <f t="shared" si="4"/>
        <v/>
      </c>
      <c r="KV1" s="76" t="str">
        <f t="shared" si="4"/>
        <v/>
      </c>
      <c r="KW1" s="76" t="str">
        <f t="shared" si="4"/>
        <v/>
      </c>
      <c r="KX1" s="76" t="str">
        <f t="shared" si="4"/>
        <v/>
      </c>
      <c r="KY1" s="76" t="str">
        <f t="shared" si="4"/>
        <v/>
      </c>
      <c r="KZ1" s="76" t="str">
        <f t="shared" si="4"/>
        <v/>
      </c>
      <c r="LA1" s="76" t="str">
        <f t="shared" si="4"/>
        <v/>
      </c>
      <c r="LB1" s="76" t="str">
        <f t="shared" si="4"/>
        <v/>
      </c>
      <c r="LC1" s="76" t="str">
        <f t="shared" si="4"/>
        <v/>
      </c>
      <c r="LD1" s="76" t="str">
        <f t="shared" si="4"/>
        <v/>
      </c>
      <c r="LE1" s="76" t="str">
        <f t="shared" si="4"/>
        <v/>
      </c>
      <c r="LF1" s="76" t="str">
        <f t="shared" si="4"/>
        <v/>
      </c>
      <c r="LG1" s="76" t="str">
        <f t="shared" si="4"/>
        <v/>
      </c>
      <c r="LH1" s="76" t="str">
        <f t="shared" si="4"/>
        <v/>
      </c>
      <c r="LI1" s="76" t="str">
        <f t="shared" si="4"/>
        <v/>
      </c>
      <c r="LJ1" s="76" t="str">
        <f t="shared" si="4"/>
        <v/>
      </c>
      <c r="LK1" s="76" t="str">
        <f t="shared" si="4"/>
        <v/>
      </c>
      <c r="LL1" s="76" t="str">
        <f t="shared" si="4"/>
        <v/>
      </c>
      <c r="LM1" s="76" t="str">
        <f t="shared" si="4"/>
        <v/>
      </c>
      <c r="LN1" s="76" t="str">
        <f t="shared" si="4"/>
        <v/>
      </c>
      <c r="LO1" s="76" t="str">
        <f t="shared" si="4"/>
        <v/>
      </c>
      <c r="LP1" s="76" t="str">
        <f t="shared" si="4"/>
        <v/>
      </c>
      <c r="LQ1" s="76" t="str">
        <f t="shared" si="4"/>
        <v/>
      </c>
      <c r="LR1" s="76" t="str">
        <f t="shared" si="4"/>
        <v/>
      </c>
      <c r="LS1" s="76" t="str">
        <f t="shared" si="4"/>
        <v/>
      </c>
      <c r="LT1" s="76" t="str">
        <f t="shared" si="4"/>
        <v/>
      </c>
      <c r="LU1" s="76" t="str">
        <f t="shared" si="4"/>
        <v/>
      </c>
      <c r="LV1" s="76" t="str">
        <f t="shared" si="4"/>
        <v/>
      </c>
      <c r="LW1" s="76" t="str">
        <f t="shared" si="4"/>
        <v/>
      </c>
      <c r="LX1" s="76" t="str">
        <f t="shared" si="4"/>
        <v/>
      </c>
      <c r="LY1" s="76" t="str">
        <f t="shared" si="4"/>
        <v/>
      </c>
      <c r="LZ1" s="76" t="str">
        <f t="shared" si="4"/>
        <v/>
      </c>
      <c r="MA1" s="76" t="str">
        <f t="shared" si="4"/>
        <v/>
      </c>
      <c r="MB1" s="76" t="str">
        <f t="shared" si="4"/>
        <v/>
      </c>
      <c r="MC1" s="76" t="str">
        <f t="shared" si="4"/>
        <v/>
      </c>
      <c r="MD1" s="76" t="str">
        <f t="shared" si="4"/>
        <v/>
      </c>
      <c r="ME1" s="76" t="str">
        <f t="shared" si="4"/>
        <v/>
      </c>
      <c r="MF1" s="76" t="str">
        <f t="shared" si="4"/>
        <v/>
      </c>
      <c r="MG1" s="76" t="str">
        <f t="shared" ref="MG1:MW1" si="5">IF(MG4&lt;&gt;0,MF1+1,IF(OR(AND(MG4=0,MG2="Total"),AND(MG4=0,MG2&lt;&gt;0)),MF1,""))</f>
        <v/>
      </c>
      <c r="MH1" s="76" t="str">
        <f t="shared" si="5"/>
        <v/>
      </c>
      <c r="MI1" s="76" t="str">
        <f t="shared" si="5"/>
        <v/>
      </c>
      <c r="MJ1" s="76" t="str">
        <f t="shared" si="5"/>
        <v/>
      </c>
      <c r="MK1" s="76" t="str">
        <f t="shared" si="5"/>
        <v/>
      </c>
      <c r="ML1" s="76" t="str">
        <f t="shared" si="5"/>
        <v/>
      </c>
      <c r="MM1" s="76" t="str">
        <f t="shared" si="5"/>
        <v/>
      </c>
      <c r="MN1" s="76" t="str">
        <f t="shared" si="5"/>
        <v/>
      </c>
      <c r="MO1" s="76" t="str">
        <f t="shared" si="5"/>
        <v/>
      </c>
      <c r="MP1" s="76" t="str">
        <f t="shared" si="5"/>
        <v/>
      </c>
      <c r="MQ1" s="76" t="str">
        <f t="shared" si="5"/>
        <v/>
      </c>
      <c r="MR1" s="76" t="str">
        <f t="shared" si="5"/>
        <v/>
      </c>
      <c r="MS1" s="76" t="str">
        <f t="shared" si="5"/>
        <v/>
      </c>
      <c r="MT1" s="76" t="str">
        <f t="shared" si="5"/>
        <v/>
      </c>
      <c r="MU1" s="76" t="str">
        <f t="shared" si="5"/>
        <v/>
      </c>
      <c r="MV1" s="76" t="str">
        <f t="shared" si="5"/>
        <v/>
      </c>
      <c r="MW1" s="76" t="str">
        <f t="shared" si="5"/>
        <v/>
      </c>
    </row>
    <row r="2" spans="1:361" ht="20.25" customHeight="1" x14ac:dyDescent="0.25">
      <c r="C2" s="1" t="s">
        <v>0</v>
      </c>
      <c r="D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91" t="s">
        <v>1</v>
      </c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1"/>
      <c r="AF2" s="1"/>
      <c r="BX2" s="92" t="s">
        <v>2</v>
      </c>
      <c r="BY2" s="93"/>
      <c r="BZ2" s="93"/>
      <c r="CA2" s="93"/>
      <c r="CB2" s="94"/>
      <c r="CC2" s="95" t="s">
        <v>3</v>
      </c>
      <c r="CD2" s="96" t="s">
        <v>4</v>
      </c>
      <c r="CE2" s="97"/>
      <c r="CF2" s="97"/>
      <c r="CG2" s="97"/>
      <c r="CH2" s="98"/>
      <c r="CI2" s="99" t="s">
        <v>3</v>
      </c>
      <c r="CJ2" s="1" t="s">
        <v>5</v>
      </c>
      <c r="CK2" s="100" t="s">
        <v>6</v>
      </c>
      <c r="CL2" s="101"/>
      <c r="CM2" s="101"/>
      <c r="CN2" s="101"/>
      <c r="CO2" s="102"/>
      <c r="CP2" s="99" t="s">
        <v>3</v>
      </c>
      <c r="CQ2" s="103" t="s">
        <v>7</v>
      </c>
      <c r="CR2" s="104"/>
      <c r="CS2" s="104"/>
      <c r="CT2" s="104"/>
      <c r="CU2" s="105"/>
      <c r="CV2" s="87" t="s">
        <v>3</v>
      </c>
      <c r="CW2" s="106" t="s">
        <v>8</v>
      </c>
      <c r="CX2" s="88" t="s">
        <v>9</v>
      </c>
      <c r="CY2" s="89"/>
      <c r="CZ2" s="89"/>
      <c r="DA2" s="89"/>
      <c r="DB2" s="90"/>
      <c r="DC2" s="87" t="s">
        <v>3</v>
      </c>
      <c r="DD2" s="88" t="s">
        <v>10</v>
      </c>
      <c r="DE2" s="89"/>
      <c r="DF2" s="89"/>
      <c r="DG2" s="89"/>
      <c r="DH2" s="6"/>
      <c r="DI2" s="87" t="s">
        <v>3</v>
      </c>
      <c r="DJ2" s="87" t="s">
        <v>11</v>
      </c>
      <c r="DK2" s="88" t="s">
        <v>12</v>
      </c>
      <c r="DL2" s="89"/>
      <c r="DM2" s="89"/>
      <c r="DN2" s="89"/>
      <c r="DO2" s="90"/>
      <c r="DP2" s="87" t="s">
        <v>3</v>
      </c>
      <c r="DQ2" s="88" t="s">
        <v>13</v>
      </c>
      <c r="DR2" s="89"/>
      <c r="DS2" s="89"/>
      <c r="DT2" s="89"/>
      <c r="DU2" s="90"/>
      <c r="DV2" s="87" t="s">
        <v>3</v>
      </c>
      <c r="DW2" s="87" t="s">
        <v>14</v>
      </c>
    </row>
    <row r="3" spans="1:361" x14ac:dyDescent="0.25">
      <c r="C3" s="7"/>
      <c r="D3" s="2"/>
      <c r="E3" s="8" t="s">
        <v>15</v>
      </c>
      <c r="F3" s="8" t="s">
        <v>16</v>
      </c>
      <c r="G3" s="8"/>
      <c r="H3" s="8" t="s">
        <v>17</v>
      </c>
      <c r="I3" s="8" t="s">
        <v>16</v>
      </c>
      <c r="J3" s="8" t="s">
        <v>18</v>
      </c>
      <c r="K3" s="8" t="s">
        <v>16</v>
      </c>
      <c r="L3" s="8"/>
      <c r="M3" s="8" t="s">
        <v>19</v>
      </c>
      <c r="N3" s="8" t="s">
        <v>16</v>
      </c>
      <c r="O3" s="8" t="s">
        <v>20</v>
      </c>
      <c r="P3" s="8" t="s">
        <v>16</v>
      </c>
      <c r="Q3" s="9"/>
      <c r="R3" s="10" t="s">
        <v>21</v>
      </c>
      <c r="S3" s="8" t="s">
        <v>16</v>
      </c>
      <c r="T3" s="10" t="s">
        <v>22</v>
      </c>
      <c r="U3" s="8" t="s">
        <v>16</v>
      </c>
      <c r="V3" s="10"/>
      <c r="W3" s="10" t="s">
        <v>23</v>
      </c>
      <c r="X3" s="8" t="s">
        <v>16</v>
      </c>
      <c r="Y3" s="10" t="s">
        <v>24</v>
      </c>
      <c r="Z3" s="8" t="s">
        <v>16</v>
      </c>
      <c r="AA3" s="10"/>
      <c r="AB3" s="10" t="s">
        <v>25</v>
      </c>
      <c r="AC3" s="8" t="s">
        <v>16</v>
      </c>
      <c r="AD3" s="10" t="s">
        <v>26</v>
      </c>
      <c r="AE3" s="8" t="s">
        <v>16</v>
      </c>
      <c r="AF3" s="10"/>
      <c r="AG3" s="10" t="s">
        <v>27</v>
      </c>
      <c r="AH3" s="8" t="s">
        <v>16</v>
      </c>
      <c r="AI3" s="10" t="s">
        <v>28</v>
      </c>
      <c r="AJ3" s="8" t="s">
        <v>16</v>
      </c>
      <c r="AK3" s="8"/>
      <c r="AL3" s="10" t="s">
        <v>29</v>
      </c>
      <c r="AM3" s="8" t="s">
        <v>16</v>
      </c>
      <c r="AN3" s="10" t="s">
        <v>30</v>
      </c>
      <c r="AO3" s="8" t="s">
        <v>16</v>
      </c>
      <c r="AP3" s="1"/>
      <c r="AQ3" s="1" t="s">
        <v>31</v>
      </c>
      <c r="AR3" s="8" t="s">
        <v>16</v>
      </c>
      <c r="AS3" s="1" t="s">
        <v>32</v>
      </c>
      <c r="AT3" s="8" t="s">
        <v>16</v>
      </c>
      <c r="AU3" s="1"/>
      <c r="AV3" s="11" t="s">
        <v>33</v>
      </c>
      <c r="AW3" s="8" t="s">
        <v>16</v>
      </c>
      <c r="AX3" s="11" t="s">
        <v>34</v>
      </c>
      <c r="AY3" s="8" t="s">
        <v>16</v>
      </c>
      <c r="AZ3" s="1"/>
      <c r="BA3" s="10" t="s">
        <v>35</v>
      </c>
      <c r="BB3" s="8" t="s">
        <v>16</v>
      </c>
      <c r="BC3" s="10" t="s">
        <v>36</v>
      </c>
      <c r="BD3" s="8" t="s">
        <v>16</v>
      </c>
      <c r="BF3" s="12" t="s">
        <v>37</v>
      </c>
      <c r="BG3" s="8" t="s">
        <v>16</v>
      </c>
      <c r="BH3" s="10" t="s">
        <v>38</v>
      </c>
      <c r="BI3" s="8" t="s">
        <v>16</v>
      </c>
      <c r="BJ3" s="8" t="s">
        <v>3</v>
      </c>
      <c r="BK3" s="8" t="s">
        <v>39</v>
      </c>
      <c r="BL3" s="8" t="s">
        <v>16</v>
      </c>
      <c r="BM3" s="13" t="s">
        <v>40</v>
      </c>
      <c r="BN3" s="8" t="s">
        <v>16</v>
      </c>
      <c r="BO3" s="14" t="s">
        <v>3</v>
      </c>
      <c r="BP3" s="15" t="s">
        <v>41</v>
      </c>
      <c r="BQ3" s="8" t="s">
        <v>16</v>
      </c>
      <c r="BR3" s="8" t="s">
        <v>42</v>
      </c>
      <c r="BS3" s="8" t="s">
        <v>16</v>
      </c>
      <c r="BT3" s="8" t="s">
        <v>3</v>
      </c>
      <c r="BU3" s="13" t="s">
        <v>43</v>
      </c>
      <c r="BV3" s="13" t="s">
        <v>44</v>
      </c>
      <c r="BW3" s="8" t="s">
        <v>3</v>
      </c>
      <c r="BX3" s="13" t="s">
        <v>45</v>
      </c>
      <c r="BY3" s="13" t="s">
        <v>46</v>
      </c>
      <c r="BZ3" s="13" t="s">
        <v>47</v>
      </c>
      <c r="CA3" s="13" t="s">
        <v>48</v>
      </c>
      <c r="CB3" s="13" t="s">
        <v>49</v>
      </c>
      <c r="CC3" s="95"/>
      <c r="CD3" s="16" t="s">
        <v>45</v>
      </c>
      <c r="CE3" s="16" t="s">
        <v>46</v>
      </c>
      <c r="CF3" s="16" t="s">
        <v>47</v>
      </c>
      <c r="CG3" s="13" t="s">
        <v>48</v>
      </c>
      <c r="CH3" s="13" t="s">
        <v>49</v>
      </c>
      <c r="CI3" s="99"/>
      <c r="CK3" s="13" t="s">
        <v>45</v>
      </c>
      <c r="CL3" s="13" t="s">
        <v>46</v>
      </c>
      <c r="CM3" s="13" t="s">
        <v>47</v>
      </c>
      <c r="CN3" s="13" t="s">
        <v>48</v>
      </c>
      <c r="CO3" s="13" t="s">
        <v>49</v>
      </c>
      <c r="CP3" s="99"/>
      <c r="CQ3" s="17" t="s">
        <v>45</v>
      </c>
      <c r="CR3" s="17" t="s">
        <v>46</v>
      </c>
      <c r="CS3" s="17" t="s">
        <v>47</v>
      </c>
      <c r="CT3" s="17" t="s">
        <v>48</v>
      </c>
      <c r="CU3" s="13" t="s">
        <v>49</v>
      </c>
      <c r="CV3" s="87"/>
      <c r="CW3" s="106"/>
      <c r="CX3" s="17" t="s">
        <v>45</v>
      </c>
      <c r="CY3" s="17" t="s">
        <v>46</v>
      </c>
      <c r="CZ3" s="17" t="s">
        <v>47</v>
      </c>
      <c r="DA3" s="17" t="s">
        <v>48</v>
      </c>
      <c r="DB3" s="13" t="s">
        <v>49</v>
      </c>
      <c r="DC3" s="87"/>
      <c r="DD3" s="17" t="s">
        <v>45</v>
      </c>
      <c r="DE3" s="17" t="s">
        <v>46</v>
      </c>
      <c r="DF3" s="17" t="s">
        <v>47</v>
      </c>
      <c r="DG3" s="17" t="s">
        <v>48</v>
      </c>
      <c r="DH3" s="17" t="s">
        <v>49</v>
      </c>
      <c r="DI3" s="87"/>
      <c r="DJ3" s="87"/>
      <c r="DK3" s="17" t="s">
        <v>45</v>
      </c>
      <c r="DL3" s="17" t="s">
        <v>46</v>
      </c>
      <c r="DM3" s="17" t="s">
        <v>47</v>
      </c>
      <c r="DN3" s="17" t="s">
        <v>48</v>
      </c>
      <c r="DO3" s="17" t="s">
        <v>49</v>
      </c>
      <c r="DP3" s="87"/>
      <c r="DQ3" s="17" t="s">
        <v>45</v>
      </c>
      <c r="DR3" s="17" t="s">
        <v>46</v>
      </c>
      <c r="DS3" s="17" t="s">
        <v>47</v>
      </c>
      <c r="DT3" s="17" t="s">
        <v>48</v>
      </c>
      <c r="DU3" s="17" t="s">
        <v>49</v>
      </c>
      <c r="DV3" s="87"/>
      <c r="DW3" s="87"/>
    </row>
    <row r="4" spans="1:361" s="70" customFormat="1" x14ac:dyDescent="0.25">
      <c r="C4" s="78"/>
      <c r="D4" s="79"/>
      <c r="E4" s="80"/>
      <c r="F4" s="80"/>
      <c r="G4" s="80" t="s">
        <v>50</v>
      </c>
      <c r="H4" s="80"/>
      <c r="I4" s="80"/>
      <c r="J4" s="80"/>
      <c r="K4" s="80"/>
      <c r="L4" s="80" t="s">
        <v>51</v>
      </c>
      <c r="M4" s="80"/>
      <c r="N4" s="80"/>
      <c r="O4" s="80"/>
      <c r="P4" s="80"/>
      <c r="Q4" s="81" t="s">
        <v>52</v>
      </c>
      <c r="R4" s="81">
        <v>43850</v>
      </c>
      <c r="S4" s="81"/>
      <c r="T4" s="81">
        <v>43866</v>
      </c>
      <c r="U4" s="81"/>
      <c r="V4" s="82" t="s">
        <v>53</v>
      </c>
      <c r="W4" s="81">
        <v>43880</v>
      </c>
      <c r="X4" s="81"/>
      <c r="Y4" s="81">
        <v>43894</v>
      </c>
      <c r="Z4" s="81"/>
      <c r="AA4" s="82" t="s">
        <v>54</v>
      </c>
      <c r="AB4" s="81">
        <v>43909</v>
      </c>
      <c r="AC4" s="81"/>
      <c r="AD4" s="81">
        <v>43923</v>
      </c>
      <c r="AE4" s="81"/>
      <c r="AF4" s="82" t="s">
        <v>55</v>
      </c>
      <c r="AG4" s="81">
        <v>43936</v>
      </c>
      <c r="AH4" s="81"/>
      <c r="AI4" s="81">
        <v>43954</v>
      </c>
      <c r="AJ4" s="81"/>
      <c r="AK4" s="80" t="s">
        <v>56</v>
      </c>
      <c r="AL4" s="81">
        <v>43969</v>
      </c>
      <c r="AM4" s="81"/>
      <c r="AN4" s="81">
        <v>43982</v>
      </c>
      <c r="AO4" s="81"/>
      <c r="AP4" s="81" t="s">
        <v>57</v>
      </c>
      <c r="AQ4" s="81">
        <v>44000</v>
      </c>
      <c r="AR4" s="81"/>
      <c r="AS4" s="81">
        <v>44012</v>
      </c>
      <c r="AT4" s="81"/>
      <c r="AU4" s="81" t="s">
        <v>58</v>
      </c>
      <c r="AV4" s="81">
        <v>44028</v>
      </c>
      <c r="AW4" s="81"/>
      <c r="AX4" s="81">
        <v>44043</v>
      </c>
      <c r="AY4" s="81"/>
      <c r="AZ4" s="81" t="s">
        <v>59</v>
      </c>
      <c r="BA4" s="81">
        <v>44059</v>
      </c>
      <c r="BB4" s="81"/>
      <c r="BC4" s="81">
        <v>44074</v>
      </c>
      <c r="BD4" s="81"/>
      <c r="BE4" s="82" t="s">
        <v>60</v>
      </c>
      <c r="BF4" s="83"/>
      <c r="BG4" s="83"/>
      <c r="BH4" s="82"/>
      <c r="BI4" s="82"/>
      <c r="BJ4" s="82"/>
      <c r="BK4" s="83"/>
      <c r="BL4" s="83"/>
      <c r="BM4" s="82"/>
      <c r="BN4" s="82"/>
      <c r="BO4" s="82"/>
      <c r="BP4" s="82"/>
      <c r="BQ4" s="82"/>
      <c r="BR4" s="82"/>
      <c r="BS4" s="82"/>
      <c r="BT4" s="82"/>
      <c r="BU4" s="71"/>
      <c r="BV4" s="72"/>
      <c r="BX4" s="71">
        <f>IF(AND(BX2&lt;&gt;"Total",BX3&lt;&gt;0),1,0)</f>
        <v>1</v>
      </c>
      <c r="BY4" s="71">
        <f t="shared" ref="BY4:CC4" si="6">IF(AND(BY2&lt;&gt;"Total",BY3&lt;&gt;0),1,0)</f>
        <v>1</v>
      </c>
      <c r="BZ4" s="71">
        <f t="shared" si="6"/>
        <v>1</v>
      </c>
      <c r="CA4" s="71">
        <f t="shared" si="6"/>
        <v>1</v>
      </c>
      <c r="CB4" s="71">
        <f t="shared" si="6"/>
        <v>1</v>
      </c>
      <c r="CC4" s="71">
        <f t="shared" si="6"/>
        <v>0</v>
      </c>
      <c r="CD4" s="71">
        <f t="shared" ref="CD4" si="7">IF(AND(CD2&lt;&gt;"Total",CD3&lt;&gt;0),1,0)</f>
        <v>1</v>
      </c>
      <c r="CE4" s="71">
        <f t="shared" ref="CE4" si="8">IF(AND(CE2&lt;&gt;"Total",CE3&lt;&gt;0),1,0)</f>
        <v>1</v>
      </c>
      <c r="CF4" s="71">
        <f t="shared" ref="CF4" si="9">IF(AND(CF2&lt;&gt;"Total",CF3&lt;&gt;0),1,0)</f>
        <v>1</v>
      </c>
      <c r="CG4" s="71">
        <f t="shared" ref="CG4" si="10">IF(AND(CG2&lt;&gt;"Total",CG3&lt;&gt;0),1,0)</f>
        <v>1</v>
      </c>
      <c r="CH4" s="71">
        <f t="shared" ref="CH4" si="11">IF(AND(CH2&lt;&gt;"Total",CH3&lt;&gt;0),1,0)</f>
        <v>1</v>
      </c>
      <c r="CI4" s="71">
        <f t="shared" ref="CI4" si="12">IF(AND(CI2&lt;&gt;"Total",CI3&lt;&gt;0),1,0)</f>
        <v>0</v>
      </c>
      <c r="CJ4" s="71">
        <f t="shared" ref="CJ4" si="13">IF(AND(CJ2&lt;&gt;"Total",CJ3&lt;&gt;0),1,0)</f>
        <v>0</v>
      </c>
      <c r="CK4" s="71">
        <f t="shared" ref="CK4" si="14">IF(AND(CK2&lt;&gt;"Total",CK3&lt;&gt;0),1,0)</f>
        <v>1</v>
      </c>
      <c r="CL4" s="71">
        <f t="shared" ref="CL4" si="15">IF(AND(CL2&lt;&gt;"Total",CL3&lt;&gt;0),1,0)</f>
        <v>1</v>
      </c>
      <c r="CM4" s="71">
        <f t="shared" ref="CM4" si="16">IF(AND(CM2&lt;&gt;"Total",CM3&lt;&gt;0),1,0)</f>
        <v>1</v>
      </c>
      <c r="CN4" s="71">
        <f t="shared" ref="CN4" si="17">IF(AND(CN2&lt;&gt;"Total",CN3&lt;&gt;0),1,0)</f>
        <v>1</v>
      </c>
      <c r="CO4" s="71">
        <f t="shared" ref="CO4" si="18">IF(AND(CO2&lt;&gt;"Total",CO3&lt;&gt;0),1,0)</f>
        <v>1</v>
      </c>
      <c r="CP4" s="71">
        <f t="shared" ref="CP4" si="19">IF(AND(CP2&lt;&gt;"Total",CP3&lt;&gt;0),1,0)</f>
        <v>0</v>
      </c>
      <c r="CQ4" s="71">
        <f t="shared" ref="CQ4" si="20">IF(AND(CQ2&lt;&gt;"Total",CQ3&lt;&gt;0),1,0)</f>
        <v>1</v>
      </c>
      <c r="CR4" s="71">
        <f t="shared" ref="CR4" si="21">IF(AND(CR2&lt;&gt;"Total",CR3&lt;&gt;0),1,0)</f>
        <v>1</v>
      </c>
      <c r="CS4" s="71">
        <f t="shared" ref="CS4" si="22">IF(AND(CS2&lt;&gt;"Total",CS3&lt;&gt;0),1,0)</f>
        <v>1</v>
      </c>
      <c r="CT4" s="71">
        <f t="shared" ref="CT4" si="23">IF(AND(CT2&lt;&gt;"Total",CT3&lt;&gt;0),1,0)</f>
        <v>1</v>
      </c>
      <c r="CU4" s="71">
        <f t="shared" ref="CU4" si="24">IF(AND(CU2&lt;&gt;"Total",CU3&lt;&gt;0),1,0)</f>
        <v>1</v>
      </c>
      <c r="CV4" s="71">
        <f t="shared" ref="CV4" si="25">IF(AND(CV2&lt;&gt;"Total",CV3&lt;&gt;0),1,0)</f>
        <v>0</v>
      </c>
      <c r="CW4" s="71">
        <f t="shared" ref="CW4" si="26">IF(AND(CW2&lt;&gt;"Total",CW3&lt;&gt;0),1,0)</f>
        <v>0</v>
      </c>
      <c r="CX4" s="71">
        <f t="shared" ref="CX4" si="27">IF(AND(CX2&lt;&gt;"Total",CX3&lt;&gt;0),1,0)</f>
        <v>1</v>
      </c>
      <c r="CY4" s="71">
        <f t="shared" ref="CY4" si="28">IF(AND(CY2&lt;&gt;"Total",CY3&lt;&gt;0),1,0)</f>
        <v>1</v>
      </c>
      <c r="CZ4" s="71">
        <f t="shared" ref="CZ4" si="29">IF(AND(CZ2&lt;&gt;"Total",CZ3&lt;&gt;0),1,0)</f>
        <v>1</v>
      </c>
      <c r="DA4" s="71">
        <f t="shared" ref="DA4" si="30">IF(AND(DA2&lt;&gt;"Total",DA3&lt;&gt;0),1,0)</f>
        <v>1</v>
      </c>
      <c r="DB4" s="71">
        <f t="shared" ref="DB4" si="31">IF(AND(DB2&lt;&gt;"Total",DB3&lt;&gt;0),1,0)</f>
        <v>1</v>
      </c>
      <c r="DC4" s="71">
        <f t="shared" ref="DC4" si="32">IF(AND(DC2&lt;&gt;"Total",DC3&lt;&gt;0),1,0)</f>
        <v>0</v>
      </c>
      <c r="DD4" s="71">
        <f t="shared" ref="DD4" si="33">IF(AND(DD2&lt;&gt;"Total",DD3&lt;&gt;0),1,0)</f>
        <v>1</v>
      </c>
      <c r="DE4" s="71">
        <f t="shared" ref="DE4" si="34">IF(AND(DE2&lt;&gt;"Total",DE3&lt;&gt;0),1,0)</f>
        <v>1</v>
      </c>
      <c r="DF4" s="71">
        <f t="shared" ref="DF4" si="35">IF(AND(DF2&lt;&gt;"Total",DF3&lt;&gt;0),1,0)</f>
        <v>1</v>
      </c>
      <c r="DG4" s="71">
        <f t="shared" ref="DG4" si="36">IF(AND(DG2&lt;&gt;"Total",DG3&lt;&gt;0),1,0)</f>
        <v>1</v>
      </c>
      <c r="DH4" s="71">
        <f t="shared" ref="DH4" si="37">IF(AND(DH2&lt;&gt;"Total",DH3&lt;&gt;0),1,0)</f>
        <v>1</v>
      </c>
      <c r="DI4" s="71">
        <f t="shared" ref="DI4" si="38">IF(AND(DI2&lt;&gt;"Total",DI3&lt;&gt;0),1,0)</f>
        <v>0</v>
      </c>
      <c r="DJ4" s="71">
        <f t="shared" ref="DJ4" si="39">IF(AND(DJ2&lt;&gt;"Total",DJ3&lt;&gt;0),1,0)</f>
        <v>0</v>
      </c>
      <c r="DK4" s="71">
        <f t="shared" ref="DK4" si="40">IF(AND(DK2&lt;&gt;"Total",DK3&lt;&gt;0),1,0)</f>
        <v>1</v>
      </c>
      <c r="DL4" s="71">
        <f t="shared" ref="DL4" si="41">IF(AND(DL2&lt;&gt;"Total",DL3&lt;&gt;0),1,0)</f>
        <v>1</v>
      </c>
      <c r="DM4" s="71">
        <f t="shared" ref="DM4" si="42">IF(AND(DM2&lt;&gt;"Total",DM3&lt;&gt;0),1,0)</f>
        <v>1</v>
      </c>
      <c r="DN4" s="71">
        <f t="shared" ref="DN4" si="43">IF(AND(DN2&lt;&gt;"Total",DN3&lt;&gt;0),1,0)</f>
        <v>1</v>
      </c>
      <c r="DO4" s="71">
        <f t="shared" ref="DO4" si="44">IF(AND(DO2&lt;&gt;"Total",DO3&lt;&gt;0),1,0)</f>
        <v>1</v>
      </c>
      <c r="DP4" s="71">
        <f t="shared" ref="DP4" si="45">IF(AND(DP2&lt;&gt;"Total",DP3&lt;&gt;0),1,0)</f>
        <v>0</v>
      </c>
      <c r="DQ4" s="71">
        <f t="shared" ref="DQ4" si="46">IF(AND(DQ2&lt;&gt;"Total",DQ3&lt;&gt;0),1,0)</f>
        <v>1</v>
      </c>
      <c r="DR4" s="71">
        <f t="shared" ref="DR4" si="47">IF(AND(DR2&lt;&gt;"Total",DR3&lt;&gt;0),1,0)</f>
        <v>1</v>
      </c>
      <c r="DS4" s="71">
        <f t="shared" ref="DS4" si="48">IF(AND(DS2&lt;&gt;"Total",DS3&lt;&gt;0),1,0)</f>
        <v>1</v>
      </c>
      <c r="DT4" s="71">
        <f t="shared" ref="DT4" si="49">IF(AND(DT2&lt;&gt;"Total",DT3&lt;&gt;0),1,0)</f>
        <v>1</v>
      </c>
      <c r="DU4" s="71">
        <f t="shared" ref="DU4" si="50">IF(AND(DU2&lt;&gt;"Total",DU3&lt;&gt;0),1,0)</f>
        <v>1</v>
      </c>
      <c r="DV4" s="71">
        <f t="shared" ref="DV4" si="51">IF(AND(DV2&lt;&gt;"Total",DV3&lt;&gt;0),1,0)</f>
        <v>0</v>
      </c>
      <c r="DW4" s="71">
        <f t="shared" ref="DW4" si="52">IF(AND(DW2&lt;&gt;"Total",DW3&lt;&gt;0),1,0)</f>
        <v>0</v>
      </c>
      <c r="DX4" s="71">
        <f t="shared" ref="DX4" si="53">IF(AND(DX2&lt;&gt;"Total",DX3&lt;&gt;0),1,0)</f>
        <v>0</v>
      </c>
      <c r="DY4" s="71">
        <f t="shared" ref="DY4" si="54">IF(AND(DY2&lt;&gt;"Total",DY3&lt;&gt;0),1,0)</f>
        <v>0</v>
      </c>
      <c r="DZ4" s="71">
        <f t="shared" ref="DZ4" si="55">IF(AND(DZ2&lt;&gt;"Total",DZ3&lt;&gt;0),1,0)</f>
        <v>0</v>
      </c>
      <c r="EA4" s="71">
        <f t="shared" ref="EA4" si="56">IF(AND(EA2&lt;&gt;"Total",EA3&lt;&gt;0),1,0)</f>
        <v>0</v>
      </c>
      <c r="EB4" s="71">
        <f t="shared" ref="EB4" si="57">IF(AND(EB2&lt;&gt;"Total",EB3&lt;&gt;0),1,0)</f>
        <v>0</v>
      </c>
      <c r="EC4" s="71">
        <f t="shared" ref="EC4" si="58">IF(AND(EC2&lt;&gt;"Total",EC3&lt;&gt;0),1,0)</f>
        <v>0</v>
      </c>
      <c r="ED4" s="71">
        <f t="shared" ref="ED4" si="59">IF(AND(ED2&lt;&gt;"Total",ED3&lt;&gt;0),1,0)</f>
        <v>0</v>
      </c>
      <c r="EE4" s="71">
        <f t="shared" ref="EE4" si="60">IF(AND(EE2&lt;&gt;"Total",EE3&lt;&gt;0),1,0)</f>
        <v>0</v>
      </c>
      <c r="EF4" s="71">
        <f t="shared" ref="EF4" si="61">IF(AND(EF2&lt;&gt;"Total",EF3&lt;&gt;0),1,0)</f>
        <v>0</v>
      </c>
      <c r="EG4" s="71">
        <f t="shared" ref="EG4" si="62">IF(AND(EG2&lt;&gt;"Total",EG3&lt;&gt;0),1,0)</f>
        <v>0</v>
      </c>
      <c r="EH4" s="71">
        <f t="shared" ref="EH4" si="63">IF(AND(EH2&lt;&gt;"Total",EH3&lt;&gt;0),1,0)</f>
        <v>0</v>
      </c>
      <c r="EI4" s="71">
        <f t="shared" ref="EI4" si="64">IF(AND(EI2&lt;&gt;"Total",EI3&lt;&gt;0),1,0)</f>
        <v>0</v>
      </c>
      <c r="EJ4" s="71">
        <f t="shared" ref="EJ4" si="65">IF(AND(EJ2&lt;&gt;"Total",EJ3&lt;&gt;0),1,0)</f>
        <v>0</v>
      </c>
      <c r="EK4" s="71">
        <f t="shared" ref="EK4" si="66">IF(AND(EK2&lt;&gt;"Total",EK3&lt;&gt;0),1,0)</f>
        <v>0</v>
      </c>
      <c r="EL4" s="71">
        <f t="shared" ref="EL4" si="67">IF(AND(EL2&lt;&gt;"Total",EL3&lt;&gt;0),1,0)</f>
        <v>0</v>
      </c>
      <c r="EM4" s="71">
        <f t="shared" ref="EM4" si="68">IF(AND(EM2&lt;&gt;"Total",EM3&lt;&gt;0),1,0)</f>
        <v>0</v>
      </c>
      <c r="EN4" s="71">
        <f t="shared" ref="EN4" si="69">IF(AND(EN2&lt;&gt;"Total",EN3&lt;&gt;0),1,0)</f>
        <v>0</v>
      </c>
      <c r="EO4" s="71">
        <f t="shared" ref="EO4" si="70">IF(AND(EO2&lt;&gt;"Total",EO3&lt;&gt;0),1,0)</f>
        <v>0</v>
      </c>
      <c r="EP4" s="71">
        <f t="shared" ref="EP4" si="71">IF(AND(EP2&lt;&gt;"Total",EP3&lt;&gt;0),1,0)</f>
        <v>0</v>
      </c>
      <c r="EQ4" s="71">
        <f t="shared" ref="EQ4" si="72">IF(AND(EQ2&lt;&gt;"Total",EQ3&lt;&gt;0),1,0)</f>
        <v>0</v>
      </c>
      <c r="ER4" s="71">
        <f t="shared" ref="ER4" si="73">IF(AND(ER2&lt;&gt;"Total",ER3&lt;&gt;0),1,0)</f>
        <v>0</v>
      </c>
      <c r="ES4" s="71">
        <f t="shared" ref="ES4" si="74">IF(AND(ES2&lt;&gt;"Total",ES3&lt;&gt;0),1,0)</f>
        <v>0</v>
      </c>
      <c r="ET4" s="71">
        <f t="shared" ref="ET4" si="75">IF(AND(ET2&lt;&gt;"Total",ET3&lt;&gt;0),1,0)</f>
        <v>0</v>
      </c>
      <c r="EU4" s="71">
        <f t="shared" ref="EU4" si="76">IF(AND(EU2&lt;&gt;"Total",EU3&lt;&gt;0),1,0)</f>
        <v>0</v>
      </c>
      <c r="EV4" s="71">
        <f t="shared" ref="EV4" si="77">IF(AND(EV2&lt;&gt;"Total",EV3&lt;&gt;0),1,0)</f>
        <v>0</v>
      </c>
      <c r="EW4" s="71">
        <f t="shared" ref="EW4" si="78">IF(AND(EW2&lt;&gt;"Total",EW3&lt;&gt;0),1,0)</f>
        <v>0</v>
      </c>
      <c r="EX4" s="71">
        <f t="shared" ref="EX4" si="79">IF(AND(EX2&lt;&gt;"Total",EX3&lt;&gt;0),1,0)</f>
        <v>0</v>
      </c>
      <c r="EY4" s="71">
        <f t="shared" ref="EY4" si="80">IF(AND(EY2&lt;&gt;"Total",EY3&lt;&gt;0),1,0)</f>
        <v>0</v>
      </c>
      <c r="EZ4" s="71">
        <f t="shared" ref="EZ4" si="81">IF(AND(EZ2&lt;&gt;"Total",EZ3&lt;&gt;0),1,0)</f>
        <v>0</v>
      </c>
      <c r="FA4" s="71">
        <f t="shared" ref="FA4" si="82">IF(AND(FA2&lt;&gt;"Total",FA3&lt;&gt;0),1,0)</f>
        <v>0</v>
      </c>
      <c r="FB4" s="71">
        <f t="shared" ref="FB4" si="83">IF(AND(FB2&lt;&gt;"Total",FB3&lt;&gt;0),1,0)</f>
        <v>0</v>
      </c>
      <c r="FC4" s="71">
        <f t="shared" ref="FC4" si="84">IF(AND(FC2&lt;&gt;"Total",FC3&lt;&gt;0),1,0)</f>
        <v>0</v>
      </c>
      <c r="FD4" s="71">
        <f t="shared" ref="FD4" si="85">IF(AND(FD2&lt;&gt;"Total",FD3&lt;&gt;0),1,0)</f>
        <v>0</v>
      </c>
      <c r="FE4" s="71">
        <f t="shared" ref="FE4" si="86">IF(AND(FE2&lt;&gt;"Total",FE3&lt;&gt;0),1,0)</f>
        <v>0</v>
      </c>
      <c r="FF4" s="71">
        <f t="shared" ref="FF4" si="87">IF(AND(FF2&lt;&gt;"Total",FF3&lt;&gt;0),1,0)</f>
        <v>0</v>
      </c>
      <c r="FG4" s="71">
        <f t="shared" ref="FG4" si="88">IF(AND(FG2&lt;&gt;"Total",FG3&lt;&gt;0),1,0)</f>
        <v>0</v>
      </c>
      <c r="FH4" s="71">
        <f t="shared" ref="FH4" si="89">IF(AND(FH2&lt;&gt;"Total",FH3&lt;&gt;0),1,0)</f>
        <v>0</v>
      </c>
      <c r="FI4" s="71">
        <f t="shared" ref="FI4" si="90">IF(AND(FI2&lt;&gt;"Total",FI3&lt;&gt;0),1,0)</f>
        <v>0</v>
      </c>
      <c r="FJ4" s="71">
        <f t="shared" ref="FJ4" si="91">IF(AND(FJ2&lt;&gt;"Total",FJ3&lt;&gt;0),1,0)</f>
        <v>0</v>
      </c>
      <c r="FK4" s="71">
        <f t="shared" ref="FK4" si="92">IF(AND(FK2&lt;&gt;"Total",FK3&lt;&gt;0),1,0)</f>
        <v>0</v>
      </c>
      <c r="FL4" s="71">
        <f t="shared" ref="FL4" si="93">IF(AND(FL2&lt;&gt;"Total",FL3&lt;&gt;0),1,0)</f>
        <v>0</v>
      </c>
      <c r="FM4" s="71">
        <f t="shared" ref="FM4" si="94">IF(AND(FM2&lt;&gt;"Total",FM3&lt;&gt;0),1,0)</f>
        <v>0</v>
      </c>
      <c r="FN4" s="71">
        <f t="shared" ref="FN4" si="95">IF(AND(FN2&lt;&gt;"Total",FN3&lt;&gt;0),1,0)</f>
        <v>0</v>
      </c>
      <c r="FO4" s="71">
        <f t="shared" ref="FO4" si="96">IF(AND(FO2&lt;&gt;"Total",FO3&lt;&gt;0),1,0)</f>
        <v>0</v>
      </c>
      <c r="FP4" s="71">
        <f t="shared" ref="FP4" si="97">IF(AND(FP2&lt;&gt;"Total",FP3&lt;&gt;0),1,0)</f>
        <v>0</v>
      </c>
      <c r="FQ4" s="71">
        <f t="shared" ref="FQ4" si="98">IF(AND(FQ2&lt;&gt;"Total",FQ3&lt;&gt;0),1,0)</f>
        <v>0</v>
      </c>
      <c r="FR4" s="71">
        <f t="shared" ref="FR4" si="99">IF(AND(FR2&lt;&gt;"Total",FR3&lt;&gt;0),1,0)</f>
        <v>0</v>
      </c>
      <c r="FS4" s="71">
        <f t="shared" ref="FS4" si="100">IF(AND(FS2&lt;&gt;"Total",FS3&lt;&gt;0),1,0)</f>
        <v>0</v>
      </c>
      <c r="FT4" s="71">
        <f t="shared" ref="FT4" si="101">IF(AND(FT2&lt;&gt;"Total",FT3&lt;&gt;0),1,0)</f>
        <v>0</v>
      </c>
      <c r="FU4" s="71">
        <f t="shared" ref="FU4" si="102">IF(AND(FU2&lt;&gt;"Total",FU3&lt;&gt;0),1,0)</f>
        <v>0</v>
      </c>
      <c r="FV4" s="71">
        <f t="shared" ref="FV4" si="103">IF(AND(FV2&lt;&gt;"Total",FV3&lt;&gt;0),1,0)</f>
        <v>0</v>
      </c>
      <c r="FW4" s="71">
        <f t="shared" ref="FW4" si="104">IF(AND(FW2&lt;&gt;"Total",FW3&lt;&gt;0),1,0)</f>
        <v>0</v>
      </c>
      <c r="FX4" s="71">
        <f t="shared" ref="FX4" si="105">IF(AND(FX2&lt;&gt;"Total",FX3&lt;&gt;0),1,0)</f>
        <v>0</v>
      </c>
      <c r="FY4" s="71">
        <f t="shared" ref="FY4" si="106">IF(AND(FY2&lt;&gt;"Total",FY3&lt;&gt;0),1,0)</f>
        <v>0</v>
      </c>
      <c r="FZ4" s="71">
        <f t="shared" ref="FZ4" si="107">IF(AND(FZ2&lt;&gt;"Total",FZ3&lt;&gt;0),1,0)</f>
        <v>0</v>
      </c>
      <c r="GA4" s="71">
        <f t="shared" ref="GA4" si="108">IF(AND(GA2&lt;&gt;"Total",GA3&lt;&gt;0),1,0)</f>
        <v>0</v>
      </c>
      <c r="GB4" s="71">
        <f t="shared" ref="GB4" si="109">IF(AND(GB2&lt;&gt;"Total",GB3&lt;&gt;0),1,0)</f>
        <v>0</v>
      </c>
      <c r="GC4" s="71">
        <f t="shared" ref="GC4" si="110">IF(AND(GC2&lt;&gt;"Total",GC3&lt;&gt;0),1,0)</f>
        <v>0</v>
      </c>
      <c r="GD4" s="71">
        <f t="shared" ref="GD4" si="111">IF(AND(GD2&lt;&gt;"Total",GD3&lt;&gt;0),1,0)</f>
        <v>0</v>
      </c>
      <c r="GE4" s="71">
        <f t="shared" ref="GE4" si="112">IF(AND(GE2&lt;&gt;"Total",GE3&lt;&gt;0),1,0)</f>
        <v>0</v>
      </c>
      <c r="GF4" s="71">
        <f t="shared" ref="GF4" si="113">IF(AND(GF2&lt;&gt;"Total",GF3&lt;&gt;0),1,0)</f>
        <v>0</v>
      </c>
      <c r="GG4" s="71">
        <f t="shared" ref="GG4" si="114">IF(AND(GG2&lt;&gt;"Total",GG3&lt;&gt;0),1,0)</f>
        <v>0</v>
      </c>
      <c r="GH4" s="71">
        <f t="shared" ref="GH4" si="115">IF(AND(GH2&lt;&gt;"Total",GH3&lt;&gt;0),1,0)</f>
        <v>0</v>
      </c>
      <c r="GI4" s="71">
        <f t="shared" ref="GI4" si="116">IF(AND(GI2&lt;&gt;"Total",GI3&lt;&gt;0),1,0)</f>
        <v>0</v>
      </c>
      <c r="GJ4" s="71">
        <f t="shared" ref="GJ4" si="117">IF(AND(GJ2&lt;&gt;"Total",GJ3&lt;&gt;0),1,0)</f>
        <v>0</v>
      </c>
      <c r="GK4" s="71">
        <f t="shared" ref="GK4" si="118">IF(AND(GK2&lt;&gt;"Total",GK3&lt;&gt;0),1,0)</f>
        <v>0</v>
      </c>
      <c r="GL4" s="71">
        <f t="shared" ref="GL4" si="119">IF(AND(GL2&lt;&gt;"Total",GL3&lt;&gt;0),1,0)</f>
        <v>0</v>
      </c>
      <c r="GM4" s="71">
        <f t="shared" ref="GM4" si="120">IF(AND(GM2&lt;&gt;"Total",GM3&lt;&gt;0),1,0)</f>
        <v>0</v>
      </c>
      <c r="GN4" s="71">
        <f t="shared" ref="GN4" si="121">IF(AND(GN2&lt;&gt;"Total",GN3&lt;&gt;0),1,0)</f>
        <v>0</v>
      </c>
      <c r="GO4" s="71">
        <f t="shared" ref="GO4" si="122">IF(AND(GO2&lt;&gt;"Total",GO3&lt;&gt;0),1,0)</f>
        <v>0</v>
      </c>
      <c r="GP4" s="71">
        <f t="shared" ref="GP4" si="123">IF(AND(GP2&lt;&gt;"Total",GP3&lt;&gt;0),1,0)</f>
        <v>0</v>
      </c>
      <c r="GQ4" s="71">
        <f t="shared" ref="GQ4" si="124">IF(AND(GQ2&lt;&gt;"Total",GQ3&lt;&gt;0),1,0)</f>
        <v>0</v>
      </c>
      <c r="GR4" s="71">
        <f t="shared" ref="GR4" si="125">IF(AND(GR2&lt;&gt;"Total",GR3&lt;&gt;0),1,0)</f>
        <v>0</v>
      </c>
      <c r="GS4" s="71">
        <f t="shared" ref="GS4" si="126">IF(AND(GS2&lt;&gt;"Total",GS3&lt;&gt;0),1,0)</f>
        <v>0</v>
      </c>
      <c r="GT4" s="71">
        <f t="shared" ref="GT4" si="127">IF(AND(GT2&lt;&gt;"Total",GT3&lt;&gt;0),1,0)</f>
        <v>0</v>
      </c>
      <c r="GU4" s="71">
        <f t="shared" ref="GU4" si="128">IF(AND(GU2&lt;&gt;"Total",GU3&lt;&gt;0),1,0)</f>
        <v>0</v>
      </c>
      <c r="GV4" s="71">
        <f t="shared" ref="GV4" si="129">IF(AND(GV2&lt;&gt;"Total",GV3&lt;&gt;0),1,0)</f>
        <v>0</v>
      </c>
      <c r="GW4" s="71">
        <f t="shared" ref="GW4" si="130">IF(AND(GW2&lt;&gt;"Total",GW3&lt;&gt;0),1,0)</f>
        <v>0</v>
      </c>
      <c r="GX4" s="71">
        <f t="shared" ref="GX4" si="131">IF(AND(GX2&lt;&gt;"Total",GX3&lt;&gt;0),1,0)</f>
        <v>0</v>
      </c>
      <c r="GY4" s="71">
        <f t="shared" ref="GY4" si="132">IF(AND(GY2&lt;&gt;"Total",GY3&lt;&gt;0),1,0)</f>
        <v>0</v>
      </c>
      <c r="GZ4" s="71">
        <f t="shared" ref="GZ4" si="133">IF(AND(GZ2&lt;&gt;"Total",GZ3&lt;&gt;0),1,0)</f>
        <v>0</v>
      </c>
      <c r="HA4" s="71">
        <f t="shared" ref="HA4" si="134">IF(AND(HA2&lt;&gt;"Total",HA3&lt;&gt;0),1,0)</f>
        <v>0</v>
      </c>
      <c r="HB4" s="71">
        <f t="shared" ref="HB4" si="135">IF(AND(HB2&lt;&gt;"Total",HB3&lt;&gt;0),1,0)</f>
        <v>0</v>
      </c>
      <c r="HC4" s="71">
        <f t="shared" ref="HC4" si="136">IF(AND(HC2&lt;&gt;"Total",HC3&lt;&gt;0),1,0)</f>
        <v>0</v>
      </c>
      <c r="HD4" s="71">
        <f t="shared" ref="HD4" si="137">IF(AND(HD2&lt;&gt;"Total",HD3&lt;&gt;0),1,0)</f>
        <v>0</v>
      </c>
      <c r="HE4" s="71">
        <f t="shared" ref="HE4" si="138">IF(AND(HE2&lt;&gt;"Total",HE3&lt;&gt;0),1,0)</f>
        <v>0</v>
      </c>
      <c r="HF4" s="71">
        <f t="shared" ref="HF4" si="139">IF(AND(HF2&lt;&gt;"Total",HF3&lt;&gt;0),1,0)</f>
        <v>0</v>
      </c>
      <c r="HG4" s="71">
        <f t="shared" ref="HG4" si="140">IF(AND(HG2&lt;&gt;"Total",HG3&lt;&gt;0),1,0)</f>
        <v>0</v>
      </c>
      <c r="HH4" s="71">
        <f t="shared" ref="HH4" si="141">IF(AND(HH2&lt;&gt;"Total",HH3&lt;&gt;0),1,0)</f>
        <v>0</v>
      </c>
      <c r="HI4" s="71">
        <f t="shared" ref="HI4" si="142">IF(AND(HI2&lt;&gt;"Total",HI3&lt;&gt;0),1,0)</f>
        <v>0</v>
      </c>
      <c r="HJ4" s="71">
        <f t="shared" ref="HJ4" si="143">IF(AND(HJ2&lt;&gt;"Total",HJ3&lt;&gt;0),1,0)</f>
        <v>0</v>
      </c>
      <c r="HK4" s="71">
        <f t="shared" ref="HK4" si="144">IF(AND(HK2&lt;&gt;"Total",HK3&lt;&gt;0),1,0)</f>
        <v>0</v>
      </c>
      <c r="HL4" s="71">
        <f t="shared" ref="HL4" si="145">IF(AND(HL2&lt;&gt;"Total",HL3&lt;&gt;0),1,0)</f>
        <v>0</v>
      </c>
      <c r="HM4" s="71">
        <f t="shared" ref="HM4" si="146">IF(AND(HM2&lt;&gt;"Total",HM3&lt;&gt;0),1,0)</f>
        <v>0</v>
      </c>
      <c r="HN4" s="71">
        <f t="shared" ref="HN4" si="147">IF(AND(HN2&lt;&gt;"Total",HN3&lt;&gt;0),1,0)</f>
        <v>0</v>
      </c>
      <c r="HO4" s="71">
        <f t="shared" ref="HO4" si="148">IF(AND(HO2&lt;&gt;"Total",HO3&lt;&gt;0),1,0)</f>
        <v>0</v>
      </c>
      <c r="HP4" s="71">
        <f t="shared" ref="HP4" si="149">IF(AND(HP2&lt;&gt;"Total",HP3&lt;&gt;0),1,0)</f>
        <v>0</v>
      </c>
      <c r="HQ4" s="71">
        <f t="shared" ref="HQ4" si="150">IF(AND(HQ2&lt;&gt;"Total",HQ3&lt;&gt;0),1,0)</f>
        <v>0</v>
      </c>
      <c r="HR4" s="71">
        <f t="shared" ref="HR4" si="151">IF(AND(HR2&lt;&gt;"Total",HR3&lt;&gt;0),1,0)</f>
        <v>0</v>
      </c>
      <c r="HS4" s="71">
        <f t="shared" ref="HS4" si="152">IF(AND(HS2&lt;&gt;"Total",HS3&lt;&gt;0),1,0)</f>
        <v>0</v>
      </c>
      <c r="HT4" s="71">
        <f t="shared" ref="HT4" si="153">IF(AND(HT2&lt;&gt;"Total",HT3&lt;&gt;0),1,0)</f>
        <v>0</v>
      </c>
      <c r="HU4" s="71">
        <f t="shared" ref="HU4" si="154">IF(AND(HU2&lt;&gt;"Total",HU3&lt;&gt;0),1,0)</f>
        <v>0</v>
      </c>
      <c r="HV4" s="71">
        <f t="shared" ref="HV4" si="155">IF(AND(HV2&lt;&gt;"Total",HV3&lt;&gt;0),1,0)</f>
        <v>0</v>
      </c>
      <c r="HW4" s="71">
        <f t="shared" ref="HW4" si="156">IF(AND(HW2&lt;&gt;"Total",HW3&lt;&gt;0),1,0)</f>
        <v>0</v>
      </c>
      <c r="HX4" s="71">
        <f t="shared" ref="HX4" si="157">IF(AND(HX2&lt;&gt;"Total",HX3&lt;&gt;0),1,0)</f>
        <v>0</v>
      </c>
      <c r="HY4" s="71">
        <f t="shared" ref="HY4" si="158">IF(AND(HY2&lt;&gt;"Total",HY3&lt;&gt;0),1,0)</f>
        <v>0</v>
      </c>
      <c r="HZ4" s="71">
        <f t="shared" ref="HZ4" si="159">IF(AND(HZ2&lt;&gt;"Total",HZ3&lt;&gt;0),1,0)</f>
        <v>0</v>
      </c>
      <c r="IA4" s="71">
        <f t="shared" ref="IA4" si="160">IF(AND(IA2&lt;&gt;"Total",IA3&lt;&gt;0),1,0)</f>
        <v>0</v>
      </c>
      <c r="IB4" s="71">
        <f t="shared" ref="IB4" si="161">IF(AND(IB2&lt;&gt;"Total",IB3&lt;&gt;0),1,0)</f>
        <v>0</v>
      </c>
      <c r="IC4" s="71">
        <f t="shared" ref="IC4" si="162">IF(AND(IC2&lt;&gt;"Total",IC3&lt;&gt;0),1,0)</f>
        <v>0</v>
      </c>
      <c r="ID4" s="71">
        <f t="shared" ref="ID4" si="163">IF(AND(ID2&lt;&gt;"Total",ID3&lt;&gt;0),1,0)</f>
        <v>0</v>
      </c>
      <c r="IE4" s="71">
        <f t="shared" ref="IE4" si="164">IF(AND(IE2&lt;&gt;"Total",IE3&lt;&gt;0),1,0)</f>
        <v>0</v>
      </c>
      <c r="IF4" s="71">
        <f t="shared" ref="IF4" si="165">IF(AND(IF2&lt;&gt;"Total",IF3&lt;&gt;0),1,0)</f>
        <v>0</v>
      </c>
      <c r="IG4" s="71">
        <f t="shared" ref="IG4" si="166">IF(AND(IG2&lt;&gt;"Total",IG3&lt;&gt;0),1,0)</f>
        <v>0</v>
      </c>
      <c r="IH4" s="71">
        <f t="shared" ref="IH4" si="167">IF(AND(IH2&lt;&gt;"Total",IH3&lt;&gt;0),1,0)</f>
        <v>0</v>
      </c>
      <c r="II4" s="71">
        <f t="shared" ref="II4" si="168">IF(AND(II2&lt;&gt;"Total",II3&lt;&gt;0),1,0)</f>
        <v>0</v>
      </c>
      <c r="IJ4" s="71">
        <f t="shared" ref="IJ4" si="169">IF(AND(IJ2&lt;&gt;"Total",IJ3&lt;&gt;0),1,0)</f>
        <v>0</v>
      </c>
      <c r="IK4" s="71">
        <f t="shared" ref="IK4" si="170">IF(AND(IK2&lt;&gt;"Total",IK3&lt;&gt;0),1,0)</f>
        <v>0</v>
      </c>
      <c r="IL4" s="71">
        <f t="shared" ref="IL4" si="171">IF(AND(IL2&lt;&gt;"Total",IL3&lt;&gt;0),1,0)</f>
        <v>0</v>
      </c>
      <c r="IM4" s="71">
        <f t="shared" ref="IM4" si="172">IF(AND(IM2&lt;&gt;"Total",IM3&lt;&gt;0),1,0)</f>
        <v>0</v>
      </c>
      <c r="IN4" s="71">
        <f t="shared" ref="IN4" si="173">IF(AND(IN2&lt;&gt;"Total",IN3&lt;&gt;0),1,0)</f>
        <v>0</v>
      </c>
      <c r="IO4" s="71">
        <f t="shared" ref="IO4" si="174">IF(AND(IO2&lt;&gt;"Total",IO3&lt;&gt;0),1,0)</f>
        <v>0</v>
      </c>
      <c r="IP4" s="71">
        <f t="shared" ref="IP4" si="175">IF(AND(IP2&lt;&gt;"Total",IP3&lt;&gt;0),1,0)</f>
        <v>0</v>
      </c>
      <c r="IQ4" s="71">
        <f t="shared" ref="IQ4" si="176">IF(AND(IQ2&lt;&gt;"Total",IQ3&lt;&gt;0),1,0)</f>
        <v>0</v>
      </c>
      <c r="IR4" s="71">
        <f t="shared" ref="IR4" si="177">IF(AND(IR2&lt;&gt;"Total",IR3&lt;&gt;0),1,0)</f>
        <v>0</v>
      </c>
      <c r="IS4" s="71">
        <f t="shared" ref="IS4" si="178">IF(AND(IS2&lt;&gt;"Total",IS3&lt;&gt;0),1,0)</f>
        <v>0</v>
      </c>
      <c r="IT4" s="71">
        <f t="shared" ref="IT4" si="179">IF(AND(IT2&lt;&gt;"Total",IT3&lt;&gt;0),1,0)</f>
        <v>0</v>
      </c>
      <c r="IU4" s="71">
        <f t="shared" ref="IU4" si="180">IF(AND(IU2&lt;&gt;"Total",IU3&lt;&gt;0),1,0)</f>
        <v>0</v>
      </c>
      <c r="IV4" s="71">
        <f t="shared" ref="IV4" si="181">IF(AND(IV2&lt;&gt;"Total",IV3&lt;&gt;0),1,0)</f>
        <v>0</v>
      </c>
      <c r="IW4" s="71">
        <f t="shared" ref="IW4" si="182">IF(AND(IW2&lt;&gt;"Total",IW3&lt;&gt;0),1,0)</f>
        <v>0</v>
      </c>
      <c r="IX4" s="71">
        <f t="shared" ref="IX4" si="183">IF(AND(IX2&lt;&gt;"Total",IX3&lt;&gt;0),1,0)</f>
        <v>0</v>
      </c>
      <c r="IY4" s="71">
        <f t="shared" ref="IY4" si="184">IF(AND(IY2&lt;&gt;"Total",IY3&lt;&gt;0),1,0)</f>
        <v>0</v>
      </c>
      <c r="IZ4" s="71">
        <f t="shared" ref="IZ4" si="185">IF(AND(IZ2&lt;&gt;"Total",IZ3&lt;&gt;0),1,0)</f>
        <v>0</v>
      </c>
      <c r="JA4" s="71">
        <f t="shared" ref="JA4" si="186">IF(AND(JA2&lt;&gt;"Total",JA3&lt;&gt;0),1,0)</f>
        <v>0</v>
      </c>
      <c r="JB4" s="71">
        <f t="shared" ref="JB4" si="187">IF(AND(JB2&lt;&gt;"Total",JB3&lt;&gt;0),1,0)</f>
        <v>0</v>
      </c>
      <c r="JC4" s="71">
        <f t="shared" ref="JC4" si="188">IF(AND(JC2&lt;&gt;"Total",JC3&lt;&gt;0),1,0)</f>
        <v>0</v>
      </c>
      <c r="JD4" s="71">
        <f t="shared" ref="JD4" si="189">IF(AND(JD2&lt;&gt;"Total",JD3&lt;&gt;0),1,0)</f>
        <v>0</v>
      </c>
      <c r="JE4" s="71">
        <f t="shared" ref="JE4" si="190">IF(AND(JE2&lt;&gt;"Total",JE3&lt;&gt;0),1,0)</f>
        <v>0</v>
      </c>
      <c r="JF4" s="71">
        <f t="shared" ref="JF4" si="191">IF(AND(JF2&lt;&gt;"Total",JF3&lt;&gt;0),1,0)</f>
        <v>0</v>
      </c>
      <c r="JG4" s="71">
        <f t="shared" ref="JG4" si="192">IF(AND(JG2&lt;&gt;"Total",JG3&lt;&gt;0),1,0)</f>
        <v>0</v>
      </c>
      <c r="JH4" s="71">
        <f t="shared" ref="JH4" si="193">IF(AND(JH2&lt;&gt;"Total",JH3&lt;&gt;0),1,0)</f>
        <v>0</v>
      </c>
      <c r="JI4" s="71">
        <f t="shared" ref="JI4" si="194">IF(AND(JI2&lt;&gt;"Total",JI3&lt;&gt;0),1,0)</f>
        <v>0</v>
      </c>
      <c r="JJ4" s="71">
        <f t="shared" ref="JJ4" si="195">IF(AND(JJ2&lt;&gt;"Total",JJ3&lt;&gt;0),1,0)</f>
        <v>0</v>
      </c>
      <c r="JK4" s="71">
        <f t="shared" ref="JK4" si="196">IF(AND(JK2&lt;&gt;"Total",JK3&lt;&gt;0),1,0)</f>
        <v>0</v>
      </c>
      <c r="JL4" s="71">
        <f t="shared" ref="JL4" si="197">IF(AND(JL2&lt;&gt;"Total",JL3&lt;&gt;0),1,0)</f>
        <v>0</v>
      </c>
      <c r="JM4" s="71">
        <f t="shared" ref="JM4" si="198">IF(AND(JM2&lt;&gt;"Total",JM3&lt;&gt;0),1,0)</f>
        <v>0</v>
      </c>
      <c r="JN4" s="71">
        <f t="shared" ref="JN4" si="199">IF(AND(JN2&lt;&gt;"Total",JN3&lt;&gt;0),1,0)</f>
        <v>0</v>
      </c>
      <c r="JO4" s="71">
        <f t="shared" ref="JO4" si="200">IF(AND(JO2&lt;&gt;"Total",JO3&lt;&gt;0),1,0)</f>
        <v>0</v>
      </c>
      <c r="JP4" s="71">
        <f t="shared" ref="JP4" si="201">IF(AND(JP2&lt;&gt;"Total",JP3&lt;&gt;0),1,0)</f>
        <v>0</v>
      </c>
      <c r="JQ4" s="71">
        <f t="shared" ref="JQ4" si="202">IF(AND(JQ2&lt;&gt;"Total",JQ3&lt;&gt;0),1,0)</f>
        <v>0</v>
      </c>
      <c r="JR4" s="71">
        <f t="shared" ref="JR4" si="203">IF(AND(JR2&lt;&gt;"Total",JR3&lt;&gt;0),1,0)</f>
        <v>0</v>
      </c>
      <c r="JS4" s="71">
        <f t="shared" ref="JS4" si="204">IF(AND(JS2&lt;&gt;"Total",JS3&lt;&gt;0),1,0)</f>
        <v>0</v>
      </c>
      <c r="JT4" s="71">
        <f t="shared" ref="JT4" si="205">IF(AND(JT2&lt;&gt;"Total",JT3&lt;&gt;0),1,0)</f>
        <v>0</v>
      </c>
      <c r="JU4" s="71">
        <f t="shared" ref="JU4" si="206">IF(AND(JU2&lt;&gt;"Total",JU3&lt;&gt;0),1,0)</f>
        <v>0</v>
      </c>
      <c r="JV4" s="71">
        <f t="shared" ref="JV4" si="207">IF(AND(JV2&lt;&gt;"Total",JV3&lt;&gt;0),1,0)</f>
        <v>0</v>
      </c>
      <c r="JW4" s="71">
        <f t="shared" ref="JW4" si="208">IF(AND(JW2&lt;&gt;"Total",JW3&lt;&gt;0),1,0)</f>
        <v>0</v>
      </c>
      <c r="JX4" s="71">
        <f t="shared" ref="JX4" si="209">IF(AND(JX2&lt;&gt;"Total",JX3&lt;&gt;0),1,0)</f>
        <v>0</v>
      </c>
      <c r="JY4" s="71">
        <f t="shared" ref="JY4" si="210">IF(AND(JY2&lt;&gt;"Total",JY3&lt;&gt;0),1,0)</f>
        <v>0</v>
      </c>
      <c r="JZ4" s="71">
        <f t="shared" ref="JZ4" si="211">IF(AND(JZ2&lt;&gt;"Total",JZ3&lt;&gt;0),1,0)</f>
        <v>0</v>
      </c>
      <c r="KA4" s="71">
        <f t="shared" ref="KA4" si="212">IF(AND(KA2&lt;&gt;"Total",KA3&lt;&gt;0),1,0)</f>
        <v>0</v>
      </c>
      <c r="KB4" s="71">
        <f t="shared" ref="KB4" si="213">IF(AND(KB2&lt;&gt;"Total",KB3&lt;&gt;0),1,0)</f>
        <v>0</v>
      </c>
      <c r="KC4" s="71">
        <f t="shared" ref="KC4" si="214">IF(AND(KC2&lt;&gt;"Total",KC3&lt;&gt;0),1,0)</f>
        <v>0</v>
      </c>
      <c r="KD4" s="71">
        <f t="shared" ref="KD4" si="215">IF(AND(KD2&lt;&gt;"Total",KD3&lt;&gt;0),1,0)</f>
        <v>0</v>
      </c>
      <c r="KE4" s="71">
        <f t="shared" ref="KE4" si="216">IF(AND(KE2&lt;&gt;"Total",KE3&lt;&gt;0),1,0)</f>
        <v>0</v>
      </c>
      <c r="KF4" s="71">
        <f t="shared" ref="KF4" si="217">IF(AND(KF2&lt;&gt;"Total",KF3&lt;&gt;0),1,0)</f>
        <v>0</v>
      </c>
      <c r="KG4" s="71">
        <f t="shared" ref="KG4" si="218">IF(AND(KG2&lt;&gt;"Total",KG3&lt;&gt;0),1,0)</f>
        <v>0</v>
      </c>
      <c r="KH4" s="71">
        <f t="shared" ref="KH4" si="219">IF(AND(KH2&lt;&gt;"Total",KH3&lt;&gt;0),1,0)</f>
        <v>0</v>
      </c>
      <c r="KI4" s="71">
        <f t="shared" ref="KI4" si="220">IF(AND(KI2&lt;&gt;"Total",KI3&lt;&gt;0),1,0)</f>
        <v>0</v>
      </c>
      <c r="KJ4" s="71">
        <f t="shared" ref="KJ4" si="221">IF(AND(KJ2&lt;&gt;"Total",KJ3&lt;&gt;0),1,0)</f>
        <v>0</v>
      </c>
      <c r="KK4" s="71">
        <f t="shared" ref="KK4" si="222">IF(AND(KK2&lt;&gt;"Total",KK3&lt;&gt;0),1,0)</f>
        <v>0</v>
      </c>
      <c r="KL4" s="71">
        <f t="shared" ref="KL4" si="223">IF(AND(KL2&lt;&gt;"Total",KL3&lt;&gt;0),1,0)</f>
        <v>0</v>
      </c>
      <c r="KM4" s="71">
        <f t="shared" ref="KM4" si="224">IF(AND(KM2&lt;&gt;"Total",KM3&lt;&gt;0),1,0)</f>
        <v>0</v>
      </c>
      <c r="KN4" s="71">
        <f t="shared" ref="KN4" si="225">IF(AND(KN2&lt;&gt;"Total",KN3&lt;&gt;0),1,0)</f>
        <v>0</v>
      </c>
      <c r="KO4" s="71">
        <f t="shared" ref="KO4" si="226">IF(AND(KO2&lt;&gt;"Total",KO3&lt;&gt;0),1,0)</f>
        <v>0</v>
      </c>
      <c r="KP4" s="71">
        <f t="shared" ref="KP4" si="227">IF(AND(KP2&lt;&gt;"Total",KP3&lt;&gt;0),1,0)</f>
        <v>0</v>
      </c>
      <c r="KQ4" s="71">
        <f t="shared" ref="KQ4" si="228">IF(AND(KQ2&lt;&gt;"Total",KQ3&lt;&gt;0),1,0)</f>
        <v>0</v>
      </c>
      <c r="KR4" s="71">
        <f t="shared" ref="KR4" si="229">IF(AND(KR2&lt;&gt;"Total",KR3&lt;&gt;0),1,0)</f>
        <v>0</v>
      </c>
      <c r="KS4" s="71">
        <f t="shared" ref="KS4" si="230">IF(AND(KS2&lt;&gt;"Total",KS3&lt;&gt;0),1,0)</f>
        <v>0</v>
      </c>
      <c r="KT4" s="71">
        <f t="shared" ref="KT4" si="231">IF(AND(KT2&lt;&gt;"Total",KT3&lt;&gt;0),1,0)</f>
        <v>0</v>
      </c>
      <c r="KU4" s="71">
        <f t="shared" ref="KU4" si="232">IF(AND(KU2&lt;&gt;"Total",KU3&lt;&gt;0),1,0)</f>
        <v>0</v>
      </c>
      <c r="KV4" s="71">
        <f t="shared" ref="KV4" si="233">IF(AND(KV2&lt;&gt;"Total",KV3&lt;&gt;0),1,0)</f>
        <v>0</v>
      </c>
      <c r="KW4" s="71">
        <f t="shared" ref="KW4" si="234">IF(AND(KW2&lt;&gt;"Total",KW3&lt;&gt;0),1,0)</f>
        <v>0</v>
      </c>
      <c r="KX4" s="71">
        <f t="shared" ref="KX4" si="235">IF(AND(KX2&lt;&gt;"Total",KX3&lt;&gt;0),1,0)</f>
        <v>0</v>
      </c>
      <c r="KY4" s="71">
        <f t="shared" ref="KY4" si="236">IF(AND(KY2&lt;&gt;"Total",KY3&lt;&gt;0),1,0)</f>
        <v>0</v>
      </c>
      <c r="KZ4" s="71">
        <f t="shared" ref="KZ4" si="237">IF(AND(KZ2&lt;&gt;"Total",KZ3&lt;&gt;0),1,0)</f>
        <v>0</v>
      </c>
      <c r="LA4" s="71">
        <f t="shared" ref="LA4" si="238">IF(AND(LA2&lt;&gt;"Total",LA3&lt;&gt;0),1,0)</f>
        <v>0</v>
      </c>
      <c r="LB4" s="71">
        <f t="shared" ref="LB4" si="239">IF(AND(LB2&lt;&gt;"Total",LB3&lt;&gt;0),1,0)</f>
        <v>0</v>
      </c>
      <c r="LC4" s="71">
        <f t="shared" ref="LC4" si="240">IF(AND(LC2&lt;&gt;"Total",LC3&lt;&gt;0),1,0)</f>
        <v>0</v>
      </c>
      <c r="LD4" s="71">
        <f t="shared" ref="LD4" si="241">IF(AND(LD2&lt;&gt;"Total",LD3&lt;&gt;0),1,0)</f>
        <v>0</v>
      </c>
      <c r="LE4" s="71">
        <f t="shared" ref="LE4" si="242">IF(AND(LE2&lt;&gt;"Total",LE3&lt;&gt;0),1,0)</f>
        <v>0</v>
      </c>
      <c r="LF4" s="71">
        <f t="shared" ref="LF4" si="243">IF(AND(LF2&lt;&gt;"Total",LF3&lt;&gt;0),1,0)</f>
        <v>0</v>
      </c>
      <c r="LG4" s="71">
        <f t="shared" ref="LG4" si="244">IF(AND(LG2&lt;&gt;"Total",LG3&lt;&gt;0),1,0)</f>
        <v>0</v>
      </c>
      <c r="LH4" s="71">
        <f t="shared" ref="LH4" si="245">IF(AND(LH2&lt;&gt;"Total",LH3&lt;&gt;0),1,0)</f>
        <v>0</v>
      </c>
      <c r="LI4" s="71">
        <f t="shared" ref="LI4" si="246">IF(AND(LI2&lt;&gt;"Total",LI3&lt;&gt;0),1,0)</f>
        <v>0</v>
      </c>
      <c r="LJ4" s="71">
        <f t="shared" ref="LJ4" si="247">IF(AND(LJ2&lt;&gt;"Total",LJ3&lt;&gt;0),1,0)</f>
        <v>0</v>
      </c>
      <c r="LK4" s="71">
        <f t="shared" ref="LK4" si="248">IF(AND(LK2&lt;&gt;"Total",LK3&lt;&gt;0),1,0)</f>
        <v>0</v>
      </c>
      <c r="LL4" s="71">
        <f t="shared" ref="LL4" si="249">IF(AND(LL2&lt;&gt;"Total",LL3&lt;&gt;0),1,0)</f>
        <v>0</v>
      </c>
      <c r="LM4" s="71">
        <f t="shared" ref="LM4" si="250">IF(AND(LM2&lt;&gt;"Total",LM3&lt;&gt;0),1,0)</f>
        <v>0</v>
      </c>
      <c r="LN4" s="71">
        <f t="shared" ref="LN4" si="251">IF(AND(LN2&lt;&gt;"Total",LN3&lt;&gt;0),1,0)</f>
        <v>0</v>
      </c>
      <c r="LO4" s="71">
        <f t="shared" ref="LO4" si="252">IF(AND(LO2&lt;&gt;"Total",LO3&lt;&gt;0),1,0)</f>
        <v>0</v>
      </c>
      <c r="LP4" s="71">
        <f t="shared" ref="LP4" si="253">IF(AND(LP2&lt;&gt;"Total",LP3&lt;&gt;0),1,0)</f>
        <v>0</v>
      </c>
      <c r="LQ4" s="71">
        <f t="shared" ref="LQ4" si="254">IF(AND(LQ2&lt;&gt;"Total",LQ3&lt;&gt;0),1,0)</f>
        <v>0</v>
      </c>
      <c r="LR4" s="71">
        <f t="shared" ref="LR4" si="255">IF(AND(LR2&lt;&gt;"Total",LR3&lt;&gt;0),1,0)</f>
        <v>0</v>
      </c>
      <c r="LS4" s="71">
        <f t="shared" ref="LS4" si="256">IF(AND(LS2&lt;&gt;"Total",LS3&lt;&gt;0),1,0)</f>
        <v>0</v>
      </c>
      <c r="LT4" s="71">
        <f t="shared" ref="LT4" si="257">IF(AND(LT2&lt;&gt;"Total",LT3&lt;&gt;0),1,0)</f>
        <v>0</v>
      </c>
      <c r="LU4" s="71">
        <f t="shared" ref="LU4" si="258">IF(AND(LU2&lt;&gt;"Total",LU3&lt;&gt;0),1,0)</f>
        <v>0</v>
      </c>
      <c r="LV4" s="71">
        <f t="shared" ref="LV4" si="259">IF(AND(LV2&lt;&gt;"Total",LV3&lt;&gt;0),1,0)</f>
        <v>0</v>
      </c>
      <c r="LW4" s="71">
        <f t="shared" ref="LW4" si="260">IF(AND(LW2&lt;&gt;"Total",LW3&lt;&gt;0),1,0)</f>
        <v>0</v>
      </c>
      <c r="LX4" s="71">
        <f t="shared" ref="LX4" si="261">IF(AND(LX2&lt;&gt;"Total",LX3&lt;&gt;0),1,0)</f>
        <v>0</v>
      </c>
      <c r="LY4" s="71">
        <f t="shared" ref="LY4" si="262">IF(AND(LY2&lt;&gt;"Total",LY3&lt;&gt;0),1,0)</f>
        <v>0</v>
      </c>
      <c r="LZ4" s="71">
        <f t="shared" ref="LZ4" si="263">IF(AND(LZ2&lt;&gt;"Total",LZ3&lt;&gt;0),1,0)</f>
        <v>0</v>
      </c>
      <c r="MA4" s="71">
        <f t="shared" ref="MA4" si="264">IF(AND(MA2&lt;&gt;"Total",MA3&lt;&gt;0),1,0)</f>
        <v>0</v>
      </c>
      <c r="MB4" s="71">
        <f t="shared" ref="MB4" si="265">IF(AND(MB2&lt;&gt;"Total",MB3&lt;&gt;0),1,0)</f>
        <v>0</v>
      </c>
      <c r="MC4" s="71">
        <f t="shared" ref="MC4" si="266">IF(AND(MC2&lt;&gt;"Total",MC3&lt;&gt;0),1,0)</f>
        <v>0</v>
      </c>
      <c r="MD4" s="71">
        <f t="shared" ref="MD4" si="267">IF(AND(MD2&lt;&gt;"Total",MD3&lt;&gt;0),1,0)</f>
        <v>0</v>
      </c>
      <c r="ME4" s="71">
        <f t="shared" ref="ME4" si="268">IF(AND(ME2&lt;&gt;"Total",ME3&lt;&gt;0),1,0)</f>
        <v>0</v>
      </c>
      <c r="MF4" s="71">
        <f t="shared" ref="MF4" si="269">IF(AND(MF2&lt;&gt;"Total",MF3&lt;&gt;0),1,0)</f>
        <v>0</v>
      </c>
      <c r="MG4" s="71">
        <f t="shared" ref="MG4" si="270">IF(AND(MG2&lt;&gt;"Total",MG3&lt;&gt;0),1,0)</f>
        <v>0</v>
      </c>
      <c r="MH4" s="71">
        <f t="shared" ref="MH4" si="271">IF(AND(MH2&lt;&gt;"Total",MH3&lt;&gt;0),1,0)</f>
        <v>0</v>
      </c>
      <c r="MI4" s="71">
        <f t="shared" ref="MI4" si="272">IF(AND(MI2&lt;&gt;"Total",MI3&lt;&gt;0),1,0)</f>
        <v>0</v>
      </c>
      <c r="MJ4" s="71">
        <f t="shared" ref="MJ4" si="273">IF(AND(MJ2&lt;&gt;"Total",MJ3&lt;&gt;0),1,0)</f>
        <v>0</v>
      </c>
      <c r="MK4" s="71">
        <f t="shared" ref="MK4" si="274">IF(AND(MK2&lt;&gt;"Total",MK3&lt;&gt;0),1,0)</f>
        <v>0</v>
      </c>
      <c r="ML4" s="71">
        <f t="shared" ref="ML4" si="275">IF(AND(ML2&lt;&gt;"Total",ML3&lt;&gt;0),1,0)</f>
        <v>0</v>
      </c>
      <c r="MM4" s="71">
        <f t="shared" ref="MM4" si="276">IF(AND(MM2&lt;&gt;"Total",MM3&lt;&gt;0),1,0)</f>
        <v>0</v>
      </c>
      <c r="MN4" s="71">
        <f t="shared" ref="MN4" si="277">IF(AND(MN2&lt;&gt;"Total",MN3&lt;&gt;0),1,0)</f>
        <v>0</v>
      </c>
      <c r="MO4" s="71">
        <f t="shared" ref="MO4" si="278">IF(AND(MO2&lt;&gt;"Total",MO3&lt;&gt;0),1,0)</f>
        <v>0</v>
      </c>
      <c r="MP4" s="71">
        <f t="shared" ref="MP4" si="279">IF(AND(MP2&lt;&gt;"Total",MP3&lt;&gt;0),1,0)</f>
        <v>0</v>
      </c>
      <c r="MQ4" s="71">
        <f t="shared" ref="MQ4" si="280">IF(AND(MQ2&lt;&gt;"Total",MQ3&lt;&gt;0),1,0)</f>
        <v>0</v>
      </c>
      <c r="MR4" s="71">
        <f t="shared" ref="MR4" si="281">IF(AND(MR2&lt;&gt;"Total",MR3&lt;&gt;0),1,0)</f>
        <v>0</v>
      </c>
      <c r="MS4" s="71">
        <f t="shared" ref="MS4" si="282">IF(AND(MS2&lt;&gt;"Total",MS3&lt;&gt;0),1,0)</f>
        <v>0</v>
      </c>
      <c r="MT4" s="71">
        <f t="shared" ref="MT4" si="283">IF(AND(MT2&lt;&gt;"Total",MT3&lt;&gt;0),1,0)</f>
        <v>0</v>
      </c>
      <c r="MU4" s="71">
        <f t="shared" ref="MU4" si="284">IF(AND(MU2&lt;&gt;"Total",MU3&lt;&gt;0),1,0)</f>
        <v>0</v>
      </c>
      <c r="MV4" s="71">
        <f t="shared" ref="MV4" si="285">IF(AND(MV2&lt;&gt;"Total",MV3&lt;&gt;0),1,0)</f>
        <v>0</v>
      </c>
      <c r="MW4" s="71">
        <f t="shared" ref="MW4" si="286">IF(AND(MW2&lt;&gt;"Total",MW3&lt;&gt;0),1,0)</f>
        <v>0</v>
      </c>
    </row>
    <row r="5" spans="1:361" x14ac:dyDescent="0.25">
      <c r="A5">
        <v>1</v>
      </c>
      <c r="B5" t="str">
        <f>D5</f>
        <v>J19-1228</v>
      </c>
      <c r="C5" s="20" t="s">
        <v>61</v>
      </c>
      <c r="D5" s="21" t="s">
        <v>62</v>
      </c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1"/>
      <c r="R5" s="22">
        <v>69598</v>
      </c>
      <c r="S5" s="23"/>
      <c r="T5" s="24">
        <v>87886</v>
      </c>
      <c r="U5" s="23"/>
      <c r="V5" s="23"/>
      <c r="W5" s="23">
        <v>77520</v>
      </c>
      <c r="X5" s="23"/>
      <c r="Y5" s="23">
        <v>45590</v>
      </c>
      <c r="Z5" s="23"/>
      <c r="AA5" s="23"/>
      <c r="AB5" s="23"/>
      <c r="AC5" s="23"/>
      <c r="AD5" s="24">
        <v>23632</v>
      </c>
      <c r="AE5" s="24"/>
      <c r="AF5" s="24"/>
      <c r="AG5" s="24">
        <v>11068</v>
      </c>
      <c r="AH5" s="24"/>
      <c r="AI5" s="24"/>
      <c r="AJ5" s="24"/>
      <c r="AK5" s="24"/>
      <c r="AL5" s="24"/>
      <c r="AM5" s="24"/>
      <c r="AN5" s="24"/>
      <c r="AO5" s="24"/>
      <c r="AP5" s="24">
        <f>AL5+AN5</f>
        <v>0</v>
      </c>
      <c r="AQ5" s="24"/>
      <c r="AR5" s="24"/>
      <c r="AS5" s="24"/>
      <c r="AT5" s="24"/>
      <c r="AU5" s="24">
        <f>AQ5+AS5</f>
        <v>0</v>
      </c>
      <c r="AV5" s="24">
        <v>111099</v>
      </c>
      <c r="AW5" s="24"/>
      <c r="AX5" s="24"/>
      <c r="AY5" s="24"/>
      <c r="AZ5" s="24">
        <f>AV5+AX5</f>
        <v>111099</v>
      </c>
      <c r="BA5" s="24"/>
      <c r="BB5" s="24"/>
      <c r="BC5" s="24"/>
      <c r="BD5" s="24"/>
      <c r="BE5" s="25">
        <f>SUM(BA5:BC5)</f>
        <v>0</v>
      </c>
      <c r="BF5" s="23"/>
      <c r="BG5" s="23"/>
      <c r="BH5" s="25"/>
      <c r="BI5" s="25"/>
      <c r="BJ5" s="25"/>
      <c r="BK5" s="23"/>
      <c r="BL5" s="23"/>
      <c r="BM5" s="25"/>
      <c r="BN5" s="25"/>
      <c r="BO5" s="25"/>
      <c r="BP5" s="25"/>
      <c r="BQ5" s="25"/>
      <c r="BR5" s="25"/>
      <c r="BS5" s="25"/>
      <c r="BT5" s="25">
        <f t="shared" ref="BT5:BT14" si="287">SUM(BP5+BQ5+BR5+BS5)</f>
        <v>0</v>
      </c>
      <c r="BU5" s="23"/>
      <c r="BV5" s="24"/>
      <c r="BW5" s="25">
        <f t="shared" ref="BW5:BW17" si="288">SUM(BS5+BT5+BU5+BV5)</f>
        <v>0</v>
      </c>
      <c r="BX5" s="23"/>
      <c r="BY5" s="23"/>
      <c r="BZ5" s="23"/>
      <c r="CA5" s="23">
        <v>20900</v>
      </c>
      <c r="CB5" s="23"/>
      <c r="CC5" s="23">
        <f t="shared" ref="CC5:CC68" si="289">BX5+BY5+BZ5+CA5</f>
        <v>20900</v>
      </c>
      <c r="CD5" s="23">
        <v>9999</v>
      </c>
      <c r="CE5" s="23"/>
      <c r="CF5" s="23"/>
      <c r="CG5" s="23"/>
      <c r="CH5" s="23"/>
      <c r="CI5" s="23">
        <f>SUM(CD5:CG5)</f>
        <v>9999</v>
      </c>
      <c r="CJ5" s="25">
        <f>CC5+CI5</f>
        <v>30899</v>
      </c>
      <c r="CK5" s="26"/>
      <c r="CL5" s="26"/>
      <c r="CM5" s="26"/>
      <c r="CN5" s="26"/>
      <c r="CO5" s="26"/>
      <c r="CP5" s="26">
        <f>SUM(CK5:CN5)</f>
        <v>0</v>
      </c>
      <c r="CQ5" s="26"/>
      <c r="CR5" s="26"/>
      <c r="CS5" s="26"/>
      <c r="CT5" s="26"/>
      <c r="CU5" s="26"/>
      <c r="CV5" s="26">
        <f>SUM(CQ5:CT5)</f>
        <v>0</v>
      </c>
      <c r="CW5" s="27"/>
      <c r="DK5" s="23"/>
      <c r="DL5" s="23"/>
      <c r="DM5" s="23"/>
      <c r="DN5" s="23"/>
      <c r="DO5" s="23"/>
      <c r="DP5" s="23">
        <f>SUM(DK5:DN5)</f>
        <v>0</v>
      </c>
      <c r="DQ5" s="23"/>
      <c r="DR5" s="23"/>
      <c r="DS5" s="23"/>
      <c r="DT5" s="23"/>
      <c r="DU5" s="23"/>
      <c r="DV5" s="23"/>
      <c r="DW5" s="23"/>
    </row>
    <row r="6" spans="1:361" x14ac:dyDescent="0.25">
      <c r="A6">
        <f>IF(B6&lt;&gt;"",A5+1,"")</f>
        <v>2</v>
      </c>
      <c r="B6" t="str">
        <f t="shared" ref="B6:B69" si="290">D6</f>
        <v>J19-0192</v>
      </c>
      <c r="C6" s="20" t="s">
        <v>63</v>
      </c>
      <c r="D6" s="21" t="s">
        <v>64</v>
      </c>
      <c r="E6" s="28">
        <v>128637</v>
      </c>
      <c r="F6" s="28">
        <v>4438</v>
      </c>
      <c r="G6" s="29">
        <f>E6+F6</f>
        <v>133075</v>
      </c>
      <c r="H6" s="28">
        <f>311192+50955</f>
        <v>362147</v>
      </c>
      <c r="I6" s="28">
        <v>8735</v>
      </c>
      <c r="J6" s="28">
        <f>32950+1136+577853</f>
        <v>611939</v>
      </c>
      <c r="K6" s="28">
        <v>18481</v>
      </c>
      <c r="L6" s="29">
        <f>SUM(H6:K6)</f>
        <v>1001302</v>
      </c>
      <c r="M6" s="28">
        <f>561810+1908</f>
        <v>563718</v>
      </c>
      <c r="N6" s="28">
        <v>22570</v>
      </c>
      <c r="O6" s="28"/>
      <c r="P6" s="28">
        <v>24278</v>
      </c>
      <c r="Q6" s="30">
        <f>SUM(M6:P6)</f>
        <v>610566</v>
      </c>
      <c r="R6" s="28">
        <v>839247</v>
      </c>
      <c r="S6" s="31">
        <v>30635</v>
      </c>
      <c r="T6" s="24">
        <v>1481187</v>
      </c>
      <c r="U6" s="31">
        <v>43753</v>
      </c>
      <c r="V6" s="31">
        <f>SUM(R6:U6)</f>
        <v>2394822</v>
      </c>
      <c r="W6" s="32">
        <v>1726122</v>
      </c>
      <c r="X6" s="31">
        <v>58331</v>
      </c>
      <c r="Y6" s="31">
        <f>1709989+9000</f>
        <v>1718989</v>
      </c>
      <c r="Z6" s="31">
        <v>52996</v>
      </c>
      <c r="AA6" s="31">
        <f>SUM(W6:Z6)</f>
        <v>3556438</v>
      </c>
      <c r="AB6" s="31">
        <v>1901616</v>
      </c>
      <c r="AC6" s="31">
        <v>70194</v>
      </c>
      <c r="AD6" s="31">
        <v>2377997</v>
      </c>
      <c r="AE6" s="31">
        <v>71778</v>
      </c>
      <c r="AF6" s="31">
        <f>SUM(AB6:AE6)</f>
        <v>4421585</v>
      </c>
      <c r="AG6" s="31">
        <f>2250+32575+2467878+10885</f>
        <v>2513588</v>
      </c>
      <c r="AH6" s="31">
        <f>(18037+84)*4</f>
        <v>72484</v>
      </c>
      <c r="AI6" s="31">
        <f>2556696+54070+42849+11178</f>
        <v>2664793</v>
      </c>
      <c r="AJ6" s="31">
        <f>(16664+62)*4</f>
        <v>66904</v>
      </c>
      <c r="AK6" s="31">
        <f>SUM(AG6:AJ6)</f>
        <v>5317769</v>
      </c>
      <c r="AL6" s="31">
        <f>6939+58650+5520+2640034</f>
        <v>2711143</v>
      </c>
      <c r="AM6" s="33">
        <v>20025</v>
      </c>
      <c r="AN6" s="31">
        <f>1026+4400+27850+2744399</f>
        <v>2777675</v>
      </c>
      <c r="AO6" s="33">
        <v>15224</v>
      </c>
      <c r="AP6" s="24">
        <f>SUM(AL6:AO6)</f>
        <v>5524067</v>
      </c>
      <c r="AQ6" s="31">
        <f>5084+115200+3005991+30885</f>
        <v>3157160</v>
      </c>
      <c r="AR6" s="33">
        <v>95130</v>
      </c>
      <c r="AS6" s="31">
        <f>2849768+82000</f>
        <v>2931768</v>
      </c>
      <c r="AT6" s="33">
        <v>86631</v>
      </c>
      <c r="AU6" s="24">
        <f>SUM(AQ6:AT6)</f>
        <v>6270689</v>
      </c>
      <c r="AV6" s="31">
        <f>27300+11200+2841456</f>
        <v>2879956</v>
      </c>
      <c r="AW6" s="33">
        <v>106263</v>
      </c>
      <c r="AX6" s="31">
        <f>145790+3036396</f>
        <v>3182186</v>
      </c>
      <c r="AY6" s="33">
        <v>95313</v>
      </c>
      <c r="AZ6" s="24">
        <f>SUM(AV6:AY6)</f>
        <v>6263718</v>
      </c>
      <c r="BA6" s="31">
        <f>16493+984+3131755</f>
        <v>3149232</v>
      </c>
      <c r="BB6" s="33">
        <v>107282</v>
      </c>
      <c r="BC6" s="31">
        <f>12550+1800+3303802+366180</f>
        <v>3684332</v>
      </c>
      <c r="BD6" s="33">
        <v>93274</v>
      </c>
      <c r="BE6" s="25">
        <f>SUM(BA6:BD6)</f>
        <v>7034120</v>
      </c>
      <c r="BF6" s="31">
        <f>392700+10450+2965815</f>
        <v>3368965</v>
      </c>
      <c r="BG6" s="23"/>
      <c r="BH6" s="25">
        <f>166500+9900+3185621+242590</f>
        <v>3604611</v>
      </c>
      <c r="BI6" s="25"/>
      <c r="BJ6" s="25">
        <f>BF6+BH6</f>
        <v>6973576</v>
      </c>
      <c r="BK6" s="23">
        <f>3878540+10359+32800</f>
        <v>3921699</v>
      </c>
      <c r="BL6" s="23">
        <v>43432</v>
      </c>
      <c r="BM6" s="25">
        <f>3260756+680+19500+57150</f>
        <v>3338086</v>
      </c>
      <c r="BN6" s="25">
        <v>38365</v>
      </c>
      <c r="BO6" s="25"/>
      <c r="BP6" s="25">
        <f>89489+2770831</f>
        <v>2860320</v>
      </c>
      <c r="BQ6" s="25">
        <f>1140+40040</f>
        <v>41180</v>
      </c>
      <c r="BR6" s="25">
        <f>80940+2650891</f>
        <v>2731831</v>
      </c>
      <c r="BS6" s="25">
        <f>1120+34777</f>
        <v>35897</v>
      </c>
      <c r="BT6" s="25">
        <f t="shared" si="287"/>
        <v>5669228</v>
      </c>
      <c r="BU6" s="23">
        <f>51142+736+1957623+287450+185250+479090+24000+254850</f>
        <v>3240141</v>
      </c>
      <c r="BV6" s="24">
        <f>164130+750890+1536220</f>
        <v>2451240</v>
      </c>
      <c r="BW6" s="25">
        <f t="shared" si="288"/>
        <v>11396506</v>
      </c>
      <c r="BX6" s="23">
        <v>905471</v>
      </c>
      <c r="BY6" s="23">
        <v>103549</v>
      </c>
      <c r="BZ6" s="23">
        <v>8700</v>
      </c>
      <c r="CA6" s="23">
        <f>424480+7200</f>
        <v>431680</v>
      </c>
      <c r="CB6" s="23">
        <v>136</v>
      </c>
      <c r="CC6" s="23">
        <f t="shared" si="289"/>
        <v>1449400</v>
      </c>
      <c r="CD6" s="23">
        <v>709006</v>
      </c>
      <c r="CE6" s="23">
        <v>260902</v>
      </c>
      <c r="CF6" s="23">
        <v>10100</v>
      </c>
      <c r="CG6" s="23">
        <f>275150+9000</f>
        <v>284150</v>
      </c>
      <c r="CH6" s="23">
        <v>108</v>
      </c>
      <c r="CI6" s="23">
        <f>SUM(CD6:CH6)</f>
        <v>1264266</v>
      </c>
      <c r="CJ6" s="25">
        <f t="shared" ref="CJ6:CJ18" si="291">CC6+CI6</f>
        <v>2713666</v>
      </c>
      <c r="CK6" s="34">
        <v>374002</v>
      </c>
      <c r="CL6" s="34">
        <v>48339</v>
      </c>
      <c r="CM6" s="34">
        <v>7350</v>
      </c>
      <c r="CN6" s="34">
        <v>3600</v>
      </c>
      <c r="CO6" s="34">
        <v>82</v>
      </c>
      <c r="CP6" s="34">
        <f>SUM(CK6:CO6)</f>
        <v>433373</v>
      </c>
      <c r="CQ6" s="35">
        <f>369033+4163</f>
        <v>373196</v>
      </c>
      <c r="CR6" s="36">
        <v>69263</v>
      </c>
      <c r="CS6" s="36">
        <v>7500</v>
      </c>
      <c r="CT6" s="36">
        <v>811450</v>
      </c>
      <c r="CU6" s="36">
        <v>76</v>
      </c>
      <c r="CV6" s="34">
        <f>SUM(CQ6:CU6)</f>
        <v>1261485</v>
      </c>
      <c r="CW6" s="37">
        <f>CP6+CV6</f>
        <v>1694858</v>
      </c>
      <c r="CX6" s="23">
        <v>209141</v>
      </c>
      <c r="CY6" s="23">
        <v>5488</v>
      </c>
      <c r="CZ6" s="23">
        <v>5000</v>
      </c>
      <c r="DA6" s="23">
        <v>18900</v>
      </c>
      <c r="DB6" s="23">
        <v>31</v>
      </c>
      <c r="DC6" s="25">
        <f>CX6+CY6+CZ6+DA6</f>
        <v>238529</v>
      </c>
      <c r="DD6" s="23">
        <v>204254</v>
      </c>
      <c r="DE6" s="23"/>
      <c r="DF6" s="23">
        <v>5900</v>
      </c>
      <c r="DG6" s="23"/>
      <c r="DH6" s="23">
        <v>27</v>
      </c>
      <c r="DI6" s="23">
        <f>DD6+DE6+DF6+DG6</f>
        <v>210154</v>
      </c>
      <c r="DJ6" s="23">
        <f>DC6+DI6</f>
        <v>448683</v>
      </c>
      <c r="DK6" s="23">
        <v>31460</v>
      </c>
      <c r="DL6" s="23"/>
      <c r="DM6" s="23"/>
      <c r="DN6" s="23"/>
      <c r="DO6" s="23">
        <v>4</v>
      </c>
      <c r="DP6" s="23">
        <f>SUM(DK6:DN6)</f>
        <v>31460</v>
      </c>
      <c r="DQ6" s="23"/>
      <c r="DR6" s="23"/>
      <c r="DS6" s="23"/>
      <c r="DT6" s="23"/>
      <c r="DU6" s="23"/>
      <c r="DV6" s="23"/>
      <c r="DW6" s="23"/>
    </row>
    <row r="7" spans="1:361" x14ac:dyDescent="0.25">
      <c r="A7">
        <f t="shared" ref="A7:A70" si="292">IF(B7&lt;&gt;"",A6+1,"")</f>
        <v>3</v>
      </c>
      <c r="B7" t="str">
        <f t="shared" si="290"/>
        <v>J19-0169</v>
      </c>
      <c r="C7" s="20" t="s">
        <v>65</v>
      </c>
      <c r="D7" s="21" t="s">
        <v>66</v>
      </c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1"/>
      <c r="R7" s="22">
        <v>848179</v>
      </c>
      <c r="S7" s="23"/>
      <c r="T7" s="24">
        <f>1068934+2570+471070</f>
        <v>1542574</v>
      </c>
      <c r="U7" s="23"/>
      <c r="V7" s="23"/>
      <c r="W7" s="23">
        <v>1164027</v>
      </c>
      <c r="X7" s="23"/>
      <c r="Y7" s="23">
        <v>922202</v>
      </c>
      <c r="Z7" s="23"/>
      <c r="AA7" s="23"/>
      <c r="AB7" s="23">
        <v>1178783</v>
      </c>
      <c r="AC7" s="23"/>
      <c r="AD7" s="24">
        <v>1002955</v>
      </c>
      <c r="AE7" s="24"/>
      <c r="AF7" s="24"/>
      <c r="AG7" s="23">
        <v>682633</v>
      </c>
      <c r="AH7" s="23"/>
      <c r="AI7" s="24">
        <v>709715</v>
      </c>
      <c r="AJ7" s="24"/>
      <c r="AK7" s="24"/>
      <c r="AL7" s="24">
        <f>726980+1200</f>
        <v>728180</v>
      </c>
      <c r="AM7" s="24"/>
      <c r="AN7" s="33">
        <f>5087+648895+105000</f>
        <v>758982</v>
      </c>
      <c r="AO7" s="33"/>
      <c r="AP7" s="24">
        <f>AL7+AN7</f>
        <v>1487162</v>
      </c>
      <c r="AQ7" s="33">
        <f>652576+4410+39000</f>
        <v>695986</v>
      </c>
      <c r="AR7" s="33"/>
      <c r="AS7" s="24">
        <v>646849</v>
      </c>
      <c r="AT7" s="24"/>
      <c r="AU7" s="24">
        <f>AQ7+AS7</f>
        <v>1342835</v>
      </c>
      <c r="AV7" s="24">
        <f>787920+155100</f>
        <v>943020</v>
      </c>
      <c r="AW7" s="24"/>
      <c r="AX7" s="24">
        <f>123000+909900+9898</f>
        <v>1042798</v>
      </c>
      <c r="AY7" s="24"/>
      <c r="AZ7" s="24">
        <f>AV7+AX7</f>
        <v>1985818</v>
      </c>
      <c r="BA7" s="24">
        <f>1068893+22400</f>
        <v>1091293</v>
      </c>
      <c r="BB7" s="24"/>
      <c r="BC7" s="24">
        <f>137700+1067711</f>
        <v>1205411</v>
      </c>
      <c r="BD7" s="24"/>
      <c r="BE7" s="25">
        <f>SUM(BA7:BC7)</f>
        <v>2296704</v>
      </c>
      <c r="BF7" s="25">
        <v>993014</v>
      </c>
      <c r="BG7" s="23"/>
      <c r="BH7" s="38">
        <f>22400+1128835</f>
        <v>1151235</v>
      </c>
      <c r="BI7" s="25"/>
      <c r="BJ7" s="25">
        <f>BF7+BH7</f>
        <v>2144249</v>
      </c>
      <c r="BK7" s="23">
        <f>1049791+7025</f>
        <v>1056816</v>
      </c>
      <c r="BL7" s="23">
        <v>15454</v>
      </c>
      <c r="BM7" s="25">
        <f>7175+1039494+765+353850</f>
        <v>1401284</v>
      </c>
      <c r="BN7" s="25">
        <v>12723</v>
      </c>
      <c r="BO7" s="25"/>
      <c r="BP7" s="25">
        <f>24635+684144+11625</f>
        <v>720404</v>
      </c>
      <c r="BQ7" s="25">
        <f>384+10143</f>
        <v>10527</v>
      </c>
      <c r="BR7" s="25">
        <f>9900+27836+781972</f>
        <v>819708</v>
      </c>
      <c r="BS7" s="25">
        <f>416+9484</f>
        <v>9900</v>
      </c>
      <c r="BT7" s="25">
        <f t="shared" si="287"/>
        <v>1560539</v>
      </c>
      <c r="BU7" s="23">
        <f>806842+429300</f>
        <v>1236142</v>
      </c>
      <c r="BV7" s="24">
        <f>109330+611845</f>
        <v>721175</v>
      </c>
      <c r="BW7" s="25">
        <f t="shared" si="288"/>
        <v>3527756</v>
      </c>
      <c r="BX7" s="23">
        <v>358057</v>
      </c>
      <c r="BY7" s="23">
        <v>108705</v>
      </c>
      <c r="BZ7" s="23">
        <v>7100</v>
      </c>
      <c r="CA7" s="23"/>
      <c r="CB7" s="23">
        <v>51</v>
      </c>
      <c r="CC7" s="23">
        <f t="shared" si="289"/>
        <v>473862</v>
      </c>
      <c r="CD7" s="23">
        <v>380447</v>
      </c>
      <c r="CE7" s="23">
        <v>18856</v>
      </c>
      <c r="CF7" s="23">
        <v>9300</v>
      </c>
      <c r="CG7" s="23">
        <f>10800+226870</f>
        <v>237670</v>
      </c>
      <c r="CH7" s="23">
        <v>51</v>
      </c>
      <c r="CI7" s="23">
        <f>SUM(CD7:CH7)</f>
        <v>646324</v>
      </c>
      <c r="CJ7" s="25">
        <f t="shared" si="291"/>
        <v>1120186</v>
      </c>
      <c r="CK7" s="39">
        <f>22650+115992</f>
        <v>138642</v>
      </c>
      <c r="CL7" s="36">
        <f>206+10760</f>
        <v>10966</v>
      </c>
      <c r="CM7" s="36">
        <f>1350+5450</f>
        <v>6800</v>
      </c>
      <c r="CN7" s="34">
        <v>90900</v>
      </c>
      <c r="CO7" s="34">
        <v>15</v>
      </c>
      <c r="CP7" s="34">
        <f t="shared" ref="CP7:CP69" si="293">SUM(CK7:CN7)</f>
        <v>247308</v>
      </c>
      <c r="CQ7" s="34">
        <v>63904</v>
      </c>
      <c r="CR7" s="34">
        <v>1148</v>
      </c>
      <c r="CS7" s="34">
        <v>3650</v>
      </c>
      <c r="CT7" s="34">
        <v>65100</v>
      </c>
      <c r="CU7" s="34">
        <v>10</v>
      </c>
      <c r="CV7" s="34">
        <f>SUM(CQ7:CU7)</f>
        <v>133812</v>
      </c>
      <c r="CW7" s="37">
        <f t="shared" ref="CW7:CW70" si="294">CP7+CV7</f>
        <v>381120</v>
      </c>
      <c r="CX7" s="23">
        <v>46180</v>
      </c>
      <c r="CY7" s="23"/>
      <c r="CZ7" s="23">
        <v>3750</v>
      </c>
      <c r="DA7" s="23"/>
      <c r="DB7" s="23">
        <v>6</v>
      </c>
      <c r="DC7" s="25">
        <f t="shared" ref="DC7:DC70" si="295">CX7+CY7+CZ7+DA7</f>
        <v>49930</v>
      </c>
      <c r="DD7" s="23">
        <v>49700</v>
      </c>
      <c r="DE7" s="23">
        <v>94</v>
      </c>
      <c r="DF7" s="23"/>
      <c r="DG7" s="23">
        <v>57900</v>
      </c>
      <c r="DH7" s="23">
        <v>6</v>
      </c>
      <c r="DI7" s="23">
        <f t="shared" ref="DI7:DI70" si="296">DD7+DE7+DF7+DG7</f>
        <v>107694</v>
      </c>
      <c r="DJ7" s="23">
        <f t="shared" ref="DJ7:DJ70" si="297">DC7+DI7</f>
        <v>157624</v>
      </c>
      <c r="DK7" s="23"/>
      <c r="DL7" s="23"/>
      <c r="DM7" s="23"/>
      <c r="DN7" s="23"/>
      <c r="DO7" s="23"/>
      <c r="DP7" s="23">
        <f t="shared" ref="DP7:DP22" si="298">SUM(DK7:DN7)</f>
        <v>0</v>
      </c>
      <c r="DQ7" s="23"/>
      <c r="DR7" s="23"/>
      <c r="DS7" s="23"/>
      <c r="DT7" s="23"/>
      <c r="DU7" s="23"/>
      <c r="DV7" s="23"/>
      <c r="DW7" s="23"/>
    </row>
    <row r="8" spans="1:361" x14ac:dyDescent="0.25">
      <c r="A8">
        <f t="shared" si="292"/>
        <v>4</v>
      </c>
      <c r="B8" t="str">
        <f t="shared" si="290"/>
        <v>J19-1055</v>
      </c>
      <c r="C8" s="20" t="s">
        <v>67</v>
      </c>
      <c r="D8" s="21" t="s">
        <v>68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1"/>
      <c r="R8" s="22"/>
      <c r="S8" s="20"/>
      <c r="T8" s="23"/>
      <c r="U8" s="23"/>
      <c r="V8" s="23"/>
      <c r="W8" s="23"/>
      <c r="X8" s="23"/>
      <c r="Y8" s="23"/>
      <c r="Z8" s="23"/>
      <c r="AA8" s="23"/>
      <c r="AB8" s="23">
        <v>85635</v>
      </c>
      <c r="AC8" s="23"/>
      <c r="AD8" s="23">
        <v>51367</v>
      </c>
      <c r="AE8" s="23"/>
      <c r="AF8" s="23"/>
      <c r="AG8" s="23">
        <v>112650</v>
      </c>
      <c r="AH8" s="23"/>
      <c r="AI8" s="23">
        <v>120552</v>
      </c>
      <c r="AJ8" s="23"/>
      <c r="AK8" s="23"/>
      <c r="AL8" s="23">
        <v>125665</v>
      </c>
      <c r="AM8" s="23"/>
      <c r="AN8" s="33">
        <f>100362+28002</f>
        <v>128364</v>
      </c>
      <c r="AO8" s="33"/>
      <c r="AP8" s="24">
        <f>AL8+AN8</f>
        <v>254029</v>
      </c>
      <c r="AQ8" s="33">
        <f>69021</f>
        <v>69021</v>
      </c>
      <c r="AR8" s="33"/>
      <c r="AS8" s="24">
        <f>4500+31250+82295</f>
        <v>118045</v>
      </c>
      <c r="AT8" s="24"/>
      <c r="AU8" s="24">
        <f>AQ8+AS8</f>
        <v>187066</v>
      </c>
      <c r="AV8" s="24">
        <v>182567</v>
      </c>
      <c r="AW8" s="24"/>
      <c r="AX8" s="24">
        <f>184168+38400</f>
        <v>222568</v>
      </c>
      <c r="AY8" s="24"/>
      <c r="AZ8" s="24">
        <f>AV8+AX8</f>
        <v>405135</v>
      </c>
      <c r="BA8" s="24">
        <f>132192+1800+112800</f>
        <v>246792</v>
      </c>
      <c r="BB8" s="24"/>
      <c r="BC8" s="24">
        <f>28000+21578+134677</f>
        <v>184255</v>
      </c>
      <c r="BD8" s="24"/>
      <c r="BE8" s="25">
        <f>SUM(BA8:BC8)</f>
        <v>431047</v>
      </c>
      <c r="BF8" s="25">
        <f>151264+16400+17333+13066</f>
        <v>198063</v>
      </c>
      <c r="BG8" s="23"/>
      <c r="BH8" s="25">
        <f>155985+113640+1986</f>
        <v>271611</v>
      </c>
      <c r="BI8" s="25"/>
      <c r="BJ8" s="25">
        <f>BF8+BH8</f>
        <v>469674</v>
      </c>
      <c r="BK8" s="23">
        <f>147469+99728</f>
        <v>247197</v>
      </c>
      <c r="BL8" s="23">
        <v>1690</v>
      </c>
      <c r="BM8" s="25">
        <f>150093+11986</f>
        <v>162079</v>
      </c>
      <c r="BN8" s="25">
        <v>1323</v>
      </c>
      <c r="BO8" s="25"/>
      <c r="BP8" s="25">
        <v>103257</v>
      </c>
      <c r="BQ8" s="25">
        <v>1808</v>
      </c>
      <c r="BR8" s="25">
        <f>122858+8488</f>
        <v>131346</v>
      </c>
      <c r="BS8" s="25">
        <v>1444</v>
      </c>
      <c r="BT8" s="25">
        <f t="shared" si="287"/>
        <v>237855</v>
      </c>
      <c r="BU8" s="23">
        <f>5250+382777</f>
        <v>388027</v>
      </c>
      <c r="BV8" s="24">
        <f>12584+365796</f>
        <v>378380</v>
      </c>
      <c r="BW8" s="25">
        <f t="shared" si="288"/>
        <v>1005706</v>
      </c>
      <c r="BX8" s="23">
        <v>189210</v>
      </c>
      <c r="BY8" s="23">
        <v>81636</v>
      </c>
      <c r="BZ8" s="23">
        <v>14335</v>
      </c>
      <c r="CA8" s="23">
        <v>46600</v>
      </c>
      <c r="CB8" s="23">
        <v>30</v>
      </c>
      <c r="CC8" s="23">
        <f t="shared" si="289"/>
        <v>331781</v>
      </c>
      <c r="CD8" s="23">
        <v>204005</v>
      </c>
      <c r="CE8" s="23">
        <v>96636</v>
      </c>
      <c r="CF8" s="23">
        <v>16027</v>
      </c>
      <c r="CG8" s="23"/>
      <c r="CH8" s="23">
        <v>31</v>
      </c>
      <c r="CI8" s="23">
        <f>SUM(CD8:CH8)</f>
        <v>316699</v>
      </c>
      <c r="CJ8" s="25">
        <f t="shared" si="291"/>
        <v>648480</v>
      </c>
      <c r="CK8" s="34">
        <v>153245</v>
      </c>
      <c r="CL8" s="34">
        <v>37202</v>
      </c>
      <c r="CM8" s="34">
        <v>16262</v>
      </c>
      <c r="CN8" s="34"/>
      <c r="CO8" s="34">
        <v>33</v>
      </c>
      <c r="CP8" s="34">
        <f>SUM(CK8:CO8)</f>
        <v>206742</v>
      </c>
      <c r="CQ8" s="34"/>
      <c r="CR8" s="34"/>
      <c r="CS8" s="34"/>
      <c r="CT8" s="34"/>
      <c r="CU8" s="34"/>
      <c r="CV8" s="34">
        <f t="shared" ref="CV8:CV69" si="299">SUM(CQ8:CT8)</f>
        <v>0</v>
      </c>
      <c r="CW8" s="37">
        <f t="shared" si="294"/>
        <v>206742</v>
      </c>
      <c r="CX8" s="23"/>
      <c r="CY8" s="23"/>
      <c r="CZ8" s="23"/>
      <c r="DA8" s="23">
        <f>25500+15400</f>
        <v>40900</v>
      </c>
      <c r="DB8" s="23"/>
      <c r="DC8" s="25">
        <f t="shared" si="295"/>
        <v>40900</v>
      </c>
      <c r="DD8" s="23"/>
      <c r="DE8" s="23"/>
      <c r="DF8" s="23"/>
      <c r="DG8" s="23"/>
      <c r="DH8" s="23"/>
      <c r="DI8" s="23">
        <f t="shared" si="296"/>
        <v>0</v>
      </c>
      <c r="DJ8" s="23">
        <f t="shared" si="297"/>
        <v>40900</v>
      </c>
      <c r="DK8" s="23"/>
      <c r="DL8" s="23"/>
      <c r="DM8" s="23"/>
      <c r="DN8" s="23"/>
      <c r="DO8" s="23"/>
      <c r="DP8" s="23">
        <f t="shared" si="298"/>
        <v>0</v>
      </c>
      <c r="DQ8" s="23"/>
      <c r="DR8" s="23"/>
      <c r="DS8" s="23"/>
      <c r="DT8" s="23"/>
      <c r="DU8" s="23"/>
      <c r="DV8" s="23"/>
      <c r="DW8" s="23"/>
    </row>
    <row r="9" spans="1:361" x14ac:dyDescent="0.25">
      <c r="A9">
        <f t="shared" si="292"/>
        <v>5</v>
      </c>
      <c r="B9" t="str">
        <f t="shared" si="290"/>
        <v>J20-0462</v>
      </c>
      <c r="C9" s="20" t="s">
        <v>69</v>
      </c>
      <c r="D9" s="21" t="s">
        <v>70</v>
      </c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1"/>
      <c r="R9" s="22"/>
      <c r="S9" s="20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4"/>
      <c r="AJ9" s="24"/>
      <c r="AK9" s="24"/>
      <c r="AL9" s="24"/>
      <c r="AM9" s="24"/>
      <c r="AN9" s="24"/>
      <c r="AO9" s="24"/>
      <c r="AP9" s="24"/>
      <c r="AQ9" s="33">
        <v>156867</v>
      </c>
      <c r="AR9" s="33"/>
      <c r="AS9" s="24">
        <v>169262</v>
      </c>
      <c r="AT9" s="24"/>
      <c r="AU9" s="24">
        <f>AQ9+AS9</f>
        <v>326129</v>
      </c>
      <c r="AV9" s="24">
        <v>260110</v>
      </c>
      <c r="AW9" s="24"/>
      <c r="AX9" s="24">
        <v>385134</v>
      </c>
      <c r="AY9" s="24"/>
      <c r="AZ9" s="24">
        <f>AV9+AX9</f>
        <v>645244</v>
      </c>
      <c r="BA9" s="24">
        <v>424355</v>
      </c>
      <c r="BB9" s="24"/>
      <c r="BC9" s="24">
        <v>478900</v>
      </c>
      <c r="BD9" s="24"/>
      <c r="BE9" s="25">
        <f>SUM(BA9:BC9)</f>
        <v>903255</v>
      </c>
      <c r="BF9" s="23">
        <v>457854</v>
      </c>
      <c r="BG9" s="23"/>
      <c r="BH9" s="38">
        <v>400107</v>
      </c>
      <c r="BI9" s="25"/>
      <c r="BJ9" s="25">
        <f>BF9+BH9</f>
        <v>857961</v>
      </c>
      <c r="BK9" s="23">
        <v>468882</v>
      </c>
      <c r="BL9" s="23">
        <v>6051</v>
      </c>
      <c r="BM9" s="25">
        <v>459250</v>
      </c>
      <c r="BN9" s="25">
        <v>5136</v>
      </c>
      <c r="BO9" s="25"/>
      <c r="BP9" s="25">
        <f>9900+530775</f>
        <v>540675</v>
      </c>
      <c r="BQ9" s="25">
        <v>5675</v>
      </c>
      <c r="BR9" s="25">
        <f>58906+483954</f>
        <v>542860</v>
      </c>
      <c r="BS9" s="25">
        <v>4824</v>
      </c>
      <c r="BT9" s="25">
        <f t="shared" si="287"/>
        <v>1094034</v>
      </c>
      <c r="BU9" s="23">
        <v>577013</v>
      </c>
      <c r="BV9" s="24">
        <f>67440+583302+32030</f>
        <v>682772</v>
      </c>
      <c r="BW9" s="25">
        <f t="shared" si="288"/>
        <v>2358643</v>
      </c>
      <c r="BX9" s="23">
        <f>264421+3882</f>
        <v>268303</v>
      </c>
      <c r="BY9" s="23">
        <f>145511+3750+945</f>
        <v>150206</v>
      </c>
      <c r="BZ9" s="23"/>
      <c r="CA9" s="23"/>
      <c r="CB9" s="23">
        <v>44</v>
      </c>
      <c r="CC9" s="23">
        <f t="shared" si="289"/>
        <v>418509</v>
      </c>
      <c r="CD9" s="22">
        <f>269314+44650</f>
        <v>313964</v>
      </c>
      <c r="CE9" s="22">
        <f>228787+16414</f>
        <v>245201</v>
      </c>
      <c r="CF9" s="23"/>
      <c r="CG9" s="23">
        <v>13200</v>
      </c>
      <c r="CH9" s="23">
        <v>39</v>
      </c>
      <c r="CI9" s="23">
        <f t="shared" ref="CI9:CI28" si="300">SUM(CD9:CG9)</f>
        <v>572365</v>
      </c>
      <c r="CJ9" s="25">
        <f t="shared" si="291"/>
        <v>990874</v>
      </c>
      <c r="CK9" s="34">
        <v>252840</v>
      </c>
      <c r="CL9" s="34">
        <f>75785+608</f>
        <v>76393</v>
      </c>
      <c r="CM9" s="34"/>
      <c r="CN9" s="34"/>
      <c r="CO9" s="34">
        <v>37</v>
      </c>
      <c r="CP9" s="34">
        <f t="shared" si="293"/>
        <v>329233</v>
      </c>
      <c r="CQ9" s="34">
        <v>142350</v>
      </c>
      <c r="CR9" s="34">
        <v>20181</v>
      </c>
      <c r="CS9" s="34"/>
      <c r="CT9" s="34">
        <f>278440+53730</f>
        <v>332170</v>
      </c>
      <c r="CU9" s="34">
        <v>37</v>
      </c>
      <c r="CV9" s="34">
        <f t="shared" si="299"/>
        <v>494701</v>
      </c>
      <c r="CW9" s="37">
        <f t="shared" si="294"/>
        <v>823934</v>
      </c>
      <c r="CX9" s="23">
        <v>82400</v>
      </c>
      <c r="CY9" s="23">
        <v>1422</v>
      </c>
      <c r="CZ9" s="23"/>
      <c r="DA9" s="23">
        <v>24900</v>
      </c>
      <c r="DB9" s="23">
        <v>10</v>
      </c>
      <c r="DC9" s="25">
        <f t="shared" si="295"/>
        <v>108722</v>
      </c>
      <c r="DD9" s="23">
        <v>76517</v>
      </c>
      <c r="DE9" s="23">
        <v>1365</v>
      </c>
      <c r="DF9" s="23">
        <f>4000+2000</f>
        <v>6000</v>
      </c>
      <c r="DG9" s="23"/>
      <c r="DH9" s="23">
        <v>9</v>
      </c>
      <c r="DI9" s="23">
        <f t="shared" si="296"/>
        <v>83882</v>
      </c>
      <c r="DJ9" s="23">
        <f t="shared" si="297"/>
        <v>192604</v>
      </c>
      <c r="DK9" s="23">
        <v>33997</v>
      </c>
      <c r="DL9" s="23">
        <v>473</v>
      </c>
      <c r="DM9" s="23"/>
      <c r="DN9" s="23">
        <v>169500</v>
      </c>
      <c r="DO9" s="23">
        <v>9</v>
      </c>
      <c r="DP9" s="23">
        <f t="shared" si="298"/>
        <v>203970</v>
      </c>
      <c r="DQ9" s="23"/>
      <c r="DR9" s="23"/>
      <c r="DS9" s="23"/>
      <c r="DT9" s="23"/>
      <c r="DU9" s="23"/>
      <c r="DV9" s="23"/>
      <c r="DW9" s="23"/>
    </row>
    <row r="10" spans="1:361" x14ac:dyDescent="0.25">
      <c r="A10">
        <f t="shared" si="292"/>
        <v>6</v>
      </c>
      <c r="B10" t="str">
        <f t="shared" si="290"/>
        <v>J20-0721</v>
      </c>
      <c r="C10" s="20" t="s">
        <v>71</v>
      </c>
      <c r="D10" s="21" t="s">
        <v>72</v>
      </c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1"/>
      <c r="R10" s="22"/>
      <c r="S10" s="20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0"/>
      <c r="AH10" s="20"/>
      <c r="AI10" s="20"/>
      <c r="AJ10" s="20"/>
      <c r="AK10" s="20"/>
      <c r="AL10" s="20"/>
      <c r="AM10" s="20"/>
      <c r="AN10" s="20"/>
      <c r="AO10" s="20"/>
      <c r="AP10" s="24">
        <f>AL10+AN10</f>
        <v>0</v>
      </c>
      <c r="AQ10" s="24"/>
      <c r="AR10" s="24"/>
      <c r="AS10" s="24"/>
      <c r="AT10" s="24"/>
      <c r="AU10" s="24">
        <f>AQ10+AS10</f>
        <v>0</v>
      </c>
      <c r="AV10" s="24"/>
      <c r="AW10" s="24"/>
      <c r="AX10" s="24">
        <f>62146+6763+71655+125045</f>
        <v>265609</v>
      </c>
      <c r="AY10" s="24">
        <f>376+1946</f>
        <v>2322</v>
      </c>
      <c r="AZ10" s="24">
        <f>AX10+AY10</f>
        <v>267931</v>
      </c>
      <c r="BA10" s="24">
        <f>57630+140852+98124</f>
        <v>296606</v>
      </c>
      <c r="BB10" s="24">
        <v>6689</v>
      </c>
      <c r="BC10" s="24">
        <f>169209+108783+463810+34601+31070</f>
        <v>807473</v>
      </c>
      <c r="BD10" s="24">
        <v>14812</v>
      </c>
      <c r="BE10" s="40">
        <f>BA10+BB10+BC10+BD10</f>
        <v>1125580</v>
      </c>
      <c r="BF10" s="25">
        <f>117454+47185+526047+68007+39765</f>
        <v>798458</v>
      </c>
      <c r="BG10" s="23">
        <v>6788</v>
      </c>
      <c r="BH10" s="25">
        <f>119783+647206+22461+38703+67461</f>
        <v>895614</v>
      </c>
      <c r="BI10" s="25">
        <v>8529</v>
      </c>
      <c r="BJ10" s="40">
        <f>BF10+BG10+BH10+BI10</f>
        <v>1709389</v>
      </c>
      <c r="BK10" s="23">
        <f>40428+832468+92406+7757</f>
        <v>973059</v>
      </c>
      <c r="BL10" s="23">
        <f>484+9777+1923</f>
        <v>12184</v>
      </c>
      <c r="BM10" s="25">
        <f>18905+122478+953727</f>
        <v>1095110</v>
      </c>
      <c r="BN10" s="25">
        <f>195+1637+8963</f>
        <v>10795</v>
      </c>
      <c r="BO10" s="40">
        <f>BK10+BL10+BM10+BN10</f>
        <v>2091148</v>
      </c>
      <c r="BP10" s="25">
        <f>163671+24943+1320205+3520+43052</f>
        <v>1555391</v>
      </c>
      <c r="BQ10" s="25">
        <f>1611+217+11485</f>
        <v>13313</v>
      </c>
      <c r="BR10" s="25">
        <f>168940+28641+1356101</f>
        <v>1553682</v>
      </c>
      <c r="BS10" s="25">
        <f>1494+246+9953</f>
        <v>11693</v>
      </c>
      <c r="BT10" s="25">
        <f t="shared" si="287"/>
        <v>3134079</v>
      </c>
      <c r="BU10" s="23">
        <f>886324+118620+23224+3932+37289+47641</f>
        <v>1117030</v>
      </c>
      <c r="BV10" s="24">
        <f>12259+53937+138960+499524</f>
        <v>704680</v>
      </c>
      <c r="BW10" s="25">
        <f t="shared" si="288"/>
        <v>4967482</v>
      </c>
      <c r="BX10" s="23">
        <v>279480</v>
      </c>
      <c r="BY10" s="23"/>
      <c r="BZ10" s="23"/>
      <c r="CA10" s="23"/>
      <c r="CB10" s="23">
        <v>54</v>
      </c>
      <c r="CC10" s="23">
        <f t="shared" si="289"/>
        <v>279480</v>
      </c>
      <c r="CD10" s="23">
        <v>263103</v>
      </c>
      <c r="CE10" s="22">
        <v>32839</v>
      </c>
      <c r="CF10" s="23"/>
      <c r="CG10" s="23">
        <f>34290+32330</f>
        <v>66620</v>
      </c>
      <c r="CH10" s="23">
        <v>53</v>
      </c>
      <c r="CI10" s="23">
        <f t="shared" si="300"/>
        <v>362562</v>
      </c>
      <c r="CJ10" s="25">
        <f t="shared" si="291"/>
        <v>642042</v>
      </c>
      <c r="CK10" s="34">
        <v>180028</v>
      </c>
      <c r="CL10" s="34">
        <v>79091</v>
      </c>
      <c r="CM10" s="34"/>
      <c r="CN10" s="34">
        <v>44630</v>
      </c>
      <c r="CO10" s="34">
        <v>29</v>
      </c>
      <c r="CP10" s="34">
        <f>SUM(CK10:CO10)</f>
        <v>303778</v>
      </c>
      <c r="CQ10" s="35">
        <f>3560+155005</f>
        <v>158565</v>
      </c>
      <c r="CR10" s="36">
        <f>500+36835</f>
        <v>37335</v>
      </c>
      <c r="CS10" s="34"/>
      <c r="CT10" s="36">
        <v>320180</v>
      </c>
      <c r="CU10" s="36">
        <v>21</v>
      </c>
      <c r="CV10" s="34">
        <f t="shared" si="299"/>
        <v>516080</v>
      </c>
      <c r="CW10" s="37">
        <f t="shared" si="294"/>
        <v>819858</v>
      </c>
      <c r="CX10" s="23"/>
      <c r="CY10" s="23"/>
      <c r="CZ10" s="23"/>
      <c r="DA10" s="23"/>
      <c r="DB10" s="23"/>
      <c r="DC10" s="25">
        <f t="shared" si="295"/>
        <v>0</v>
      </c>
      <c r="DD10" s="23"/>
      <c r="DE10" s="23"/>
      <c r="DF10" s="23"/>
      <c r="DG10" s="23"/>
      <c r="DH10" s="23"/>
      <c r="DI10" s="23">
        <f t="shared" si="296"/>
        <v>0</v>
      </c>
      <c r="DJ10" s="23">
        <f t="shared" si="297"/>
        <v>0</v>
      </c>
      <c r="DK10" s="23"/>
      <c r="DL10" s="23"/>
      <c r="DM10" s="23"/>
      <c r="DN10" s="23"/>
      <c r="DO10" s="23"/>
      <c r="DP10" s="23">
        <f t="shared" si="298"/>
        <v>0</v>
      </c>
      <c r="DQ10" s="23"/>
      <c r="DR10" s="23"/>
      <c r="DS10" s="23"/>
      <c r="DT10" s="23"/>
      <c r="DU10" s="23"/>
      <c r="DV10" s="23"/>
      <c r="DW10" s="23"/>
    </row>
    <row r="11" spans="1:361" x14ac:dyDescent="0.25">
      <c r="A11">
        <f t="shared" si="292"/>
        <v>7</v>
      </c>
      <c r="B11" t="str">
        <f t="shared" si="290"/>
        <v>J20-0851</v>
      </c>
      <c r="C11" s="20" t="s">
        <v>73</v>
      </c>
      <c r="D11" s="21" t="s">
        <v>74</v>
      </c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1"/>
      <c r="R11" s="22"/>
      <c r="S11" s="20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0"/>
      <c r="AH11" s="20"/>
      <c r="AI11" s="20"/>
      <c r="AJ11" s="20"/>
      <c r="AK11" s="20"/>
      <c r="AL11" s="20"/>
      <c r="AM11" s="20"/>
      <c r="AN11" s="20"/>
      <c r="AO11" s="20"/>
      <c r="AP11" s="24">
        <f>AL11+AN11</f>
        <v>0</v>
      </c>
      <c r="AQ11" s="24"/>
      <c r="AR11" s="24"/>
      <c r="AS11" s="24"/>
      <c r="AT11" s="24"/>
      <c r="AU11" s="24">
        <f>AQ11+AS11</f>
        <v>0</v>
      </c>
      <c r="AV11" s="24"/>
      <c r="AW11" s="24"/>
      <c r="AX11" s="24"/>
      <c r="AY11" s="24"/>
      <c r="AZ11" s="24"/>
      <c r="BA11" s="24"/>
      <c r="BB11" s="24"/>
      <c r="BC11" s="24">
        <f>3750+450</f>
        <v>4200</v>
      </c>
      <c r="BD11" s="24"/>
      <c r="BE11" s="25">
        <f>SUM(BA11:BC11)</f>
        <v>4200</v>
      </c>
      <c r="BF11" s="25">
        <f>17781+8994</f>
        <v>26775</v>
      </c>
      <c r="BG11" s="23"/>
      <c r="BH11" s="25">
        <v>9920</v>
      </c>
      <c r="BI11" s="25"/>
      <c r="BJ11" s="25">
        <f>BF11+BH11</f>
        <v>36695</v>
      </c>
      <c r="BK11" s="23">
        <f>76929+39589</f>
        <v>116518</v>
      </c>
      <c r="BL11" s="23">
        <f>1527+906</f>
        <v>2433</v>
      </c>
      <c r="BM11" s="24">
        <f>26194+81627+4650</f>
        <v>112471</v>
      </c>
      <c r="BN11" s="23">
        <f>591+1243</f>
        <v>1834</v>
      </c>
      <c r="BO11" s="23"/>
      <c r="BP11" s="23">
        <f>73851+46153</f>
        <v>120004</v>
      </c>
      <c r="BQ11" s="23">
        <f>936+819</f>
        <v>1755</v>
      </c>
      <c r="BR11" s="23">
        <f>6751+53926</f>
        <v>60677</v>
      </c>
      <c r="BS11" s="23">
        <v>819</v>
      </c>
      <c r="BT11" s="25">
        <f t="shared" si="287"/>
        <v>183255</v>
      </c>
      <c r="BU11" s="23">
        <f>54900+32205+68673</f>
        <v>155778</v>
      </c>
      <c r="BV11" s="24">
        <f>22880+48496+7764</f>
        <v>79140</v>
      </c>
      <c r="BW11" s="25">
        <f t="shared" si="288"/>
        <v>418992</v>
      </c>
      <c r="BX11" s="23">
        <v>1800</v>
      </c>
      <c r="BY11" s="23"/>
      <c r="BZ11" s="23"/>
      <c r="CA11" s="23"/>
      <c r="CB11" s="23">
        <v>1</v>
      </c>
      <c r="CC11" s="23">
        <f t="shared" si="289"/>
        <v>1800</v>
      </c>
      <c r="CD11" s="22">
        <v>4500</v>
      </c>
      <c r="CE11" s="23"/>
      <c r="CF11" s="23"/>
      <c r="CG11" s="23"/>
      <c r="CH11" s="23"/>
      <c r="CI11" s="23">
        <f t="shared" si="300"/>
        <v>4500</v>
      </c>
      <c r="CJ11" s="25">
        <f t="shared" si="291"/>
        <v>6300</v>
      </c>
      <c r="CK11" s="34">
        <v>51756</v>
      </c>
      <c r="CL11" s="34">
        <v>231</v>
      </c>
      <c r="CM11" s="34"/>
      <c r="CN11" s="34"/>
      <c r="CO11" s="34"/>
      <c r="CP11" s="34">
        <f t="shared" si="293"/>
        <v>51987</v>
      </c>
      <c r="CQ11" s="35">
        <v>38096</v>
      </c>
      <c r="CR11" s="34"/>
      <c r="CS11" s="34"/>
      <c r="CT11" s="34"/>
      <c r="CU11" s="34">
        <v>6</v>
      </c>
      <c r="CV11" s="34">
        <f t="shared" si="299"/>
        <v>38096</v>
      </c>
      <c r="CW11" s="37">
        <f t="shared" si="294"/>
        <v>90083</v>
      </c>
      <c r="CX11" s="23">
        <f>42240+45700</f>
        <v>87940</v>
      </c>
      <c r="CY11" s="23"/>
      <c r="CZ11" s="23"/>
      <c r="DA11" s="23"/>
      <c r="DB11" s="23">
        <v>6</v>
      </c>
      <c r="DC11" s="25">
        <f t="shared" si="295"/>
        <v>87940</v>
      </c>
      <c r="DD11" s="23">
        <v>72308</v>
      </c>
      <c r="DE11" s="23">
        <v>529</v>
      </c>
      <c r="DF11" s="23"/>
      <c r="DG11" s="23"/>
      <c r="DH11" s="23">
        <v>6</v>
      </c>
      <c r="DI11" s="23">
        <f t="shared" si="296"/>
        <v>72837</v>
      </c>
      <c r="DJ11" s="23">
        <f t="shared" si="297"/>
        <v>160777</v>
      </c>
      <c r="DK11" s="23">
        <f>5250+25790</f>
        <v>31040</v>
      </c>
      <c r="DL11" s="23">
        <v>11525</v>
      </c>
      <c r="DM11" s="23"/>
      <c r="DN11" s="23">
        <v>56250</v>
      </c>
      <c r="DO11" s="23">
        <v>6</v>
      </c>
      <c r="DP11" s="23">
        <f t="shared" si="298"/>
        <v>98815</v>
      </c>
      <c r="DQ11" s="23"/>
      <c r="DR11" s="23"/>
      <c r="DS11" s="23"/>
      <c r="DT11" s="23"/>
      <c r="DU11" s="23"/>
      <c r="DV11" s="23"/>
      <c r="DW11" s="23"/>
    </row>
    <row r="12" spans="1:361" x14ac:dyDescent="0.25">
      <c r="A12">
        <f t="shared" si="292"/>
        <v>8</v>
      </c>
      <c r="B12" t="str">
        <f t="shared" si="290"/>
        <v>J20-0864 OR 17</v>
      </c>
      <c r="C12" s="41" t="s">
        <v>75</v>
      </c>
      <c r="D12" s="42" t="s">
        <v>76</v>
      </c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1"/>
      <c r="R12" s="22"/>
      <c r="S12" s="20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0"/>
      <c r="AH12" s="20"/>
      <c r="AI12" s="20"/>
      <c r="AJ12" s="20"/>
      <c r="AK12" s="20"/>
      <c r="AL12" s="20"/>
      <c r="AM12" s="20"/>
      <c r="AN12" s="20"/>
      <c r="AO12" s="20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0"/>
      <c r="BF12" s="23"/>
      <c r="BG12" s="23"/>
      <c r="BH12" s="23"/>
      <c r="BI12" s="20"/>
      <c r="BJ12" s="25"/>
      <c r="BK12" s="23">
        <v>114578</v>
      </c>
      <c r="BL12" s="23">
        <v>3061</v>
      </c>
      <c r="BM12" s="24">
        <f>107152+33950</f>
        <v>141102</v>
      </c>
      <c r="BN12" s="23">
        <f>1605+300</f>
        <v>1905</v>
      </c>
      <c r="BO12" s="23"/>
      <c r="BP12" s="23">
        <v>256309</v>
      </c>
      <c r="BQ12" s="23">
        <v>3854</v>
      </c>
      <c r="BR12" s="23">
        <f>323669+30181</f>
        <v>353850</v>
      </c>
      <c r="BS12" s="23">
        <f>3600+300</f>
        <v>3900</v>
      </c>
      <c r="BT12" s="25">
        <f t="shared" si="287"/>
        <v>617913</v>
      </c>
      <c r="BU12" s="23">
        <v>355213</v>
      </c>
      <c r="BV12" s="24">
        <f>330003+36088</f>
        <v>366091</v>
      </c>
      <c r="BW12" s="25">
        <f t="shared" si="288"/>
        <v>1343117</v>
      </c>
      <c r="BX12" s="23">
        <v>241350</v>
      </c>
      <c r="BY12" s="23">
        <v>94725</v>
      </c>
      <c r="BZ12" s="23">
        <v>29680</v>
      </c>
      <c r="CA12" s="23"/>
      <c r="CB12" s="23">
        <v>40</v>
      </c>
      <c r="CC12" s="23">
        <f t="shared" si="289"/>
        <v>365755</v>
      </c>
      <c r="CD12" s="23">
        <f>27000+305150</f>
        <v>332150</v>
      </c>
      <c r="CE12" s="22">
        <f>11531+216674</f>
        <v>228205</v>
      </c>
      <c r="CF12" s="23">
        <f>2000+44100</f>
        <v>46100</v>
      </c>
      <c r="CG12" s="23"/>
      <c r="CH12" s="23">
        <v>40</v>
      </c>
      <c r="CI12" s="23">
        <f t="shared" si="300"/>
        <v>606455</v>
      </c>
      <c r="CJ12" s="25">
        <f t="shared" si="291"/>
        <v>972210</v>
      </c>
      <c r="CK12" s="34">
        <v>314057</v>
      </c>
      <c r="CL12" s="34">
        <v>167369</v>
      </c>
      <c r="CM12" s="34">
        <v>42490</v>
      </c>
      <c r="CN12" s="34"/>
      <c r="CO12" s="34">
        <v>50</v>
      </c>
      <c r="CP12" s="34">
        <f>SUM(CK12:CO12)</f>
        <v>523966</v>
      </c>
      <c r="CQ12" s="43">
        <f>331917+27000</f>
        <v>358917</v>
      </c>
      <c r="CR12" s="44">
        <f>195153+12881</f>
        <v>208034</v>
      </c>
      <c r="CS12" s="44">
        <f>45080+2000</f>
        <v>47080</v>
      </c>
      <c r="CT12" s="34"/>
      <c r="CU12" s="34">
        <v>52</v>
      </c>
      <c r="CV12" s="34">
        <f t="shared" si="299"/>
        <v>614031</v>
      </c>
      <c r="CW12" s="37">
        <f t="shared" si="294"/>
        <v>1137997</v>
      </c>
      <c r="CX12" s="23">
        <v>392128</v>
      </c>
      <c r="CY12" s="23">
        <v>251809</v>
      </c>
      <c r="CZ12" s="23">
        <v>54810</v>
      </c>
      <c r="DA12" s="23">
        <v>17600</v>
      </c>
      <c r="DB12" s="23">
        <v>61</v>
      </c>
      <c r="DC12" s="25">
        <f t="shared" si="295"/>
        <v>716347</v>
      </c>
      <c r="DD12" s="23">
        <f>486869+24300</f>
        <v>511169</v>
      </c>
      <c r="DE12" s="23">
        <f>225315+10800</f>
        <v>236115</v>
      </c>
      <c r="DF12" s="23">
        <f>67760+2000</f>
        <v>69760</v>
      </c>
      <c r="DG12" s="23"/>
      <c r="DH12" s="23">
        <v>63</v>
      </c>
      <c r="DI12" s="23">
        <f t="shared" si="296"/>
        <v>817044</v>
      </c>
      <c r="DJ12" s="23">
        <f t="shared" si="297"/>
        <v>1533391</v>
      </c>
      <c r="DK12" s="23">
        <v>451768</v>
      </c>
      <c r="DL12" s="23">
        <v>69756</v>
      </c>
      <c r="DM12" s="23">
        <v>62370</v>
      </c>
      <c r="DN12" s="23"/>
      <c r="DO12" s="23">
        <v>63</v>
      </c>
      <c r="DP12" s="23">
        <f t="shared" si="298"/>
        <v>583894</v>
      </c>
      <c r="DQ12" s="23"/>
      <c r="DR12" s="23"/>
      <c r="DS12" s="23"/>
      <c r="DT12" s="23"/>
      <c r="DU12" s="23"/>
      <c r="DV12" s="23"/>
      <c r="DW12" s="23"/>
    </row>
    <row r="13" spans="1:361" x14ac:dyDescent="0.25">
      <c r="A13">
        <f t="shared" si="292"/>
        <v>9</v>
      </c>
      <c r="B13" t="str">
        <f t="shared" si="290"/>
        <v>J20-0864 OR 18</v>
      </c>
      <c r="C13" s="45" t="s">
        <v>77</v>
      </c>
      <c r="D13" s="46" t="s">
        <v>78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1"/>
      <c r="R13" s="22"/>
      <c r="S13" s="20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0"/>
      <c r="AH13" s="20"/>
      <c r="AI13" s="20"/>
      <c r="AJ13" s="20"/>
      <c r="AK13" s="20"/>
      <c r="AL13" s="20"/>
      <c r="AM13" s="20"/>
      <c r="AN13" s="20"/>
      <c r="AO13" s="20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0"/>
      <c r="BF13" s="23"/>
      <c r="BG13" s="23"/>
      <c r="BH13" s="23"/>
      <c r="BI13" s="20"/>
      <c r="BJ13" s="25"/>
      <c r="BK13" s="23">
        <v>29800</v>
      </c>
      <c r="BL13" s="23"/>
      <c r="BM13" s="24">
        <v>264892</v>
      </c>
      <c r="BN13" s="23">
        <v>2824</v>
      </c>
      <c r="BO13" s="23"/>
      <c r="BP13" s="23">
        <v>156097</v>
      </c>
      <c r="BQ13" s="23">
        <v>2272</v>
      </c>
      <c r="BR13" s="23">
        <v>340711</v>
      </c>
      <c r="BS13" s="23">
        <v>3770</v>
      </c>
      <c r="BT13" s="25">
        <f t="shared" si="287"/>
        <v>502850</v>
      </c>
      <c r="BU13" s="23">
        <v>390388</v>
      </c>
      <c r="BV13" s="24">
        <f>464610+5460</f>
        <v>470070</v>
      </c>
      <c r="BW13" s="25">
        <f t="shared" si="288"/>
        <v>1367078</v>
      </c>
      <c r="BX13" s="23">
        <v>269772</v>
      </c>
      <c r="BY13" s="23">
        <v>133194</v>
      </c>
      <c r="BZ13" s="23">
        <f>45150+4410</f>
        <v>49560</v>
      </c>
      <c r="CA13" s="23"/>
      <c r="CB13" s="23">
        <v>55</v>
      </c>
      <c r="CC13" s="23">
        <f t="shared" si="289"/>
        <v>452526</v>
      </c>
      <c r="CD13" s="23">
        <v>352962</v>
      </c>
      <c r="CE13" s="22">
        <v>159188</v>
      </c>
      <c r="CF13" s="22">
        <f>67760+5180</f>
        <v>72940</v>
      </c>
      <c r="CG13" s="23"/>
      <c r="CH13" s="23">
        <v>66</v>
      </c>
      <c r="CI13" s="23">
        <f t="shared" si="300"/>
        <v>585090</v>
      </c>
      <c r="CJ13" s="25">
        <f t="shared" si="291"/>
        <v>1037616</v>
      </c>
      <c r="CK13" s="34">
        <v>366948</v>
      </c>
      <c r="CL13" s="34">
        <v>193859</v>
      </c>
      <c r="CM13" s="34">
        <v>66430</v>
      </c>
      <c r="CN13" s="34"/>
      <c r="CO13" s="34">
        <v>63</v>
      </c>
      <c r="CP13" s="34">
        <f>SUM(CK13:CO13)</f>
        <v>627300</v>
      </c>
      <c r="CQ13" s="47">
        <f>339502+14340</f>
        <v>353842</v>
      </c>
      <c r="CR13" s="44">
        <f>160282+6725</f>
        <v>167007</v>
      </c>
      <c r="CS13" s="48">
        <f>53900+4550</f>
        <v>58450</v>
      </c>
      <c r="CT13" s="34"/>
      <c r="CU13" s="34">
        <v>62</v>
      </c>
      <c r="CV13" s="34">
        <f t="shared" si="299"/>
        <v>579299</v>
      </c>
      <c r="CW13" s="37">
        <f t="shared" si="294"/>
        <v>1206599</v>
      </c>
      <c r="CX13" s="23">
        <v>497342</v>
      </c>
      <c r="CY13" s="23">
        <v>247439</v>
      </c>
      <c r="CZ13" s="23">
        <v>71120</v>
      </c>
      <c r="DA13" s="23"/>
      <c r="DB13" s="23">
        <v>75</v>
      </c>
      <c r="DC13" s="25">
        <f t="shared" si="295"/>
        <v>815901</v>
      </c>
      <c r="DD13" s="23">
        <v>595069</v>
      </c>
      <c r="DE13" s="23">
        <v>210166</v>
      </c>
      <c r="DF13" s="23">
        <v>82600</v>
      </c>
      <c r="DG13" s="23"/>
      <c r="DH13" s="23">
        <v>78</v>
      </c>
      <c r="DI13" s="23">
        <f t="shared" si="296"/>
        <v>887835</v>
      </c>
      <c r="DJ13" s="23">
        <f t="shared" si="297"/>
        <v>1703736</v>
      </c>
      <c r="DK13" s="23">
        <v>628796</v>
      </c>
      <c r="DL13" s="23">
        <v>57443</v>
      </c>
      <c r="DM13" s="23">
        <v>81410</v>
      </c>
      <c r="DN13" s="23">
        <v>16500</v>
      </c>
      <c r="DO13" s="23">
        <v>82</v>
      </c>
      <c r="DP13" s="23">
        <f t="shared" si="298"/>
        <v>784149</v>
      </c>
      <c r="DQ13" s="23"/>
      <c r="DR13" s="23"/>
      <c r="DS13" s="23"/>
      <c r="DT13" s="23"/>
      <c r="DU13" s="23"/>
      <c r="DV13" s="23"/>
      <c r="DW13" s="23"/>
    </row>
    <row r="14" spans="1:361" x14ac:dyDescent="0.25">
      <c r="A14">
        <f t="shared" si="292"/>
        <v>10</v>
      </c>
      <c r="B14" t="str">
        <f t="shared" si="290"/>
        <v>J20-0962</v>
      </c>
      <c r="C14" s="20" t="s">
        <v>79</v>
      </c>
      <c r="D14" s="21" t="s">
        <v>80</v>
      </c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1"/>
      <c r="R14" s="20"/>
      <c r="S14" s="20"/>
      <c r="T14" s="23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5">
        <f>AG77+AI77</f>
        <v>0</v>
      </c>
      <c r="AH14" s="20"/>
      <c r="AI14" s="20"/>
      <c r="AJ14" s="20"/>
      <c r="AK14" s="20"/>
      <c r="AL14" s="25">
        <f>AL77+AN77</f>
        <v>0</v>
      </c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5">
        <f>BA77+BC77</f>
        <v>0</v>
      </c>
      <c r="BB14" s="20"/>
      <c r="BC14" s="20"/>
      <c r="BD14" s="20"/>
      <c r="BE14" s="20"/>
      <c r="BF14" s="23"/>
      <c r="BG14" s="23"/>
      <c r="BH14" s="20"/>
      <c r="BI14" s="20"/>
      <c r="BJ14" s="25"/>
      <c r="BK14" s="23">
        <v>30500</v>
      </c>
      <c r="BL14" s="23">
        <v>649</v>
      </c>
      <c r="BM14" s="24">
        <v>137108</v>
      </c>
      <c r="BN14" s="23">
        <v>2482</v>
      </c>
      <c r="BO14" s="23"/>
      <c r="BP14" s="23">
        <v>149167</v>
      </c>
      <c r="BQ14" s="23">
        <v>2207</v>
      </c>
      <c r="BR14" s="23">
        <f>736+144809</f>
        <v>145545</v>
      </c>
      <c r="BS14" s="23">
        <v>1666</v>
      </c>
      <c r="BT14" s="25">
        <f t="shared" si="287"/>
        <v>298585</v>
      </c>
      <c r="BU14" s="23">
        <v>73460</v>
      </c>
      <c r="BV14" s="24">
        <v>64239</v>
      </c>
      <c r="BW14" s="25">
        <f t="shared" si="288"/>
        <v>437950</v>
      </c>
      <c r="BX14" s="23">
        <v>4800</v>
      </c>
      <c r="BY14" s="23"/>
      <c r="BZ14" s="23"/>
      <c r="CA14" s="23"/>
      <c r="CB14" s="23">
        <v>1</v>
      </c>
      <c r="CC14" s="23">
        <f t="shared" si="289"/>
        <v>4800</v>
      </c>
      <c r="CD14" s="23"/>
      <c r="CE14" s="23"/>
      <c r="CF14" s="23"/>
      <c r="CG14" s="23"/>
      <c r="CH14" s="23"/>
      <c r="CI14" s="23">
        <f t="shared" si="300"/>
        <v>0</v>
      </c>
      <c r="CJ14" s="25">
        <f t="shared" si="291"/>
        <v>4800</v>
      </c>
      <c r="CK14" s="34"/>
      <c r="CL14" s="34"/>
      <c r="CM14" s="34"/>
      <c r="CN14" s="34"/>
      <c r="CO14" s="34"/>
      <c r="CP14" s="34">
        <f t="shared" si="293"/>
        <v>0</v>
      </c>
      <c r="CQ14" s="34"/>
      <c r="CR14" s="34"/>
      <c r="CS14" s="34"/>
      <c r="CT14" s="34"/>
      <c r="CU14" s="34"/>
      <c r="CV14" s="34">
        <f t="shared" si="299"/>
        <v>0</v>
      </c>
      <c r="CW14" s="37">
        <f t="shared" si="294"/>
        <v>0</v>
      </c>
      <c r="CX14" s="23"/>
      <c r="CY14" s="23"/>
      <c r="CZ14" s="23"/>
      <c r="DA14" s="23"/>
      <c r="DB14" s="23"/>
      <c r="DC14" s="25">
        <f t="shared" si="295"/>
        <v>0</v>
      </c>
      <c r="DD14" s="23">
        <v>60798</v>
      </c>
      <c r="DE14" s="23">
        <v>4878</v>
      </c>
      <c r="DF14" s="23"/>
      <c r="DG14" s="23">
        <v>4800</v>
      </c>
      <c r="DH14" s="23"/>
      <c r="DI14" s="23">
        <f t="shared" si="296"/>
        <v>70476</v>
      </c>
      <c r="DJ14" s="23">
        <f t="shared" si="297"/>
        <v>70476</v>
      </c>
      <c r="DK14" s="23">
        <v>78532</v>
      </c>
      <c r="DL14" s="23">
        <v>13688</v>
      </c>
      <c r="DM14" s="23"/>
      <c r="DN14" s="23"/>
      <c r="DO14" s="23"/>
      <c r="DP14" s="23">
        <f t="shared" si="298"/>
        <v>92220</v>
      </c>
      <c r="DQ14" s="23"/>
      <c r="DR14" s="23"/>
      <c r="DS14" s="23"/>
      <c r="DT14" s="23"/>
      <c r="DU14" s="23"/>
      <c r="DV14" s="23"/>
      <c r="DW14" s="23"/>
    </row>
    <row r="15" spans="1:361" x14ac:dyDescent="0.25">
      <c r="A15">
        <f t="shared" si="292"/>
        <v>11</v>
      </c>
      <c r="B15" t="str">
        <f t="shared" si="290"/>
        <v>J20-0953</v>
      </c>
      <c r="C15" s="20" t="s">
        <v>81</v>
      </c>
      <c r="D15" s="21" t="s">
        <v>82</v>
      </c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1"/>
      <c r="R15" s="20"/>
      <c r="S15" s="20"/>
      <c r="T15" s="23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5">
        <f>AG80+AI80</f>
        <v>0</v>
      </c>
      <c r="AH15" s="20"/>
      <c r="AI15" s="20"/>
      <c r="AJ15" s="20"/>
      <c r="AK15" s="20"/>
      <c r="AL15" s="25">
        <f>AL80+AN80</f>
        <v>0</v>
      </c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5">
        <f>BA80+BC80</f>
        <v>0</v>
      </c>
      <c r="BB15" s="20"/>
      <c r="BC15" s="20"/>
      <c r="BD15" s="20"/>
      <c r="BE15" s="20"/>
      <c r="BF15" s="23"/>
      <c r="BG15" s="23"/>
      <c r="BH15" s="20"/>
      <c r="BI15" s="20"/>
      <c r="BJ15" s="20"/>
      <c r="BK15" s="23"/>
      <c r="BL15" s="23"/>
      <c r="BM15" s="20"/>
      <c r="BN15" s="20"/>
      <c r="BO15" s="20"/>
      <c r="BP15" s="20"/>
      <c r="BQ15" s="20"/>
      <c r="BR15" s="20"/>
      <c r="BS15" s="20"/>
      <c r="BT15" s="20"/>
      <c r="BU15" s="23">
        <f>30776+6490</f>
        <v>37266</v>
      </c>
      <c r="BV15" s="24">
        <v>72998</v>
      </c>
      <c r="BW15" s="25">
        <f t="shared" si="288"/>
        <v>110264</v>
      </c>
      <c r="BX15" s="23">
        <v>64235</v>
      </c>
      <c r="BY15" s="23">
        <v>8654</v>
      </c>
      <c r="BZ15" s="23"/>
      <c r="CA15" s="23"/>
      <c r="CB15" s="23">
        <v>8</v>
      </c>
      <c r="CC15" s="23">
        <f t="shared" si="289"/>
        <v>72889</v>
      </c>
      <c r="CD15" s="23">
        <v>62597</v>
      </c>
      <c r="CE15" s="23">
        <v>3624</v>
      </c>
      <c r="CF15" s="23"/>
      <c r="CG15" s="23"/>
      <c r="CH15" s="23">
        <v>7</v>
      </c>
      <c r="CI15" s="23">
        <f t="shared" si="300"/>
        <v>66221</v>
      </c>
      <c r="CJ15" s="25">
        <f t="shared" si="291"/>
        <v>139110</v>
      </c>
      <c r="CK15" s="34"/>
      <c r="CL15" s="34"/>
      <c r="CM15" s="34"/>
      <c r="CN15" s="34"/>
      <c r="CO15" s="34"/>
      <c r="CP15" s="34">
        <f t="shared" si="293"/>
        <v>0</v>
      </c>
      <c r="CQ15" s="34"/>
      <c r="CR15" s="34"/>
      <c r="CS15" s="34"/>
      <c r="CT15" s="34"/>
      <c r="CU15" s="34"/>
      <c r="CV15" s="34">
        <f t="shared" si="299"/>
        <v>0</v>
      </c>
      <c r="CW15" s="37">
        <f t="shared" si="294"/>
        <v>0</v>
      </c>
      <c r="CX15" s="23"/>
      <c r="CY15" s="23"/>
      <c r="CZ15" s="23"/>
      <c r="DA15" s="23"/>
      <c r="DB15" s="23"/>
      <c r="DC15" s="25">
        <f t="shared" si="295"/>
        <v>0</v>
      </c>
      <c r="DD15" s="23"/>
      <c r="DE15" s="23"/>
      <c r="DF15" s="23"/>
      <c r="DG15" s="23"/>
      <c r="DH15" s="23"/>
      <c r="DI15" s="23">
        <f t="shared" si="296"/>
        <v>0</v>
      </c>
      <c r="DJ15" s="23">
        <f t="shared" si="297"/>
        <v>0</v>
      </c>
      <c r="DK15" s="23"/>
      <c r="DL15" s="23"/>
      <c r="DM15" s="23"/>
      <c r="DN15" s="23"/>
      <c r="DO15" s="23"/>
      <c r="DP15" s="23">
        <f t="shared" si="298"/>
        <v>0</v>
      </c>
      <c r="DQ15" s="23"/>
      <c r="DR15" s="23"/>
      <c r="DS15" s="23"/>
      <c r="DT15" s="23"/>
      <c r="DU15" s="23"/>
      <c r="DV15" s="23"/>
      <c r="DW15" s="23"/>
    </row>
    <row r="16" spans="1:361" x14ac:dyDescent="0.25">
      <c r="A16">
        <f t="shared" si="292"/>
        <v>12</v>
      </c>
      <c r="B16" t="str">
        <f t="shared" si="290"/>
        <v>J20-1297</v>
      </c>
      <c r="C16" s="20" t="s">
        <v>83</v>
      </c>
      <c r="D16" s="21" t="s">
        <v>84</v>
      </c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1"/>
      <c r="R16" s="20"/>
      <c r="S16" s="20"/>
      <c r="T16" s="23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5"/>
      <c r="AH16" s="20"/>
      <c r="AI16" s="20"/>
      <c r="AJ16" s="20"/>
      <c r="AK16" s="20"/>
      <c r="AL16" s="25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5"/>
      <c r="BB16" s="20"/>
      <c r="BC16" s="20"/>
      <c r="BD16" s="20"/>
      <c r="BE16" s="20"/>
      <c r="BF16" s="23"/>
      <c r="BG16" s="23"/>
      <c r="BH16" s="20"/>
      <c r="BI16" s="20"/>
      <c r="BJ16" s="20"/>
      <c r="BK16" s="23"/>
      <c r="BL16" s="23"/>
      <c r="BM16" s="20"/>
      <c r="BN16" s="20"/>
      <c r="BO16" s="20"/>
      <c r="BP16" s="20"/>
      <c r="BQ16" s="20"/>
      <c r="BR16" s="20"/>
      <c r="BS16" s="20"/>
      <c r="BT16" s="20"/>
      <c r="BU16" s="23"/>
      <c r="BV16" s="24">
        <f>77611+101983</f>
        <v>179594</v>
      </c>
      <c r="BW16" s="25">
        <f t="shared" si="288"/>
        <v>179594</v>
      </c>
      <c r="BX16" s="23">
        <f>82750+52930</f>
        <v>135680</v>
      </c>
      <c r="BY16" s="23">
        <f>35941+23863</f>
        <v>59804</v>
      </c>
      <c r="BZ16" s="23"/>
      <c r="CA16" s="23"/>
      <c r="CB16" s="23"/>
      <c r="CC16" s="23">
        <f t="shared" si="289"/>
        <v>195484</v>
      </c>
      <c r="CD16" s="22">
        <f>77944+39680</f>
        <v>117624</v>
      </c>
      <c r="CE16" s="22">
        <f>33523+17238</f>
        <v>50761</v>
      </c>
      <c r="CF16" s="23"/>
      <c r="CG16" s="23"/>
      <c r="CH16" s="23"/>
      <c r="CI16" s="23">
        <f t="shared" si="300"/>
        <v>168385</v>
      </c>
      <c r="CJ16" s="25">
        <f t="shared" si="291"/>
        <v>363869</v>
      </c>
      <c r="CK16" s="39">
        <f>57150+42390</f>
        <v>99540</v>
      </c>
      <c r="CL16" s="36">
        <f>14292+11633</f>
        <v>25925</v>
      </c>
      <c r="CM16" s="34"/>
      <c r="CN16" s="34"/>
      <c r="CO16" s="34"/>
      <c r="CP16" s="34">
        <f t="shared" si="293"/>
        <v>125465</v>
      </c>
      <c r="CQ16" s="49">
        <f>15750+6050</f>
        <v>21800</v>
      </c>
      <c r="CR16" s="34"/>
      <c r="CS16" s="34"/>
      <c r="CT16" s="34"/>
      <c r="CU16" s="34"/>
      <c r="CV16" s="34">
        <f t="shared" si="299"/>
        <v>21800</v>
      </c>
      <c r="CW16" s="37">
        <f t="shared" si="294"/>
        <v>147265</v>
      </c>
      <c r="CX16" s="23">
        <v>14000</v>
      </c>
      <c r="CY16" s="23"/>
      <c r="CZ16" s="23"/>
      <c r="DA16" s="23"/>
      <c r="DB16" s="23"/>
      <c r="DC16" s="25">
        <f t="shared" si="295"/>
        <v>14000</v>
      </c>
      <c r="DD16" s="23"/>
      <c r="DE16" s="23"/>
      <c r="DF16" s="23"/>
      <c r="DG16" s="23"/>
      <c r="DH16" s="23"/>
      <c r="DI16" s="23">
        <f t="shared" si="296"/>
        <v>0</v>
      </c>
      <c r="DJ16" s="23">
        <f t="shared" si="297"/>
        <v>14000</v>
      </c>
      <c r="DK16" s="23"/>
      <c r="DL16" s="23"/>
      <c r="DM16" s="23"/>
      <c r="DN16" s="23"/>
      <c r="DO16" s="23"/>
      <c r="DP16" s="23">
        <f t="shared" si="298"/>
        <v>0</v>
      </c>
      <c r="DQ16" s="23"/>
      <c r="DR16" s="23"/>
      <c r="DS16" s="23"/>
      <c r="DT16" s="23"/>
      <c r="DU16" s="23"/>
      <c r="DV16" s="23"/>
      <c r="DW16" s="23"/>
    </row>
    <row r="17" spans="1:127" x14ac:dyDescent="0.25">
      <c r="A17">
        <f t="shared" si="292"/>
        <v>13</v>
      </c>
      <c r="B17" t="str">
        <f t="shared" si="290"/>
        <v>J20-0303</v>
      </c>
      <c r="C17" s="20" t="s">
        <v>85</v>
      </c>
      <c r="D17" s="21" t="s">
        <v>86</v>
      </c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1"/>
      <c r="R17" s="20"/>
      <c r="S17" s="20"/>
      <c r="T17" s="23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5"/>
      <c r="AH17" s="20"/>
      <c r="AI17" s="20"/>
      <c r="AJ17" s="20"/>
      <c r="AK17" s="20"/>
      <c r="AL17" s="25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5"/>
      <c r="BB17" s="20"/>
      <c r="BC17" s="20"/>
      <c r="BD17" s="20"/>
      <c r="BE17" s="20"/>
      <c r="BF17" s="23"/>
      <c r="BG17" s="23"/>
      <c r="BH17" s="20"/>
      <c r="BI17" s="20"/>
      <c r="BJ17" s="20"/>
      <c r="BK17" s="23"/>
      <c r="BL17" s="23"/>
      <c r="BM17" s="24"/>
      <c r="BN17" s="23"/>
      <c r="BO17" s="23"/>
      <c r="BP17" s="23"/>
      <c r="BQ17" s="23"/>
      <c r="BR17" s="23">
        <f>25672+880</f>
        <v>26552</v>
      </c>
      <c r="BS17" s="23"/>
      <c r="BT17" s="25">
        <f>SUM(BP17+BQ17+BR17+BS17)</f>
        <v>26552</v>
      </c>
      <c r="BU17" s="23">
        <v>4990</v>
      </c>
      <c r="BV17" s="24"/>
      <c r="BW17" s="25">
        <f t="shared" si="288"/>
        <v>31542</v>
      </c>
      <c r="BX17" s="23"/>
      <c r="BY17" s="23"/>
      <c r="BZ17" s="23"/>
      <c r="CA17" s="23"/>
      <c r="CB17" s="23"/>
      <c r="CC17" s="23">
        <f t="shared" si="289"/>
        <v>0</v>
      </c>
      <c r="CD17" s="23">
        <v>5200</v>
      </c>
      <c r="CE17" s="23"/>
      <c r="CF17" s="23"/>
      <c r="CG17" s="23"/>
      <c r="CH17" s="23"/>
      <c r="CI17" s="23">
        <f t="shared" si="300"/>
        <v>5200</v>
      </c>
      <c r="CJ17" s="25">
        <f t="shared" si="291"/>
        <v>5200</v>
      </c>
      <c r="CK17" s="34"/>
      <c r="CL17" s="34"/>
      <c r="CM17" s="34"/>
      <c r="CN17" s="34"/>
      <c r="CO17" s="34"/>
      <c r="CP17" s="34">
        <f t="shared" si="293"/>
        <v>0</v>
      </c>
      <c r="CQ17" s="34"/>
      <c r="CR17" s="34"/>
      <c r="CS17" s="34"/>
      <c r="CT17" s="34"/>
      <c r="CU17" s="34"/>
      <c r="CV17" s="34">
        <f t="shared" si="299"/>
        <v>0</v>
      </c>
      <c r="CW17" s="37">
        <f t="shared" si="294"/>
        <v>0</v>
      </c>
      <c r="CX17" s="23"/>
      <c r="CY17" s="23"/>
      <c r="CZ17" s="23"/>
      <c r="DA17" s="23"/>
      <c r="DB17" s="23"/>
      <c r="DC17" s="25">
        <f t="shared" si="295"/>
        <v>0</v>
      </c>
      <c r="DD17" s="23"/>
      <c r="DE17" s="23"/>
      <c r="DF17" s="23"/>
      <c r="DG17" s="23"/>
      <c r="DH17" s="23"/>
      <c r="DI17" s="23">
        <f t="shared" si="296"/>
        <v>0</v>
      </c>
      <c r="DJ17" s="23">
        <f t="shared" si="297"/>
        <v>0</v>
      </c>
      <c r="DK17" s="23"/>
      <c r="DL17" s="23"/>
      <c r="DM17" s="23"/>
      <c r="DN17" s="23"/>
      <c r="DO17" s="23"/>
      <c r="DP17" s="23">
        <f t="shared" si="298"/>
        <v>0</v>
      </c>
      <c r="DQ17" s="23"/>
      <c r="DR17" s="23"/>
      <c r="DS17" s="23"/>
      <c r="DT17" s="23"/>
      <c r="DU17" s="23"/>
      <c r="DV17" s="23"/>
      <c r="DW17" s="23"/>
    </row>
    <row r="18" spans="1:127" x14ac:dyDescent="0.25">
      <c r="A18">
        <f t="shared" si="292"/>
        <v>14</v>
      </c>
      <c r="B18" t="str">
        <f t="shared" si="290"/>
        <v>J20-1378</v>
      </c>
      <c r="C18" s="20" t="s">
        <v>87</v>
      </c>
      <c r="D18" s="21" t="s">
        <v>88</v>
      </c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1"/>
      <c r="R18" s="20"/>
      <c r="S18" s="20"/>
      <c r="T18" s="23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5">
        <f>AG75+AI75</f>
        <v>0</v>
      </c>
      <c r="AH18" s="20"/>
      <c r="AI18" s="20"/>
      <c r="AJ18" s="20"/>
      <c r="AK18" s="20"/>
      <c r="AL18" s="25">
        <f>AL75+AN75</f>
        <v>0</v>
      </c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5">
        <f>BA75+BC75</f>
        <v>0</v>
      </c>
      <c r="BB18" s="20"/>
      <c r="BC18" s="20"/>
      <c r="BD18" s="20"/>
      <c r="BE18" s="20"/>
      <c r="BF18" s="23"/>
      <c r="BG18" s="23"/>
      <c r="BH18" s="20"/>
      <c r="BI18" s="20"/>
      <c r="BJ18" s="20"/>
      <c r="BK18" s="23"/>
      <c r="BL18" s="23"/>
      <c r="BM18" s="20"/>
      <c r="BN18" s="20"/>
      <c r="BO18" s="20"/>
      <c r="BP18" s="20"/>
      <c r="BQ18" s="20"/>
      <c r="BR18" s="20"/>
      <c r="BS18" s="20"/>
      <c r="BT18" s="20"/>
      <c r="BU18" s="23"/>
      <c r="BV18" s="24"/>
      <c r="BW18" s="20"/>
      <c r="BX18" s="23"/>
      <c r="BY18" s="23"/>
      <c r="BZ18" s="23"/>
      <c r="CA18" s="23"/>
      <c r="CB18" s="23"/>
      <c r="CC18" s="23">
        <f t="shared" si="289"/>
        <v>0</v>
      </c>
      <c r="CD18" s="23">
        <v>1760</v>
      </c>
      <c r="CE18" s="23">
        <v>1650</v>
      </c>
      <c r="CF18" s="23"/>
      <c r="CG18" s="23"/>
      <c r="CH18" s="23"/>
      <c r="CI18" s="23">
        <f t="shared" si="300"/>
        <v>3410</v>
      </c>
      <c r="CJ18" s="25">
        <f t="shared" si="291"/>
        <v>3410</v>
      </c>
      <c r="CK18" s="34"/>
      <c r="CL18" s="34"/>
      <c r="CM18" s="34"/>
      <c r="CN18" s="34"/>
      <c r="CO18" s="34"/>
      <c r="CP18" s="34">
        <f t="shared" si="293"/>
        <v>0</v>
      </c>
      <c r="CQ18" s="34"/>
      <c r="CR18" s="34"/>
      <c r="CS18" s="34"/>
      <c r="CT18" s="34"/>
      <c r="CU18" s="34"/>
      <c r="CV18" s="34">
        <f t="shared" si="299"/>
        <v>0</v>
      </c>
      <c r="CW18" s="37">
        <f t="shared" si="294"/>
        <v>0</v>
      </c>
      <c r="CX18" s="23"/>
      <c r="CY18" s="23"/>
      <c r="CZ18" s="23"/>
      <c r="DA18" s="23"/>
      <c r="DB18" s="23"/>
      <c r="DC18" s="25">
        <f t="shared" si="295"/>
        <v>0</v>
      </c>
      <c r="DD18" s="23"/>
      <c r="DE18" s="23"/>
      <c r="DF18" s="23"/>
      <c r="DG18" s="23"/>
      <c r="DH18" s="23"/>
      <c r="DI18" s="23">
        <f t="shared" si="296"/>
        <v>0</v>
      </c>
      <c r="DJ18" s="23">
        <f t="shared" si="297"/>
        <v>0</v>
      </c>
      <c r="DK18" s="23"/>
      <c r="DL18" s="23"/>
      <c r="DM18" s="23"/>
      <c r="DN18" s="23"/>
      <c r="DO18" s="23"/>
      <c r="DP18" s="23">
        <f t="shared" si="298"/>
        <v>0</v>
      </c>
      <c r="DQ18" s="23"/>
      <c r="DR18" s="23"/>
      <c r="DS18" s="23"/>
      <c r="DT18" s="23"/>
      <c r="DU18" s="23"/>
      <c r="DV18" s="23"/>
      <c r="DW18" s="23"/>
    </row>
    <row r="19" spans="1:127" x14ac:dyDescent="0.25">
      <c r="A19">
        <f t="shared" si="292"/>
        <v>15</v>
      </c>
      <c r="B19" t="str">
        <f t="shared" si="290"/>
        <v>J19-1288</v>
      </c>
      <c r="C19" s="20" t="s">
        <v>89</v>
      </c>
      <c r="D19" s="21" t="s">
        <v>90</v>
      </c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1"/>
      <c r="R19" s="22">
        <f>51944+111700</f>
        <v>163644</v>
      </c>
      <c r="S19" s="23"/>
      <c r="T19" s="24">
        <v>132100</v>
      </c>
      <c r="U19" s="23"/>
      <c r="V19" s="23"/>
      <c r="W19" s="23">
        <v>132487</v>
      </c>
      <c r="X19" s="23"/>
      <c r="Y19" s="23">
        <v>115350</v>
      </c>
      <c r="Z19" s="23"/>
      <c r="AA19" s="23"/>
      <c r="AB19" s="23">
        <v>144624</v>
      </c>
      <c r="AC19" s="23"/>
      <c r="AD19" s="24">
        <v>191082</v>
      </c>
      <c r="AE19" s="24"/>
      <c r="AF19" s="24"/>
      <c r="AG19" s="24"/>
      <c r="AH19" s="24"/>
      <c r="AI19" s="24">
        <v>184282</v>
      </c>
      <c r="AJ19" s="24"/>
      <c r="AK19" s="24"/>
      <c r="AL19" s="24">
        <v>155038</v>
      </c>
      <c r="AM19" s="24"/>
      <c r="AN19" s="33">
        <f>134148+21000+27314</f>
        <v>182462</v>
      </c>
      <c r="AO19" s="33"/>
      <c r="AP19" s="24">
        <f>AL19+AN19</f>
        <v>337500</v>
      </c>
      <c r="AQ19" s="33">
        <f>144319</f>
        <v>144319</v>
      </c>
      <c r="AR19" s="33"/>
      <c r="AS19" s="33">
        <f>27000+135308</f>
        <v>162308</v>
      </c>
      <c r="AT19" s="33"/>
      <c r="AU19" s="24">
        <f>AQ19+AS19</f>
        <v>306627</v>
      </c>
      <c r="AV19" s="24"/>
      <c r="AW19" s="24"/>
      <c r="AX19" s="24">
        <f>13500+113707+27000</f>
        <v>154207</v>
      </c>
      <c r="AY19" s="24"/>
      <c r="AZ19" s="24">
        <f>AV19+AX19</f>
        <v>154207</v>
      </c>
      <c r="BA19" s="24">
        <f>100303+115900+52200+11700</f>
        <v>280103</v>
      </c>
      <c r="BB19" s="24"/>
      <c r="BC19" s="24">
        <f>27000+102061</f>
        <v>129061</v>
      </c>
      <c r="BD19" s="24"/>
      <c r="BE19" s="25">
        <f>SUM(BA19:BC19)</f>
        <v>409164</v>
      </c>
      <c r="BF19" s="25">
        <f>69757+123850</f>
        <v>193607</v>
      </c>
      <c r="BG19" s="23"/>
      <c r="BH19" s="38">
        <v>11166</v>
      </c>
      <c r="BI19" s="25"/>
      <c r="BJ19" s="25">
        <f>BF19+BH19</f>
        <v>204773</v>
      </c>
      <c r="BK19" s="23">
        <v>20501</v>
      </c>
      <c r="BL19" s="23"/>
      <c r="BM19" s="25">
        <v>7940</v>
      </c>
      <c r="BN19" s="25"/>
      <c r="BO19" s="25"/>
      <c r="BP19" s="25">
        <v>5130</v>
      </c>
      <c r="BQ19" s="25"/>
      <c r="BR19" s="25">
        <v>10330</v>
      </c>
      <c r="BS19" s="25"/>
      <c r="BT19" s="25">
        <f>SUM(BP19+BQ19+BR19+BS19)</f>
        <v>15460</v>
      </c>
      <c r="BU19" s="23">
        <v>41490</v>
      </c>
      <c r="BV19" s="24"/>
      <c r="BW19" s="25">
        <f t="shared" ref="BW19:BW50" si="301">SUM(BS19+BT19+BU19+BV19)</f>
        <v>56950</v>
      </c>
      <c r="BX19" s="23"/>
      <c r="BY19" s="23"/>
      <c r="BZ19" s="23"/>
      <c r="CA19" s="23"/>
      <c r="CB19" s="23"/>
      <c r="CC19" s="23">
        <f t="shared" si="289"/>
        <v>0</v>
      </c>
      <c r="CD19" s="23"/>
      <c r="CE19" s="23"/>
      <c r="CF19" s="23"/>
      <c r="CG19" s="23"/>
      <c r="CH19" s="23"/>
      <c r="CI19" s="23">
        <f t="shared" si="300"/>
        <v>0</v>
      </c>
      <c r="CJ19" s="20"/>
      <c r="CK19" s="34"/>
      <c r="CL19" s="34"/>
      <c r="CM19" s="34"/>
      <c r="CN19" s="34"/>
      <c r="CO19" s="34"/>
      <c r="CP19" s="34">
        <f t="shared" si="293"/>
        <v>0</v>
      </c>
      <c r="CQ19" s="34"/>
      <c r="CR19" s="34"/>
      <c r="CS19" s="34"/>
      <c r="CT19" s="34"/>
      <c r="CU19" s="34"/>
      <c r="CV19" s="34">
        <f t="shared" si="299"/>
        <v>0</v>
      </c>
      <c r="CW19" s="37">
        <f t="shared" si="294"/>
        <v>0</v>
      </c>
      <c r="CX19" s="23"/>
      <c r="CY19" s="23"/>
      <c r="CZ19" s="23"/>
      <c r="DA19" s="23"/>
      <c r="DB19" s="23"/>
      <c r="DC19" s="25">
        <f t="shared" si="295"/>
        <v>0</v>
      </c>
      <c r="DD19" s="23"/>
      <c r="DE19" s="23"/>
      <c r="DF19" s="23"/>
      <c r="DG19" s="23"/>
      <c r="DH19" s="23"/>
      <c r="DI19" s="23">
        <f t="shared" si="296"/>
        <v>0</v>
      </c>
      <c r="DJ19" s="23">
        <f t="shared" si="297"/>
        <v>0</v>
      </c>
      <c r="DK19" s="23"/>
      <c r="DL19" s="23"/>
      <c r="DM19" s="23"/>
      <c r="DN19" s="23"/>
      <c r="DO19" s="23"/>
      <c r="DP19" s="23">
        <f t="shared" si="298"/>
        <v>0</v>
      </c>
      <c r="DQ19" s="23"/>
      <c r="DR19" s="23"/>
      <c r="DS19" s="23"/>
      <c r="DT19" s="23"/>
      <c r="DU19" s="23"/>
      <c r="DV19" s="23"/>
      <c r="DW19" s="23"/>
    </row>
    <row r="20" spans="1:127" x14ac:dyDescent="0.25">
      <c r="A20">
        <f t="shared" si="292"/>
        <v>16</v>
      </c>
      <c r="B20" t="str">
        <f t="shared" si="290"/>
        <v>J19-0966</v>
      </c>
      <c r="C20" s="20" t="s">
        <v>91</v>
      </c>
      <c r="D20" s="21" t="s">
        <v>92</v>
      </c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1"/>
      <c r="R20" s="22">
        <f>98341+25737</f>
        <v>124078</v>
      </c>
      <c r="S20" s="23"/>
      <c r="T20" s="24">
        <f>176250+131054</f>
        <v>307304</v>
      </c>
      <c r="U20" s="23"/>
      <c r="V20" s="23"/>
      <c r="W20" s="23">
        <v>123783</v>
      </c>
      <c r="X20" s="23"/>
      <c r="Y20" s="23">
        <v>68387</v>
      </c>
      <c r="Z20" s="23"/>
      <c r="AA20" s="23"/>
      <c r="AB20" s="23">
        <v>53265</v>
      </c>
      <c r="AC20" s="23"/>
      <c r="AD20" s="24">
        <v>70710</v>
      </c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>
        <f t="shared" ref="AP20:AP84" si="302">AL20+AN20</f>
        <v>0</v>
      </c>
      <c r="AQ20" s="24"/>
      <c r="AR20" s="24"/>
      <c r="AS20" s="24"/>
      <c r="AT20" s="24"/>
      <c r="AU20" s="24">
        <f t="shared" ref="AU20:AU84" si="303">AQ20+AS20</f>
        <v>0</v>
      </c>
      <c r="AV20" s="24"/>
      <c r="AW20" s="24"/>
      <c r="AX20" s="24"/>
      <c r="AY20" s="24"/>
      <c r="AZ20" s="24">
        <f t="shared" ref="AZ20:AZ66" si="304">AV20+AX20</f>
        <v>0</v>
      </c>
      <c r="BA20" s="24"/>
      <c r="BB20" s="24"/>
      <c r="BC20" s="24"/>
      <c r="BD20" s="24"/>
      <c r="BE20" s="25">
        <f t="shared" ref="BE20:BE73" si="305">SUM(BA20:BC20)</f>
        <v>0</v>
      </c>
      <c r="BF20" s="23"/>
      <c r="BG20" s="23"/>
      <c r="BH20" s="25"/>
      <c r="BI20" s="25"/>
      <c r="BJ20" s="25"/>
      <c r="BK20" s="23"/>
      <c r="BL20" s="23"/>
      <c r="BM20" s="25"/>
      <c r="BN20" s="25"/>
      <c r="BO20" s="25"/>
      <c r="BP20" s="25"/>
      <c r="BQ20" s="25"/>
      <c r="BR20" s="25"/>
      <c r="BS20" s="25"/>
      <c r="BT20" s="25">
        <f t="shared" ref="BT20:BT83" si="306">SUM(BP20+BQ20+BR20+BS20)</f>
        <v>0</v>
      </c>
      <c r="BU20" s="23"/>
      <c r="BV20" s="24"/>
      <c r="BW20" s="25">
        <f t="shared" si="301"/>
        <v>0</v>
      </c>
      <c r="BX20" s="23"/>
      <c r="BY20" s="23"/>
      <c r="BZ20" s="23"/>
      <c r="CA20" s="23"/>
      <c r="CB20" s="23"/>
      <c r="CC20" s="23">
        <f t="shared" si="289"/>
        <v>0</v>
      </c>
      <c r="CD20" s="23"/>
      <c r="CE20" s="23"/>
      <c r="CF20" s="23"/>
      <c r="CG20" s="23"/>
      <c r="CH20" s="23"/>
      <c r="CI20" s="23">
        <f t="shared" si="300"/>
        <v>0</v>
      </c>
      <c r="CJ20" s="20"/>
      <c r="CK20" s="34"/>
      <c r="CL20" s="34"/>
      <c r="CM20" s="34"/>
      <c r="CN20" s="34"/>
      <c r="CO20" s="34"/>
      <c r="CP20" s="34">
        <f t="shared" si="293"/>
        <v>0</v>
      </c>
      <c r="CQ20" s="34"/>
      <c r="CR20" s="34"/>
      <c r="CS20" s="34"/>
      <c r="CT20" s="34"/>
      <c r="CU20" s="34"/>
      <c r="CV20" s="34">
        <f t="shared" si="299"/>
        <v>0</v>
      </c>
      <c r="CW20" s="37">
        <f t="shared" si="294"/>
        <v>0</v>
      </c>
      <c r="CX20" s="23"/>
      <c r="CY20" s="23"/>
      <c r="CZ20" s="23"/>
      <c r="DA20" s="23"/>
      <c r="DB20" s="23"/>
      <c r="DC20" s="25">
        <f t="shared" si="295"/>
        <v>0</v>
      </c>
      <c r="DD20" s="23"/>
      <c r="DE20" s="23"/>
      <c r="DF20" s="23"/>
      <c r="DG20" s="23"/>
      <c r="DH20" s="23"/>
      <c r="DI20" s="23">
        <f t="shared" si="296"/>
        <v>0</v>
      </c>
      <c r="DJ20" s="23">
        <f t="shared" si="297"/>
        <v>0</v>
      </c>
      <c r="DK20" s="23"/>
      <c r="DL20" s="23"/>
      <c r="DM20" s="23"/>
      <c r="DN20" s="23"/>
      <c r="DO20" s="23"/>
      <c r="DP20" s="23">
        <f t="shared" si="298"/>
        <v>0</v>
      </c>
      <c r="DQ20" s="23"/>
      <c r="DR20" s="23"/>
      <c r="DS20" s="23"/>
      <c r="DT20" s="23"/>
      <c r="DU20" s="23"/>
      <c r="DV20" s="23"/>
      <c r="DW20" s="23"/>
    </row>
    <row r="21" spans="1:127" x14ac:dyDescent="0.25">
      <c r="A21">
        <f t="shared" si="292"/>
        <v>17</v>
      </c>
      <c r="B21" t="str">
        <f t="shared" si="290"/>
        <v>J19-1196</v>
      </c>
      <c r="C21" s="20" t="s">
        <v>93</v>
      </c>
      <c r="D21" s="21" t="s">
        <v>94</v>
      </c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1"/>
      <c r="R21" s="22">
        <f>19235+161057+2800</f>
        <v>183092</v>
      </c>
      <c r="S21" s="23"/>
      <c r="T21" s="24">
        <f>5720+99562</f>
        <v>105282</v>
      </c>
      <c r="U21" s="23"/>
      <c r="V21" s="23"/>
      <c r="W21" s="23">
        <v>237031</v>
      </c>
      <c r="X21" s="23"/>
      <c r="Y21" s="23">
        <v>193200</v>
      </c>
      <c r="Z21" s="23"/>
      <c r="AA21" s="23"/>
      <c r="AB21" s="23">
        <v>166949</v>
      </c>
      <c r="AC21" s="23"/>
      <c r="AD21" s="24">
        <v>328353</v>
      </c>
      <c r="AE21" s="24"/>
      <c r="AF21" s="24"/>
      <c r="AG21" s="24">
        <v>215250</v>
      </c>
      <c r="AH21" s="24"/>
      <c r="AI21" s="24">
        <v>22750</v>
      </c>
      <c r="AJ21" s="24"/>
      <c r="AK21" s="24"/>
      <c r="AL21" s="24">
        <v>58360</v>
      </c>
      <c r="AM21" s="24"/>
      <c r="AN21" s="33">
        <v>85043</v>
      </c>
      <c r="AO21" s="33"/>
      <c r="AP21" s="24">
        <f t="shared" si="302"/>
        <v>143403</v>
      </c>
      <c r="AQ21" s="33">
        <f>8954+101831</f>
        <v>110785</v>
      </c>
      <c r="AR21" s="33"/>
      <c r="AS21" s="24">
        <f>126325+14796</f>
        <v>141121</v>
      </c>
      <c r="AT21" s="24"/>
      <c r="AU21" s="24">
        <f t="shared" si="303"/>
        <v>251906</v>
      </c>
      <c r="AV21" s="24">
        <f>8121+149782</f>
        <v>157903</v>
      </c>
      <c r="AW21" s="24"/>
      <c r="AX21" s="24">
        <v>149609</v>
      </c>
      <c r="AY21" s="24"/>
      <c r="AZ21" s="24">
        <f t="shared" si="304"/>
        <v>307512</v>
      </c>
      <c r="BA21" s="24">
        <f>17930+135129</f>
        <v>153059</v>
      </c>
      <c r="BB21" s="24"/>
      <c r="BC21" s="24">
        <f>128340+27850</f>
        <v>156190</v>
      </c>
      <c r="BD21" s="24"/>
      <c r="BE21" s="25">
        <f t="shared" si="305"/>
        <v>309249</v>
      </c>
      <c r="BF21" s="25">
        <f>133256+20051</f>
        <v>153307</v>
      </c>
      <c r="BG21" s="23"/>
      <c r="BH21" s="25">
        <f>30908+133798+2337+680</f>
        <v>167723</v>
      </c>
      <c r="BI21" s="25"/>
      <c r="BJ21" s="25">
        <f t="shared" ref="BJ21:BJ80" si="307">BF21+BH21</f>
        <v>321030</v>
      </c>
      <c r="BK21" s="23">
        <f>800+2400+146042+37430+12420+46429</f>
        <v>245521</v>
      </c>
      <c r="BL21" s="23">
        <f>542+2313</f>
        <v>2855</v>
      </c>
      <c r="BM21" s="25">
        <f>173754+45820+32868+49243+11569</f>
        <v>313254</v>
      </c>
      <c r="BN21" s="25">
        <f>1807+358</f>
        <v>2165</v>
      </c>
      <c r="BO21" s="25"/>
      <c r="BP21" s="25">
        <f>20680+4100+36043+76196+6380</f>
        <v>143399</v>
      </c>
      <c r="BQ21" s="25">
        <f>518+1804</f>
        <v>2322</v>
      </c>
      <c r="BR21" s="25">
        <f>69618+90880+20000+5531</f>
        <v>186029</v>
      </c>
      <c r="BS21" s="25">
        <f>1134+382</f>
        <v>1516</v>
      </c>
      <c r="BT21" s="25">
        <f t="shared" si="306"/>
        <v>333266</v>
      </c>
      <c r="BU21" s="23"/>
      <c r="BV21" s="24"/>
      <c r="BW21" s="25">
        <f t="shared" si="301"/>
        <v>334782</v>
      </c>
      <c r="BX21" s="23"/>
      <c r="BY21" s="23"/>
      <c r="BZ21" s="23"/>
      <c r="CA21" s="23"/>
      <c r="CB21" s="23"/>
      <c r="CC21" s="23">
        <f t="shared" si="289"/>
        <v>0</v>
      </c>
      <c r="CD21" s="23"/>
      <c r="CE21" s="23"/>
      <c r="CF21" s="23"/>
      <c r="CG21" s="23"/>
      <c r="CH21" s="23"/>
      <c r="CI21" s="23">
        <f t="shared" si="300"/>
        <v>0</v>
      </c>
      <c r="CJ21" s="20"/>
      <c r="CK21" s="34"/>
      <c r="CL21" s="34"/>
      <c r="CM21" s="34"/>
      <c r="CN21" s="34"/>
      <c r="CO21" s="34"/>
      <c r="CP21" s="34">
        <f t="shared" si="293"/>
        <v>0</v>
      </c>
      <c r="CQ21" s="34"/>
      <c r="CR21" s="34"/>
      <c r="CS21" s="34"/>
      <c r="CT21" s="34"/>
      <c r="CU21" s="34"/>
      <c r="CV21" s="34">
        <f t="shared" si="299"/>
        <v>0</v>
      </c>
      <c r="CW21" s="37">
        <f t="shared" si="294"/>
        <v>0</v>
      </c>
      <c r="CX21" s="23"/>
      <c r="CY21" s="23"/>
      <c r="CZ21" s="23"/>
      <c r="DA21" s="23"/>
      <c r="DB21" s="23"/>
      <c r="DC21" s="25">
        <f t="shared" si="295"/>
        <v>0</v>
      </c>
      <c r="DD21" s="23"/>
      <c r="DE21" s="23"/>
      <c r="DF21" s="23"/>
      <c r="DG21" s="23"/>
      <c r="DH21" s="23"/>
      <c r="DI21" s="23">
        <f t="shared" si="296"/>
        <v>0</v>
      </c>
      <c r="DJ21" s="23">
        <f t="shared" si="297"/>
        <v>0</v>
      </c>
      <c r="DK21" s="23"/>
      <c r="DL21" s="23"/>
      <c r="DM21" s="23"/>
      <c r="DN21" s="23"/>
      <c r="DO21" s="23"/>
      <c r="DP21" s="23">
        <f t="shared" si="298"/>
        <v>0</v>
      </c>
      <c r="DQ21" s="23"/>
      <c r="DR21" s="23"/>
      <c r="DS21" s="23"/>
      <c r="DT21" s="23"/>
      <c r="DU21" s="23"/>
      <c r="DV21" s="23"/>
      <c r="DW21" s="23"/>
    </row>
    <row r="22" spans="1:127" x14ac:dyDescent="0.25">
      <c r="A22">
        <f t="shared" si="292"/>
        <v>18</v>
      </c>
      <c r="B22" t="str">
        <f t="shared" si="290"/>
        <v>J19-0792</v>
      </c>
      <c r="C22" s="20" t="s">
        <v>95</v>
      </c>
      <c r="D22" s="21" t="s">
        <v>96</v>
      </c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1"/>
      <c r="R22" s="22">
        <f>260290+6469+45588</f>
        <v>312347</v>
      </c>
      <c r="S22" s="23"/>
      <c r="T22" s="24">
        <f>91275+396933+45303</f>
        <v>533511</v>
      </c>
      <c r="U22" s="23"/>
      <c r="V22" s="23"/>
      <c r="W22" s="23">
        <v>284339</v>
      </c>
      <c r="X22" s="23"/>
      <c r="Y22" s="23">
        <v>240584</v>
      </c>
      <c r="Z22" s="23"/>
      <c r="AA22" s="23"/>
      <c r="AB22" s="23">
        <v>234438</v>
      </c>
      <c r="AC22" s="23"/>
      <c r="AD22" s="24">
        <v>390901</v>
      </c>
      <c r="AE22" s="24"/>
      <c r="AF22" s="24"/>
      <c r="AG22" s="24">
        <v>244006</v>
      </c>
      <c r="AH22" s="24"/>
      <c r="AI22" s="24">
        <v>237421</v>
      </c>
      <c r="AJ22" s="24"/>
      <c r="AK22" s="24"/>
      <c r="AL22" s="24">
        <v>224893</v>
      </c>
      <c r="AM22" s="24"/>
      <c r="AN22" s="33">
        <f>263080+181130</f>
        <v>444210</v>
      </c>
      <c r="AO22" s="33"/>
      <c r="AP22" s="24">
        <f t="shared" si="302"/>
        <v>669103</v>
      </c>
      <c r="AQ22" s="24"/>
      <c r="AR22" s="24"/>
      <c r="AS22" s="24"/>
      <c r="AT22" s="24"/>
      <c r="AU22" s="24">
        <f t="shared" si="303"/>
        <v>0</v>
      </c>
      <c r="AV22" s="24"/>
      <c r="AW22" s="24"/>
      <c r="AX22" s="24"/>
      <c r="AY22" s="24"/>
      <c r="AZ22" s="24">
        <f t="shared" si="304"/>
        <v>0</v>
      </c>
      <c r="BA22" s="24"/>
      <c r="BB22" s="24"/>
      <c r="BC22" s="24"/>
      <c r="BD22" s="24"/>
      <c r="BE22" s="25">
        <f t="shared" si="305"/>
        <v>0</v>
      </c>
      <c r="BF22" s="23"/>
      <c r="BG22" s="23"/>
      <c r="BH22" s="25"/>
      <c r="BI22" s="25"/>
      <c r="BJ22" s="25"/>
      <c r="BK22" s="23"/>
      <c r="BL22" s="23"/>
      <c r="BM22" s="25"/>
      <c r="BN22" s="25"/>
      <c r="BO22" s="25"/>
      <c r="BP22" s="25"/>
      <c r="BQ22" s="25"/>
      <c r="BR22" s="25"/>
      <c r="BS22" s="25"/>
      <c r="BT22" s="25">
        <f t="shared" si="306"/>
        <v>0</v>
      </c>
      <c r="BU22" s="23"/>
      <c r="BV22" s="24"/>
      <c r="BW22" s="25">
        <f t="shared" si="301"/>
        <v>0</v>
      </c>
      <c r="BX22" s="23"/>
      <c r="BY22" s="23"/>
      <c r="BZ22" s="23"/>
      <c r="CA22" s="23"/>
      <c r="CB22" s="23"/>
      <c r="CC22" s="23">
        <f t="shared" si="289"/>
        <v>0</v>
      </c>
      <c r="CD22" s="23"/>
      <c r="CE22" s="23"/>
      <c r="CF22" s="23"/>
      <c r="CG22" s="23"/>
      <c r="CH22" s="23"/>
      <c r="CI22" s="23">
        <f t="shared" si="300"/>
        <v>0</v>
      </c>
      <c r="CJ22" s="20"/>
      <c r="CK22" s="34"/>
      <c r="CL22" s="34"/>
      <c r="CM22" s="34"/>
      <c r="CN22" s="34"/>
      <c r="CO22" s="34"/>
      <c r="CP22" s="34">
        <f t="shared" si="293"/>
        <v>0</v>
      </c>
      <c r="CQ22" s="34"/>
      <c r="CR22" s="34"/>
      <c r="CS22" s="34"/>
      <c r="CT22" s="34"/>
      <c r="CU22" s="34"/>
      <c r="CV22" s="34">
        <f t="shared" si="299"/>
        <v>0</v>
      </c>
      <c r="CW22" s="37">
        <f t="shared" si="294"/>
        <v>0</v>
      </c>
      <c r="CX22" s="23"/>
      <c r="CY22" s="23"/>
      <c r="CZ22" s="23"/>
      <c r="DA22" s="23"/>
      <c r="DB22" s="23"/>
      <c r="DC22" s="25">
        <f t="shared" si="295"/>
        <v>0</v>
      </c>
      <c r="DD22" s="23"/>
      <c r="DE22" s="23"/>
      <c r="DF22" s="23"/>
      <c r="DG22" s="23"/>
      <c r="DH22" s="23"/>
      <c r="DI22" s="23">
        <f t="shared" si="296"/>
        <v>0</v>
      </c>
      <c r="DJ22" s="23">
        <f t="shared" si="297"/>
        <v>0</v>
      </c>
      <c r="DK22" s="23"/>
      <c r="DL22" s="23"/>
      <c r="DM22" s="23"/>
      <c r="DN22" s="23"/>
      <c r="DO22" s="23"/>
      <c r="DP22" s="23">
        <f t="shared" si="298"/>
        <v>0</v>
      </c>
      <c r="DQ22" s="23"/>
      <c r="DR22" s="23"/>
      <c r="DS22" s="23"/>
      <c r="DT22" s="23"/>
      <c r="DU22" s="23"/>
      <c r="DV22" s="23"/>
      <c r="DW22" s="23"/>
    </row>
    <row r="23" spans="1:127" x14ac:dyDescent="0.25">
      <c r="A23">
        <f t="shared" si="292"/>
        <v>19</v>
      </c>
      <c r="B23" t="str">
        <f t="shared" si="290"/>
        <v>J18-1395</v>
      </c>
      <c r="C23" s="20" t="s">
        <v>97</v>
      </c>
      <c r="D23" s="21" t="s">
        <v>98</v>
      </c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1"/>
      <c r="R23" s="22">
        <f>132455+93213+48200</f>
        <v>273868</v>
      </c>
      <c r="S23" s="23"/>
      <c r="T23" s="24">
        <f>117561+1150</f>
        <v>118711</v>
      </c>
      <c r="U23" s="23"/>
      <c r="V23" s="23"/>
      <c r="W23" s="23">
        <v>110368</v>
      </c>
      <c r="X23" s="23"/>
      <c r="Y23" s="23">
        <v>132927</v>
      </c>
      <c r="Z23" s="23"/>
      <c r="AA23" s="23"/>
      <c r="AB23" s="23">
        <v>74926</v>
      </c>
      <c r="AC23" s="23"/>
      <c r="AD23" s="24">
        <v>68370</v>
      </c>
      <c r="AE23" s="24"/>
      <c r="AF23" s="24"/>
      <c r="AG23" s="24">
        <v>63630</v>
      </c>
      <c r="AH23" s="24"/>
      <c r="AI23" s="24">
        <v>64340</v>
      </c>
      <c r="AJ23" s="24"/>
      <c r="AK23" s="24"/>
      <c r="AL23" s="24">
        <v>65150</v>
      </c>
      <c r="AM23" s="24"/>
      <c r="AN23" s="33">
        <f>64190+21300</f>
        <v>85490</v>
      </c>
      <c r="AO23" s="33"/>
      <c r="AP23" s="24">
        <f t="shared" si="302"/>
        <v>150640</v>
      </c>
      <c r="AQ23" s="33">
        <v>50260</v>
      </c>
      <c r="AR23" s="33"/>
      <c r="AS23" s="24">
        <v>22530</v>
      </c>
      <c r="AT23" s="24"/>
      <c r="AU23" s="24">
        <f t="shared" si="303"/>
        <v>72790</v>
      </c>
      <c r="AV23" s="24">
        <f>14400+12800</f>
        <v>27200</v>
      </c>
      <c r="AW23" s="24"/>
      <c r="AX23" s="24"/>
      <c r="AY23" s="24"/>
      <c r="AZ23" s="24">
        <f t="shared" si="304"/>
        <v>27200</v>
      </c>
      <c r="BA23" s="24"/>
      <c r="BB23" s="24"/>
      <c r="BC23" s="24"/>
      <c r="BD23" s="24"/>
      <c r="BE23" s="25">
        <f t="shared" si="305"/>
        <v>0</v>
      </c>
      <c r="BF23" s="23"/>
      <c r="BG23" s="23"/>
      <c r="BH23" s="25"/>
      <c r="BI23" s="25"/>
      <c r="BJ23" s="25"/>
      <c r="BK23" s="23"/>
      <c r="BL23" s="23"/>
      <c r="BM23" s="25"/>
      <c r="BN23" s="25"/>
      <c r="BO23" s="25"/>
      <c r="BP23" s="25"/>
      <c r="BQ23" s="25"/>
      <c r="BR23" s="25"/>
      <c r="BS23" s="25"/>
      <c r="BT23" s="25">
        <f t="shared" si="306"/>
        <v>0</v>
      </c>
      <c r="BU23" s="23"/>
      <c r="BV23" s="24"/>
      <c r="BW23" s="25">
        <f t="shared" si="301"/>
        <v>0</v>
      </c>
      <c r="BX23" s="23"/>
      <c r="BY23" s="23"/>
      <c r="BZ23" s="23"/>
      <c r="CA23" s="23"/>
      <c r="CB23" s="23"/>
      <c r="CC23" s="23">
        <f t="shared" si="289"/>
        <v>0</v>
      </c>
      <c r="CD23" s="23"/>
      <c r="CE23" s="23"/>
      <c r="CF23" s="23"/>
      <c r="CG23" s="23"/>
      <c r="CH23" s="23"/>
      <c r="CI23" s="23">
        <f t="shared" si="300"/>
        <v>0</v>
      </c>
      <c r="CJ23" s="20"/>
      <c r="CK23" s="34"/>
      <c r="CL23" s="34"/>
      <c r="CM23" s="34"/>
      <c r="CN23" s="34"/>
      <c r="CO23" s="34"/>
      <c r="CP23" s="34">
        <f t="shared" si="293"/>
        <v>0</v>
      </c>
      <c r="CQ23" s="34"/>
      <c r="CR23" s="34"/>
      <c r="CS23" s="34"/>
      <c r="CT23" s="34"/>
      <c r="CU23" s="34"/>
      <c r="CV23" s="34">
        <f t="shared" si="299"/>
        <v>0</v>
      </c>
      <c r="CW23" s="37">
        <f t="shared" si="294"/>
        <v>0</v>
      </c>
      <c r="CX23" s="23"/>
      <c r="CY23" s="23"/>
      <c r="CZ23" s="23"/>
      <c r="DA23" s="23"/>
      <c r="DB23" s="23"/>
      <c r="DC23" s="25">
        <f t="shared" si="295"/>
        <v>0</v>
      </c>
      <c r="DD23" s="23"/>
      <c r="DE23" s="23"/>
      <c r="DF23" s="23"/>
      <c r="DG23" s="23"/>
      <c r="DH23" s="23"/>
      <c r="DI23" s="23">
        <f t="shared" si="296"/>
        <v>0</v>
      </c>
      <c r="DJ23" s="23">
        <f t="shared" si="297"/>
        <v>0</v>
      </c>
      <c r="DK23" s="23"/>
      <c r="DL23" s="23"/>
      <c r="DM23" s="23"/>
      <c r="DN23" s="23"/>
      <c r="DO23" s="23"/>
      <c r="DP23" s="23">
        <f t="shared" ref="DP23:DP69" si="308">SUM(DK23:DN23)</f>
        <v>0</v>
      </c>
      <c r="DQ23" s="23"/>
      <c r="DR23" s="23"/>
      <c r="DS23" s="23"/>
      <c r="DT23" s="23"/>
      <c r="DU23" s="23"/>
      <c r="DV23" s="23"/>
      <c r="DW23" s="23"/>
    </row>
    <row r="24" spans="1:127" x14ac:dyDescent="0.25">
      <c r="A24">
        <f t="shared" si="292"/>
        <v>20</v>
      </c>
      <c r="B24" t="str">
        <f t="shared" si="290"/>
        <v>J19-0784</v>
      </c>
      <c r="C24" s="20" t="s">
        <v>99</v>
      </c>
      <c r="D24" s="21" t="s">
        <v>100</v>
      </c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1"/>
      <c r="R24" s="22">
        <f>286517+80250</f>
        <v>366767</v>
      </c>
      <c r="S24" s="23"/>
      <c r="T24" s="24">
        <f>9100+27000+83895</f>
        <v>119995</v>
      </c>
      <c r="U24" s="23"/>
      <c r="V24" s="23"/>
      <c r="W24" s="23">
        <v>99330</v>
      </c>
      <c r="X24" s="23"/>
      <c r="Y24" s="23">
        <v>104256</v>
      </c>
      <c r="Z24" s="23"/>
      <c r="AA24" s="23"/>
      <c r="AB24" s="23"/>
      <c r="AC24" s="23"/>
      <c r="AD24" s="24">
        <v>23762</v>
      </c>
      <c r="AE24" s="24"/>
      <c r="AF24" s="24"/>
      <c r="AG24" s="24"/>
      <c r="AH24" s="24"/>
      <c r="AI24" s="24">
        <v>16219</v>
      </c>
      <c r="AJ24" s="24"/>
      <c r="AK24" s="24"/>
      <c r="AL24" s="24"/>
      <c r="AM24" s="24"/>
      <c r="AN24" s="24"/>
      <c r="AO24" s="24"/>
      <c r="AP24" s="24">
        <f t="shared" si="302"/>
        <v>0</v>
      </c>
      <c r="AQ24" s="24"/>
      <c r="AR24" s="24"/>
      <c r="AS24" s="24"/>
      <c r="AT24" s="24"/>
      <c r="AU24" s="24">
        <f t="shared" si="303"/>
        <v>0</v>
      </c>
      <c r="AV24" s="24"/>
      <c r="AW24" s="24"/>
      <c r="AX24" s="24">
        <v>9000</v>
      </c>
      <c r="AY24" s="24"/>
      <c r="AZ24" s="24">
        <f t="shared" si="304"/>
        <v>9000</v>
      </c>
      <c r="BA24" s="24"/>
      <c r="BB24" s="24"/>
      <c r="BC24" s="24"/>
      <c r="BD24" s="24"/>
      <c r="BE24" s="25">
        <f t="shared" si="305"/>
        <v>0</v>
      </c>
      <c r="BF24" s="25">
        <v>8200</v>
      </c>
      <c r="BG24" s="23"/>
      <c r="BH24" s="25"/>
      <c r="BI24" s="25"/>
      <c r="BJ24" s="25">
        <f t="shared" si="307"/>
        <v>8200</v>
      </c>
      <c r="BK24" s="23"/>
      <c r="BL24" s="23"/>
      <c r="BM24" s="25"/>
      <c r="BN24" s="25"/>
      <c r="BO24" s="25"/>
      <c r="BP24" s="25">
        <v>6600</v>
      </c>
      <c r="BQ24" s="25"/>
      <c r="BR24" s="25"/>
      <c r="BS24" s="25"/>
      <c r="BT24" s="25">
        <f t="shared" si="306"/>
        <v>6600</v>
      </c>
      <c r="BU24" s="23"/>
      <c r="BV24" s="24"/>
      <c r="BW24" s="25">
        <f t="shared" si="301"/>
        <v>6600</v>
      </c>
      <c r="BX24" s="23"/>
      <c r="BY24" s="23"/>
      <c r="BZ24" s="23"/>
      <c r="CA24" s="23"/>
      <c r="CB24" s="23"/>
      <c r="CC24" s="23">
        <f t="shared" si="289"/>
        <v>0</v>
      </c>
      <c r="CD24" s="23"/>
      <c r="CE24" s="23"/>
      <c r="CF24" s="23"/>
      <c r="CG24" s="23"/>
      <c r="CH24" s="23"/>
      <c r="CI24" s="23">
        <f t="shared" si="300"/>
        <v>0</v>
      </c>
      <c r="CJ24" s="20"/>
      <c r="CK24" s="34"/>
      <c r="CL24" s="34"/>
      <c r="CM24" s="34"/>
      <c r="CN24" s="34"/>
      <c r="CO24" s="34"/>
      <c r="CP24" s="34">
        <f t="shared" si="293"/>
        <v>0</v>
      </c>
      <c r="CQ24" s="34"/>
      <c r="CR24" s="34"/>
      <c r="CS24" s="34"/>
      <c r="CT24" s="34"/>
      <c r="CU24" s="34"/>
      <c r="CV24" s="34">
        <f t="shared" si="299"/>
        <v>0</v>
      </c>
      <c r="CW24" s="37">
        <f t="shared" si="294"/>
        <v>0</v>
      </c>
      <c r="CX24" s="23"/>
      <c r="CY24" s="23"/>
      <c r="CZ24" s="23"/>
      <c r="DA24" s="23"/>
      <c r="DB24" s="23"/>
      <c r="DC24" s="25">
        <f t="shared" si="295"/>
        <v>0</v>
      </c>
      <c r="DD24" s="23"/>
      <c r="DE24" s="23"/>
      <c r="DF24" s="23"/>
      <c r="DG24" s="23"/>
      <c r="DH24" s="23"/>
      <c r="DI24" s="23">
        <f t="shared" si="296"/>
        <v>0</v>
      </c>
      <c r="DJ24" s="23">
        <f t="shared" si="297"/>
        <v>0</v>
      </c>
      <c r="DK24" s="23"/>
      <c r="DL24" s="23"/>
      <c r="DM24" s="23"/>
      <c r="DN24" s="23"/>
      <c r="DO24" s="23"/>
      <c r="DP24" s="23">
        <f t="shared" si="308"/>
        <v>0</v>
      </c>
      <c r="DQ24" s="23"/>
      <c r="DR24" s="23"/>
      <c r="DS24" s="23"/>
      <c r="DT24" s="23"/>
      <c r="DU24" s="23"/>
      <c r="DV24" s="23"/>
      <c r="DW24" s="23"/>
    </row>
    <row r="25" spans="1:127" x14ac:dyDescent="0.25">
      <c r="A25">
        <f t="shared" si="292"/>
        <v>21</v>
      </c>
      <c r="B25" t="str">
        <f t="shared" si="290"/>
        <v>J19-1342</v>
      </c>
      <c r="C25" s="20" t="s">
        <v>101</v>
      </c>
      <c r="D25" s="21" t="s">
        <v>102</v>
      </c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1"/>
      <c r="R25" s="22">
        <f>69480+64120</f>
        <v>133600</v>
      </c>
      <c r="S25" s="23"/>
      <c r="T25" s="24">
        <v>205808</v>
      </c>
      <c r="U25" s="23"/>
      <c r="V25" s="23"/>
      <c r="W25" s="23">
        <v>191078</v>
      </c>
      <c r="X25" s="23"/>
      <c r="Y25" s="23">
        <v>193177</v>
      </c>
      <c r="Z25" s="23"/>
      <c r="AA25" s="23"/>
      <c r="AB25" s="23">
        <v>179612</v>
      </c>
      <c r="AC25" s="23"/>
      <c r="AD25" s="24">
        <v>249462</v>
      </c>
      <c r="AE25" s="24"/>
      <c r="AF25" s="24"/>
      <c r="AG25" s="24">
        <v>132128</v>
      </c>
      <c r="AH25" s="24"/>
      <c r="AI25" s="24">
        <v>167168</v>
      </c>
      <c r="AJ25" s="24"/>
      <c r="AK25" s="24"/>
      <c r="AL25" s="24">
        <v>56161</v>
      </c>
      <c r="AM25" s="24"/>
      <c r="AN25" s="33">
        <v>16200</v>
      </c>
      <c r="AO25" s="33"/>
      <c r="AP25" s="24">
        <f t="shared" si="302"/>
        <v>72361</v>
      </c>
      <c r="AQ25" s="33">
        <v>8400</v>
      </c>
      <c r="AR25" s="33"/>
      <c r="AS25" s="24">
        <v>9100</v>
      </c>
      <c r="AT25" s="24"/>
      <c r="AU25" s="24">
        <f t="shared" si="303"/>
        <v>17500</v>
      </c>
      <c r="AV25" s="24">
        <v>9100</v>
      </c>
      <c r="AW25" s="24"/>
      <c r="AX25" s="24">
        <v>9100</v>
      </c>
      <c r="AY25" s="24"/>
      <c r="AZ25" s="24">
        <f t="shared" si="304"/>
        <v>18200</v>
      </c>
      <c r="BA25" s="24">
        <v>9100</v>
      </c>
      <c r="BB25" s="24"/>
      <c r="BC25" s="24"/>
      <c r="BD25" s="24"/>
      <c r="BE25" s="25">
        <f t="shared" si="305"/>
        <v>9100</v>
      </c>
      <c r="BF25" s="25">
        <v>9376</v>
      </c>
      <c r="BG25" s="23"/>
      <c r="BH25" s="25">
        <f>127500+12927</f>
        <v>140427</v>
      </c>
      <c r="BI25" s="25"/>
      <c r="BJ25" s="25">
        <f t="shared" si="307"/>
        <v>149803</v>
      </c>
      <c r="BK25" s="23">
        <f>27310+10148</f>
        <v>37458</v>
      </c>
      <c r="BL25" s="23"/>
      <c r="BM25" s="25"/>
      <c r="BN25" s="25"/>
      <c r="BO25" s="25"/>
      <c r="BP25" s="25">
        <v>1093</v>
      </c>
      <c r="BQ25" s="25"/>
      <c r="BR25" s="25">
        <v>831</v>
      </c>
      <c r="BS25" s="25"/>
      <c r="BT25" s="25">
        <f t="shared" si="306"/>
        <v>1924</v>
      </c>
      <c r="BU25" s="23"/>
      <c r="BV25" s="24"/>
      <c r="BW25" s="25">
        <f t="shared" si="301"/>
        <v>1924</v>
      </c>
      <c r="BX25" s="23"/>
      <c r="BY25" s="23"/>
      <c r="BZ25" s="23"/>
      <c r="CA25" s="23"/>
      <c r="CB25" s="23"/>
      <c r="CC25" s="23">
        <f t="shared" si="289"/>
        <v>0</v>
      </c>
      <c r="CD25" s="23"/>
      <c r="CE25" s="23"/>
      <c r="CF25" s="23"/>
      <c r="CG25" s="23"/>
      <c r="CH25" s="23"/>
      <c r="CI25" s="23">
        <f t="shared" si="300"/>
        <v>0</v>
      </c>
      <c r="CJ25" s="20"/>
      <c r="CK25" s="34"/>
      <c r="CL25" s="34"/>
      <c r="CM25" s="34"/>
      <c r="CN25" s="34"/>
      <c r="CO25" s="34"/>
      <c r="CP25" s="34">
        <f t="shared" si="293"/>
        <v>0</v>
      </c>
      <c r="CQ25" s="34"/>
      <c r="CR25" s="34"/>
      <c r="CS25" s="34"/>
      <c r="CT25" s="34"/>
      <c r="CU25" s="34"/>
      <c r="CV25" s="34">
        <f t="shared" si="299"/>
        <v>0</v>
      </c>
      <c r="CW25" s="37">
        <f t="shared" si="294"/>
        <v>0</v>
      </c>
      <c r="CX25" s="23"/>
      <c r="CY25" s="23"/>
      <c r="CZ25" s="23"/>
      <c r="DA25" s="23"/>
      <c r="DB25" s="23"/>
      <c r="DC25" s="25">
        <f t="shared" si="295"/>
        <v>0</v>
      </c>
      <c r="DD25" s="23"/>
      <c r="DE25" s="23"/>
      <c r="DF25" s="23"/>
      <c r="DG25" s="23"/>
      <c r="DH25" s="23"/>
      <c r="DI25" s="23">
        <f t="shared" si="296"/>
        <v>0</v>
      </c>
      <c r="DJ25" s="23">
        <f t="shared" si="297"/>
        <v>0</v>
      </c>
      <c r="DK25" s="23"/>
      <c r="DL25" s="23"/>
      <c r="DM25" s="23"/>
      <c r="DN25" s="23"/>
      <c r="DO25" s="23"/>
      <c r="DP25" s="23">
        <f t="shared" si="308"/>
        <v>0</v>
      </c>
      <c r="DQ25" s="23"/>
      <c r="DR25" s="23"/>
      <c r="DS25" s="23"/>
      <c r="DT25" s="23"/>
      <c r="DU25" s="23"/>
      <c r="DV25" s="23"/>
      <c r="DW25" s="23"/>
    </row>
    <row r="26" spans="1:127" x14ac:dyDescent="0.25">
      <c r="A26">
        <f t="shared" si="292"/>
        <v>22</v>
      </c>
      <c r="B26" t="str">
        <f t="shared" si="290"/>
        <v>J18-1067</v>
      </c>
      <c r="C26" s="20" t="s">
        <v>103</v>
      </c>
      <c r="D26" s="21" t="s">
        <v>104</v>
      </c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1"/>
      <c r="R26" s="22"/>
      <c r="S26" s="23"/>
      <c r="T26" s="23"/>
      <c r="U26" s="23"/>
      <c r="V26" s="23"/>
      <c r="W26" s="23">
        <v>60042</v>
      </c>
      <c r="X26" s="23"/>
      <c r="Y26" s="23">
        <v>50278</v>
      </c>
      <c r="Z26" s="23"/>
      <c r="AA26" s="23"/>
      <c r="AB26" s="23">
        <v>64941</v>
      </c>
      <c r="AC26" s="23"/>
      <c r="AD26" s="24"/>
      <c r="AE26" s="24"/>
      <c r="AF26" s="24"/>
      <c r="AG26" s="24">
        <v>122200</v>
      </c>
      <c r="AH26" s="24"/>
      <c r="AI26" s="24"/>
      <c r="AJ26" s="24"/>
      <c r="AK26" s="24"/>
      <c r="AL26" s="24"/>
      <c r="AM26" s="24"/>
      <c r="AN26" s="24"/>
      <c r="AO26" s="24"/>
      <c r="AP26" s="24">
        <f t="shared" si="302"/>
        <v>0</v>
      </c>
      <c r="AQ26" s="24"/>
      <c r="AR26" s="24"/>
      <c r="AS26" s="24"/>
      <c r="AT26" s="24"/>
      <c r="AU26" s="24">
        <f t="shared" si="303"/>
        <v>0</v>
      </c>
      <c r="AV26" s="24"/>
      <c r="AW26" s="24"/>
      <c r="AX26" s="24"/>
      <c r="AY26" s="24"/>
      <c r="AZ26" s="24">
        <f t="shared" si="304"/>
        <v>0</v>
      </c>
      <c r="BA26" s="24">
        <v>6300</v>
      </c>
      <c r="BB26" s="24"/>
      <c r="BC26" s="24"/>
      <c r="BD26" s="24"/>
      <c r="BE26" s="25">
        <f t="shared" si="305"/>
        <v>6300</v>
      </c>
      <c r="BF26" s="23"/>
      <c r="BG26" s="23"/>
      <c r="BH26" s="25"/>
      <c r="BI26" s="25"/>
      <c r="BJ26" s="25"/>
      <c r="BK26" s="23"/>
      <c r="BL26" s="23"/>
      <c r="BM26" s="25"/>
      <c r="BN26" s="25"/>
      <c r="BO26" s="25"/>
      <c r="BP26" s="25"/>
      <c r="BQ26" s="25"/>
      <c r="BR26" s="25"/>
      <c r="BS26" s="25"/>
      <c r="BT26" s="25">
        <f t="shared" si="306"/>
        <v>0</v>
      </c>
      <c r="BU26" s="23">
        <v>3750</v>
      </c>
      <c r="BV26" s="24"/>
      <c r="BW26" s="25">
        <f t="shared" si="301"/>
        <v>3750</v>
      </c>
      <c r="BX26" s="23"/>
      <c r="BY26" s="23"/>
      <c r="BZ26" s="23"/>
      <c r="CA26" s="23"/>
      <c r="CB26" s="23"/>
      <c r="CC26" s="23">
        <f t="shared" si="289"/>
        <v>0</v>
      </c>
      <c r="CD26" s="23"/>
      <c r="CE26" s="23"/>
      <c r="CF26" s="23"/>
      <c r="CG26" s="23"/>
      <c r="CH26" s="23"/>
      <c r="CI26" s="23">
        <f t="shared" si="300"/>
        <v>0</v>
      </c>
      <c r="CJ26" s="20"/>
      <c r="CK26" s="34"/>
      <c r="CL26" s="34"/>
      <c r="CM26" s="34"/>
      <c r="CN26" s="34"/>
      <c r="CO26" s="34"/>
      <c r="CP26" s="34">
        <f t="shared" si="293"/>
        <v>0</v>
      </c>
      <c r="CQ26" s="34"/>
      <c r="CR26" s="34"/>
      <c r="CS26" s="34"/>
      <c r="CT26" s="34"/>
      <c r="CU26" s="34"/>
      <c r="CV26" s="34">
        <f t="shared" si="299"/>
        <v>0</v>
      </c>
      <c r="CW26" s="37">
        <f t="shared" si="294"/>
        <v>0</v>
      </c>
      <c r="CX26" s="23"/>
      <c r="CY26" s="23"/>
      <c r="CZ26" s="23"/>
      <c r="DA26" s="23"/>
      <c r="DB26" s="23"/>
      <c r="DC26" s="25">
        <f t="shared" si="295"/>
        <v>0</v>
      </c>
      <c r="DD26" s="23"/>
      <c r="DE26" s="23"/>
      <c r="DF26" s="23"/>
      <c r="DG26" s="23"/>
      <c r="DH26" s="23"/>
      <c r="DI26" s="23">
        <f t="shared" si="296"/>
        <v>0</v>
      </c>
      <c r="DJ26" s="23">
        <f t="shared" si="297"/>
        <v>0</v>
      </c>
      <c r="DK26" s="23"/>
      <c r="DL26" s="23"/>
      <c r="DM26" s="23"/>
      <c r="DN26" s="23">
        <v>56250</v>
      </c>
      <c r="DO26" s="23"/>
      <c r="DP26" s="23">
        <f t="shared" si="308"/>
        <v>56250</v>
      </c>
      <c r="DQ26" s="23"/>
      <c r="DR26" s="23"/>
      <c r="DS26" s="23"/>
      <c r="DT26" s="23"/>
      <c r="DU26" s="23"/>
      <c r="DV26" s="23"/>
      <c r="DW26" s="23"/>
    </row>
    <row r="27" spans="1:127" x14ac:dyDescent="0.25">
      <c r="A27">
        <f t="shared" si="292"/>
        <v>23</v>
      </c>
      <c r="B27" t="str">
        <f t="shared" si="290"/>
        <v>J18-1076</v>
      </c>
      <c r="C27" s="20" t="s">
        <v>105</v>
      </c>
      <c r="D27" s="21" t="s">
        <v>106</v>
      </c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1"/>
      <c r="R27" s="29">
        <v>18900</v>
      </c>
      <c r="S27" s="23"/>
      <c r="T27" s="24">
        <v>21222</v>
      </c>
      <c r="U27" s="23"/>
      <c r="V27" s="23"/>
      <c r="W27" s="23"/>
      <c r="X27" s="23"/>
      <c r="Y27" s="23"/>
      <c r="Z27" s="23"/>
      <c r="AA27" s="23"/>
      <c r="AB27" s="23"/>
      <c r="AC27" s="23"/>
      <c r="AD27" s="24">
        <v>7660</v>
      </c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>
        <f t="shared" si="302"/>
        <v>0</v>
      </c>
      <c r="AQ27" s="24"/>
      <c r="AR27" s="24"/>
      <c r="AS27" s="24"/>
      <c r="AT27" s="24"/>
      <c r="AU27" s="24">
        <f t="shared" si="303"/>
        <v>0</v>
      </c>
      <c r="AV27" s="24"/>
      <c r="AW27" s="24"/>
      <c r="AX27" s="24"/>
      <c r="AY27" s="24"/>
      <c r="AZ27" s="24">
        <f t="shared" si="304"/>
        <v>0</v>
      </c>
      <c r="BA27" s="24"/>
      <c r="BB27" s="24"/>
      <c r="BC27" s="24"/>
      <c r="BD27" s="24"/>
      <c r="BE27" s="25">
        <f t="shared" si="305"/>
        <v>0</v>
      </c>
      <c r="BF27" s="23"/>
      <c r="BG27" s="23"/>
      <c r="BH27" s="25"/>
      <c r="BI27" s="25"/>
      <c r="BJ27" s="25"/>
      <c r="BK27" s="23"/>
      <c r="BL27" s="23"/>
      <c r="BM27" s="25"/>
      <c r="BN27" s="25"/>
      <c r="BO27" s="25"/>
      <c r="BP27" s="25"/>
      <c r="BQ27" s="25"/>
      <c r="BR27" s="25"/>
      <c r="BS27" s="25"/>
      <c r="BT27" s="25">
        <f t="shared" si="306"/>
        <v>0</v>
      </c>
      <c r="BU27" s="23"/>
      <c r="BV27" s="24"/>
      <c r="BW27" s="25">
        <f t="shared" si="301"/>
        <v>0</v>
      </c>
      <c r="BX27" s="23"/>
      <c r="BY27" s="23"/>
      <c r="BZ27" s="23"/>
      <c r="CA27" s="23"/>
      <c r="CB27" s="23"/>
      <c r="CC27" s="23">
        <f t="shared" si="289"/>
        <v>0</v>
      </c>
      <c r="CD27" s="23"/>
      <c r="CE27" s="23"/>
      <c r="CF27" s="23"/>
      <c r="CG27" s="23"/>
      <c r="CH27" s="23"/>
      <c r="CI27" s="23">
        <f t="shared" si="300"/>
        <v>0</v>
      </c>
      <c r="CJ27" s="20"/>
      <c r="CK27" s="34"/>
      <c r="CL27" s="34"/>
      <c r="CM27" s="34"/>
      <c r="CN27" s="34"/>
      <c r="CO27" s="34"/>
      <c r="CP27" s="34">
        <f t="shared" si="293"/>
        <v>0</v>
      </c>
      <c r="CQ27" s="34"/>
      <c r="CR27" s="34"/>
      <c r="CS27" s="34"/>
      <c r="CT27" s="34"/>
      <c r="CU27" s="34"/>
      <c r="CV27" s="34">
        <f t="shared" si="299"/>
        <v>0</v>
      </c>
      <c r="CW27" s="37">
        <f t="shared" si="294"/>
        <v>0</v>
      </c>
      <c r="CX27" s="23"/>
      <c r="CY27" s="23"/>
      <c r="CZ27" s="23"/>
      <c r="DA27" s="23"/>
      <c r="DB27" s="23"/>
      <c r="DC27" s="25">
        <f t="shared" si="295"/>
        <v>0</v>
      </c>
      <c r="DD27" s="23"/>
      <c r="DE27" s="23"/>
      <c r="DF27" s="23"/>
      <c r="DG27" s="23"/>
      <c r="DH27" s="23"/>
      <c r="DI27" s="23">
        <f t="shared" si="296"/>
        <v>0</v>
      </c>
      <c r="DJ27" s="23">
        <f t="shared" si="297"/>
        <v>0</v>
      </c>
      <c r="DK27" s="23"/>
      <c r="DL27" s="23"/>
      <c r="DM27" s="23"/>
      <c r="DN27" s="23"/>
      <c r="DO27" s="23"/>
      <c r="DP27" s="23">
        <f t="shared" si="308"/>
        <v>0</v>
      </c>
      <c r="DQ27" s="23"/>
      <c r="DR27" s="23"/>
      <c r="DS27" s="23"/>
      <c r="DT27" s="23"/>
      <c r="DU27" s="23"/>
      <c r="DV27" s="23"/>
      <c r="DW27" s="23"/>
    </row>
    <row r="28" spans="1:127" x14ac:dyDescent="0.25">
      <c r="A28">
        <f t="shared" si="292"/>
        <v>24</v>
      </c>
      <c r="B28" t="str">
        <f t="shared" si="290"/>
        <v>J19-0567</v>
      </c>
      <c r="C28" s="20" t="s">
        <v>107</v>
      </c>
      <c r="D28" s="50" t="s">
        <v>108</v>
      </c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1"/>
      <c r="R28" s="29">
        <v>152058</v>
      </c>
      <c r="S28" s="4"/>
      <c r="T28" s="24">
        <f>144420+831</f>
        <v>145251</v>
      </c>
      <c r="U28" s="23"/>
      <c r="V28" s="23"/>
      <c r="W28" s="23">
        <v>234767</v>
      </c>
      <c r="X28" s="23"/>
      <c r="Y28" s="23">
        <v>216448</v>
      </c>
      <c r="Z28" s="23"/>
      <c r="AA28" s="23"/>
      <c r="AB28" s="23">
        <v>192300</v>
      </c>
      <c r="AC28" s="23"/>
      <c r="AD28" s="24">
        <v>281770</v>
      </c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>
        <f t="shared" si="302"/>
        <v>0</v>
      </c>
      <c r="AQ28" s="24"/>
      <c r="AR28" s="24"/>
      <c r="AS28" s="24"/>
      <c r="AT28" s="24"/>
      <c r="AU28" s="24">
        <f t="shared" si="303"/>
        <v>0</v>
      </c>
      <c r="AV28" s="24"/>
      <c r="AW28" s="24"/>
      <c r="AX28" s="24"/>
      <c r="AY28" s="24"/>
      <c r="AZ28" s="24">
        <f t="shared" si="304"/>
        <v>0</v>
      </c>
      <c r="BA28" s="24"/>
      <c r="BB28" s="24"/>
      <c r="BC28" s="24"/>
      <c r="BD28" s="24"/>
      <c r="BE28" s="25">
        <f t="shared" si="305"/>
        <v>0</v>
      </c>
      <c r="BF28" s="23"/>
      <c r="BG28" s="23"/>
      <c r="BH28" s="25"/>
      <c r="BI28" s="25"/>
      <c r="BJ28" s="25"/>
      <c r="BK28" s="23"/>
      <c r="BL28" s="23"/>
      <c r="BM28" s="25"/>
      <c r="BN28" s="25"/>
      <c r="BO28" s="25"/>
      <c r="BP28" s="25"/>
      <c r="BQ28" s="25"/>
      <c r="BR28" s="25"/>
      <c r="BS28" s="25"/>
      <c r="BT28" s="25">
        <f t="shared" si="306"/>
        <v>0</v>
      </c>
      <c r="BU28" s="23"/>
      <c r="BV28" s="24"/>
      <c r="BW28" s="25">
        <f t="shared" si="301"/>
        <v>0</v>
      </c>
      <c r="BX28" s="23"/>
      <c r="BY28" s="23"/>
      <c r="BZ28" s="23"/>
      <c r="CA28" s="23"/>
      <c r="CB28" s="23"/>
      <c r="CC28" s="23">
        <f t="shared" si="289"/>
        <v>0</v>
      </c>
      <c r="CD28" s="23"/>
      <c r="CE28" s="23"/>
      <c r="CF28" s="23"/>
      <c r="CG28" s="23"/>
      <c r="CH28" s="23"/>
      <c r="CI28" s="23">
        <f t="shared" si="300"/>
        <v>0</v>
      </c>
      <c r="CJ28" s="20"/>
      <c r="CK28" s="34"/>
      <c r="CL28" s="34"/>
      <c r="CM28" s="34"/>
      <c r="CN28" s="34"/>
      <c r="CO28" s="34"/>
      <c r="CP28" s="34">
        <f t="shared" si="293"/>
        <v>0</v>
      </c>
      <c r="CQ28" s="34"/>
      <c r="CR28" s="34"/>
      <c r="CS28" s="34"/>
      <c r="CT28" s="34"/>
      <c r="CU28" s="34"/>
      <c r="CV28" s="34">
        <f t="shared" si="299"/>
        <v>0</v>
      </c>
      <c r="CW28" s="37">
        <f t="shared" si="294"/>
        <v>0</v>
      </c>
      <c r="CX28" s="23"/>
      <c r="CY28" s="23"/>
      <c r="CZ28" s="23"/>
      <c r="DA28" s="23"/>
      <c r="DB28" s="23"/>
      <c r="DC28" s="25">
        <f t="shared" si="295"/>
        <v>0</v>
      </c>
      <c r="DD28" s="23"/>
      <c r="DE28" s="23"/>
      <c r="DF28" s="23"/>
      <c r="DG28" s="23"/>
      <c r="DH28" s="23"/>
      <c r="DI28" s="23">
        <f t="shared" si="296"/>
        <v>0</v>
      </c>
      <c r="DJ28" s="23">
        <f t="shared" si="297"/>
        <v>0</v>
      </c>
      <c r="DK28" s="23"/>
      <c r="DL28" s="23"/>
      <c r="DM28" s="23"/>
      <c r="DN28" s="23"/>
      <c r="DO28" s="23"/>
      <c r="DP28" s="23">
        <f t="shared" si="308"/>
        <v>0</v>
      </c>
      <c r="DQ28" s="23"/>
      <c r="DR28" s="23"/>
      <c r="DS28" s="23"/>
      <c r="DT28" s="23"/>
      <c r="DU28" s="23"/>
      <c r="DV28" s="23"/>
      <c r="DW28" s="23"/>
    </row>
    <row r="29" spans="1:127" x14ac:dyDescent="0.25">
      <c r="A29">
        <f t="shared" si="292"/>
        <v>25</v>
      </c>
      <c r="B29" t="str">
        <f t="shared" si="290"/>
        <v>J19-0762</v>
      </c>
      <c r="C29" s="20" t="s">
        <v>109</v>
      </c>
      <c r="D29" s="21" t="s">
        <v>110</v>
      </c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1"/>
      <c r="R29" s="22">
        <v>18363</v>
      </c>
      <c r="S29" s="23"/>
      <c r="T29" s="24">
        <v>21500</v>
      </c>
      <c r="U29" s="23"/>
      <c r="V29" s="23"/>
      <c r="W29" s="23">
        <v>19150</v>
      </c>
      <c r="X29" s="23"/>
      <c r="Y29" s="23">
        <v>20075</v>
      </c>
      <c r="Z29" s="23"/>
      <c r="AA29" s="23"/>
      <c r="AB29" s="23">
        <v>18637</v>
      </c>
      <c r="AC29" s="23"/>
      <c r="AD29" s="24">
        <v>15000</v>
      </c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>
        <f t="shared" si="302"/>
        <v>0</v>
      </c>
      <c r="AQ29" s="24"/>
      <c r="AR29" s="24"/>
      <c r="AS29" s="24"/>
      <c r="AT29" s="24"/>
      <c r="AU29" s="24">
        <f t="shared" si="303"/>
        <v>0</v>
      </c>
      <c r="AV29" s="24"/>
      <c r="AW29" s="24"/>
      <c r="AX29" s="24"/>
      <c r="AY29" s="24"/>
      <c r="AZ29" s="24">
        <f t="shared" si="304"/>
        <v>0</v>
      </c>
      <c r="BA29" s="24"/>
      <c r="BB29" s="24"/>
      <c r="BC29" s="24"/>
      <c r="BD29" s="24"/>
      <c r="BE29" s="25">
        <f t="shared" si="305"/>
        <v>0</v>
      </c>
      <c r="BF29" s="23"/>
      <c r="BG29" s="23"/>
      <c r="BH29" s="25"/>
      <c r="BI29" s="25"/>
      <c r="BJ29" s="25"/>
      <c r="BK29" s="23"/>
      <c r="BL29" s="23"/>
      <c r="BM29" s="25"/>
      <c r="BN29" s="25"/>
      <c r="BO29" s="25"/>
      <c r="BP29" s="25"/>
      <c r="BQ29" s="25"/>
      <c r="BR29" s="25"/>
      <c r="BS29" s="25"/>
      <c r="BT29" s="25">
        <f t="shared" si="306"/>
        <v>0</v>
      </c>
      <c r="BU29" s="23"/>
      <c r="BV29" s="24"/>
      <c r="BW29" s="25">
        <f t="shared" si="301"/>
        <v>0</v>
      </c>
      <c r="BX29" s="23"/>
      <c r="BY29" s="23"/>
      <c r="BZ29" s="23"/>
      <c r="CA29" s="23"/>
      <c r="CB29" s="23"/>
      <c r="CC29" s="23">
        <f t="shared" si="289"/>
        <v>0</v>
      </c>
      <c r="CD29" s="23"/>
      <c r="CE29" s="23"/>
      <c r="CF29" s="23"/>
      <c r="CG29" s="23"/>
      <c r="CH29" s="23"/>
      <c r="CI29" s="23"/>
      <c r="CJ29" s="20"/>
      <c r="CK29" s="34"/>
      <c r="CL29" s="34"/>
      <c r="CM29" s="34"/>
      <c r="CN29" s="34"/>
      <c r="CO29" s="34"/>
      <c r="CP29" s="34">
        <f t="shared" si="293"/>
        <v>0</v>
      </c>
      <c r="CQ29" s="34"/>
      <c r="CR29" s="34"/>
      <c r="CS29" s="34"/>
      <c r="CT29" s="34"/>
      <c r="CU29" s="34"/>
      <c r="CV29" s="34">
        <f t="shared" si="299"/>
        <v>0</v>
      </c>
      <c r="CW29" s="37">
        <f t="shared" si="294"/>
        <v>0</v>
      </c>
      <c r="CX29" s="23"/>
      <c r="CY29" s="23"/>
      <c r="CZ29" s="23"/>
      <c r="DA29" s="23"/>
      <c r="DB29" s="23"/>
      <c r="DC29" s="25">
        <f t="shared" si="295"/>
        <v>0</v>
      </c>
      <c r="DD29" s="23"/>
      <c r="DE29" s="23"/>
      <c r="DF29" s="23"/>
      <c r="DG29" s="23"/>
      <c r="DH29" s="23"/>
      <c r="DI29" s="23">
        <f t="shared" si="296"/>
        <v>0</v>
      </c>
      <c r="DJ29" s="23">
        <f t="shared" si="297"/>
        <v>0</v>
      </c>
      <c r="DK29" s="23"/>
      <c r="DL29" s="23"/>
      <c r="DM29" s="23"/>
      <c r="DN29" s="23"/>
      <c r="DO29" s="23"/>
      <c r="DP29" s="23">
        <f t="shared" si="308"/>
        <v>0</v>
      </c>
      <c r="DQ29" s="23"/>
      <c r="DR29" s="23"/>
      <c r="DS29" s="23"/>
      <c r="DT29" s="23"/>
      <c r="DU29" s="23"/>
      <c r="DV29" s="23"/>
      <c r="DW29" s="23"/>
    </row>
    <row r="30" spans="1:127" x14ac:dyDescent="0.25">
      <c r="A30">
        <f t="shared" si="292"/>
        <v>26</v>
      </c>
      <c r="B30" t="str">
        <f t="shared" si="290"/>
        <v>J19-1426</v>
      </c>
      <c r="C30" s="20" t="s">
        <v>111</v>
      </c>
      <c r="D30" s="21" t="s">
        <v>112</v>
      </c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1"/>
      <c r="R30" s="22">
        <v>15850</v>
      </c>
      <c r="S30" s="23"/>
      <c r="T30" s="24">
        <f>2517+1650</f>
        <v>4167</v>
      </c>
      <c r="U30" s="23"/>
      <c r="V30" s="23"/>
      <c r="W30" s="23">
        <v>96069</v>
      </c>
      <c r="X30" s="23"/>
      <c r="Y30" s="23">
        <v>89650</v>
      </c>
      <c r="Z30" s="23"/>
      <c r="AA30" s="23"/>
      <c r="AB30" s="23">
        <v>85219</v>
      </c>
      <c r="AC30" s="23"/>
      <c r="AD30" s="24">
        <v>140578</v>
      </c>
      <c r="AE30" s="24"/>
      <c r="AF30" s="24"/>
      <c r="AG30" s="24"/>
      <c r="AH30" s="24"/>
      <c r="AI30" s="24"/>
      <c r="AJ30" s="24"/>
      <c r="AK30" s="24"/>
      <c r="AL30" s="24"/>
      <c r="AM30" s="24"/>
      <c r="AN30" s="33">
        <v>4634</v>
      </c>
      <c r="AO30" s="33"/>
      <c r="AP30" s="24">
        <f t="shared" si="302"/>
        <v>4634</v>
      </c>
      <c r="AQ30" s="24"/>
      <c r="AR30" s="24"/>
      <c r="AS30" s="24"/>
      <c r="AT30" s="24"/>
      <c r="AU30" s="24">
        <f t="shared" si="303"/>
        <v>0</v>
      </c>
      <c r="AV30" s="24"/>
      <c r="AW30" s="24"/>
      <c r="AX30" s="24"/>
      <c r="AY30" s="24"/>
      <c r="AZ30" s="24">
        <f t="shared" si="304"/>
        <v>0</v>
      </c>
      <c r="BA30" s="24"/>
      <c r="BB30" s="24"/>
      <c r="BC30" s="24"/>
      <c r="BD30" s="24"/>
      <c r="BE30" s="25">
        <f t="shared" si="305"/>
        <v>0</v>
      </c>
      <c r="BF30" s="23"/>
      <c r="BG30" s="23"/>
      <c r="BH30" s="25"/>
      <c r="BI30" s="25"/>
      <c r="BJ30" s="25"/>
      <c r="BK30" s="23"/>
      <c r="BL30" s="23"/>
      <c r="BM30" s="25"/>
      <c r="BN30" s="25"/>
      <c r="BO30" s="25"/>
      <c r="BP30" s="25"/>
      <c r="BQ30" s="25"/>
      <c r="BR30" s="25"/>
      <c r="BS30" s="25"/>
      <c r="BT30" s="25">
        <f t="shared" si="306"/>
        <v>0</v>
      </c>
      <c r="BU30" s="23"/>
      <c r="BV30" s="24"/>
      <c r="BW30" s="25">
        <f t="shared" si="301"/>
        <v>0</v>
      </c>
      <c r="BX30" s="23"/>
      <c r="BY30" s="23"/>
      <c r="BZ30" s="23"/>
      <c r="CA30" s="23"/>
      <c r="CB30" s="23"/>
      <c r="CC30" s="23">
        <f t="shared" si="289"/>
        <v>0</v>
      </c>
      <c r="CD30" s="23"/>
      <c r="CE30" s="23"/>
      <c r="CF30" s="23"/>
      <c r="CG30" s="23"/>
      <c r="CH30" s="23"/>
      <c r="CI30" s="23"/>
      <c r="CJ30" s="20"/>
      <c r="CK30" s="34"/>
      <c r="CL30" s="34"/>
      <c r="CM30" s="34"/>
      <c r="CN30" s="34"/>
      <c r="CO30" s="34"/>
      <c r="CP30" s="34">
        <f t="shared" si="293"/>
        <v>0</v>
      </c>
      <c r="CQ30" s="34"/>
      <c r="CR30" s="34"/>
      <c r="CS30" s="34"/>
      <c r="CT30" s="34"/>
      <c r="CU30" s="34"/>
      <c r="CV30" s="34">
        <f t="shared" si="299"/>
        <v>0</v>
      </c>
      <c r="CW30" s="37">
        <f t="shared" si="294"/>
        <v>0</v>
      </c>
      <c r="CX30" s="23"/>
      <c r="CY30" s="23"/>
      <c r="CZ30" s="23"/>
      <c r="DA30" s="23"/>
      <c r="DB30" s="23"/>
      <c r="DC30" s="25">
        <f t="shared" si="295"/>
        <v>0</v>
      </c>
      <c r="DD30" s="23"/>
      <c r="DE30" s="23"/>
      <c r="DF30" s="23"/>
      <c r="DG30" s="23"/>
      <c r="DH30" s="23"/>
      <c r="DI30" s="23">
        <f t="shared" si="296"/>
        <v>0</v>
      </c>
      <c r="DJ30" s="23">
        <f t="shared" si="297"/>
        <v>0</v>
      </c>
      <c r="DK30" s="23"/>
      <c r="DL30" s="23"/>
      <c r="DM30" s="23"/>
      <c r="DN30" s="23"/>
      <c r="DO30" s="23"/>
      <c r="DP30" s="23">
        <f t="shared" si="308"/>
        <v>0</v>
      </c>
      <c r="DQ30" s="23"/>
      <c r="DR30" s="23"/>
      <c r="DS30" s="23"/>
      <c r="DT30" s="23"/>
      <c r="DU30" s="23"/>
      <c r="DV30" s="23"/>
      <c r="DW30" s="23"/>
    </row>
    <row r="31" spans="1:127" x14ac:dyDescent="0.25">
      <c r="A31">
        <f t="shared" si="292"/>
        <v>27</v>
      </c>
      <c r="B31" t="str">
        <f t="shared" si="290"/>
        <v>J19-0085</v>
      </c>
      <c r="C31" s="20" t="s">
        <v>113</v>
      </c>
      <c r="D31" s="21" t="s">
        <v>114</v>
      </c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1"/>
      <c r="R31" s="22">
        <v>5760</v>
      </c>
      <c r="S31" s="20"/>
      <c r="T31" s="24">
        <v>20340</v>
      </c>
      <c r="U31" s="23"/>
      <c r="V31" s="23"/>
      <c r="W31" s="23">
        <v>41320</v>
      </c>
      <c r="X31" s="23"/>
      <c r="Y31" s="23"/>
      <c r="Z31" s="23"/>
      <c r="AA31" s="23"/>
      <c r="AB31" s="23"/>
      <c r="AC31" s="23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>
        <f t="shared" si="302"/>
        <v>0</v>
      </c>
      <c r="AQ31" s="24"/>
      <c r="AR31" s="24"/>
      <c r="AS31" s="24"/>
      <c r="AT31" s="24"/>
      <c r="AU31" s="24">
        <f t="shared" si="303"/>
        <v>0</v>
      </c>
      <c r="AV31" s="24"/>
      <c r="AW31" s="24"/>
      <c r="AX31" s="24"/>
      <c r="AY31" s="24"/>
      <c r="AZ31" s="24">
        <f t="shared" si="304"/>
        <v>0</v>
      </c>
      <c r="BA31" s="24"/>
      <c r="BB31" s="24"/>
      <c r="BC31" s="24"/>
      <c r="BD31" s="24"/>
      <c r="BE31" s="25">
        <f t="shared" si="305"/>
        <v>0</v>
      </c>
      <c r="BF31" s="23"/>
      <c r="BG31" s="23"/>
      <c r="BH31" s="25"/>
      <c r="BI31" s="25"/>
      <c r="BJ31" s="25"/>
      <c r="BK31" s="23"/>
      <c r="BL31" s="23"/>
      <c r="BM31" s="25"/>
      <c r="BN31" s="25"/>
      <c r="BO31" s="25"/>
      <c r="BP31" s="25"/>
      <c r="BQ31" s="25"/>
      <c r="BR31" s="25"/>
      <c r="BS31" s="25"/>
      <c r="BT31" s="25">
        <f t="shared" si="306"/>
        <v>0</v>
      </c>
      <c r="BU31" s="23">
        <f>9800+13210+50250</f>
        <v>73260</v>
      </c>
      <c r="BV31" s="24"/>
      <c r="BW31" s="25">
        <f t="shared" si="301"/>
        <v>73260</v>
      </c>
      <c r="BX31" s="23"/>
      <c r="BY31" s="23"/>
      <c r="BZ31" s="23"/>
      <c r="CA31" s="23"/>
      <c r="CB31" s="23"/>
      <c r="CC31" s="23">
        <f t="shared" si="289"/>
        <v>0</v>
      </c>
      <c r="CD31" s="23"/>
      <c r="CE31" s="23"/>
      <c r="CF31" s="23"/>
      <c r="CG31" s="23"/>
      <c r="CH31" s="23"/>
      <c r="CI31" s="23"/>
      <c r="CJ31" s="20"/>
      <c r="CK31" s="34"/>
      <c r="CL31" s="34"/>
      <c r="CM31" s="34"/>
      <c r="CN31" s="34"/>
      <c r="CO31" s="34"/>
      <c r="CP31" s="34">
        <f t="shared" si="293"/>
        <v>0</v>
      </c>
      <c r="CQ31" s="34"/>
      <c r="CR31" s="34"/>
      <c r="CS31" s="34"/>
      <c r="CT31" s="34"/>
      <c r="CU31" s="34"/>
      <c r="CV31" s="34">
        <f t="shared" si="299"/>
        <v>0</v>
      </c>
      <c r="CW31" s="37">
        <f t="shared" si="294"/>
        <v>0</v>
      </c>
      <c r="CX31" s="23"/>
      <c r="CY31" s="23"/>
      <c r="CZ31" s="23"/>
      <c r="DA31" s="23"/>
      <c r="DB31" s="23"/>
      <c r="DC31" s="25">
        <f t="shared" si="295"/>
        <v>0</v>
      </c>
      <c r="DD31" s="23"/>
      <c r="DE31" s="23"/>
      <c r="DF31" s="23"/>
      <c r="DG31" s="23"/>
      <c r="DH31" s="23"/>
      <c r="DI31" s="23">
        <f t="shared" si="296"/>
        <v>0</v>
      </c>
      <c r="DJ31" s="23">
        <f t="shared" si="297"/>
        <v>0</v>
      </c>
      <c r="DK31" s="23"/>
      <c r="DL31" s="23"/>
      <c r="DM31" s="23"/>
      <c r="DN31" s="23"/>
      <c r="DO31" s="23"/>
      <c r="DP31" s="23">
        <f t="shared" si="308"/>
        <v>0</v>
      </c>
      <c r="DQ31" s="23"/>
      <c r="DR31" s="23"/>
      <c r="DS31" s="23"/>
      <c r="DT31" s="23"/>
      <c r="DU31" s="23"/>
      <c r="DV31" s="23"/>
      <c r="DW31" s="23"/>
    </row>
    <row r="32" spans="1:127" x14ac:dyDescent="0.25">
      <c r="A32">
        <f t="shared" si="292"/>
        <v>28</v>
      </c>
      <c r="B32" t="str">
        <f t="shared" si="290"/>
        <v>J19-0784</v>
      </c>
      <c r="C32" s="20" t="s">
        <v>115</v>
      </c>
      <c r="D32" s="21" t="s">
        <v>100</v>
      </c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1"/>
      <c r="R32" s="22"/>
      <c r="S32" s="20"/>
      <c r="T32" s="23"/>
      <c r="U32" s="23"/>
      <c r="V32" s="23"/>
      <c r="W32" s="23"/>
      <c r="X32" s="23"/>
      <c r="Y32" s="23">
        <v>27000</v>
      </c>
      <c r="Z32" s="23"/>
      <c r="AA32" s="23"/>
      <c r="AB32" s="23"/>
      <c r="AC32" s="23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>
        <f t="shared" si="302"/>
        <v>0</v>
      </c>
      <c r="AQ32" s="24"/>
      <c r="AR32" s="24"/>
      <c r="AS32" s="24"/>
      <c r="AT32" s="24"/>
      <c r="AU32" s="24">
        <f t="shared" si="303"/>
        <v>0</v>
      </c>
      <c r="AV32" s="24"/>
      <c r="AW32" s="24"/>
      <c r="AX32" s="24"/>
      <c r="AY32" s="24"/>
      <c r="AZ32" s="24">
        <f t="shared" si="304"/>
        <v>0</v>
      </c>
      <c r="BA32" s="24"/>
      <c r="BB32" s="24"/>
      <c r="BC32" s="24"/>
      <c r="BD32" s="24"/>
      <c r="BE32" s="25">
        <f t="shared" si="305"/>
        <v>0</v>
      </c>
      <c r="BF32" s="23"/>
      <c r="BG32" s="23"/>
      <c r="BH32" s="25"/>
      <c r="BI32" s="25"/>
      <c r="BJ32" s="25"/>
      <c r="BK32" s="23"/>
      <c r="BL32" s="23"/>
      <c r="BM32" s="25"/>
      <c r="BN32" s="25"/>
      <c r="BO32" s="25"/>
      <c r="BP32" s="25"/>
      <c r="BQ32" s="25"/>
      <c r="BR32" s="25"/>
      <c r="BS32" s="25"/>
      <c r="BT32" s="25">
        <f t="shared" si="306"/>
        <v>0</v>
      </c>
      <c r="BU32" s="23"/>
      <c r="BV32" s="24"/>
      <c r="BW32" s="25">
        <f t="shared" si="301"/>
        <v>0</v>
      </c>
      <c r="BX32" s="23"/>
      <c r="BY32" s="23"/>
      <c r="BZ32" s="23"/>
      <c r="CA32" s="23"/>
      <c r="CB32" s="23"/>
      <c r="CC32" s="23">
        <f t="shared" si="289"/>
        <v>0</v>
      </c>
      <c r="CD32" s="23"/>
      <c r="CE32" s="23"/>
      <c r="CF32" s="23"/>
      <c r="CG32" s="23"/>
      <c r="CH32" s="23"/>
      <c r="CI32" s="23"/>
      <c r="CJ32" s="20"/>
      <c r="CK32" s="34"/>
      <c r="CL32" s="34"/>
      <c r="CM32" s="34"/>
      <c r="CN32" s="34"/>
      <c r="CO32" s="34"/>
      <c r="CP32" s="34">
        <f t="shared" si="293"/>
        <v>0</v>
      </c>
      <c r="CQ32" s="34"/>
      <c r="CR32" s="34"/>
      <c r="CS32" s="34"/>
      <c r="CT32" s="34"/>
      <c r="CU32" s="34"/>
      <c r="CV32" s="34">
        <f t="shared" si="299"/>
        <v>0</v>
      </c>
      <c r="CW32" s="37">
        <f t="shared" si="294"/>
        <v>0</v>
      </c>
      <c r="CX32" s="23"/>
      <c r="CY32" s="23"/>
      <c r="CZ32" s="23"/>
      <c r="DA32" s="23"/>
      <c r="DB32" s="23"/>
      <c r="DC32" s="25">
        <f t="shared" si="295"/>
        <v>0</v>
      </c>
      <c r="DD32" s="23"/>
      <c r="DE32" s="23"/>
      <c r="DF32" s="23"/>
      <c r="DG32" s="23"/>
      <c r="DH32" s="23"/>
      <c r="DI32" s="23">
        <f t="shared" si="296"/>
        <v>0</v>
      </c>
      <c r="DJ32" s="23">
        <f t="shared" si="297"/>
        <v>0</v>
      </c>
      <c r="DK32" s="23"/>
      <c r="DL32" s="23"/>
      <c r="DM32" s="23"/>
      <c r="DN32" s="23"/>
      <c r="DO32" s="23"/>
      <c r="DP32" s="23">
        <f t="shared" si="308"/>
        <v>0</v>
      </c>
      <c r="DQ32" s="23"/>
      <c r="DR32" s="23"/>
      <c r="DS32" s="23"/>
      <c r="DT32" s="23"/>
      <c r="DU32" s="23"/>
      <c r="DV32" s="23"/>
      <c r="DW32" s="23"/>
    </row>
    <row r="33" spans="1:127" x14ac:dyDescent="0.25">
      <c r="A33">
        <f t="shared" si="292"/>
        <v>29</v>
      </c>
      <c r="B33" t="str">
        <f t="shared" si="290"/>
        <v>J19-0853</v>
      </c>
      <c r="C33" s="20" t="s">
        <v>116</v>
      </c>
      <c r="D33" s="21" t="s">
        <v>117</v>
      </c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1"/>
      <c r="R33" s="22"/>
      <c r="S33" s="20"/>
      <c r="T33" s="24">
        <v>22069</v>
      </c>
      <c r="U33" s="23"/>
      <c r="V33" s="23"/>
      <c r="W33" s="23"/>
      <c r="X33" s="23"/>
      <c r="Y33" s="23"/>
      <c r="Z33" s="23"/>
      <c r="AA33" s="23"/>
      <c r="AB33" s="23"/>
      <c r="AC33" s="23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>
        <f t="shared" si="302"/>
        <v>0</v>
      </c>
      <c r="AQ33" s="24"/>
      <c r="AR33" s="24"/>
      <c r="AS33" s="24"/>
      <c r="AT33" s="24"/>
      <c r="AU33" s="24">
        <f t="shared" si="303"/>
        <v>0</v>
      </c>
      <c r="AV33" s="24"/>
      <c r="AW33" s="24"/>
      <c r="AX33" s="24"/>
      <c r="AY33" s="24"/>
      <c r="AZ33" s="24">
        <f t="shared" si="304"/>
        <v>0</v>
      </c>
      <c r="BA33" s="24"/>
      <c r="BB33" s="24"/>
      <c r="BC33" s="24"/>
      <c r="BD33" s="24"/>
      <c r="BE33" s="25">
        <f t="shared" si="305"/>
        <v>0</v>
      </c>
      <c r="BF33" s="23"/>
      <c r="BG33" s="23"/>
      <c r="BH33" s="25"/>
      <c r="BI33" s="25"/>
      <c r="BJ33" s="25"/>
      <c r="BK33" s="23"/>
      <c r="BL33" s="23"/>
      <c r="BM33" s="25"/>
      <c r="BN33" s="25"/>
      <c r="BO33" s="25"/>
      <c r="BP33" s="25"/>
      <c r="BQ33" s="25"/>
      <c r="BR33" s="25"/>
      <c r="BS33" s="25"/>
      <c r="BT33" s="25">
        <f t="shared" si="306"/>
        <v>0</v>
      </c>
      <c r="BU33" s="23"/>
      <c r="BV33" s="24"/>
      <c r="BW33" s="25">
        <f t="shared" si="301"/>
        <v>0</v>
      </c>
      <c r="BX33" s="23"/>
      <c r="BY33" s="23"/>
      <c r="BZ33" s="23"/>
      <c r="CA33" s="23"/>
      <c r="CB33" s="23"/>
      <c r="CC33" s="23">
        <f t="shared" si="289"/>
        <v>0</v>
      </c>
      <c r="CD33" s="23"/>
      <c r="CE33" s="23"/>
      <c r="CF33" s="23"/>
      <c r="CG33" s="23"/>
      <c r="CH33" s="23"/>
      <c r="CI33" s="23"/>
      <c r="CJ33" s="20"/>
      <c r="CK33" s="34"/>
      <c r="CL33" s="34"/>
      <c r="CM33" s="34"/>
      <c r="CN33" s="34"/>
      <c r="CO33" s="34"/>
      <c r="CP33" s="34">
        <f t="shared" si="293"/>
        <v>0</v>
      </c>
      <c r="CQ33" s="34"/>
      <c r="CR33" s="34"/>
      <c r="CS33" s="34"/>
      <c r="CT33" s="34"/>
      <c r="CU33" s="34"/>
      <c r="CV33" s="34">
        <f t="shared" si="299"/>
        <v>0</v>
      </c>
      <c r="CW33" s="37">
        <f t="shared" si="294"/>
        <v>0</v>
      </c>
      <c r="CX33" s="23"/>
      <c r="CY33" s="23"/>
      <c r="CZ33" s="23"/>
      <c r="DA33" s="23"/>
      <c r="DB33" s="23"/>
      <c r="DC33" s="25">
        <f t="shared" si="295"/>
        <v>0</v>
      </c>
      <c r="DD33" s="23"/>
      <c r="DE33" s="23"/>
      <c r="DF33" s="23"/>
      <c r="DG33" s="23"/>
      <c r="DH33" s="23"/>
      <c r="DI33" s="23">
        <f t="shared" si="296"/>
        <v>0</v>
      </c>
      <c r="DJ33" s="23">
        <f t="shared" si="297"/>
        <v>0</v>
      </c>
      <c r="DK33" s="23"/>
      <c r="DL33" s="23"/>
      <c r="DM33" s="23"/>
      <c r="DN33" s="23"/>
      <c r="DO33" s="23"/>
      <c r="DP33" s="23">
        <f t="shared" si="308"/>
        <v>0</v>
      </c>
      <c r="DQ33" s="23"/>
      <c r="DR33" s="23"/>
      <c r="DS33" s="23"/>
      <c r="DT33" s="23"/>
      <c r="DU33" s="23"/>
      <c r="DV33" s="23"/>
      <c r="DW33" s="23"/>
    </row>
    <row r="34" spans="1:127" x14ac:dyDescent="0.25">
      <c r="A34">
        <f t="shared" si="292"/>
        <v>30</v>
      </c>
      <c r="B34" t="str">
        <f t="shared" si="290"/>
        <v>J19-0762</v>
      </c>
      <c r="C34" s="20" t="s">
        <v>118</v>
      </c>
      <c r="D34" s="21" t="s">
        <v>110</v>
      </c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1"/>
      <c r="R34" s="22"/>
      <c r="S34" s="20"/>
      <c r="T34" s="23"/>
      <c r="U34" s="23"/>
      <c r="V34" s="23"/>
      <c r="W34" s="23"/>
      <c r="X34" s="23"/>
      <c r="Y34" s="23">
        <v>17077</v>
      </c>
      <c r="Z34" s="23"/>
      <c r="AA34" s="23"/>
      <c r="AB34" s="23"/>
      <c r="AC34" s="23"/>
      <c r="AD34" s="24">
        <v>19125</v>
      </c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>
        <f t="shared" si="302"/>
        <v>0</v>
      </c>
      <c r="AQ34" s="24"/>
      <c r="AR34" s="24"/>
      <c r="AS34" s="24"/>
      <c r="AT34" s="24"/>
      <c r="AU34" s="24">
        <f t="shared" si="303"/>
        <v>0</v>
      </c>
      <c r="AV34" s="24"/>
      <c r="AW34" s="24"/>
      <c r="AX34" s="24"/>
      <c r="AY34" s="24"/>
      <c r="AZ34" s="24">
        <f t="shared" si="304"/>
        <v>0</v>
      </c>
      <c r="BA34" s="24">
        <v>13600</v>
      </c>
      <c r="BB34" s="24"/>
      <c r="BC34" s="24"/>
      <c r="BD34" s="24"/>
      <c r="BE34" s="25">
        <f t="shared" si="305"/>
        <v>13600</v>
      </c>
      <c r="BF34" s="23"/>
      <c r="BG34" s="23"/>
      <c r="BH34" s="25"/>
      <c r="BI34" s="25"/>
      <c r="BJ34" s="25"/>
      <c r="BK34" s="23"/>
      <c r="BL34" s="23"/>
      <c r="BM34" s="25"/>
      <c r="BN34" s="25"/>
      <c r="BO34" s="25"/>
      <c r="BP34" s="25"/>
      <c r="BQ34" s="25"/>
      <c r="BR34" s="25"/>
      <c r="BS34" s="25"/>
      <c r="BT34" s="25">
        <f t="shared" si="306"/>
        <v>0</v>
      </c>
      <c r="BU34" s="23"/>
      <c r="BV34" s="24"/>
      <c r="BW34" s="25">
        <f t="shared" si="301"/>
        <v>0</v>
      </c>
      <c r="BX34" s="23"/>
      <c r="BY34" s="23"/>
      <c r="BZ34" s="23"/>
      <c r="CA34" s="23"/>
      <c r="CB34" s="23"/>
      <c r="CC34" s="23">
        <f t="shared" si="289"/>
        <v>0</v>
      </c>
      <c r="CD34" s="23"/>
      <c r="CE34" s="23"/>
      <c r="CF34" s="23"/>
      <c r="CG34" s="23"/>
      <c r="CH34" s="23"/>
      <c r="CI34" s="23"/>
      <c r="CJ34" s="20"/>
      <c r="CK34" s="34"/>
      <c r="CL34" s="34"/>
      <c r="CM34" s="34"/>
      <c r="CN34" s="34"/>
      <c r="CO34" s="34"/>
      <c r="CP34" s="34">
        <f t="shared" si="293"/>
        <v>0</v>
      </c>
      <c r="CQ34" s="34"/>
      <c r="CR34" s="34"/>
      <c r="CS34" s="34"/>
      <c r="CT34" s="34"/>
      <c r="CU34" s="34"/>
      <c r="CV34" s="34">
        <f t="shared" si="299"/>
        <v>0</v>
      </c>
      <c r="CW34" s="37">
        <f t="shared" si="294"/>
        <v>0</v>
      </c>
      <c r="CX34" s="23"/>
      <c r="CY34" s="23"/>
      <c r="CZ34" s="23"/>
      <c r="DA34" s="23"/>
      <c r="DB34" s="23"/>
      <c r="DC34" s="25">
        <f t="shared" si="295"/>
        <v>0</v>
      </c>
      <c r="DD34" s="23"/>
      <c r="DE34" s="23"/>
      <c r="DF34" s="23"/>
      <c r="DG34" s="23"/>
      <c r="DH34" s="23"/>
      <c r="DI34" s="23">
        <f t="shared" si="296"/>
        <v>0</v>
      </c>
      <c r="DJ34" s="23">
        <f t="shared" si="297"/>
        <v>0</v>
      </c>
      <c r="DK34" s="23"/>
      <c r="DL34" s="23"/>
      <c r="DM34" s="23"/>
      <c r="DN34" s="23"/>
      <c r="DO34" s="23"/>
      <c r="DP34" s="23">
        <f t="shared" si="308"/>
        <v>0</v>
      </c>
      <c r="DQ34" s="23"/>
      <c r="DR34" s="23"/>
      <c r="DS34" s="23"/>
      <c r="DT34" s="23"/>
      <c r="DU34" s="23"/>
      <c r="DV34" s="23"/>
      <c r="DW34" s="23"/>
    </row>
    <row r="35" spans="1:127" x14ac:dyDescent="0.25">
      <c r="A35">
        <f t="shared" si="292"/>
        <v>31</v>
      </c>
      <c r="B35" t="str">
        <f t="shared" si="290"/>
        <v>J19-1491</v>
      </c>
      <c r="C35" s="20" t="s">
        <v>119</v>
      </c>
      <c r="D35" s="21" t="s">
        <v>120</v>
      </c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1"/>
      <c r="R35" s="22"/>
      <c r="S35" s="20"/>
      <c r="T35" s="23"/>
      <c r="U35" s="23"/>
      <c r="V35" s="23"/>
      <c r="W35" s="23"/>
      <c r="X35" s="23"/>
      <c r="Y35" s="23">
        <v>40591</v>
      </c>
      <c r="Z35" s="23"/>
      <c r="AA35" s="23"/>
      <c r="AB35" s="23">
        <v>51523</v>
      </c>
      <c r="AC35" s="23"/>
      <c r="AD35" s="24">
        <v>68503</v>
      </c>
      <c r="AE35" s="24"/>
      <c r="AF35" s="24"/>
      <c r="AG35" s="24">
        <v>46790</v>
      </c>
      <c r="AH35" s="24"/>
      <c r="AI35" s="24">
        <v>47960</v>
      </c>
      <c r="AJ35" s="24"/>
      <c r="AK35" s="24"/>
      <c r="AL35" s="24"/>
      <c r="AM35" s="24"/>
      <c r="AN35" s="24"/>
      <c r="AO35" s="24"/>
      <c r="AP35" s="24">
        <f t="shared" si="302"/>
        <v>0</v>
      </c>
      <c r="AQ35" s="24"/>
      <c r="AR35" s="24"/>
      <c r="AS35" s="24"/>
      <c r="AT35" s="24"/>
      <c r="AU35" s="24">
        <f t="shared" si="303"/>
        <v>0</v>
      </c>
      <c r="AV35" s="24"/>
      <c r="AW35" s="24"/>
      <c r="AX35" s="24"/>
      <c r="AY35" s="24"/>
      <c r="AZ35" s="24">
        <f t="shared" si="304"/>
        <v>0</v>
      </c>
      <c r="BA35" s="24"/>
      <c r="BB35" s="24"/>
      <c r="BC35" s="24"/>
      <c r="BD35" s="24"/>
      <c r="BE35" s="25">
        <f t="shared" si="305"/>
        <v>0</v>
      </c>
      <c r="BF35" s="23"/>
      <c r="BG35" s="23"/>
      <c r="BH35" s="25"/>
      <c r="BI35" s="25"/>
      <c r="BJ35" s="25"/>
      <c r="BK35" s="23"/>
      <c r="BL35" s="23"/>
      <c r="BM35" s="25"/>
      <c r="BN35" s="25"/>
      <c r="BO35" s="25"/>
      <c r="BP35" s="25"/>
      <c r="BQ35" s="25"/>
      <c r="BR35" s="25"/>
      <c r="BS35" s="25"/>
      <c r="BT35" s="25">
        <f t="shared" si="306"/>
        <v>0</v>
      </c>
      <c r="BU35" s="23"/>
      <c r="BV35" s="24"/>
      <c r="BW35" s="25">
        <f t="shared" si="301"/>
        <v>0</v>
      </c>
      <c r="BX35" s="23"/>
      <c r="BY35" s="23"/>
      <c r="BZ35" s="23"/>
      <c r="CA35" s="23"/>
      <c r="CB35" s="23"/>
      <c r="CC35" s="23">
        <f t="shared" si="289"/>
        <v>0</v>
      </c>
      <c r="CD35" s="23"/>
      <c r="CE35" s="23"/>
      <c r="CF35" s="23"/>
      <c r="CG35" s="23"/>
      <c r="CH35" s="23"/>
      <c r="CI35" s="23"/>
      <c r="CJ35" s="20"/>
      <c r="CK35" s="34"/>
      <c r="CL35" s="34"/>
      <c r="CM35" s="34"/>
      <c r="CN35" s="34"/>
      <c r="CO35" s="34"/>
      <c r="CP35" s="34">
        <f t="shared" si="293"/>
        <v>0</v>
      </c>
      <c r="CQ35" s="34"/>
      <c r="CR35" s="34"/>
      <c r="CS35" s="34"/>
      <c r="CT35" s="34"/>
      <c r="CU35" s="34"/>
      <c r="CV35" s="34">
        <f t="shared" si="299"/>
        <v>0</v>
      </c>
      <c r="CW35" s="37">
        <f t="shared" si="294"/>
        <v>0</v>
      </c>
      <c r="CX35" s="23"/>
      <c r="CY35" s="23"/>
      <c r="CZ35" s="23"/>
      <c r="DA35" s="23"/>
      <c r="DB35" s="23"/>
      <c r="DC35" s="25">
        <f t="shared" si="295"/>
        <v>0</v>
      </c>
      <c r="DD35" s="23"/>
      <c r="DE35" s="23"/>
      <c r="DF35" s="23"/>
      <c r="DG35" s="23"/>
      <c r="DH35" s="23"/>
      <c r="DI35" s="23">
        <f t="shared" si="296"/>
        <v>0</v>
      </c>
      <c r="DJ35" s="23">
        <f t="shared" si="297"/>
        <v>0</v>
      </c>
      <c r="DK35" s="23"/>
      <c r="DL35" s="23"/>
      <c r="DM35" s="23"/>
      <c r="DN35" s="23"/>
      <c r="DO35" s="23"/>
      <c r="DP35" s="23">
        <f t="shared" si="308"/>
        <v>0</v>
      </c>
      <c r="DQ35" s="23"/>
      <c r="DR35" s="23"/>
      <c r="DS35" s="23"/>
      <c r="DT35" s="23"/>
      <c r="DU35" s="23"/>
      <c r="DV35" s="23"/>
      <c r="DW35" s="23"/>
    </row>
    <row r="36" spans="1:127" x14ac:dyDescent="0.25">
      <c r="A36">
        <f t="shared" si="292"/>
        <v>32</v>
      </c>
      <c r="B36" t="str">
        <f t="shared" si="290"/>
        <v>J19-1330</v>
      </c>
      <c r="C36" s="20" t="s">
        <v>121</v>
      </c>
      <c r="D36" s="21" t="s">
        <v>122</v>
      </c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1"/>
      <c r="R36" s="22"/>
      <c r="S36" s="20"/>
      <c r="T36" s="24">
        <v>14644</v>
      </c>
      <c r="U36" s="23"/>
      <c r="V36" s="23"/>
      <c r="W36" s="23"/>
      <c r="X36" s="23"/>
      <c r="Y36" s="23"/>
      <c r="Z36" s="23"/>
      <c r="AA36" s="23"/>
      <c r="AB36" s="23">
        <v>19413</v>
      </c>
      <c r="AC36" s="23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>
        <f t="shared" si="302"/>
        <v>0</v>
      </c>
      <c r="AQ36" s="24"/>
      <c r="AR36" s="24"/>
      <c r="AS36" s="24"/>
      <c r="AT36" s="24"/>
      <c r="AU36" s="24">
        <f t="shared" si="303"/>
        <v>0</v>
      </c>
      <c r="AV36" s="24"/>
      <c r="AW36" s="24"/>
      <c r="AX36" s="24"/>
      <c r="AY36" s="24"/>
      <c r="AZ36" s="24">
        <f t="shared" si="304"/>
        <v>0</v>
      </c>
      <c r="BA36" s="24"/>
      <c r="BB36" s="24"/>
      <c r="BC36" s="24"/>
      <c r="BD36" s="24"/>
      <c r="BE36" s="25">
        <f t="shared" si="305"/>
        <v>0</v>
      </c>
      <c r="BF36" s="23"/>
      <c r="BG36" s="23"/>
      <c r="BH36" s="25"/>
      <c r="BI36" s="25"/>
      <c r="BJ36" s="25"/>
      <c r="BK36" s="23"/>
      <c r="BL36" s="23"/>
      <c r="BM36" s="25"/>
      <c r="BN36" s="25"/>
      <c r="BO36" s="25"/>
      <c r="BP36" s="25"/>
      <c r="BQ36" s="25"/>
      <c r="BR36" s="25"/>
      <c r="BS36" s="25"/>
      <c r="BT36" s="25">
        <f t="shared" si="306"/>
        <v>0</v>
      </c>
      <c r="BU36" s="23"/>
      <c r="BV36" s="24"/>
      <c r="BW36" s="25">
        <f t="shared" si="301"/>
        <v>0</v>
      </c>
      <c r="BX36" s="23"/>
      <c r="BY36" s="23"/>
      <c r="BZ36" s="23"/>
      <c r="CA36" s="23"/>
      <c r="CB36" s="23"/>
      <c r="CC36" s="23">
        <f t="shared" si="289"/>
        <v>0</v>
      </c>
      <c r="CD36" s="23"/>
      <c r="CE36" s="23"/>
      <c r="CF36" s="23"/>
      <c r="CG36" s="23"/>
      <c r="CH36" s="23"/>
      <c r="CI36" s="23"/>
      <c r="CJ36" s="20"/>
      <c r="CK36" s="34"/>
      <c r="CL36" s="34"/>
      <c r="CM36" s="34"/>
      <c r="CN36" s="34"/>
      <c r="CO36" s="34"/>
      <c r="CP36" s="34">
        <f t="shared" si="293"/>
        <v>0</v>
      </c>
      <c r="CQ36" s="34"/>
      <c r="CR36" s="34"/>
      <c r="CS36" s="34"/>
      <c r="CT36" s="34"/>
      <c r="CU36" s="34"/>
      <c r="CV36" s="34">
        <f t="shared" si="299"/>
        <v>0</v>
      </c>
      <c r="CW36" s="37">
        <f t="shared" si="294"/>
        <v>0</v>
      </c>
      <c r="CX36" s="23"/>
      <c r="CY36" s="23"/>
      <c r="CZ36" s="23"/>
      <c r="DA36" s="23"/>
      <c r="DB36" s="23"/>
      <c r="DC36" s="25">
        <f t="shared" si="295"/>
        <v>0</v>
      </c>
      <c r="DD36" s="23"/>
      <c r="DE36" s="23"/>
      <c r="DF36" s="23"/>
      <c r="DG36" s="23"/>
      <c r="DH36" s="23"/>
      <c r="DI36" s="23">
        <f t="shared" si="296"/>
        <v>0</v>
      </c>
      <c r="DJ36" s="23">
        <f t="shared" si="297"/>
        <v>0</v>
      </c>
      <c r="DK36" s="23"/>
      <c r="DL36" s="23"/>
      <c r="DM36" s="23"/>
      <c r="DN36" s="23"/>
      <c r="DO36" s="23"/>
      <c r="DP36" s="23">
        <f t="shared" si="308"/>
        <v>0</v>
      </c>
      <c r="DQ36" s="23"/>
      <c r="DR36" s="23"/>
      <c r="DS36" s="23"/>
      <c r="DT36" s="23"/>
      <c r="DU36" s="23"/>
      <c r="DV36" s="23"/>
      <c r="DW36" s="23"/>
    </row>
    <row r="37" spans="1:127" x14ac:dyDescent="0.25">
      <c r="A37">
        <f t="shared" si="292"/>
        <v>33</v>
      </c>
      <c r="B37" t="str">
        <f t="shared" si="290"/>
        <v>J20-0004</v>
      </c>
      <c r="C37" s="20" t="s">
        <v>123</v>
      </c>
      <c r="D37" s="21" t="s">
        <v>124</v>
      </c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1"/>
      <c r="R37" s="22"/>
      <c r="S37" s="20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4">
        <v>12909</v>
      </c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>
        <f t="shared" si="302"/>
        <v>0</v>
      </c>
      <c r="AQ37" s="24"/>
      <c r="AR37" s="24"/>
      <c r="AS37" s="24"/>
      <c r="AT37" s="24"/>
      <c r="AU37" s="24">
        <f t="shared" si="303"/>
        <v>0</v>
      </c>
      <c r="AV37" s="24"/>
      <c r="AW37" s="24"/>
      <c r="AX37" s="24"/>
      <c r="AY37" s="24"/>
      <c r="AZ37" s="24">
        <f t="shared" si="304"/>
        <v>0</v>
      </c>
      <c r="BA37" s="24"/>
      <c r="BB37" s="24"/>
      <c r="BC37" s="24"/>
      <c r="BD37" s="24"/>
      <c r="BE37" s="25">
        <f t="shared" si="305"/>
        <v>0</v>
      </c>
      <c r="BF37" s="23"/>
      <c r="BG37" s="23"/>
      <c r="BH37" s="25"/>
      <c r="BI37" s="25"/>
      <c r="BJ37" s="25"/>
      <c r="BK37" s="23"/>
      <c r="BL37" s="23"/>
      <c r="BM37" s="25"/>
      <c r="BN37" s="25"/>
      <c r="BO37" s="25"/>
      <c r="BP37" s="25"/>
      <c r="BQ37" s="25"/>
      <c r="BR37" s="25"/>
      <c r="BS37" s="25"/>
      <c r="BT37" s="25">
        <f t="shared" si="306"/>
        <v>0</v>
      </c>
      <c r="BU37" s="23"/>
      <c r="BV37" s="24"/>
      <c r="BW37" s="25">
        <f t="shared" si="301"/>
        <v>0</v>
      </c>
      <c r="BX37" s="23"/>
      <c r="BY37" s="23"/>
      <c r="BZ37" s="23"/>
      <c r="CA37" s="23"/>
      <c r="CB37" s="23"/>
      <c r="CC37" s="23">
        <f t="shared" si="289"/>
        <v>0</v>
      </c>
      <c r="CD37" s="23"/>
      <c r="CE37" s="23"/>
      <c r="CF37" s="23"/>
      <c r="CG37" s="23"/>
      <c r="CH37" s="23"/>
      <c r="CI37" s="23"/>
      <c r="CJ37" s="20"/>
      <c r="CK37" s="34"/>
      <c r="CL37" s="34"/>
      <c r="CM37" s="34"/>
      <c r="CN37" s="34"/>
      <c r="CO37" s="34"/>
      <c r="CP37" s="34">
        <f t="shared" si="293"/>
        <v>0</v>
      </c>
      <c r="CQ37" s="34"/>
      <c r="CR37" s="34"/>
      <c r="CS37" s="34"/>
      <c r="CT37" s="34"/>
      <c r="CU37" s="34"/>
      <c r="CV37" s="34">
        <f t="shared" si="299"/>
        <v>0</v>
      </c>
      <c r="CW37" s="37">
        <f t="shared" si="294"/>
        <v>0</v>
      </c>
      <c r="CX37" s="23"/>
      <c r="CY37" s="23"/>
      <c r="CZ37" s="23"/>
      <c r="DA37" s="23"/>
      <c r="DB37" s="23"/>
      <c r="DC37" s="25">
        <f t="shared" si="295"/>
        <v>0</v>
      </c>
      <c r="DD37" s="23"/>
      <c r="DE37" s="23"/>
      <c r="DF37" s="23"/>
      <c r="DG37" s="23"/>
      <c r="DH37" s="23"/>
      <c r="DI37" s="23">
        <f t="shared" si="296"/>
        <v>0</v>
      </c>
      <c r="DJ37" s="23">
        <f t="shared" si="297"/>
        <v>0</v>
      </c>
      <c r="DK37" s="23"/>
      <c r="DL37" s="23"/>
      <c r="DM37" s="23"/>
      <c r="DN37" s="23"/>
      <c r="DO37" s="23"/>
      <c r="DP37" s="23">
        <f t="shared" si="308"/>
        <v>0</v>
      </c>
      <c r="DQ37" s="23"/>
      <c r="DR37" s="23"/>
      <c r="DS37" s="23"/>
      <c r="DT37" s="23"/>
      <c r="DU37" s="23"/>
      <c r="DV37" s="23"/>
      <c r="DW37" s="23"/>
    </row>
    <row r="38" spans="1:127" x14ac:dyDescent="0.25">
      <c r="A38">
        <f t="shared" si="292"/>
        <v>34</v>
      </c>
      <c r="B38" t="str">
        <f t="shared" si="290"/>
        <v>J19-1304</v>
      </c>
      <c r="C38" s="20" t="s">
        <v>125</v>
      </c>
      <c r="D38" s="21" t="s">
        <v>126</v>
      </c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1"/>
      <c r="R38" s="22"/>
      <c r="S38" s="20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4">
        <v>71300</v>
      </c>
      <c r="AE38" s="24"/>
      <c r="AF38" s="24"/>
      <c r="AG38" s="24">
        <v>3550</v>
      </c>
      <c r="AH38" s="24"/>
      <c r="AI38" s="24"/>
      <c r="AJ38" s="24"/>
      <c r="AK38" s="24"/>
      <c r="AL38" s="24">
        <v>18610</v>
      </c>
      <c r="AM38" s="24"/>
      <c r="AN38" s="24"/>
      <c r="AO38" s="24"/>
      <c r="AP38" s="24">
        <f t="shared" si="302"/>
        <v>18610</v>
      </c>
      <c r="AQ38" s="24"/>
      <c r="AR38" s="24"/>
      <c r="AS38" s="24"/>
      <c r="AT38" s="24"/>
      <c r="AU38" s="24">
        <f t="shared" si="303"/>
        <v>0</v>
      </c>
      <c r="AV38" s="24"/>
      <c r="AW38" s="24"/>
      <c r="AX38" s="24"/>
      <c r="AY38" s="24"/>
      <c r="AZ38" s="24">
        <f t="shared" si="304"/>
        <v>0</v>
      </c>
      <c r="BA38" s="24"/>
      <c r="BB38" s="24"/>
      <c r="BC38" s="24"/>
      <c r="BD38" s="24"/>
      <c r="BE38" s="25">
        <f t="shared" si="305"/>
        <v>0</v>
      </c>
      <c r="BF38" s="23"/>
      <c r="BG38" s="23"/>
      <c r="BH38" s="25"/>
      <c r="BI38" s="25"/>
      <c r="BJ38" s="25"/>
      <c r="BK38" s="23"/>
      <c r="BL38" s="23"/>
      <c r="BM38" s="25"/>
      <c r="BN38" s="25"/>
      <c r="BO38" s="25"/>
      <c r="BP38" s="25"/>
      <c r="BQ38" s="25"/>
      <c r="BR38" s="25"/>
      <c r="BS38" s="25"/>
      <c r="BT38" s="25">
        <f t="shared" si="306"/>
        <v>0</v>
      </c>
      <c r="BU38" s="23"/>
      <c r="BV38" s="24"/>
      <c r="BW38" s="25">
        <f t="shared" si="301"/>
        <v>0</v>
      </c>
      <c r="BX38" s="23"/>
      <c r="BY38" s="23"/>
      <c r="BZ38" s="23"/>
      <c r="CA38" s="23"/>
      <c r="CB38" s="23"/>
      <c r="CC38" s="23">
        <f t="shared" si="289"/>
        <v>0</v>
      </c>
      <c r="CD38" s="23"/>
      <c r="CE38" s="23"/>
      <c r="CF38" s="23"/>
      <c r="CG38" s="23"/>
      <c r="CH38" s="23"/>
      <c r="CI38" s="23"/>
      <c r="CJ38" s="20"/>
      <c r="CK38" s="34"/>
      <c r="CL38" s="34"/>
      <c r="CM38" s="34"/>
      <c r="CN38" s="34"/>
      <c r="CO38" s="34"/>
      <c r="CP38" s="34">
        <f t="shared" si="293"/>
        <v>0</v>
      </c>
      <c r="CQ38" s="34"/>
      <c r="CR38" s="34"/>
      <c r="CS38" s="34"/>
      <c r="CT38" s="34"/>
      <c r="CU38" s="34"/>
      <c r="CV38" s="34">
        <f t="shared" si="299"/>
        <v>0</v>
      </c>
      <c r="CW38" s="37">
        <f t="shared" si="294"/>
        <v>0</v>
      </c>
      <c r="CX38" s="23"/>
      <c r="CY38" s="23"/>
      <c r="CZ38" s="23"/>
      <c r="DA38" s="23"/>
      <c r="DB38" s="23"/>
      <c r="DC38" s="25">
        <f t="shared" si="295"/>
        <v>0</v>
      </c>
      <c r="DD38" s="23"/>
      <c r="DE38" s="23"/>
      <c r="DF38" s="23"/>
      <c r="DG38" s="23"/>
      <c r="DH38" s="23"/>
      <c r="DI38" s="23">
        <f t="shared" si="296"/>
        <v>0</v>
      </c>
      <c r="DJ38" s="23">
        <f t="shared" si="297"/>
        <v>0</v>
      </c>
      <c r="DK38" s="23"/>
      <c r="DL38" s="23"/>
      <c r="DM38" s="23"/>
      <c r="DN38" s="23"/>
      <c r="DO38" s="23"/>
      <c r="DP38" s="23">
        <f t="shared" si="308"/>
        <v>0</v>
      </c>
      <c r="DQ38" s="23"/>
      <c r="DR38" s="23"/>
      <c r="DS38" s="23"/>
      <c r="DT38" s="23"/>
      <c r="DU38" s="23"/>
      <c r="DV38" s="23"/>
      <c r="DW38" s="23"/>
    </row>
    <row r="39" spans="1:127" x14ac:dyDescent="0.25">
      <c r="A39">
        <f t="shared" si="292"/>
        <v>35</v>
      </c>
      <c r="B39" t="str">
        <f t="shared" si="290"/>
        <v>J20-0103</v>
      </c>
      <c r="C39" s="20" t="s">
        <v>127</v>
      </c>
      <c r="D39" s="21" t="s">
        <v>128</v>
      </c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1"/>
      <c r="R39" s="22"/>
      <c r="S39" s="20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4">
        <v>18048</v>
      </c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>
        <f t="shared" si="302"/>
        <v>0</v>
      </c>
      <c r="AQ39" s="24"/>
      <c r="AR39" s="24"/>
      <c r="AS39" s="24"/>
      <c r="AT39" s="24"/>
      <c r="AU39" s="24">
        <f t="shared" si="303"/>
        <v>0</v>
      </c>
      <c r="AV39" s="24"/>
      <c r="AW39" s="24"/>
      <c r="AX39" s="24"/>
      <c r="AY39" s="24"/>
      <c r="AZ39" s="24">
        <f t="shared" si="304"/>
        <v>0</v>
      </c>
      <c r="BA39" s="24"/>
      <c r="BB39" s="24"/>
      <c r="BC39" s="24"/>
      <c r="BD39" s="24"/>
      <c r="BE39" s="25">
        <f t="shared" si="305"/>
        <v>0</v>
      </c>
      <c r="BF39" s="23"/>
      <c r="BG39" s="23"/>
      <c r="BH39" s="25"/>
      <c r="BI39" s="25"/>
      <c r="BJ39" s="25"/>
      <c r="BK39" s="23"/>
      <c r="BL39" s="23"/>
      <c r="BM39" s="25"/>
      <c r="BN39" s="25"/>
      <c r="BO39" s="25"/>
      <c r="BP39" s="25"/>
      <c r="BQ39" s="25"/>
      <c r="BR39" s="25"/>
      <c r="BS39" s="25"/>
      <c r="BT39" s="25">
        <f t="shared" si="306"/>
        <v>0</v>
      </c>
      <c r="BU39" s="23"/>
      <c r="BV39" s="24"/>
      <c r="BW39" s="25">
        <f t="shared" si="301"/>
        <v>0</v>
      </c>
      <c r="BX39" s="23"/>
      <c r="BY39" s="23"/>
      <c r="BZ39" s="23"/>
      <c r="CA39" s="23"/>
      <c r="CB39" s="23"/>
      <c r="CC39" s="23">
        <f t="shared" si="289"/>
        <v>0</v>
      </c>
      <c r="CD39" s="23"/>
      <c r="CE39" s="23"/>
      <c r="CF39" s="23"/>
      <c r="CG39" s="23"/>
      <c r="CH39" s="23"/>
      <c r="CI39" s="23"/>
      <c r="CJ39" s="20"/>
      <c r="CK39" s="34"/>
      <c r="CL39" s="34"/>
      <c r="CM39" s="34"/>
      <c r="CN39" s="34"/>
      <c r="CO39" s="34"/>
      <c r="CP39" s="34">
        <f t="shared" si="293"/>
        <v>0</v>
      </c>
      <c r="CQ39" s="34"/>
      <c r="CR39" s="34"/>
      <c r="CS39" s="34"/>
      <c r="CT39" s="34"/>
      <c r="CU39" s="34"/>
      <c r="CV39" s="34">
        <f t="shared" si="299"/>
        <v>0</v>
      </c>
      <c r="CW39" s="37">
        <f t="shared" si="294"/>
        <v>0</v>
      </c>
      <c r="CX39" s="23"/>
      <c r="CY39" s="23"/>
      <c r="CZ39" s="23"/>
      <c r="DA39" s="23"/>
      <c r="DB39" s="23"/>
      <c r="DC39" s="25">
        <f t="shared" si="295"/>
        <v>0</v>
      </c>
      <c r="DD39" s="23"/>
      <c r="DE39" s="23"/>
      <c r="DF39" s="23"/>
      <c r="DG39" s="23"/>
      <c r="DH39" s="23"/>
      <c r="DI39" s="23">
        <f t="shared" si="296"/>
        <v>0</v>
      </c>
      <c r="DJ39" s="23">
        <f t="shared" si="297"/>
        <v>0</v>
      </c>
      <c r="DK39" s="23"/>
      <c r="DL39" s="23"/>
      <c r="DM39" s="23"/>
      <c r="DN39" s="23"/>
      <c r="DO39" s="23"/>
      <c r="DP39" s="23">
        <f t="shared" si="308"/>
        <v>0</v>
      </c>
      <c r="DQ39" s="23"/>
      <c r="DR39" s="23"/>
      <c r="DS39" s="23"/>
      <c r="DT39" s="23"/>
      <c r="DU39" s="23"/>
      <c r="DV39" s="23"/>
      <c r="DW39" s="23"/>
    </row>
    <row r="40" spans="1:127" x14ac:dyDescent="0.25">
      <c r="A40">
        <f t="shared" si="292"/>
        <v>36</v>
      </c>
      <c r="B40" t="str">
        <f t="shared" si="290"/>
        <v>J19-1268</v>
      </c>
      <c r="C40" s="20" t="s">
        <v>129</v>
      </c>
      <c r="D40" s="21" t="s">
        <v>130</v>
      </c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1"/>
      <c r="R40" s="22"/>
      <c r="S40" s="20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4">
        <v>4038</v>
      </c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>
        <f t="shared" si="302"/>
        <v>0</v>
      </c>
      <c r="AQ40" s="24"/>
      <c r="AR40" s="24"/>
      <c r="AS40" s="24"/>
      <c r="AT40" s="24"/>
      <c r="AU40" s="24">
        <f t="shared" si="303"/>
        <v>0</v>
      </c>
      <c r="AV40" s="24"/>
      <c r="AW40" s="24"/>
      <c r="AX40" s="24"/>
      <c r="AY40" s="24"/>
      <c r="AZ40" s="24">
        <f t="shared" si="304"/>
        <v>0</v>
      </c>
      <c r="BA40" s="24"/>
      <c r="BB40" s="24"/>
      <c r="BC40" s="24"/>
      <c r="BD40" s="24"/>
      <c r="BE40" s="25">
        <f t="shared" si="305"/>
        <v>0</v>
      </c>
      <c r="BF40" s="23"/>
      <c r="BG40" s="23"/>
      <c r="BH40" s="25"/>
      <c r="BI40" s="25"/>
      <c r="BJ40" s="25"/>
      <c r="BK40" s="23"/>
      <c r="BL40" s="23"/>
      <c r="BM40" s="25"/>
      <c r="BN40" s="25"/>
      <c r="BO40" s="25"/>
      <c r="BP40" s="25"/>
      <c r="BQ40" s="25"/>
      <c r="BR40" s="25"/>
      <c r="BS40" s="25"/>
      <c r="BT40" s="25">
        <f t="shared" si="306"/>
        <v>0</v>
      </c>
      <c r="BU40" s="23"/>
      <c r="BV40" s="24"/>
      <c r="BW40" s="25">
        <f t="shared" si="301"/>
        <v>0</v>
      </c>
      <c r="BX40" s="23"/>
      <c r="BY40" s="23"/>
      <c r="BZ40" s="23"/>
      <c r="CA40" s="23"/>
      <c r="CB40" s="23"/>
      <c r="CC40" s="23">
        <f t="shared" si="289"/>
        <v>0</v>
      </c>
      <c r="CD40" s="23"/>
      <c r="CE40" s="23"/>
      <c r="CF40" s="23"/>
      <c r="CG40" s="23"/>
      <c r="CH40" s="23"/>
      <c r="CI40" s="23"/>
      <c r="CJ40" s="20"/>
      <c r="CK40" s="34"/>
      <c r="CL40" s="34"/>
      <c r="CM40" s="34"/>
      <c r="CN40" s="34"/>
      <c r="CO40" s="34"/>
      <c r="CP40" s="34">
        <f t="shared" si="293"/>
        <v>0</v>
      </c>
      <c r="CQ40" s="34"/>
      <c r="CR40" s="34"/>
      <c r="CS40" s="34"/>
      <c r="CT40" s="34"/>
      <c r="CU40" s="34"/>
      <c r="CV40" s="34">
        <f t="shared" si="299"/>
        <v>0</v>
      </c>
      <c r="CW40" s="37">
        <f t="shared" si="294"/>
        <v>0</v>
      </c>
      <c r="CX40" s="23"/>
      <c r="CY40" s="23"/>
      <c r="CZ40" s="23"/>
      <c r="DA40" s="23"/>
      <c r="DB40" s="23"/>
      <c r="DC40" s="25">
        <f t="shared" si="295"/>
        <v>0</v>
      </c>
      <c r="DD40" s="23"/>
      <c r="DE40" s="23"/>
      <c r="DF40" s="23"/>
      <c r="DG40" s="23"/>
      <c r="DH40" s="23"/>
      <c r="DI40" s="23">
        <f t="shared" si="296"/>
        <v>0</v>
      </c>
      <c r="DJ40" s="23">
        <f t="shared" si="297"/>
        <v>0</v>
      </c>
      <c r="DK40" s="23"/>
      <c r="DL40" s="23"/>
      <c r="DM40" s="23"/>
      <c r="DN40" s="23"/>
      <c r="DO40" s="23"/>
      <c r="DP40" s="23">
        <f t="shared" si="308"/>
        <v>0</v>
      </c>
      <c r="DQ40" s="23"/>
      <c r="DR40" s="23"/>
      <c r="DS40" s="23"/>
      <c r="DT40" s="23"/>
      <c r="DU40" s="23"/>
      <c r="DV40" s="23"/>
      <c r="DW40" s="23"/>
    </row>
    <row r="41" spans="1:127" x14ac:dyDescent="0.25">
      <c r="A41">
        <f t="shared" si="292"/>
        <v>37</v>
      </c>
      <c r="B41" t="str">
        <f t="shared" si="290"/>
        <v>J19-1187</v>
      </c>
      <c r="C41" s="20" t="s">
        <v>131</v>
      </c>
      <c r="D41" s="21" t="s">
        <v>132</v>
      </c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1"/>
      <c r="R41" s="22"/>
      <c r="S41" s="20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4">
        <v>3479</v>
      </c>
      <c r="AE41" s="24"/>
      <c r="AF41" s="24"/>
      <c r="AG41" s="24"/>
      <c r="AH41" s="24"/>
      <c r="AI41" s="24">
        <v>1230</v>
      </c>
      <c r="AJ41" s="24"/>
      <c r="AK41" s="24"/>
      <c r="AL41" s="24"/>
      <c r="AM41" s="24"/>
      <c r="AN41" s="33">
        <v>20078</v>
      </c>
      <c r="AO41" s="33"/>
      <c r="AP41" s="24">
        <f t="shared" si="302"/>
        <v>20078</v>
      </c>
      <c r="AQ41" s="33">
        <f>1691+1875</f>
        <v>3566</v>
      </c>
      <c r="AR41" s="33"/>
      <c r="AS41" s="24">
        <v>2537</v>
      </c>
      <c r="AT41" s="24"/>
      <c r="AU41" s="24">
        <f t="shared" si="303"/>
        <v>6103</v>
      </c>
      <c r="AV41" s="24">
        <v>3737</v>
      </c>
      <c r="AW41" s="24"/>
      <c r="AX41" s="24"/>
      <c r="AY41" s="24"/>
      <c r="AZ41" s="24">
        <f t="shared" si="304"/>
        <v>3737</v>
      </c>
      <c r="BA41" s="24"/>
      <c r="BB41" s="24"/>
      <c r="BC41" s="24"/>
      <c r="BD41" s="24"/>
      <c r="BE41" s="25">
        <f t="shared" si="305"/>
        <v>0</v>
      </c>
      <c r="BF41" s="23"/>
      <c r="BG41" s="23"/>
      <c r="BH41" s="25"/>
      <c r="BI41" s="25"/>
      <c r="BJ41" s="25"/>
      <c r="BK41" s="23"/>
      <c r="BL41" s="23"/>
      <c r="BM41" s="25"/>
      <c r="BN41" s="25"/>
      <c r="BO41" s="25"/>
      <c r="BP41" s="25"/>
      <c r="BQ41" s="25"/>
      <c r="BR41" s="25"/>
      <c r="BS41" s="25"/>
      <c r="BT41" s="25">
        <f t="shared" si="306"/>
        <v>0</v>
      </c>
      <c r="BU41" s="23"/>
      <c r="BV41" s="24"/>
      <c r="BW41" s="25">
        <f t="shared" si="301"/>
        <v>0</v>
      </c>
      <c r="BX41" s="23"/>
      <c r="BY41" s="23"/>
      <c r="BZ41" s="23"/>
      <c r="CA41" s="23"/>
      <c r="CB41" s="23"/>
      <c r="CC41" s="23">
        <f t="shared" si="289"/>
        <v>0</v>
      </c>
      <c r="CD41" s="23"/>
      <c r="CE41" s="23"/>
      <c r="CF41" s="23"/>
      <c r="CG41" s="23"/>
      <c r="CH41" s="23"/>
      <c r="CI41" s="23"/>
      <c r="CJ41" s="20"/>
      <c r="CK41" s="34"/>
      <c r="CL41" s="34"/>
      <c r="CM41" s="34"/>
      <c r="CN41" s="34"/>
      <c r="CO41" s="34"/>
      <c r="CP41" s="34">
        <f t="shared" si="293"/>
        <v>0</v>
      </c>
      <c r="CQ41" s="34"/>
      <c r="CR41" s="34"/>
      <c r="CS41" s="34"/>
      <c r="CT41" s="34"/>
      <c r="CU41" s="34"/>
      <c r="CV41" s="34">
        <f t="shared" si="299"/>
        <v>0</v>
      </c>
      <c r="CW41" s="37">
        <f t="shared" si="294"/>
        <v>0</v>
      </c>
      <c r="CX41" s="23"/>
      <c r="CY41" s="23"/>
      <c r="CZ41" s="23"/>
      <c r="DA41" s="23"/>
      <c r="DB41" s="23"/>
      <c r="DC41" s="25">
        <f t="shared" si="295"/>
        <v>0</v>
      </c>
      <c r="DD41" s="23"/>
      <c r="DE41" s="23"/>
      <c r="DF41" s="23"/>
      <c r="DG41" s="23"/>
      <c r="DH41" s="23"/>
      <c r="DI41" s="23">
        <f t="shared" si="296"/>
        <v>0</v>
      </c>
      <c r="DJ41" s="23">
        <f t="shared" si="297"/>
        <v>0</v>
      </c>
      <c r="DK41" s="23"/>
      <c r="DL41" s="23"/>
      <c r="DM41" s="23"/>
      <c r="DN41" s="23"/>
      <c r="DO41" s="23"/>
      <c r="DP41" s="23">
        <f t="shared" si="308"/>
        <v>0</v>
      </c>
      <c r="DQ41" s="23"/>
      <c r="DR41" s="23"/>
      <c r="DS41" s="23"/>
      <c r="DT41" s="23"/>
      <c r="DU41" s="23"/>
      <c r="DV41" s="23"/>
      <c r="DW41" s="23"/>
    </row>
    <row r="42" spans="1:127" x14ac:dyDescent="0.25">
      <c r="A42">
        <f t="shared" si="292"/>
        <v>38</v>
      </c>
      <c r="B42" t="str">
        <f t="shared" si="290"/>
        <v>J19-1306</v>
      </c>
      <c r="C42" s="20" t="s">
        <v>133</v>
      </c>
      <c r="D42" s="21" t="s">
        <v>134</v>
      </c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1"/>
      <c r="R42" s="22"/>
      <c r="S42" s="20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4">
        <v>13500</v>
      </c>
      <c r="AE42" s="24"/>
      <c r="AF42" s="24"/>
      <c r="AG42" s="24">
        <v>4500</v>
      </c>
      <c r="AH42" s="24"/>
      <c r="AI42" s="24">
        <v>33470</v>
      </c>
      <c r="AJ42" s="24"/>
      <c r="AK42" s="24"/>
      <c r="AL42" s="24"/>
      <c r="AM42" s="24"/>
      <c r="AN42" s="24"/>
      <c r="AO42" s="24"/>
      <c r="AP42" s="24">
        <f t="shared" si="302"/>
        <v>0</v>
      </c>
      <c r="AQ42" s="24"/>
      <c r="AR42" s="24"/>
      <c r="AS42" s="24"/>
      <c r="AT42" s="24"/>
      <c r="AU42" s="24">
        <f t="shared" si="303"/>
        <v>0</v>
      </c>
      <c r="AV42" s="24"/>
      <c r="AW42" s="24"/>
      <c r="AX42" s="24"/>
      <c r="AY42" s="24"/>
      <c r="AZ42" s="24">
        <f t="shared" si="304"/>
        <v>0</v>
      </c>
      <c r="BA42" s="24"/>
      <c r="BB42" s="24"/>
      <c r="BC42" s="24"/>
      <c r="BD42" s="24"/>
      <c r="BE42" s="25">
        <f t="shared" si="305"/>
        <v>0</v>
      </c>
      <c r="BF42" s="23"/>
      <c r="BG42" s="23"/>
      <c r="BH42" s="25"/>
      <c r="BI42" s="25"/>
      <c r="BJ42" s="25"/>
      <c r="BK42" s="23"/>
      <c r="BL42" s="23"/>
      <c r="BM42" s="25"/>
      <c r="BN42" s="25"/>
      <c r="BO42" s="25"/>
      <c r="BP42" s="25"/>
      <c r="BQ42" s="25"/>
      <c r="BR42" s="25"/>
      <c r="BS42" s="25"/>
      <c r="BT42" s="25">
        <f t="shared" si="306"/>
        <v>0</v>
      </c>
      <c r="BU42" s="23"/>
      <c r="BV42" s="24"/>
      <c r="BW42" s="25">
        <f t="shared" si="301"/>
        <v>0</v>
      </c>
      <c r="BX42" s="23"/>
      <c r="BY42" s="23"/>
      <c r="BZ42" s="23"/>
      <c r="CA42" s="23"/>
      <c r="CB42" s="23"/>
      <c r="CC42" s="23">
        <f t="shared" si="289"/>
        <v>0</v>
      </c>
      <c r="CD42" s="23"/>
      <c r="CE42" s="23"/>
      <c r="CF42" s="23"/>
      <c r="CG42" s="23"/>
      <c r="CH42" s="23"/>
      <c r="CI42" s="23"/>
      <c r="CJ42" s="20"/>
      <c r="CK42" s="34"/>
      <c r="CL42" s="34"/>
      <c r="CM42" s="34"/>
      <c r="CN42" s="34"/>
      <c r="CO42" s="34"/>
      <c r="CP42" s="34">
        <f t="shared" si="293"/>
        <v>0</v>
      </c>
      <c r="CQ42" s="34"/>
      <c r="CR42" s="34"/>
      <c r="CS42" s="34"/>
      <c r="CT42" s="34"/>
      <c r="CU42" s="34"/>
      <c r="CV42" s="34">
        <f t="shared" si="299"/>
        <v>0</v>
      </c>
      <c r="CW42" s="37">
        <f t="shared" si="294"/>
        <v>0</v>
      </c>
      <c r="CX42" s="23"/>
      <c r="CY42" s="23"/>
      <c r="CZ42" s="23"/>
      <c r="DA42" s="23"/>
      <c r="DB42" s="23"/>
      <c r="DC42" s="25">
        <f t="shared" si="295"/>
        <v>0</v>
      </c>
      <c r="DD42" s="23"/>
      <c r="DE42" s="23"/>
      <c r="DF42" s="23"/>
      <c r="DG42" s="23"/>
      <c r="DH42" s="23"/>
      <c r="DI42" s="23">
        <f t="shared" si="296"/>
        <v>0</v>
      </c>
      <c r="DJ42" s="23">
        <f t="shared" si="297"/>
        <v>0</v>
      </c>
      <c r="DK42" s="23"/>
      <c r="DL42" s="23"/>
      <c r="DM42" s="23"/>
      <c r="DN42" s="23"/>
      <c r="DO42" s="23"/>
      <c r="DP42" s="23">
        <f t="shared" si="308"/>
        <v>0</v>
      </c>
      <c r="DQ42" s="23"/>
      <c r="DR42" s="23"/>
      <c r="DS42" s="23"/>
      <c r="DT42" s="23"/>
      <c r="DU42" s="23"/>
      <c r="DV42" s="23"/>
      <c r="DW42" s="23"/>
    </row>
    <row r="43" spans="1:127" x14ac:dyDescent="0.25">
      <c r="A43">
        <f t="shared" si="292"/>
        <v>39</v>
      </c>
      <c r="B43" t="str">
        <f t="shared" si="290"/>
        <v>J19-0915</v>
      </c>
      <c r="C43" s="20" t="s">
        <v>135</v>
      </c>
      <c r="D43" s="21" t="s">
        <v>136</v>
      </c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1"/>
      <c r="R43" s="22"/>
      <c r="S43" s="20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4">
        <v>57720</v>
      </c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>
        <f t="shared" si="302"/>
        <v>0</v>
      </c>
      <c r="AQ43" s="24"/>
      <c r="AR43" s="24"/>
      <c r="AS43" s="24"/>
      <c r="AT43" s="24"/>
      <c r="AU43" s="24">
        <f t="shared" si="303"/>
        <v>0</v>
      </c>
      <c r="AV43" s="24"/>
      <c r="AW43" s="24"/>
      <c r="AX43" s="24"/>
      <c r="AY43" s="24"/>
      <c r="AZ43" s="24">
        <f t="shared" si="304"/>
        <v>0</v>
      </c>
      <c r="BA43" s="24"/>
      <c r="BB43" s="24"/>
      <c r="BC43" s="24"/>
      <c r="BD43" s="24"/>
      <c r="BE43" s="25">
        <f t="shared" si="305"/>
        <v>0</v>
      </c>
      <c r="BF43" s="23"/>
      <c r="BG43" s="23"/>
      <c r="BH43" s="25"/>
      <c r="BI43" s="25"/>
      <c r="BJ43" s="25"/>
      <c r="BK43" s="23"/>
      <c r="BL43" s="23"/>
      <c r="BM43" s="25"/>
      <c r="BN43" s="25"/>
      <c r="BO43" s="25"/>
      <c r="BP43" s="25"/>
      <c r="BQ43" s="25"/>
      <c r="BR43" s="25"/>
      <c r="BS43" s="25"/>
      <c r="BT43" s="25">
        <f t="shared" si="306"/>
        <v>0</v>
      </c>
      <c r="BU43" s="23"/>
      <c r="BV43" s="24"/>
      <c r="BW43" s="25">
        <f t="shared" si="301"/>
        <v>0</v>
      </c>
      <c r="BX43" s="23"/>
      <c r="BY43" s="23"/>
      <c r="BZ43" s="23"/>
      <c r="CA43" s="23"/>
      <c r="CB43" s="23"/>
      <c r="CC43" s="23">
        <f t="shared" si="289"/>
        <v>0</v>
      </c>
      <c r="CD43" s="23"/>
      <c r="CE43" s="23"/>
      <c r="CF43" s="23"/>
      <c r="CG43" s="23"/>
      <c r="CH43" s="23"/>
      <c r="CI43" s="23"/>
      <c r="CJ43" s="20"/>
      <c r="CK43" s="34"/>
      <c r="CL43" s="34"/>
      <c r="CM43" s="34"/>
      <c r="CN43" s="34"/>
      <c r="CO43" s="34"/>
      <c r="CP43" s="34">
        <f t="shared" si="293"/>
        <v>0</v>
      </c>
      <c r="CQ43" s="34"/>
      <c r="CR43" s="34"/>
      <c r="CS43" s="34"/>
      <c r="CT43" s="34"/>
      <c r="CU43" s="34"/>
      <c r="CV43" s="34">
        <f t="shared" si="299"/>
        <v>0</v>
      </c>
      <c r="CW43" s="37">
        <f t="shared" si="294"/>
        <v>0</v>
      </c>
      <c r="CX43" s="23"/>
      <c r="CY43" s="23"/>
      <c r="CZ43" s="23"/>
      <c r="DA43" s="23"/>
      <c r="DB43" s="23"/>
      <c r="DC43" s="25">
        <f t="shared" si="295"/>
        <v>0</v>
      </c>
      <c r="DD43" s="23"/>
      <c r="DE43" s="23"/>
      <c r="DF43" s="23"/>
      <c r="DG43" s="23"/>
      <c r="DH43" s="23"/>
      <c r="DI43" s="23">
        <f t="shared" si="296"/>
        <v>0</v>
      </c>
      <c r="DJ43" s="23">
        <f t="shared" si="297"/>
        <v>0</v>
      </c>
      <c r="DK43" s="23"/>
      <c r="DL43" s="23"/>
      <c r="DM43" s="23"/>
      <c r="DN43" s="23"/>
      <c r="DO43" s="23"/>
      <c r="DP43" s="23">
        <f t="shared" si="308"/>
        <v>0</v>
      </c>
      <c r="DQ43" s="23"/>
      <c r="DR43" s="23"/>
      <c r="DS43" s="23"/>
      <c r="DT43" s="23"/>
      <c r="DU43" s="23"/>
      <c r="DV43" s="23"/>
      <c r="DW43" s="23"/>
    </row>
    <row r="44" spans="1:127" x14ac:dyDescent="0.25">
      <c r="A44">
        <f t="shared" si="292"/>
        <v>40</v>
      </c>
      <c r="B44" t="str">
        <f t="shared" si="290"/>
        <v>J19-0838</v>
      </c>
      <c r="C44" s="20" t="s">
        <v>137</v>
      </c>
      <c r="D44" s="21" t="s">
        <v>138</v>
      </c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1"/>
      <c r="R44" s="22"/>
      <c r="S44" s="20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4">
        <v>3120</v>
      </c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>
        <f t="shared" si="302"/>
        <v>0</v>
      </c>
      <c r="AQ44" s="24"/>
      <c r="AR44" s="24"/>
      <c r="AS44" s="24"/>
      <c r="AT44" s="24"/>
      <c r="AU44" s="24">
        <f t="shared" si="303"/>
        <v>0</v>
      </c>
      <c r="AV44" s="24"/>
      <c r="AW44" s="24"/>
      <c r="AX44" s="24"/>
      <c r="AY44" s="24"/>
      <c r="AZ44" s="24">
        <f t="shared" si="304"/>
        <v>0</v>
      </c>
      <c r="BA44" s="24"/>
      <c r="BB44" s="24"/>
      <c r="BC44" s="24"/>
      <c r="BD44" s="24"/>
      <c r="BE44" s="25">
        <f t="shared" si="305"/>
        <v>0</v>
      </c>
      <c r="BF44" s="23"/>
      <c r="BG44" s="23"/>
      <c r="BH44" s="25"/>
      <c r="BI44" s="25"/>
      <c r="BJ44" s="25"/>
      <c r="BK44" s="23"/>
      <c r="BL44" s="23"/>
      <c r="BM44" s="25"/>
      <c r="BN44" s="25"/>
      <c r="BO44" s="25"/>
      <c r="BP44" s="25"/>
      <c r="BQ44" s="25"/>
      <c r="BR44" s="25"/>
      <c r="BS44" s="25"/>
      <c r="BT44" s="25">
        <f t="shared" si="306"/>
        <v>0</v>
      </c>
      <c r="BU44" s="23"/>
      <c r="BV44" s="24"/>
      <c r="BW44" s="25">
        <f t="shared" si="301"/>
        <v>0</v>
      </c>
      <c r="BX44" s="23"/>
      <c r="BY44" s="23"/>
      <c r="BZ44" s="23"/>
      <c r="CA44" s="23"/>
      <c r="CB44" s="23"/>
      <c r="CC44" s="23">
        <f t="shared" si="289"/>
        <v>0</v>
      </c>
      <c r="CD44" s="23"/>
      <c r="CE44" s="23"/>
      <c r="CF44" s="23"/>
      <c r="CG44" s="23"/>
      <c r="CH44" s="23"/>
      <c r="CI44" s="23"/>
      <c r="CJ44" s="20"/>
      <c r="CK44" s="34"/>
      <c r="CL44" s="34"/>
      <c r="CM44" s="34"/>
      <c r="CN44" s="34"/>
      <c r="CO44" s="34"/>
      <c r="CP44" s="34">
        <f t="shared" si="293"/>
        <v>0</v>
      </c>
      <c r="CQ44" s="34"/>
      <c r="CR44" s="34"/>
      <c r="CS44" s="34"/>
      <c r="CT44" s="34"/>
      <c r="CU44" s="34"/>
      <c r="CV44" s="34">
        <f t="shared" si="299"/>
        <v>0</v>
      </c>
      <c r="CW44" s="37">
        <f t="shared" si="294"/>
        <v>0</v>
      </c>
      <c r="CX44" s="23"/>
      <c r="CY44" s="23"/>
      <c r="CZ44" s="23"/>
      <c r="DA44" s="23"/>
      <c r="DB44" s="23"/>
      <c r="DC44" s="25">
        <f t="shared" si="295"/>
        <v>0</v>
      </c>
      <c r="DD44" s="23"/>
      <c r="DE44" s="23"/>
      <c r="DF44" s="23"/>
      <c r="DG44" s="23"/>
      <c r="DH44" s="23"/>
      <c r="DI44" s="23">
        <f t="shared" si="296"/>
        <v>0</v>
      </c>
      <c r="DJ44" s="23">
        <f t="shared" si="297"/>
        <v>0</v>
      </c>
      <c r="DK44" s="23"/>
      <c r="DL44" s="23"/>
      <c r="DM44" s="23"/>
      <c r="DN44" s="23"/>
      <c r="DO44" s="23"/>
      <c r="DP44" s="23">
        <f t="shared" si="308"/>
        <v>0</v>
      </c>
      <c r="DQ44" s="23"/>
      <c r="DR44" s="23"/>
      <c r="DS44" s="23"/>
      <c r="DT44" s="23"/>
      <c r="DU44" s="23"/>
      <c r="DV44" s="23"/>
      <c r="DW44" s="23"/>
    </row>
    <row r="45" spans="1:127" x14ac:dyDescent="0.25">
      <c r="A45">
        <f t="shared" si="292"/>
        <v>41</v>
      </c>
      <c r="B45" t="str">
        <f t="shared" si="290"/>
        <v>J19-0615</v>
      </c>
      <c r="C45" s="20" t="s">
        <v>139</v>
      </c>
      <c r="D45" s="21" t="s">
        <v>140</v>
      </c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1"/>
      <c r="R45" s="22"/>
      <c r="S45" s="20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4">
        <v>11700</v>
      </c>
      <c r="AE45" s="24"/>
      <c r="AF45" s="24"/>
      <c r="AG45" s="24">
        <v>2200</v>
      </c>
      <c r="AH45" s="24"/>
      <c r="AI45" s="24"/>
      <c r="AJ45" s="24"/>
      <c r="AK45" s="24"/>
      <c r="AL45" s="24"/>
      <c r="AM45" s="24"/>
      <c r="AN45" s="24"/>
      <c r="AO45" s="24"/>
      <c r="AP45" s="24">
        <f t="shared" si="302"/>
        <v>0</v>
      </c>
      <c r="AQ45" s="24"/>
      <c r="AR45" s="24"/>
      <c r="AS45" s="24"/>
      <c r="AT45" s="24"/>
      <c r="AU45" s="24">
        <f t="shared" si="303"/>
        <v>0</v>
      </c>
      <c r="AV45" s="24"/>
      <c r="AW45" s="24"/>
      <c r="AX45" s="24"/>
      <c r="AY45" s="24"/>
      <c r="AZ45" s="24">
        <f t="shared" si="304"/>
        <v>0</v>
      </c>
      <c r="BA45" s="24"/>
      <c r="BB45" s="24"/>
      <c r="BC45" s="24"/>
      <c r="BD45" s="24"/>
      <c r="BE45" s="25">
        <f t="shared" si="305"/>
        <v>0</v>
      </c>
      <c r="BF45" s="23"/>
      <c r="BG45" s="23"/>
      <c r="BH45" s="25"/>
      <c r="BI45" s="25"/>
      <c r="BJ45" s="25"/>
      <c r="BK45" s="23"/>
      <c r="BL45" s="23"/>
      <c r="BM45" s="25"/>
      <c r="BN45" s="25"/>
      <c r="BO45" s="25"/>
      <c r="BP45" s="25"/>
      <c r="BQ45" s="25"/>
      <c r="BR45" s="25"/>
      <c r="BS45" s="25"/>
      <c r="BT45" s="25">
        <f t="shared" si="306"/>
        <v>0</v>
      </c>
      <c r="BU45" s="23"/>
      <c r="BV45" s="24"/>
      <c r="BW45" s="25">
        <f t="shared" si="301"/>
        <v>0</v>
      </c>
      <c r="BX45" s="23"/>
      <c r="BY45" s="23"/>
      <c r="BZ45" s="23"/>
      <c r="CA45" s="23"/>
      <c r="CB45" s="23"/>
      <c r="CC45" s="23">
        <f t="shared" si="289"/>
        <v>0</v>
      </c>
      <c r="CD45" s="23"/>
      <c r="CE45" s="23"/>
      <c r="CF45" s="23"/>
      <c r="CG45" s="23"/>
      <c r="CH45" s="23"/>
      <c r="CI45" s="23"/>
      <c r="CJ45" s="20"/>
      <c r="CK45" s="34"/>
      <c r="CL45" s="34"/>
      <c r="CM45" s="34"/>
      <c r="CN45" s="34"/>
      <c r="CO45" s="34"/>
      <c r="CP45" s="34">
        <f t="shared" si="293"/>
        <v>0</v>
      </c>
      <c r="CQ45" s="34"/>
      <c r="CR45" s="34"/>
      <c r="CS45" s="34"/>
      <c r="CT45" s="34"/>
      <c r="CU45" s="34"/>
      <c r="CV45" s="34">
        <f t="shared" si="299"/>
        <v>0</v>
      </c>
      <c r="CW45" s="37">
        <f t="shared" si="294"/>
        <v>0</v>
      </c>
      <c r="CX45" s="23"/>
      <c r="CY45" s="23"/>
      <c r="CZ45" s="23"/>
      <c r="DA45" s="23"/>
      <c r="DB45" s="23"/>
      <c r="DC45" s="25">
        <f t="shared" si="295"/>
        <v>0</v>
      </c>
      <c r="DD45" s="23"/>
      <c r="DE45" s="23"/>
      <c r="DF45" s="23"/>
      <c r="DG45" s="23"/>
      <c r="DH45" s="23"/>
      <c r="DI45" s="23">
        <f t="shared" si="296"/>
        <v>0</v>
      </c>
      <c r="DJ45" s="23">
        <f t="shared" si="297"/>
        <v>0</v>
      </c>
      <c r="DK45" s="23"/>
      <c r="DL45" s="23"/>
      <c r="DM45" s="23"/>
      <c r="DN45" s="23"/>
      <c r="DO45" s="23"/>
      <c r="DP45" s="23">
        <f t="shared" si="308"/>
        <v>0</v>
      </c>
      <c r="DQ45" s="23"/>
      <c r="DR45" s="23"/>
      <c r="DS45" s="23"/>
      <c r="DT45" s="23"/>
      <c r="DU45" s="23"/>
      <c r="DV45" s="23"/>
      <c r="DW45" s="23"/>
    </row>
    <row r="46" spans="1:127" x14ac:dyDescent="0.25">
      <c r="A46">
        <f t="shared" si="292"/>
        <v>42</v>
      </c>
      <c r="B46" t="str">
        <f t="shared" si="290"/>
        <v>J20-0318</v>
      </c>
      <c r="C46" s="20" t="s">
        <v>141</v>
      </c>
      <c r="D46" s="21" t="s">
        <v>142</v>
      </c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1"/>
      <c r="R46" s="22"/>
      <c r="S46" s="20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4"/>
      <c r="AE46" s="24"/>
      <c r="AF46" s="24"/>
      <c r="AG46" s="24">
        <v>29728</v>
      </c>
      <c r="AH46" s="24"/>
      <c r="AI46" s="24"/>
      <c r="AJ46" s="24"/>
      <c r="AK46" s="24"/>
      <c r="AL46" s="24"/>
      <c r="AM46" s="24"/>
      <c r="AN46" s="24"/>
      <c r="AO46" s="24"/>
      <c r="AP46" s="24">
        <f t="shared" si="302"/>
        <v>0</v>
      </c>
      <c r="AQ46" s="24"/>
      <c r="AR46" s="24"/>
      <c r="AS46" s="24"/>
      <c r="AT46" s="24"/>
      <c r="AU46" s="24">
        <f t="shared" si="303"/>
        <v>0</v>
      </c>
      <c r="AV46" s="24"/>
      <c r="AW46" s="24"/>
      <c r="AX46" s="24"/>
      <c r="AY46" s="24"/>
      <c r="AZ46" s="24">
        <f t="shared" si="304"/>
        <v>0</v>
      </c>
      <c r="BA46" s="24"/>
      <c r="BB46" s="24"/>
      <c r="BC46" s="24"/>
      <c r="BD46" s="24"/>
      <c r="BE46" s="25">
        <f t="shared" si="305"/>
        <v>0</v>
      </c>
      <c r="BF46" s="23"/>
      <c r="BG46" s="23"/>
      <c r="BH46" s="25"/>
      <c r="BI46" s="25"/>
      <c r="BJ46" s="25"/>
      <c r="BK46" s="23"/>
      <c r="BL46" s="23"/>
      <c r="BM46" s="25"/>
      <c r="BN46" s="25"/>
      <c r="BO46" s="25"/>
      <c r="BP46" s="25"/>
      <c r="BQ46" s="25"/>
      <c r="BR46" s="25"/>
      <c r="BS46" s="25"/>
      <c r="BT46" s="25">
        <f t="shared" si="306"/>
        <v>0</v>
      </c>
      <c r="BU46" s="23"/>
      <c r="BV46" s="24"/>
      <c r="BW46" s="25">
        <f t="shared" si="301"/>
        <v>0</v>
      </c>
      <c r="BX46" s="23"/>
      <c r="BY46" s="23"/>
      <c r="BZ46" s="23"/>
      <c r="CA46" s="23"/>
      <c r="CB46" s="23"/>
      <c r="CC46" s="23">
        <f t="shared" si="289"/>
        <v>0</v>
      </c>
      <c r="CD46" s="23"/>
      <c r="CE46" s="23"/>
      <c r="CF46" s="23"/>
      <c r="CG46" s="23"/>
      <c r="CH46" s="23"/>
      <c r="CI46" s="23"/>
      <c r="CJ46" s="20"/>
      <c r="CK46" s="34"/>
      <c r="CL46" s="34"/>
      <c r="CM46" s="34"/>
      <c r="CN46" s="34"/>
      <c r="CO46" s="34"/>
      <c r="CP46" s="34">
        <f t="shared" si="293"/>
        <v>0</v>
      </c>
      <c r="CQ46" s="34"/>
      <c r="CR46" s="34"/>
      <c r="CS46" s="34"/>
      <c r="CT46" s="34"/>
      <c r="CU46" s="34"/>
      <c r="CV46" s="34">
        <f t="shared" si="299"/>
        <v>0</v>
      </c>
      <c r="CW46" s="37">
        <f t="shared" si="294"/>
        <v>0</v>
      </c>
      <c r="CX46" s="23"/>
      <c r="CY46" s="23"/>
      <c r="CZ46" s="23"/>
      <c r="DA46" s="23"/>
      <c r="DB46" s="23"/>
      <c r="DC46" s="25">
        <f t="shared" si="295"/>
        <v>0</v>
      </c>
      <c r="DD46" s="23"/>
      <c r="DE46" s="23"/>
      <c r="DF46" s="23"/>
      <c r="DG46" s="23"/>
      <c r="DH46" s="23"/>
      <c r="DI46" s="23">
        <f t="shared" si="296"/>
        <v>0</v>
      </c>
      <c r="DJ46" s="23">
        <f t="shared" si="297"/>
        <v>0</v>
      </c>
      <c r="DK46" s="23"/>
      <c r="DL46" s="23"/>
      <c r="DM46" s="23"/>
      <c r="DN46" s="23"/>
      <c r="DO46" s="23"/>
      <c r="DP46" s="23">
        <f t="shared" si="308"/>
        <v>0</v>
      </c>
      <c r="DQ46" s="23"/>
      <c r="DR46" s="23"/>
      <c r="DS46" s="23"/>
      <c r="DT46" s="23"/>
      <c r="DU46" s="23"/>
      <c r="DV46" s="23"/>
      <c r="DW46" s="23"/>
    </row>
    <row r="47" spans="1:127" x14ac:dyDescent="0.25">
      <c r="A47">
        <f t="shared" si="292"/>
        <v>43</v>
      </c>
      <c r="B47" t="str">
        <f t="shared" si="290"/>
        <v>J20-0122</v>
      </c>
      <c r="C47" s="20" t="s">
        <v>143</v>
      </c>
      <c r="D47" s="21" t="s">
        <v>144</v>
      </c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1"/>
      <c r="R47" s="22"/>
      <c r="S47" s="20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4"/>
      <c r="AE47" s="24"/>
      <c r="AF47" s="24"/>
      <c r="AG47" s="24">
        <v>8548</v>
      </c>
      <c r="AH47" s="24"/>
      <c r="AI47" s="24"/>
      <c r="AJ47" s="24"/>
      <c r="AK47" s="24"/>
      <c r="AL47" s="24"/>
      <c r="AM47" s="24"/>
      <c r="AN47" s="24"/>
      <c r="AO47" s="24"/>
      <c r="AP47" s="24">
        <f t="shared" si="302"/>
        <v>0</v>
      </c>
      <c r="AQ47" s="24"/>
      <c r="AR47" s="24"/>
      <c r="AS47" s="24"/>
      <c r="AT47" s="24"/>
      <c r="AU47" s="24">
        <f t="shared" si="303"/>
        <v>0</v>
      </c>
      <c r="AV47" s="24"/>
      <c r="AW47" s="24"/>
      <c r="AX47" s="24"/>
      <c r="AY47" s="24"/>
      <c r="AZ47" s="24">
        <f t="shared" si="304"/>
        <v>0</v>
      </c>
      <c r="BA47" s="24"/>
      <c r="BB47" s="24"/>
      <c r="BC47" s="24"/>
      <c r="BD47" s="24"/>
      <c r="BE47" s="25">
        <f t="shared" si="305"/>
        <v>0</v>
      </c>
      <c r="BF47" s="23"/>
      <c r="BG47" s="23"/>
      <c r="BH47" s="25"/>
      <c r="BI47" s="25"/>
      <c r="BJ47" s="25"/>
      <c r="BK47" s="23"/>
      <c r="BL47" s="23"/>
      <c r="BM47" s="25"/>
      <c r="BN47" s="25"/>
      <c r="BO47" s="25"/>
      <c r="BP47" s="25"/>
      <c r="BQ47" s="25"/>
      <c r="BR47" s="25"/>
      <c r="BS47" s="25"/>
      <c r="BT47" s="25">
        <f t="shared" si="306"/>
        <v>0</v>
      </c>
      <c r="BU47" s="23"/>
      <c r="BV47" s="24"/>
      <c r="BW47" s="25">
        <f t="shared" si="301"/>
        <v>0</v>
      </c>
      <c r="BX47" s="23"/>
      <c r="BY47" s="23"/>
      <c r="BZ47" s="23"/>
      <c r="CA47" s="23"/>
      <c r="CB47" s="23"/>
      <c r="CC47" s="23">
        <f t="shared" si="289"/>
        <v>0</v>
      </c>
      <c r="CD47" s="23"/>
      <c r="CE47" s="23"/>
      <c r="CF47" s="23"/>
      <c r="CG47" s="23"/>
      <c r="CH47" s="23"/>
      <c r="CI47" s="23"/>
      <c r="CJ47" s="20"/>
      <c r="CK47" s="34"/>
      <c r="CL47" s="34"/>
      <c r="CM47" s="34"/>
      <c r="CN47" s="34"/>
      <c r="CO47" s="34"/>
      <c r="CP47" s="34">
        <f t="shared" si="293"/>
        <v>0</v>
      </c>
      <c r="CQ47" s="34"/>
      <c r="CR47" s="34"/>
      <c r="CS47" s="34"/>
      <c r="CT47" s="34"/>
      <c r="CU47" s="34"/>
      <c r="CV47" s="34">
        <f t="shared" si="299"/>
        <v>0</v>
      </c>
      <c r="CW47" s="37">
        <f t="shared" si="294"/>
        <v>0</v>
      </c>
      <c r="CX47" s="23"/>
      <c r="CY47" s="23"/>
      <c r="CZ47" s="23"/>
      <c r="DA47" s="23"/>
      <c r="DB47" s="23"/>
      <c r="DC47" s="25">
        <f t="shared" si="295"/>
        <v>0</v>
      </c>
      <c r="DD47" s="23"/>
      <c r="DE47" s="23"/>
      <c r="DF47" s="23"/>
      <c r="DG47" s="23"/>
      <c r="DH47" s="23"/>
      <c r="DI47" s="23">
        <f t="shared" si="296"/>
        <v>0</v>
      </c>
      <c r="DJ47" s="23">
        <f t="shared" si="297"/>
        <v>0</v>
      </c>
      <c r="DK47" s="23"/>
      <c r="DL47" s="23"/>
      <c r="DM47" s="23"/>
      <c r="DN47" s="23"/>
      <c r="DO47" s="23"/>
      <c r="DP47" s="23">
        <f t="shared" si="308"/>
        <v>0</v>
      </c>
      <c r="DQ47" s="23"/>
      <c r="DR47" s="23"/>
      <c r="DS47" s="23"/>
      <c r="DT47" s="23"/>
      <c r="DU47" s="23"/>
      <c r="DV47" s="23"/>
      <c r="DW47" s="23"/>
    </row>
    <row r="48" spans="1:127" x14ac:dyDescent="0.25">
      <c r="A48">
        <f t="shared" si="292"/>
        <v>44</v>
      </c>
      <c r="B48" t="str">
        <f t="shared" si="290"/>
        <v>J20-0231</v>
      </c>
      <c r="C48" s="20" t="s">
        <v>145</v>
      </c>
      <c r="D48" s="21" t="s">
        <v>146</v>
      </c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1"/>
      <c r="R48" s="22"/>
      <c r="S48" s="20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4"/>
      <c r="AE48" s="24"/>
      <c r="AF48" s="24"/>
      <c r="AG48" s="24">
        <v>13050</v>
      </c>
      <c r="AH48" s="24"/>
      <c r="AI48" s="24">
        <v>19666</v>
      </c>
      <c r="AJ48" s="24"/>
      <c r="AK48" s="24"/>
      <c r="AL48" s="24">
        <v>16620</v>
      </c>
      <c r="AM48" s="24"/>
      <c r="AN48" s="33">
        <f>11320+20307</f>
        <v>31627</v>
      </c>
      <c r="AO48" s="33"/>
      <c r="AP48" s="24">
        <f t="shared" si="302"/>
        <v>48247</v>
      </c>
      <c r="AQ48" s="33">
        <v>22151</v>
      </c>
      <c r="AR48" s="33"/>
      <c r="AS48" s="24">
        <v>16501</v>
      </c>
      <c r="AT48" s="24"/>
      <c r="AU48" s="24">
        <f t="shared" si="303"/>
        <v>38652</v>
      </c>
      <c r="AV48" s="24">
        <v>38489</v>
      </c>
      <c r="AW48" s="24"/>
      <c r="AX48" s="24">
        <v>27650</v>
      </c>
      <c r="AY48" s="24"/>
      <c r="AZ48" s="24">
        <f t="shared" si="304"/>
        <v>66139</v>
      </c>
      <c r="BA48" s="24"/>
      <c r="BB48" s="24"/>
      <c r="BC48" s="24"/>
      <c r="BD48" s="24"/>
      <c r="BE48" s="25">
        <f t="shared" si="305"/>
        <v>0</v>
      </c>
      <c r="BF48" s="25">
        <v>12908</v>
      </c>
      <c r="BG48" s="23"/>
      <c r="BH48" s="25"/>
      <c r="BI48" s="25"/>
      <c r="BJ48" s="25">
        <f t="shared" si="307"/>
        <v>12908</v>
      </c>
      <c r="BK48" s="23"/>
      <c r="BL48" s="23"/>
      <c r="BM48" s="25">
        <v>1313</v>
      </c>
      <c r="BN48" s="25"/>
      <c r="BO48" s="25"/>
      <c r="BP48" s="25"/>
      <c r="BQ48" s="25"/>
      <c r="BR48" s="25">
        <v>58600</v>
      </c>
      <c r="BS48" s="25"/>
      <c r="BT48" s="25">
        <f t="shared" si="306"/>
        <v>58600</v>
      </c>
      <c r="BU48" s="23"/>
      <c r="BV48" s="24"/>
      <c r="BW48" s="25">
        <f t="shared" si="301"/>
        <v>58600</v>
      </c>
      <c r="BX48" s="23"/>
      <c r="BY48" s="23"/>
      <c r="BZ48" s="23"/>
      <c r="CA48" s="23"/>
      <c r="CB48" s="23"/>
      <c r="CC48" s="23">
        <f t="shared" si="289"/>
        <v>0</v>
      </c>
      <c r="CD48" s="23"/>
      <c r="CE48" s="23"/>
      <c r="CF48" s="23"/>
      <c r="CG48" s="23"/>
      <c r="CH48" s="23"/>
      <c r="CI48" s="23"/>
      <c r="CJ48" s="20"/>
      <c r="CK48" s="34"/>
      <c r="CL48" s="34"/>
      <c r="CM48" s="34"/>
      <c r="CN48" s="34"/>
      <c r="CO48" s="34"/>
      <c r="CP48" s="34">
        <f t="shared" si="293"/>
        <v>0</v>
      </c>
      <c r="CQ48" s="34"/>
      <c r="CR48" s="34"/>
      <c r="CS48" s="34"/>
      <c r="CT48" s="34"/>
      <c r="CU48" s="34"/>
      <c r="CV48" s="34">
        <f t="shared" si="299"/>
        <v>0</v>
      </c>
      <c r="CW48" s="37">
        <f t="shared" si="294"/>
        <v>0</v>
      </c>
      <c r="CX48" s="23"/>
      <c r="CY48" s="23"/>
      <c r="CZ48" s="23"/>
      <c r="DA48" s="23"/>
      <c r="DB48" s="23"/>
      <c r="DC48" s="25">
        <f t="shared" si="295"/>
        <v>0</v>
      </c>
      <c r="DD48" s="23"/>
      <c r="DE48" s="23"/>
      <c r="DF48" s="23"/>
      <c r="DG48" s="23"/>
      <c r="DH48" s="23"/>
      <c r="DI48" s="23">
        <f t="shared" si="296"/>
        <v>0</v>
      </c>
      <c r="DJ48" s="23">
        <f t="shared" si="297"/>
        <v>0</v>
      </c>
      <c r="DK48" s="23"/>
      <c r="DL48" s="23"/>
      <c r="DM48" s="23"/>
      <c r="DN48" s="23"/>
      <c r="DO48" s="23"/>
      <c r="DP48" s="23">
        <f t="shared" si="308"/>
        <v>0</v>
      </c>
      <c r="DQ48" s="23"/>
      <c r="DR48" s="23"/>
      <c r="DS48" s="23"/>
      <c r="DT48" s="23"/>
      <c r="DU48" s="23"/>
      <c r="DV48" s="23"/>
      <c r="DW48" s="23"/>
    </row>
    <row r="49" spans="1:127" x14ac:dyDescent="0.25">
      <c r="A49">
        <f t="shared" si="292"/>
        <v>45</v>
      </c>
      <c r="B49" t="str">
        <f t="shared" si="290"/>
        <v>J19-1151</v>
      </c>
      <c r="C49" s="20" t="s">
        <v>147</v>
      </c>
      <c r="D49" s="21" t="s">
        <v>148</v>
      </c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1"/>
      <c r="R49" s="22"/>
      <c r="S49" s="20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4"/>
      <c r="AE49" s="24"/>
      <c r="AF49" s="24"/>
      <c r="AG49" s="24">
        <v>11150</v>
      </c>
      <c r="AH49" s="24"/>
      <c r="AI49" s="24">
        <v>14190</v>
      </c>
      <c r="AJ49" s="24"/>
      <c r="AK49" s="24"/>
      <c r="AL49" s="24">
        <v>24380</v>
      </c>
      <c r="AM49" s="24"/>
      <c r="AN49" s="24"/>
      <c r="AO49" s="24"/>
      <c r="AP49" s="24">
        <f t="shared" si="302"/>
        <v>24380</v>
      </c>
      <c r="AQ49" s="24"/>
      <c r="AR49" s="24"/>
      <c r="AS49" s="24">
        <v>11860</v>
      </c>
      <c r="AT49" s="24"/>
      <c r="AU49" s="24">
        <f t="shared" si="303"/>
        <v>11860</v>
      </c>
      <c r="AV49" s="24"/>
      <c r="AW49" s="24"/>
      <c r="AX49" s="24"/>
      <c r="AY49" s="24"/>
      <c r="AZ49" s="24">
        <f t="shared" si="304"/>
        <v>0</v>
      </c>
      <c r="BA49" s="24">
        <v>8165</v>
      </c>
      <c r="BB49" s="24"/>
      <c r="BC49" s="24"/>
      <c r="BD49" s="24"/>
      <c r="BE49" s="25">
        <f t="shared" si="305"/>
        <v>8165</v>
      </c>
      <c r="BF49" s="23"/>
      <c r="BG49" s="23"/>
      <c r="BH49" s="25"/>
      <c r="BI49" s="25"/>
      <c r="BJ49" s="25"/>
      <c r="BK49" s="23"/>
      <c r="BL49" s="23"/>
      <c r="BM49" s="25"/>
      <c r="BN49" s="25"/>
      <c r="BO49" s="25"/>
      <c r="BP49" s="25"/>
      <c r="BQ49" s="25"/>
      <c r="BR49" s="25"/>
      <c r="BS49" s="25"/>
      <c r="BT49" s="25">
        <f t="shared" si="306"/>
        <v>0</v>
      </c>
      <c r="BU49" s="23"/>
      <c r="BV49" s="24"/>
      <c r="BW49" s="25">
        <f t="shared" si="301"/>
        <v>0</v>
      </c>
      <c r="BX49" s="23"/>
      <c r="BY49" s="23"/>
      <c r="BZ49" s="23"/>
      <c r="CA49" s="23"/>
      <c r="CB49" s="23"/>
      <c r="CC49" s="23">
        <f t="shared" si="289"/>
        <v>0</v>
      </c>
      <c r="CD49" s="23"/>
      <c r="CE49" s="23"/>
      <c r="CF49" s="23"/>
      <c r="CG49" s="23"/>
      <c r="CH49" s="23"/>
      <c r="CI49" s="23"/>
      <c r="CJ49" s="20"/>
      <c r="CK49" s="34"/>
      <c r="CL49" s="34"/>
      <c r="CM49" s="34"/>
      <c r="CN49" s="34"/>
      <c r="CO49" s="34"/>
      <c r="CP49" s="34">
        <f t="shared" si="293"/>
        <v>0</v>
      </c>
      <c r="CQ49" s="34"/>
      <c r="CR49" s="34"/>
      <c r="CS49" s="34"/>
      <c r="CT49" s="34"/>
      <c r="CU49" s="34"/>
      <c r="CV49" s="34">
        <f t="shared" si="299"/>
        <v>0</v>
      </c>
      <c r="CW49" s="37">
        <f t="shared" si="294"/>
        <v>0</v>
      </c>
      <c r="CX49" s="23"/>
      <c r="CY49" s="23"/>
      <c r="CZ49" s="23"/>
      <c r="DA49" s="23"/>
      <c r="DB49" s="23"/>
      <c r="DC49" s="25">
        <f t="shared" si="295"/>
        <v>0</v>
      </c>
      <c r="DD49" s="23"/>
      <c r="DE49" s="23"/>
      <c r="DF49" s="23"/>
      <c r="DG49" s="23"/>
      <c r="DH49" s="23"/>
      <c r="DI49" s="23">
        <f t="shared" si="296"/>
        <v>0</v>
      </c>
      <c r="DJ49" s="23">
        <f t="shared" si="297"/>
        <v>0</v>
      </c>
      <c r="DK49" s="23"/>
      <c r="DL49" s="23"/>
      <c r="DM49" s="23"/>
      <c r="DN49" s="23"/>
      <c r="DO49" s="23"/>
      <c r="DP49" s="23">
        <f t="shared" si="308"/>
        <v>0</v>
      </c>
      <c r="DQ49" s="23"/>
      <c r="DR49" s="23"/>
      <c r="DS49" s="23"/>
      <c r="DT49" s="23"/>
      <c r="DU49" s="23"/>
      <c r="DV49" s="23"/>
      <c r="DW49" s="23"/>
    </row>
    <row r="50" spans="1:127" x14ac:dyDescent="0.25">
      <c r="A50">
        <f t="shared" si="292"/>
        <v>46</v>
      </c>
      <c r="B50" t="str">
        <f t="shared" si="290"/>
        <v>J20-0420</v>
      </c>
      <c r="C50" s="20" t="s">
        <v>149</v>
      </c>
      <c r="D50" s="21" t="s">
        <v>150</v>
      </c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1"/>
      <c r="R50" s="22"/>
      <c r="S50" s="20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4">
        <v>2575</v>
      </c>
      <c r="AJ50" s="24"/>
      <c r="AK50" s="24"/>
      <c r="AL50" s="24">
        <f>65039+8250</f>
        <v>73289</v>
      </c>
      <c r="AM50" s="24"/>
      <c r="AN50" s="33">
        <f>63016+130286+2112</f>
        <v>195414</v>
      </c>
      <c r="AO50" s="33"/>
      <c r="AP50" s="24">
        <f t="shared" si="302"/>
        <v>268703</v>
      </c>
      <c r="AQ50" s="33">
        <f>71340+120596</f>
        <v>191936</v>
      </c>
      <c r="AR50" s="33"/>
      <c r="AS50" s="24">
        <f>57863+106629</f>
        <v>164492</v>
      </c>
      <c r="AT50" s="24"/>
      <c r="AU50" s="24">
        <f t="shared" si="303"/>
        <v>356428</v>
      </c>
      <c r="AV50" s="24">
        <f>54202+83867</f>
        <v>138069</v>
      </c>
      <c r="AW50" s="24"/>
      <c r="AX50" s="24">
        <f>23850+39140</f>
        <v>62990</v>
      </c>
      <c r="AY50" s="24"/>
      <c r="AZ50" s="24">
        <f t="shared" si="304"/>
        <v>201059</v>
      </c>
      <c r="BA50" s="24"/>
      <c r="BB50" s="24"/>
      <c r="BC50" s="24"/>
      <c r="BD50" s="24"/>
      <c r="BE50" s="25">
        <f t="shared" si="305"/>
        <v>0</v>
      </c>
      <c r="BF50" s="25">
        <f>15038+65825</f>
        <v>80863</v>
      </c>
      <c r="BG50" s="23"/>
      <c r="BH50" s="25">
        <f>3277+60817+12942</f>
        <v>77036</v>
      </c>
      <c r="BI50" s="25"/>
      <c r="BJ50" s="25">
        <f t="shared" si="307"/>
        <v>157899</v>
      </c>
      <c r="BK50" s="23">
        <v>15200</v>
      </c>
      <c r="BL50" s="23"/>
      <c r="BM50" s="25">
        <v>26800</v>
      </c>
      <c r="BN50" s="25"/>
      <c r="BO50" s="25"/>
      <c r="BP50" s="25"/>
      <c r="BQ50" s="25"/>
      <c r="BR50" s="25"/>
      <c r="BS50" s="25"/>
      <c r="BT50" s="25">
        <f t="shared" si="306"/>
        <v>0</v>
      </c>
      <c r="BU50" s="23">
        <v>11999</v>
      </c>
      <c r="BV50" s="24">
        <v>3975</v>
      </c>
      <c r="BW50" s="25">
        <f t="shared" si="301"/>
        <v>15974</v>
      </c>
      <c r="BX50" s="23"/>
      <c r="BY50" s="23"/>
      <c r="BZ50" s="23"/>
      <c r="CA50" s="23"/>
      <c r="CB50" s="23"/>
      <c r="CC50" s="23">
        <f t="shared" si="289"/>
        <v>0</v>
      </c>
      <c r="CD50" s="23"/>
      <c r="CE50" s="23"/>
      <c r="CF50" s="23"/>
      <c r="CG50" s="23"/>
      <c r="CH50" s="23"/>
      <c r="CI50" s="23"/>
      <c r="CJ50" s="20"/>
      <c r="CK50" s="34"/>
      <c r="CL50" s="34"/>
      <c r="CM50" s="34"/>
      <c r="CN50" s="34"/>
      <c r="CO50" s="34"/>
      <c r="CP50" s="34">
        <f t="shared" si="293"/>
        <v>0</v>
      </c>
      <c r="CQ50" s="34"/>
      <c r="CR50" s="34"/>
      <c r="CS50" s="34"/>
      <c r="CT50" s="34"/>
      <c r="CU50" s="34"/>
      <c r="CV50" s="34">
        <f t="shared" si="299"/>
        <v>0</v>
      </c>
      <c r="CW50" s="37">
        <f t="shared" si="294"/>
        <v>0</v>
      </c>
      <c r="CX50" s="23"/>
      <c r="CY50" s="23"/>
      <c r="CZ50" s="23"/>
      <c r="DA50" s="23"/>
      <c r="DB50" s="23"/>
      <c r="DC50" s="25">
        <f t="shared" si="295"/>
        <v>0</v>
      </c>
      <c r="DD50" s="23"/>
      <c r="DE50" s="23"/>
      <c r="DF50" s="23"/>
      <c r="DG50" s="23"/>
      <c r="DH50" s="23"/>
      <c r="DI50" s="23">
        <f t="shared" si="296"/>
        <v>0</v>
      </c>
      <c r="DJ50" s="23">
        <f t="shared" si="297"/>
        <v>0</v>
      </c>
      <c r="DK50" s="23"/>
      <c r="DL50" s="23"/>
      <c r="DM50" s="23"/>
      <c r="DN50" s="23"/>
      <c r="DO50" s="23"/>
      <c r="DP50" s="23">
        <f t="shared" si="308"/>
        <v>0</v>
      </c>
      <c r="DQ50" s="23"/>
      <c r="DR50" s="23"/>
      <c r="DS50" s="23"/>
      <c r="DT50" s="23"/>
      <c r="DU50" s="23"/>
      <c r="DV50" s="23"/>
      <c r="DW50" s="23"/>
    </row>
    <row r="51" spans="1:127" x14ac:dyDescent="0.25">
      <c r="A51">
        <f t="shared" si="292"/>
        <v>47</v>
      </c>
      <c r="B51" t="str">
        <f t="shared" si="290"/>
        <v>J19-0827</v>
      </c>
      <c r="C51" s="20" t="s">
        <v>151</v>
      </c>
      <c r="D51" s="21" t="s">
        <v>152</v>
      </c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1"/>
      <c r="R51" s="22"/>
      <c r="S51" s="20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4">
        <v>6652</v>
      </c>
      <c r="AJ51" s="24"/>
      <c r="AK51" s="24"/>
      <c r="AL51" s="24"/>
      <c r="AM51" s="24"/>
      <c r="AN51" s="33">
        <v>8873</v>
      </c>
      <c r="AO51" s="33"/>
      <c r="AP51" s="24">
        <f t="shared" si="302"/>
        <v>8873</v>
      </c>
      <c r="AQ51" s="24"/>
      <c r="AR51" s="24"/>
      <c r="AS51" s="24"/>
      <c r="AT51" s="24"/>
      <c r="AU51" s="24">
        <f t="shared" si="303"/>
        <v>0</v>
      </c>
      <c r="AV51" s="24"/>
      <c r="AW51" s="24"/>
      <c r="AX51" s="24"/>
      <c r="AY51" s="24"/>
      <c r="AZ51" s="24">
        <f t="shared" si="304"/>
        <v>0</v>
      </c>
      <c r="BA51" s="24"/>
      <c r="BB51" s="24"/>
      <c r="BC51" s="24"/>
      <c r="BD51" s="24"/>
      <c r="BE51" s="25">
        <f t="shared" si="305"/>
        <v>0</v>
      </c>
      <c r="BF51" s="23"/>
      <c r="BG51" s="23"/>
      <c r="BH51" s="25"/>
      <c r="BI51" s="25"/>
      <c r="BJ51" s="25"/>
      <c r="BK51" s="23"/>
      <c r="BL51" s="23"/>
      <c r="BM51" s="25"/>
      <c r="BN51" s="25"/>
      <c r="BO51" s="25"/>
      <c r="BP51" s="25"/>
      <c r="BQ51" s="25"/>
      <c r="BR51" s="25"/>
      <c r="BS51" s="25"/>
      <c r="BT51" s="25">
        <f t="shared" si="306"/>
        <v>0</v>
      </c>
      <c r="BU51" s="23"/>
      <c r="BV51" s="24"/>
      <c r="BW51" s="25">
        <f t="shared" ref="BW51:BW82" si="309">SUM(BS51+BT51+BU51+BV51)</f>
        <v>0</v>
      </c>
      <c r="BX51" s="23"/>
      <c r="BY51" s="23"/>
      <c r="BZ51" s="23"/>
      <c r="CA51" s="23"/>
      <c r="CB51" s="23"/>
      <c r="CC51" s="23">
        <f t="shared" si="289"/>
        <v>0</v>
      </c>
      <c r="CD51" s="23"/>
      <c r="CE51" s="23"/>
      <c r="CF51" s="23"/>
      <c r="CG51" s="23"/>
      <c r="CH51" s="23"/>
      <c r="CI51" s="23"/>
      <c r="CJ51" s="20"/>
      <c r="CK51" s="34"/>
      <c r="CL51" s="34"/>
      <c r="CM51" s="34"/>
      <c r="CN51" s="34"/>
      <c r="CO51" s="34"/>
      <c r="CP51" s="34">
        <f t="shared" si="293"/>
        <v>0</v>
      </c>
      <c r="CQ51" s="34"/>
      <c r="CR51" s="34"/>
      <c r="CS51" s="34"/>
      <c r="CT51" s="34"/>
      <c r="CU51" s="34"/>
      <c r="CV51" s="34">
        <f t="shared" si="299"/>
        <v>0</v>
      </c>
      <c r="CW51" s="37">
        <f t="shared" si="294"/>
        <v>0</v>
      </c>
      <c r="CX51" s="23"/>
      <c r="CY51" s="23"/>
      <c r="CZ51" s="23"/>
      <c r="DA51" s="23"/>
      <c r="DB51" s="23"/>
      <c r="DC51" s="25">
        <f t="shared" si="295"/>
        <v>0</v>
      </c>
      <c r="DD51" s="23"/>
      <c r="DE51" s="23"/>
      <c r="DF51" s="23"/>
      <c r="DG51" s="23"/>
      <c r="DH51" s="23"/>
      <c r="DI51" s="23">
        <f t="shared" si="296"/>
        <v>0</v>
      </c>
      <c r="DJ51" s="23">
        <f t="shared" si="297"/>
        <v>0</v>
      </c>
      <c r="DK51" s="23"/>
      <c r="DL51" s="23"/>
      <c r="DM51" s="23"/>
      <c r="DN51" s="23"/>
      <c r="DO51" s="23"/>
      <c r="DP51" s="23">
        <f t="shared" si="308"/>
        <v>0</v>
      </c>
      <c r="DQ51" s="23"/>
      <c r="DR51" s="23"/>
      <c r="DS51" s="23"/>
      <c r="DT51" s="23"/>
      <c r="DU51" s="23"/>
      <c r="DV51" s="23"/>
      <c r="DW51" s="23"/>
    </row>
    <row r="52" spans="1:127" x14ac:dyDescent="0.25">
      <c r="A52">
        <f t="shared" si="292"/>
        <v>48</v>
      </c>
      <c r="B52" t="str">
        <f t="shared" si="290"/>
        <v>J20-0123</v>
      </c>
      <c r="C52" s="20" t="s">
        <v>153</v>
      </c>
      <c r="D52" s="21" t="s">
        <v>154</v>
      </c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1"/>
      <c r="R52" s="22"/>
      <c r="S52" s="20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4"/>
      <c r="AJ52" s="24"/>
      <c r="AK52" s="24"/>
      <c r="AL52" s="24">
        <v>4164</v>
      </c>
      <c r="AM52" s="24"/>
      <c r="AN52" s="33">
        <v>13634</v>
      </c>
      <c r="AO52" s="33"/>
      <c r="AP52" s="24">
        <f t="shared" si="302"/>
        <v>17798</v>
      </c>
      <c r="AQ52" s="33">
        <v>12499</v>
      </c>
      <c r="AR52" s="33"/>
      <c r="AS52" s="24">
        <v>5332</v>
      </c>
      <c r="AT52" s="24"/>
      <c r="AU52" s="24">
        <f t="shared" si="303"/>
        <v>17831</v>
      </c>
      <c r="AV52" s="24"/>
      <c r="AW52" s="24"/>
      <c r="AX52" s="24"/>
      <c r="AY52" s="24"/>
      <c r="AZ52" s="24">
        <f t="shared" si="304"/>
        <v>0</v>
      </c>
      <c r="BA52" s="24"/>
      <c r="BB52" s="24"/>
      <c r="BC52" s="24">
        <v>1650</v>
      </c>
      <c r="BD52" s="24"/>
      <c r="BE52" s="25">
        <f t="shared" si="305"/>
        <v>1650</v>
      </c>
      <c r="BF52" s="23"/>
      <c r="BG52" s="23"/>
      <c r="BH52" s="25"/>
      <c r="BI52" s="25"/>
      <c r="BJ52" s="25"/>
      <c r="BK52" s="23"/>
      <c r="BL52" s="23"/>
      <c r="BM52" s="25"/>
      <c r="BN52" s="25"/>
      <c r="BO52" s="25"/>
      <c r="BP52" s="25"/>
      <c r="BQ52" s="25"/>
      <c r="BR52" s="25"/>
      <c r="BS52" s="25"/>
      <c r="BT52" s="25">
        <f t="shared" si="306"/>
        <v>0</v>
      </c>
      <c r="BU52" s="23"/>
      <c r="BV52" s="24"/>
      <c r="BW52" s="25">
        <f t="shared" si="309"/>
        <v>0</v>
      </c>
      <c r="BX52" s="23"/>
      <c r="BY52" s="23"/>
      <c r="BZ52" s="23"/>
      <c r="CA52" s="23"/>
      <c r="CB52" s="23"/>
      <c r="CC52" s="23">
        <f t="shared" si="289"/>
        <v>0</v>
      </c>
      <c r="CD52" s="23"/>
      <c r="CE52" s="23"/>
      <c r="CF52" s="23"/>
      <c r="CG52" s="23"/>
      <c r="CH52" s="23"/>
      <c r="CI52" s="23"/>
      <c r="CJ52" s="20"/>
      <c r="CK52" s="34"/>
      <c r="CL52" s="34"/>
      <c r="CM52" s="34"/>
      <c r="CN52" s="34"/>
      <c r="CO52" s="34"/>
      <c r="CP52" s="34">
        <f t="shared" si="293"/>
        <v>0</v>
      </c>
      <c r="CQ52" s="34"/>
      <c r="CR52" s="34"/>
      <c r="CS52" s="34"/>
      <c r="CT52" s="34"/>
      <c r="CU52" s="34"/>
      <c r="CV52" s="34">
        <f t="shared" si="299"/>
        <v>0</v>
      </c>
      <c r="CW52" s="37">
        <f t="shared" si="294"/>
        <v>0</v>
      </c>
      <c r="CX52" s="23"/>
      <c r="CY52" s="23"/>
      <c r="CZ52" s="23"/>
      <c r="DA52" s="23"/>
      <c r="DB52" s="23"/>
      <c r="DC52" s="25">
        <f t="shared" si="295"/>
        <v>0</v>
      </c>
      <c r="DD52" s="23"/>
      <c r="DE52" s="23"/>
      <c r="DF52" s="23"/>
      <c r="DG52" s="23"/>
      <c r="DH52" s="23"/>
      <c r="DI52" s="23">
        <f t="shared" si="296"/>
        <v>0</v>
      </c>
      <c r="DJ52" s="23">
        <f t="shared" si="297"/>
        <v>0</v>
      </c>
      <c r="DK52" s="23"/>
      <c r="DL52" s="23"/>
      <c r="DM52" s="23"/>
      <c r="DN52" s="23"/>
      <c r="DO52" s="23"/>
      <c r="DP52" s="23">
        <f t="shared" si="308"/>
        <v>0</v>
      </c>
      <c r="DQ52" s="23"/>
      <c r="DR52" s="23"/>
      <c r="DS52" s="23"/>
      <c r="DT52" s="23"/>
      <c r="DU52" s="23"/>
      <c r="DV52" s="23"/>
      <c r="DW52" s="23"/>
    </row>
    <row r="53" spans="1:127" x14ac:dyDescent="0.25">
      <c r="A53">
        <f t="shared" si="292"/>
        <v>49</v>
      </c>
      <c r="B53" t="str">
        <f t="shared" si="290"/>
        <v>J20-0202</v>
      </c>
      <c r="C53" s="20" t="s">
        <v>155</v>
      </c>
      <c r="D53" s="21" t="s">
        <v>156</v>
      </c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1"/>
      <c r="R53" s="22"/>
      <c r="S53" s="20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4"/>
      <c r="AJ53" s="24"/>
      <c r="AK53" s="24"/>
      <c r="AL53" s="24">
        <v>40470</v>
      </c>
      <c r="AM53" s="24"/>
      <c r="AN53" s="33">
        <v>55150</v>
      </c>
      <c r="AO53" s="33"/>
      <c r="AP53" s="24">
        <f t="shared" si="302"/>
        <v>95620</v>
      </c>
      <c r="AQ53" s="24"/>
      <c r="AR53" s="24"/>
      <c r="AS53" s="24"/>
      <c r="AT53" s="24"/>
      <c r="AU53" s="24">
        <f t="shared" si="303"/>
        <v>0</v>
      </c>
      <c r="AV53" s="24"/>
      <c r="AW53" s="24"/>
      <c r="AX53" s="24"/>
      <c r="AY53" s="24"/>
      <c r="AZ53" s="24">
        <f t="shared" si="304"/>
        <v>0</v>
      </c>
      <c r="BA53" s="24"/>
      <c r="BB53" s="24"/>
      <c r="BC53" s="24"/>
      <c r="BD53" s="24"/>
      <c r="BE53" s="25">
        <f t="shared" si="305"/>
        <v>0</v>
      </c>
      <c r="BF53" s="23"/>
      <c r="BG53" s="23"/>
      <c r="BH53" s="25"/>
      <c r="BI53" s="25"/>
      <c r="BJ53" s="25"/>
      <c r="BK53" s="23"/>
      <c r="BL53" s="23"/>
      <c r="BM53" s="25"/>
      <c r="BN53" s="25"/>
      <c r="BO53" s="25"/>
      <c r="BP53" s="25"/>
      <c r="BQ53" s="25"/>
      <c r="BR53" s="25"/>
      <c r="BS53" s="25"/>
      <c r="BT53" s="25">
        <f t="shared" si="306"/>
        <v>0</v>
      </c>
      <c r="BU53" s="23"/>
      <c r="BV53" s="24"/>
      <c r="BW53" s="25">
        <f t="shared" si="309"/>
        <v>0</v>
      </c>
      <c r="BX53" s="23"/>
      <c r="BY53" s="23"/>
      <c r="BZ53" s="23"/>
      <c r="CA53" s="23"/>
      <c r="CB53" s="23"/>
      <c r="CC53" s="23">
        <f t="shared" si="289"/>
        <v>0</v>
      </c>
      <c r="CD53" s="23"/>
      <c r="CE53" s="23"/>
      <c r="CF53" s="23"/>
      <c r="CG53" s="23"/>
      <c r="CH53" s="23"/>
      <c r="CI53" s="23"/>
      <c r="CJ53" s="51"/>
      <c r="CK53" s="34"/>
      <c r="CL53" s="34"/>
      <c r="CM53" s="34"/>
      <c r="CN53" s="34"/>
      <c r="CO53" s="52"/>
      <c r="CP53" s="52">
        <f t="shared" si="293"/>
        <v>0</v>
      </c>
      <c r="CQ53" s="34"/>
      <c r="CR53" s="34"/>
      <c r="CS53" s="34"/>
      <c r="CT53" s="34"/>
      <c r="CU53" s="34"/>
      <c r="CV53" s="34">
        <f t="shared" si="299"/>
        <v>0</v>
      </c>
      <c r="CW53" s="37">
        <f t="shared" si="294"/>
        <v>0</v>
      </c>
      <c r="CX53" s="23"/>
      <c r="CY53" s="23"/>
      <c r="CZ53" s="23"/>
      <c r="DA53" s="23"/>
      <c r="DB53" s="23"/>
      <c r="DC53" s="25">
        <f t="shared" si="295"/>
        <v>0</v>
      </c>
      <c r="DD53" s="23"/>
      <c r="DE53" s="23"/>
      <c r="DF53" s="23"/>
      <c r="DG53" s="23"/>
      <c r="DH53" s="23"/>
      <c r="DI53" s="23">
        <f t="shared" si="296"/>
        <v>0</v>
      </c>
      <c r="DJ53" s="23">
        <f t="shared" si="297"/>
        <v>0</v>
      </c>
      <c r="DK53" s="23"/>
      <c r="DL53" s="23"/>
      <c r="DM53" s="23"/>
      <c r="DN53" s="23"/>
      <c r="DO53" s="23"/>
      <c r="DP53" s="23">
        <f t="shared" si="308"/>
        <v>0</v>
      </c>
      <c r="DQ53" s="23"/>
      <c r="DR53" s="23"/>
      <c r="DS53" s="23"/>
      <c r="DT53" s="23"/>
      <c r="DU53" s="23"/>
      <c r="DV53" s="23"/>
      <c r="DW53" s="23"/>
    </row>
    <row r="54" spans="1:127" x14ac:dyDescent="0.25">
      <c r="A54">
        <f t="shared" si="292"/>
        <v>50</v>
      </c>
      <c r="B54" t="str">
        <f t="shared" si="290"/>
        <v>J20-0415</v>
      </c>
      <c r="C54" s="20" t="s">
        <v>157</v>
      </c>
      <c r="D54" s="21" t="s">
        <v>158</v>
      </c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1"/>
      <c r="R54" s="22"/>
      <c r="S54" s="20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4"/>
      <c r="AJ54" s="24"/>
      <c r="AK54" s="24"/>
      <c r="AL54" s="24"/>
      <c r="AM54" s="24"/>
      <c r="AN54" s="33">
        <v>18436</v>
      </c>
      <c r="AO54" s="33"/>
      <c r="AP54" s="24">
        <f t="shared" si="302"/>
        <v>18436</v>
      </c>
      <c r="AQ54" s="33">
        <v>6534</v>
      </c>
      <c r="AR54" s="33"/>
      <c r="AS54" s="24"/>
      <c r="AT54" s="24"/>
      <c r="AU54" s="24">
        <f t="shared" si="303"/>
        <v>6534</v>
      </c>
      <c r="AV54" s="24"/>
      <c r="AW54" s="24"/>
      <c r="AX54" s="24"/>
      <c r="AY54" s="24"/>
      <c r="AZ54" s="24">
        <f t="shared" si="304"/>
        <v>0</v>
      </c>
      <c r="BA54" s="24"/>
      <c r="BB54" s="24"/>
      <c r="BC54" s="24"/>
      <c r="BD54" s="24"/>
      <c r="BE54" s="25">
        <f t="shared" si="305"/>
        <v>0</v>
      </c>
      <c r="BF54" s="23"/>
      <c r="BG54" s="23"/>
      <c r="BH54" s="25"/>
      <c r="BI54" s="25"/>
      <c r="BJ54" s="25"/>
      <c r="BK54" s="23"/>
      <c r="BL54" s="23"/>
      <c r="BM54" s="25"/>
      <c r="BN54" s="25"/>
      <c r="BO54" s="25"/>
      <c r="BP54" s="25"/>
      <c r="BQ54" s="25"/>
      <c r="BR54" s="25"/>
      <c r="BS54" s="25"/>
      <c r="BT54" s="25">
        <f t="shared" si="306"/>
        <v>0</v>
      </c>
      <c r="BU54" s="23"/>
      <c r="BV54" s="24"/>
      <c r="BW54" s="25">
        <f t="shared" si="309"/>
        <v>0</v>
      </c>
      <c r="BX54" s="23"/>
      <c r="BY54" s="23"/>
      <c r="BZ54" s="23"/>
      <c r="CA54" s="23"/>
      <c r="CB54" s="23"/>
      <c r="CC54" s="23">
        <f t="shared" si="289"/>
        <v>0</v>
      </c>
      <c r="CD54" s="23"/>
      <c r="CE54" s="23"/>
      <c r="CF54" s="23"/>
      <c r="CG54" s="23"/>
      <c r="CH54" s="23"/>
      <c r="CI54" s="23"/>
      <c r="CJ54" s="20"/>
      <c r="CK54" s="34"/>
      <c r="CL54" s="34"/>
      <c r="CM54" s="34"/>
      <c r="CN54" s="34"/>
      <c r="CO54" s="34"/>
      <c r="CP54" s="34">
        <f t="shared" si="293"/>
        <v>0</v>
      </c>
      <c r="CQ54" s="34"/>
      <c r="CR54" s="34"/>
      <c r="CS54" s="34"/>
      <c r="CT54" s="34"/>
      <c r="CU54" s="34"/>
      <c r="CV54" s="34">
        <f t="shared" si="299"/>
        <v>0</v>
      </c>
      <c r="CW54" s="37">
        <f t="shared" si="294"/>
        <v>0</v>
      </c>
      <c r="CX54" s="23"/>
      <c r="CY54" s="23"/>
      <c r="CZ54" s="23"/>
      <c r="DA54" s="23"/>
      <c r="DB54" s="23"/>
      <c r="DC54" s="25">
        <f t="shared" si="295"/>
        <v>0</v>
      </c>
      <c r="DD54" s="23"/>
      <c r="DE54" s="23"/>
      <c r="DF54" s="23"/>
      <c r="DG54" s="23"/>
      <c r="DH54" s="23"/>
      <c r="DI54" s="23">
        <f t="shared" si="296"/>
        <v>0</v>
      </c>
      <c r="DJ54" s="23">
        <f t="shared" si="297"/>
        <v>0</v>
      </c>
      <c r="DK54" s="23"/>
      <c r="DL54" s="23"/>
      <c r="DM54" s="23"/>
      <c r="DN54" s="23"/>
      <c r="DO54" s="23"/>
      <c r="DP54" s="23">
        <f t="shared" si="308"/>
        <v>0</v>
      </c>
      <c r="DQ54" s="23"/>
      <c r="DR54" s="23"/>
      <c r="DS54" s="23"/>
      <c r="DT54" s="23"/>
      <c r="DU54" s="23"/>
      <c r="DV54" s="23"/>
      <c r="DW54" s="23"/>
    </row>
    <row r="55" spans="1:127" x14ac:dyDescent="0.25">
      <c r="A55">
        <f t="shared" si="292"/>
        <v>51</v>
      </c>
      <c r="B55" t="str">
        <f t="shared" si="290"/>
        <v>J20-0032</v>
      </c>
      <c r="C55" s="20" t="s">
        <v>159</v>
      </c>
      <c r="D55" s="21" t="s">
        <v>160</v>
      </c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1"/>
      <c r="R55" s="22"/>
      <c r="S55" s="20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4"/>
      <c r="AJ55" s="24"/>
      <c r="AK55" s="24"/>
      <c r="AL55" s="24"/>
      <c r="AM55" s="24"/>
      <c r="AN55" s="33">
        <v>54054</v>
      </c>
      <c r="AO55" s="33"/>
      <c r="AP55" s="24">
        <f t="shared" si="302"/>
        <v>54054</v>
      </c>
      <c r="AQ55" s="33">
        <f>7139+44403</f>
        <v>51542</v>
      </c>
      <c r="AR55" s="33"/>
      <c r="AS55" s="24">
        <v>18545</v>
      </c>
      <c r="AT55" s="24"/>
      <c r="AU55" s="24">
        <f t="shared" si="303"/>
        <v>70087</v>
      </c>
      <c r="AV55" s="24">
        <v>4170</v>
      </c>
      <c r="AW55" s="24"/>
      <c r="AX55" s="24">
        <v>5940</v>
      </c>
      <c r="AY55" s="24"/>
      <c r="AZ55" s="24">
        <f t="shared" si="304"/>
        <v>10110</v>
      </c>
      <c r="BA55" s="24">
        <v>8740</v>
      </c>
      <c r="BB55" s="24"/>
      <c r="BC55" s="24"/>
      <c r="BD55" s="24"/>
      <c r="BE55" s="25">
        <f t="shared" si="305"/>
        <v>8740</v>
      </c>
      <c r="BF55" s="23"/>
      <c r="BG55" s="23"/>
      <c r="BH55" s="25"/>
      <c r="BI55" s="25"/>
      <c r="BJ55" s="25"/>
      <c r="BK55" s="23"/>
      <c r="BL55" s="23"/>
      <c r="BM55" s="25"/>
      <c r="BN55" s="25"/>
      <c r="BO55" s="25"/>
      <c r="BP55" s="25"/>
      <c r="BQ55" s="25"/>
      <c r="BR55" s="25"/>
      <c r="BS55" s="25"/>
      <c r="BT55" s="25">
        <f t="shared" si="306"/>
        <v>0</v>
      </c>
      <c r="BU55" s="23"/>
      <c r="BV55" s="24"/>
      <c r="BW55" s="25">
        <f t="shared" si="309"/>
        <v>0</v>
      </c>
      <c r="BX55" s="23"/>
      <c r="BY55" s="23"/>
      <c r="BZ55" s="23"/>
      <c r="CA55" s="23"/>
      <c r="CB55" s="23"/>
      <c r="CC55" s="23">
        <f t="shared" si="289"/>
        <v>0</v>
      </c>
      <c r="CD55" s="23"/>
      <c r="CE55" s="23"/>
      <c r="CF55" s="23"/>
      <c r="CG55" s="23"/>
      <c r="CH55" s="23"/>
      <c r="CI55" s="23"/>
      <c r="CJ55" s="20"/>
      <c r="CK55" s="34"/>
      <c r="CL55" s="34"/>
      <c r="CM55" s="34"/>
      <c r="CN55" s="34"/>
      <c r="CO55" s="34"/>
      <c r="CP55" s="34">
        <f t="shared" si="293"/>
        <v>0</v>
      </c>
      <c r="CQ55" s="34"/>
      <c r="CR55" s="34"/>
      <c r="CS55" s="34"/>
      <c r="CT55" s="34"/>
      <c r="CU55" s="34"/>
      <c r="CV55" s="34">
        <f t="shared" si="299"/>
        <v>0</v>
      </c>
      <c r="CW55" s="37">
        <f t="shared" si="294"/>
        <v>0</v>
      </c>
      <c r="CX55" s="23"/>
      <c r="CY55" s="23"/>
      <c r="CZ55" s="23"/>
      <c r="DA55" s="23"/>
      <c r="DB55" s="23"/>
      <c r="DC55" s="25">
        <f t="shared" si="295"/>
        <v>0</v>
      </c>
      <c r="DD55" s="23"/>
      <c r="DE55" s="23"/>
      <c r="DF55" s="23"/>
      <c r="DG55" s="23"/>
      <c r="DH55" s="23"/>
      <c r="DI55" s="23">
        <f t="shared" si="296"/>
        <v>0</v>
      </c>
      <c r="DJ55" s="23">
        <f t="shared" si="297"/>
        <v>0</v>
      </c>
      <c r="DK55" s="23"/>
      <c r="DL55" s="23"/>
      <c r="DM55" s="23"/>
      <c r="DN55" s="23"/>
      <c r="DO55" s="23"/>
      <c r="DP55" s="23">
        <f t="shared" si="308"/>
        <v>0</v>
      </c>
      <c r="DQ55" s="23"/>
      <c r="DR55" s="23"/>
      <c r="DS55" s="23"/>
      <c r="DT55" s="23"/>
      <c r="DU55" s="23"/>
      <c r="DV55" s="23"/>
      <c r="DW55" s="23"/>
    </row>
    <row r="56" spans="1:127" x14ac:dyDescent="0.25">
      <c r="A56">
        <f t="shared" si="292"/>
        <v>52</v>
      </c>
      <c r="B56" t="str">
        <f t="shared" si="290"/>
        <v>J20-0582</v>
      </c>
      <c r="C56" s="20" t="s">
        <v>161</v>
      </c>
      <c r="D56" s="21" t="s">
        <v>162</v>
      </c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1"/>
      <c r="R56" s="22"/>
      <c r="S56" s="20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4"/>
      <c r="AJ56" s="24"/>
      <c r="AK56" s="24"/>
      <c r="AL56" s="24"/>
      <c r="AM56" s="24"/>
      <c r="AN56" s="33">
        <v>4965</v>
      </c>
      <c r="AO56" s="33"/>
      <c r="AP56" s="24">
        <f t="shared" si="302"/>
        <v>4965</v>
      </c>
      <c r="AQ56" s="24"/>
      <c r="AR56" s="24"/>
      <c r="AS56" s="24"/>
      <c r="AT56" s="24"/>
      <c r="AU56" s="24">
        <f t="shared" si="303"/>
        <v>0</v>
      </c>
      <c r="AV56" s="24"/>
      <c r="AW56" s="24"/>
      <c r="AX56" s="24"/>
      <c r="AY56" s="24"/>
      <c r="AZ56" s="24">
        <f t="shared" si="304"/>
        <v>0</v>
      </c>
      <c r="BA56" s="24">
        <v>16750</v>
      </c>
      <c r="BB56" s="24"/>
      <c r="BC56" s="24"/>
      <c r="BD56" s="24"/>
      <c r="BE56" s="25">
        <f t="shared" si="305"/>
        <v>16750</v>
      </c>
      <c r="BF56" s="23"/>
      <c r="BG56" s="23"/>
      <c r="BH56" s="25"/>
      <c r="BI56" s="25"/>
      <c r="BJ56" s="25"/>
      <c r="BK56" s="23"/>
      <c r="BL56" s="23"/>
      <c r="BM56" s="25"/>
      <c r="BN56" s="25"/>
      <c r="BO56" s="25"/>
      <c r="BP56" s="25"/>
      <c r="BQ56" s="25"/>
      <c r="BR56" s="25"/>
      <c r="BS56" s="25"/>
      <c r="BT56" s="25">
        <f t="shared" si="306"/>
        <v>0</v>
      </c>
      <c r="BU56" s="23"/>
      <c r="BV56" s="24"/>
      <c r="BW56" s="25">
        <f t="shared" si="309"/>
        <v>0</v>
      </c>
      <c r="BX56" s="23"/>
      <c r="BY56" s="23"/>
      <c r="BZ56" s="23"/>
      <c r="CA56" s="23"/>
      <c r="CB56" s="23"/>
      <c r="CC56" s="23">
        <f t="shared" si="289"/>
        <v>0</v>
      </c>
      <c r="CD56" s="23"/>
      <c r="CE56" s="23"/>
      <c r="CF56" s="23"/>
      <c r="CG56" s="23"/>
      <c r="CH56" s="23"/>
      <c r="CI56" s="23"/>
      <c r="CJ56" s="20"/>
      <c r="CK56" s="34"/>
      <c r="CL56" s="34"/>
      <c r="CM56" s="34"/>
      <c r="CN56" s="34"/>
      <c r="CO56" s="34"/>
      <c r="CP56" s="34">
        <f t="shared" si="293"/>
        <v>0</v>
      </c>
      <c r="CQ56" s="34"/>
      <c r="CR56" s="34"/>
      <c r="CS56" s="34"/>
      <c r="CT56" s="34"/>
      <c r="CU56" s="34"/>
      <c r="CV56" s="34">
        <f t="shared" si="299"/>
        <v>0</v>
      </c>
      <c r="CW56" s="37">
        <f t="shared" si="294"/>
        <v>0</v>
      </c>
      <c r="CX56" s="23"/>
      <c r="CY56" s="23"/>
      <c r="CZ56" s="23"/>
      <c r="DA56" s="23"/>
      <c r="DB56" s="23"/>
      <c r="DC56" s="25">
        <f t="shared" si="295"/>
        <v>0</v>
      </c>
      <c r="DD56" s="23"/>
      <c r="DE56" s="23"/>
      <c r="DF56" s="23"/>
      <c r="DG56" s="23"/>
      <c r="DH56" s="23"/>
      <c r="DI56" s="23">
        <f t="shared" si="296"/>
        <v>0</v>
      </c>
      <c r="DJ56" s="23">
        <f t="shared" si="297"/>
        <v>0</v>
      </c>
      <c r="DK56" s="23"/>
      <c r="DL56" s="23"/>
      <c r="DM56" s="23"/>
      <c r="DN56" s="23"/>
      <c r="DO56" s="23"/>
      <c r="DP56" s="23">
        <f t="shared" si="308"/>
        <v>0</v>
      </c>
      <c r="DQ56" s="23"/>
      <c r="DR56" s="23"/>
      <c r="DS56" s="23"/>
      <c r="DT56" s="23"/>
      <c r="DU56" s="23"/>
      <c r="DV56" s="23"/>
      <c r="DW56" s="23"/>
    </row>
    <row r="57" spans="1:127" x14ac:dyDescent="0.25">
      <c r="A57">
        <f t="shared" si="292"/>
        <v>53</v>
      </c>
      <c r="B57" t="str">
        <f t="shared" si="290"/>
        <v>J20-0407</v>
      </c>
      <c r="C57" s="20" t="s">
        <v>163</v>
      </c>
      <c r="D57" s="21" t="s">
        <v>164</v>
      </c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1"/>
      <c r="R57" s="22"/>
      <c r="S57" s="20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4"/>
      <c r="AJ57" s="24"/>
      <c r="AK57" s="24"/>
      <c r="AL57" s="24"/>
      <c r="AM57" s="24"/>
      <c r="AN57" s="24"/>
      <c r="AO57" s="24"/>
      <c r="AP57" s="24"/>
      <c r="AQ57" s="33">
        <v>45390</v>
      </c>
      <c r="AR57" s="33"/>
      <c r="AS57" s="24">
        <f>54710+6000</f>
        <v>60710</v>
      </c>
      <c r="AT57" s="24"/>
      <c r="AU57" s="24">
        <f t="shared" si="303"/>
        <v>106100</v>
      </c>
      <c r="AV57" s="24">
        <v>59787</v>
      </c>
      <c r="AW57" s="24"/>
      <c r="AX57" s="24">
        <v>77562</v>
      </c>
      <c r="AY57" s="24"/>
      <c r="AZ57" s="24">
        <f t="shared" si="304"/>
        <v>137349</v>
      </c>
      <c r="BA57" s="24">
        <v>17850</v>
      </c>
      <c r="BB57" s="24"/>
      <c r="BC57" s="24">
        <f>12800+30700</f>
        <v>43500</v>
      </c>
      <c r="BD57" s="24"/>
      <c r="BE57" s="25">
        <f t="shared" si="305"/>
        <v>61350</v>
      </c>
      <c r="BF57" s="23">
        <v>40700</v>
      </c>
      <c r="BG57" s="23"/>
      <c r="BH57" s="38">
        <v>42750</v>
      </c>
      <c r="BI57" s="25"/>
      <c r="BJ57" s="25">
        <f t="shared" si="307"/>
        <v>83450</v>
      </c>
      <c r="BK57" s="23"/>
      <c r="BL57" s="23"/>
      <c r="BM57" s="25"/>
      <c r="BN57" s="25"/>
      <c r="BO57" s="25"/>
      <c r="BP57" s="25"/>
      <c r="BQ57" s="25"/>
      <c r="BR57" s="25"/>
      <c r="BS57" s="25"/>
      <c r="BT57" s="25">
        <f t="shared" si="306"/>
        <v>0</v>
      </c>
      <c r="BU57" s="23"/>
      <c r="BV57" s="24"/>
      <c r="BW57" s="25">
        <f t="shared" si="309"/>
        <v>0</v>
      </c>
      <c r="BX57" s="23"/>
      <c r="BY57" s="23"/>
      <c r="BZ57" s="23"/>
      <c r="CA57" s="23"/>
      <c r="CB57" s="23"/>
      <c r="CC57" s="23">
        <f t="shared" si="289"/>
        <v>0</v>
      </c>
      <c r="CD57" s="23"/>
      <c r="CE57" s="23"/>
      <c r="CF57" s="23"/>
      <c r="CG57" s="23"/>
      <c r="CH57" s="23"/>
      <c r="CI57" s="23"/>
      <c r="CJ57" s="20"/>
      <c r="CK57" s="34"/>
      <c r="CL57" s="34"/>
      <c r="CM57" s="34"/>
      <c r="CN57" s="34"/>
      <c r="CO57" s="34"/>
      <c r="CP57" s="34">
        <f t="shared" si="293"/>
        <v>0</v>
      </c>
      <c r="CQ57" s="34"/>
      <c r="CR57" s="34"/>
      <c r="CS57" s="34"/>
      <c r="CT57" s="34"/>
      <c r="CU57" s="34"/>
      <c r="CV57" s="34">
        <f t="shared" si="299"/>
        <v>0</v>
      </c>
      <c r="CW57" s="37">
        <f t="shared" si="294"/>
        <v>0</v>
      </c>
      <c r="CX57" s="23"/>
      <c r="CY57" s="23"/>
      <c r="CZ57" s="23"/>
      <c r="DA57" s="23"/>
      <c r="DB57" s="23"/>
      <c r="DC57" s="25">
        <f t="shared" si="295"/>
        <v>0</v>
      </c>
      <c r="DD57" s="23"/>
      <c r="DE57" s="23"/>
      <c r="DF57" s="23"/>
      <c r="DG57" s="23"/>
      <c r="DH57" s="23"/>
      <c r="DI57" s="23">
        <f t="shared" si="296"/>
        <v>0</v>
      </c>
      <c r="DJ57" s="23">
        <f t="shared" si="297"/>
        <v>0</v>
      </c>
      <c r="DK57" s="23"/>
      <c r="DL57" s="23"/>
      <c r="DM57" s="23"/>
      <c r="DN57" s="23"/>
      <c r="DO57" s="23"/>
      <c r="DP57" s="23">
        <f t="shared" si="308"/>
        <v>0</v>
      </c>
      <c r="DQ57" s="23"/>
      <c r="DR57" s="23"/>
      <c r="DS57" s="23"/>
      <c r="DT57" s="23"/>
      <c r="DU57" s="23"/>
      <c r="DV57" s="23"/>
      <c r="DW57" s="23"/>
    </row>
    <row r="58" spans="1:127" x14ac:dyDescent="0.25">
      <c r="A58">
        <f t="shared" si="292"/>
        <v>54</v>
      </c>
      <c r="B58" t="str">
        <f t="shared" si="290"/>
        <v>J20-0370</v>
      </c>
      <c r="C58" s="20" t="s">
        <v>165</v>
      </c>
      <c r="D58" s="21" t="s">
        <v>166</v>
      </c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1"/>
      <c r="R58" s="22"/>
      <c r="S58" s="20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4"/>
      <c r="AJ58" s="24"/>
      <c r="AK58" s="24"/>
      <c r="AL58" s="24"/>
      <c r="AM58" s="24"/>
      <c r="AN58" s="24"/>
      <c r="AO58" s="24"/>
      <c r="AP58" s="24">
        <f t="shared" si="302"/>
        <v>0</v>
      </c>
      <c r="AQ58" s="33">
        <v>28610</v>
      </c>
      <c r="AR58" s="33"/>
      <c r="AS58" s="24">
        <f>9570+22160</f>
        <v>31730</v>
      </c>
      <c r="AT58" s="24"/>
      <c r="AU58" s="24">
        <f t="shared" si="303"/>
        <v>60340</v>
      </c>
      <c r="AV58" s="24">
        <v>34820</v>
      </c>
      <c r="AW58" s="24"/>
      <c r="AX58" s="24">
        <f>6090+36810</f>
        <v>42900</v>
      </c>
      <c r="AY58" s="24"/>
      <c r="AZ58" s="24">
        <f t="shared" si="304"/>
        <v>77720</v>
      </c>
      <c r="BA58" s="24">
        <f>7793+11700</f>
        <v>19493</v>
      </c>
      <c r="BB58" s="24"/>
      <c r="BC58" s="24"/>
      <c r="BD58" s="24"/>
      <c r="BE58" s="25">
        <f t="shared" si="305"/>
        <v>19493</v>
      </c>
      <c r="BF58" s="23">
        <f>5483+6694</f>
        <v>12177</v>
      </c>
      <c r="BG58" s="23"/>
      <c r="BH58" s="25"/>
      <c r="BI58" s="25"/>
      <c r="BJ58" s="25">
        <f t="shared" si="307"/>
        <v>12177</v>
      </c>
      <c r="BK58" s="23"/>
      <c r="BL58" s="23"/>
      <c r="BM58" s="25"/>
      <c r="BN58" s="25"/>
      <c r="BO58" s="25"/>
      <c r="BP58" s="25">
        <v>13680</v>
      </c>
      <c r="BQ58" s="25"/>
      <c r="BR58" s="25">
        <v>2340</v>
      </c>
      <c r="BS58" s="25"/>
      <c r="BT58" s="25">
        <f t="shared" si="306"/>
        <v>16020</v>
      </c>
      <c r="BU58" s="23"/>
      <c r="BV58" s="24"/>
      <c r="BW58" s="25">
        <f t="shared" si="309"/>
        <v>16020</v>
      </c>
      <c r="BX58" s="23"/>
      <c r="BY58" s="23"/>
      <c r="BZ58" s="23"/>
      <c r="CA58" s="23"/>
      <c r="CB58" s="23"/>
      <c r="CC58" s="23">
        <f t="shared" si="289"/>
        <v>0</v>
      </c>
      <c r="CD58" s="23"/>
      <c r="CE58" s="23"/>
      <c r="CF58" s="23"/>
      <c r="CG58" s="23"/>
      <c r="CH58" s="23"/>
      <c r="CI58" s="23"/>
      <c r="CJ58" s="20"/>
      <c r="CK58" s="34"/>
      <c r="CL58" s="34"/>
      <c r="CM58" s="34"/>
      <c r="CN58" s="34"/>
      <c r="CO58" s="34"/>
      <c r="CP58" s="34">
        <f t="shared" si="293"/>
        <v>0</v>
      </c>
      <c r="CQ58" s="34"/>
      <c r="CR58" s="34"/>
      <c r="CS58" s="34"/>
      <c r="CT58" s="34"/>
      <c r="CU58" s="34"/>
      <c r="CV58" s="34">
        <f t="shared" si="299"/>
        <v>0</v>
      </c>
      <c r="CW58" s="37">
        <f t="shared" si="294"/>
        <v>0</v>
      </c>
      <c r="CX58" s="23"/>
      <c r="CY58" s="23"/>
      <c r="CZ58" s="23"/>
      <c r="DA58" s="23"/>
      <c r="DB58" s="23"/>
      <c r="DC58" s="25">
        <f t="shared" si="295"/>
        <v>0</v>
      </c>
      <c r="DD58" s="23"/>
      <c r="DE58" s="23"/>
      <c r="DF58" s="23"/>
      <c r="DG58" s="23"/>
      <c r="DH58" s="23"/>
      <c r="DI58" s="23">
        <f t="shared" si="296"/>
        <v>0</v>
      </c>
      <c r="DJ58" s="23">
        <f t="shared" si="297"/>
        <v>0</v>
      </c>
      <c r="DK58" s="23"/>
      <c r="DL58" s="23"/>
      <c r="DM58" s="23"/>
      <c r="DN58" s="23"/>
      <c r="DO58" s="23"/>
      <c r="DP58" s="23">
        <f t="shared" si="308"/>
        <v>0</v>
      </c>
      <c r="DQ58" s="23"/>
      <c r="DR58" s="23"/>
      <c r="DS58" s="23"/>
      <c r="DT58" s="23"/>
      <c r="DU58" s="23"/>
      <c r="DV58" s="23"/>
      <c r="DW58" s="23"/>
    </row>
    <row r="59" spans="1:127" x14ac:dyDescent="0.25">
      <c r="A59">
        <f t="shared" si="292"/>
        <v>55</v>
      </c>
      <c r="B59" t="str">
        <f t="shared" si="290"/>
        <v>J20-0156</v>
      </c>
      <c r="C59" s="20" t="s">
        <v>167</v>
      </c>
      <c r="D59" s="21" t="s">
        <v>168</v>
      </c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1"/>
      <c r="R59" s="22"/>
      <c r="S59" s="20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4"/>
      <c r="AJ59" s="24"/>
      <c r="AK59" s="24"/>
      <c r="AL59" s="24"/>
      <c r="AM59" s="24"/>
      <c r="AN59" s="24"/>
      <c r="AO59" s="24"/>
      <c r="AP59" s="24"/>
      <c r="AQ59" s="33">
        <v>58128</v>
      </c>
      <c r="AR59" s="33"/>
      <c r="AS59" s="24">
        <f>72626+15000</f>
        <v>87626</v>
      </c>
      <c r="AT59" s="24"/>
      <c r="AU59" s="24">
        <f t="shared" si="303"/>
        <v>145754</v>
      </c>
      <c r="AV59" s="24">
        <v>6700</v>
      </c>
      <c r="AW59" s="24"/>
      <c r="AX59" s="24"/>
      <c r="AY59" s="24"/>
      <c r="AZ59" s="24">
        <f t="shared" si="304"/>
        <v>6700</v>
      </c>
      <c r="BA59" s="24"/>
      <c r="BB59" s="24"/>
      <c r="BC59" s="24">
        <v>24517</v>
      </c>
      <c r="BD59" s="24"/>
      <c r="BE59" s="25">
        <f t="shared" si="305"/>
        <v>24517</v>
      </c>
      <c r="BF59" s="25">
        <f>37393+13100</f>
        <v>50493</v>
      </c>
      <c r="BG59" s="23"/>
      <c r="BH59" s="25"/>
      <c r="BI59" s="25"/>
      <c r="BJ59" s="25">
        <f t="shared" si="307"/>
        <v>50493</v>
      </c>
      <c r="BK59" s="23"/>
      <c r="BL59" s="23"/>
      <c r="BM59" s="25"/>
      <c r="BN59" s="25"/>
      <c r="BO59" s="25"/>
      <c r="BP59" s="25"/>
      <c r="BQ59" s="25"/>
      <c r="BR59" s="25"/>
      <c r="BS59" s="25"/>
      <c r="BT59" s="25">
        <f t="shared" si="306"/>
        <v>0</v>
      </c>
      <c r="BU59" s="23"/>
      <c r="BV59" s="24"/>
      <c r="BW59" s="25">
        <f t="shared" si="309"/>
        <v>0</v>
      </c>
      <c r="BX59" s="23"/>
      <c r="BY59" s="23"/>
      <c r="BZ59" s="23"/>
      <c r="CA59" s="23"/>
      <c r="CB59" s="23"/>
      <c r="CC59" s="23">
        <f t="shared" si="289"/>
        <v>0</v>
      </c>
      <c r="CD59" s="23"/>
      <c r="CE59" s="23"/>
      <c r="CF59" s="23"/>
      <c r="CG59" s="23"/>
      <c r="CH59" s="23"/>
      <c r="CI59" s="23"/>
      <c r="CJ59" s="20"/>
      <c r="CK59" s="34"/>
      <c r="CL59" s="34"/>
      <c r="CM59" s="34"/>
      <c r="CN59" s="34"/>
      <c r="CO59" s="34"/>
      <c r="CP59" s="34">
        <f t="shared" si="293"/>
        <v>0</v>
      </c>
      <c r="CQ59" s="34"/>
      <c r="CR59" s="34"/>
      <c r="CS59" s="34"/>
      <c r="CT59" s="34"/>
      <c r="CU59" s="34"/>
      <c r="CV59" s="34">
        <f t="shared" si="299"/>
        <v>0</v>
      </c>
      <c r="CW59" s="37">
        <f t="shared" si="294"/>
        <v>0</v>
      </c>
      <c r="CX59" s="23"/>
      <c r="CY59" s="23"/>
      <c r="CZ59" s="23"/>
      <c r="DA59" s="23"/>
      <c r="DB59" s="23"/>
      <c r="DC59" s="25">
        <f t="shared" si="295"/>
        <v>0</v>
      </c>
      <c r="DD59" s="23"/>
      <c r="DE59" s="23"/>
      <c r="DF59" s="23"/>
      <c r="DG59" s="23"/>
      <c r="DH59" s="23"/>
      <c r="DI59" s="23">
        <f t="shared" si="296"/>
        <v>0</v>
      </c>
      <c r="DJ59" s="23">
        <f t="shared" si="297"/>
        <v>0</v>
      </c>
      <c r="DK59" s="23"/>
      <c r="DL59" s="23"/>
      <c r="DM59" s="23"/>
      <c r="DN59" s="23"/>
      <c r="DO59" s="23"/>
      <c r="DP59" s="23">
        <f t="shared" si="308"/>
        <v>0</v>
      </c>
      <c r="DQ59" s="23"/>
      <c r="DR59" s="23"/>
      <c r="DS59" s="23"/>
      <c r="DT59" s="23"/>
      <c r="DU59" s="23"/>
      <c r="DV59" s="23"/>
      <c r="DW59" s="23"/>
    </row>
    <row r="60" spans="1:127" x14ac:dyDescent="0.25">
      <c r="A60">
        <f t="shared" si="292"/>
        <v>56</v>
      </c>
      <c r="B60" t="str">
        <f t="shared" si="290"/>
        <v xml:space="preserve"> J19-0828</v>
      </c>
      <c r="C60" s="20" t="s">
        <v>169</v>
      </c>
      <c r="D60" s="21" t="s">
        <v>170</v>
      </c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1"/>
      <c r="R60" s="22"/>
      <c r="S60" s="20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4"/>
      <c r="AJ60" s="24"/>
      <c r="AK60" s="24"/>
      <c r="AL60" s="24"/>
      <c r="AM60" s="24"/>
      <c r="AN60" s="24"/>
      <c r="AO60" s="24"/>
      <c r="AP60" s="24"/>
      <c r="AQ60" s="33">
        <v>5938</v>
      </c>
      <c r="AR60" s="33"/>
      <c r="AS60" s="24"/>
      <c r="AT60" s="24"/>
      <c r="AU60" s="24">
        <f t="shared" si="303"/>
        <v>5938</v>
      </c>
      <c r="AV60" s="24"/>
      <c r="AW60" s="24"/>
      <c r="AX60" s="24"/>
      <c r="AY60" s="24"/>
      <c r="AZ60" s="24">
        <f t="shared" si="304"/>
        <v>0</v>
      </c>
      <c r="BA60" s="24"/>
      <c r="BB60" s="24"/>
      <c r="BC60" s="24"/>
      <c r="BD60" s="24"/>
      <c r="BE60" s="25">
        <f t="shared" si="305"/>
        <v>0</v>
      </c>
      <c r="BF60" s="23"/>
      <c r="BG60" s="23"/>
      <c r="BH60" s="25"/>
      <c r="BI60" s="25"/>
      <c r="BJ60" s="25"/>
      <c r="BK60" s="23"/>
      <c r="BL60" s="23"/>
      <c r="BM60" s="25"/>
      <c r="BN60" s="25"/>
      <c r="BO60" s="25"/>
      <c r="BP60" s="25"/>
      <c r="BQ60" s="25"/>
      <c r="BR60" s="25"/>
      <c r="BS60" s="25"/>
      <c r="BT60" s="25">
        <f t="shared" si="306"/>
        <v>0</v>
      </c>
      <c r="BU60" s="23"/>
      <c r="BV60" s="24"/>
      <c r="BW60" s="25">
        <f t="shared" si="309"/>
        <v>0</v>
      </c>
      <c r="BX60" s="23"/>
      <c r="BY60" s="23"/>
      <c r="BZ60" s="23"/>
      <c r="CA60" s="23"/>
      <c r="CB60" s="23"/>
      <c r="CC60" s="23">
        <f t="shared" si="289"/>
        <v>0</v>
      </c>
      <c r="CD60" s="23"/>
      <c r="CE60" s="23"/>
      <c r="CF60" s="23"/>
      <c r="CG60" s="23"/>
      <c r="CH60" s="23"/>
      <c r="CI60" s="23"/>
      <c r="CJ60" s="20"/>
      <c r="CK60" s="34"/>
      <c r="CL60" s="34"/>
      <c r="CM60" s="34"/>
      <c r="CN60" s="34"/>
      <c r="CO60" s="34"/>
      <c r="CP60" s="34">
        <f t="shared" si="293"/>
        <v>0</v>
      </c>
      <c r="CQ60" s="34"/>
      <c r="CR60" s="34"/>
      <c r="CS60" s="34"/>
      <c r="CT60" s="34"/>
      <c r="CU60" s="34"/>
      <c r="CV60" s="34">
        <f t="shared" si="299"/>
        <v>0</v>
      </c>
      <c r="CW60" s="37">
        <f t="shared" si="294"/>
        <v>0</v>
      </c>
      <c r="CX60" s="23"/>
      <c r="CY60" s="23"/>
      <c r="CZ60" s="23"/>
      <c r="DA60" s="23"/>
      <c r="DB60" s="23"/>
      <c r="DC60" s="25">
        <f t="shared" si="295"/>
        <v>0</v>
      </c>
      <c r="DD60" s="23"/>
      <c r="DE60" s="23"/>
      <c r="DF60" s="23"/>
      <c r="DG60" s="23"/>
      <c r="DH60" s="23"/>
      <c r="DI60" s="23">
        <f t="shared" si="296"/>
        <v>0</v>
      </c>
      <c r="DJ60" s="23">
        <f t="shared" si="297"/>
        <v>0</v>
      </c>
      <c r="DK60" s="23"/>
      <c r="DL60" s="23"/>
      <c r="DM60" s="23"/>
      <c r="DN60" s="23"/>
      <c r="DO60" s="23"/>
      <c r="DP60" s="23">
        <f t="shared" si="308"/>
        <v>0</v>
      </c>
      <c r="DQ60" s="23"/>
      <c r="DR60" s="23"/>
      <c r="DS60" s="23"/>
      <c r="DT60" s="23"/>
      <c r="DU60" s="23"/>
      <c r="DV60" s="23"/>
      <c r="DW60" s="23"/>
    </row>
    <row r="61" spans="1:127" x14ac:dyDescent="0.25">
      <c r="A61">
        <f t="shared" si="292"/>
        <v>57</v>
      </c>
      <c r="B61" t="str">
        <f t="shared" si="290"/>
        <v>J20-0589</v>
      </c>
      <c r="C61" s="20" t="s">
        <v>171</v>
      </c>
      <c r="D61" s="21" t="s">
        <v>172</v>
      </c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1"/>
      <c r="R61" s="22"/>
      <c r="S61" s="20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4"/>
      <c r="AJ61" s="24"/>
      <c r="AK61" s="24"/>
      <c r="AL61" s="24"/>
      <c r="AM61" s="24"/>
      <c r="AN61" s="24"/>
      <c r="AO61" s="24"/>
      <c r="AP61" s="24">
        <f t="shared" si="302"/>
        <v>0</v>
      </c>
      <c r="AQ61" s="33">
        <v>7700</v>
      </c>
      <c r="AR61" s="33"/>
      <c r="AS61" s="24"/>
      <c r="AT61" s="24"/>
      <c r="AU61" s="24">
        <f t="shared" si="303"/>
        <v>7700</v>
      </c>
      <c r="AV61" s="24">
        <v>28669</v>
      </c>
      <c r="AW61" s="24"/>
      <c r="AX61" s="24">
        <v>26800</v>
      </c>
      <c r="AY61" s="24"/>
      <c r="AZ61" s="24">
        <f t="shared" si="304"/>
        <v>55469</v>
      </c>
      <c r="BA61" s="24"/>
      <c r="BB61" s="24"/>
      <c r="BC61" s="24"/>
      <c r="BD61" s="24"/>
      <c r="BE61" s="25">
        <f t="shared" si="305"/>
        <v>0</v>
      </c>
      <c r="BF61" s="23"/>
      <c r="BG61" s="23"/>
      <c r="BH61" s="25"/>
      <c r="BI61" s="25"/>
      <c r="BJ61" s="25"/>
      <c r="BK61" s="23"/>
      <c r="BL61" s="23"/>
      <c r="BM61" s="25"/>
      <c r="BN61" s="25"/>
      <c r="BO61" s="25"/>
      <c r="BP61" s="25"/>
      <c r="BQ61" s="25"/>
      <c r="BR61" s="25"/>
      <c r="BS61" s="25"/>
      <c r="BT61" s="25">
        <f t="shared" si="306"/>
        <v>0</v>
      </c>
      <c r="BU61" s="23"/>
      <c r="BV61" s="24"/>
      <c r="BW61" s="25">
        <f t="shared" si="309"/>
        <v>0</v>
      </c>
      <c r="BX61" s="23"/>
      <c r="BY61" s="23"/>
      <c r="BZ61" s="23"/>
      <c r="CA61" s="23"/>
      <c r="CB61" s="23"/>
      <c r="CC61" s="23">
        <f t="shared" si="289"/>
        <v>0</v>
      </c>
      <c r="CD61" s="23"/>
      <c r="CE61" s="23"/>
      <c r="CF61" s="23"/>
      <c r="CG61" s="23"/>
      <c r="CH61" s="23"/>
      <c r="CI61" s="23"/>
      <c r="CJ61" s="20"/>
      <c r="CK61" s="34"/>
      <c r="CL61" s="34"/>
      <c r="CM61" s="34"/>
      <c r="CN61" s="34"/>
      <c r="CO61" s="34"/>
      <c r="CP61" s="34">
        <f t="shared" si="293"/>
        <v>0</v>
      </c>
      <c r="CQ61" s="34"/>
      <c r="CR61" s="34"/>
      <c r="CS61" s="34"/>
      <c r="CT61" s="34"/>
      <c r="CU61" s="34"/>
      <c r="CV61" s="34">
        <f t="shared" si="299"/>
        <v>0</v>
      </c>
      <c r="CW61" s="37">
        <f t="shared" si="294"/>
        <v>0</v>
      </c>
      <c r="CX61" s="23"/>
      <c r="CY61" s="23"/>
      <c r="CZ61" s="23"/>
      <c r="DA61" s="23"/>
      <c r="DB61" s="23"/>
      <c r="DC61" s="25">
        <f t="shared" si="295"/>
        <v>0</v>
      </c>
      <c r="DD61" s="23"/>
      <c r="DE61" s="23"/>
      <c r="DF61" s="23"/>
      <c r="DG61" s="23"/>
      <c r="DH61" s="23"/>
      <c r="DI61" s="23">
        <f t="shared" si="296"/>
        <v>0</v>
      </c>
      <c r="DJ61" s="23">
        <f t="shared" si="297"/>
        <v>0</v>
      </c>
      <c r="DK61" s="23"/>
      <c r="DL61" s="23"/>
      <c r="DM61" s="23"/>
      <c r="DN61" s="23"/>
      <c r="DO61" s="23"/>
      <c r="DP61" s="23">
        <f t="shared" si="308"/>
        <v>0</v>
      </c>
      <c r="DQ61" s="23"/>
      <c r="DR61" s="23"/>
      <c r="DS61" s="23"/>
      <c r="DT61" s="23"/>
      <c r="DU61" s="23"/>
      <c r="DV61" s="23"/>
      <c r="DW61" s="23"/>
    </row>
    <row r="62" spans="1:127" x14ac:dyDescent="0.25">
      <c r="A62">
        <f t="shared" si="292"/>
        <v>58</v>
      </c>
      <c r="B62" t="str">
        <f t="shared" si="290"/>
        <v>J19-1276</v>
      </c>
      <c r="C62" s="20" t="s">
        <v>173</v>
      </c>
      <c r="D62" s="21" t="s">
        <v>174</v>
      </c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1"/>
      <c r="R62" s="22"/>
      <c r="S62" s="20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4"/>
      <c r="AJ62" s="24"/>
      <c r="AK62" s="24"/>
      <c r="AL62" s="24"/>
      <c r="AM62" s="24"/>
      <c r="AN62" s="24"/>
      <c r="AO62" s="24"/>
      <c r="AP62" s="24">
        <f t="shared" si="302"/>
        <v>0</v>
      </c>
      <c r="AQ62" s="24"/>
      <c r="AR62" s="24"/>
      <c r="AS62" s="24">
        <f>1500+1500</f>
        <v>3000</v>
      </c>
      <c r="AT62" s="24"/>
      <c r="AU62" s="24">
        <f t="shared" si="303"/>
        <v>3000</v>
      </c>
      <c r="AV62" s="24"/>
      <c r="AW62" s="24"/>
      <c r="AX62" s="24"/>
      <c r="AY62" s="24"/>
      <c r="AZ62" s="24">
        <f t="shared" si="304"/>
        <v>0</v>
      </c>
      <c r="BA62" s="24"/>
      <c r="BB62" s="24"/>
      <c r="BC62" s="24"/>
      <c r="BD62" s="24"/>
      <c r="BE62" s="25">
        <f t="shared" si="305"/>
        <v>0</v>
      </c>
      <c r="BF62" s="23"/>
      <c r="BG62" s="23"/>
      <c r="BH62" s="25"/>
      <c r="BI62" s="25"/>
      <c r="BJ62" s="25"/>
      <c r="BK62" s="23"/>
      <c r="BL62" s="23"/>
      <c r="BM62" s="25"/>
      <c r="BN62" s="25"/>
      <c r="BO62" s="25"/>
      <c r="BP62" s="25"/>
      <c r="BQ62" s="25"/>
      <c r="BR62" s="25"/>
      <c r="BS62" s="25"/>
      <c r="BT62" s="25">
        <f t="shared" si="306"/>
        <v>0</v>
      </c>
      <c r="BU62" s="23"/>
      <c r="BV62" s="24"/>
      <c r="BW62" s="25">
        <f t="shared" si="309"/>
        <v>0</v>
      </c>
      <c r="BX62" s="23"/>
      <c r="BY62" s="23"/>
      <c r="BZ62" s="23"/>
      <c r="CA62" s="23"/>
      <c r="CB62" s="23"/>
      <c r="CC62" s="23">
        <f t="shared" si="289"/>
        <v>0</v>
      </c>
      <c r="CD62" s="23"/>
      <c r="CE62" s="23"/>
      <c r="CF62" s="23"/>
      <c r="CG62" s="23"/>
      <c r="CH62" s="23"/>
      <c r="CI62" s="23"/>
      <c r="CJ62" s="20"/>
      <c r="CK62" s="34"/>
      <c r="CL62" s="34"/>
      <c r="CM62" s="34"/>
      <c r="CN62" s="34"/>
      <c r="CO62" s="34"/>
      <c r="CP62" s="34">
        <f t="shared" si="293"/>
        <v>0</v>
      </c>
      <c r="CQ62" s="34"/>
      <c r="CR62" s="34"/>
      <c r="CS62" s="34"/>
      <c r="CT62" s="34"/>
      <c r="CU62" s="34"/>
      <c r="CV62" s="34">
        <f t="shared" si="299"/>
        <v>0</v>
      </c>
      <c r="CW62" s="37">
        <f t="shared" si="294"/>
        <v>0</v>
      </c>
      <c r="CX62" s="23"/>
      <c r="CY62" s="23"/>
      <c r="CZ62" s="23"/>
      <c r="DA62" s="23"/>
      <c r="DB62" s="23"/>
      <c r="DC62" s="25">
        <f t="shared" si="295"/>
        <v>0</v>
      </c>
      <c r="DD62" s="23"/>
      <c r="DE62" s="23"/>
      <c r="DF62" s="23"/>
      <c r="DG62" s="23"/>
      <c r="DH62" s="23"/>
      <c r="DI62" s="23">
        <f t="shared" si="296"/>
        <v>0</v>
      </c>
      <c r="DJ62" s="23">
        <f t="shared" si="297"/>
        <v>0</v>
      </c>
      <c r="DK62" s="23"/>
      <c r="DL62" s="23"/>
      <c r="DM62" s="23"/>
      <c r="DN62" s="23"/>
      <c r="DO62" s="23"/>
      <c r="DP62" s="23">
        <f t="shared" si="308"/>
        <v>0</v>
      </c>
      <c r="DQ62" s="23"/>
      <c r="DR62" s="23"/>
      <c r="DS62" s="23"/>
      <c r="DT62" s="23"/>
      <c r="DU62" s="23"/>
      <c r="DV62" s="23"/>
      <c r="DW62" s="23"/>
    </row>
    <row r="63" spans="1:127" x14ac:dyDescent="0.25">
      <c r="A63">
        <f t="shared" si="292"/>
        <v>59</v>
      </c>
      <c r="B63" t="str">
        <f t="shared" si="290"/>
        <v>J20-0232</v>
      </c>
      <c r="C63" s="20" t="s">
        <v>175</v>
      </c>
      <c r="D63" s="21" t="s">
        <v>176</v>
      </c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1"/>
      <c r="R63" s="22"/>
      <c r="S63" s="20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4"/>
      <c r="AJ63" s="24"/>
      <c r="AK63" s="24"/>
      <c r="AL63" s="24"/>
      <c r="AM63" s="24"/>
      <c r="AN63" s="24"/>
      <c r="AO63" s="24"/>
      <c r="AP63" s="24">
        <f t="shared" si="302"/>
        <v>0</v>
      </c>
      <c r="AQ63" s="24"/>
      <c r="AR63" s="24"/>
      <c r="AS63" s="24">
        <v>16210</v>
      </c>
      <c r="AT63" s="24"/>
      <c r="AU63" s="24">
        <f t="shared" si="303"/>
        <v>16210</v>
      </c>
      <c r="AV63" s="24">
        <v>60778</v>
      </c>
      <c r="AW63" s="24"/>
      <c r="AX63" s="24">
        <v>21080</v>
      </c>
      <c r="AY63" s="24"/>
      <c r="AZ63" s="24">
        <f t="shared" si="304"/>
        <v>81858</v>
      </c>
      <c r="BA63" s="24"/>
      <c r="BB63" s="24"/>
      <c r="BC63" s="24"/>
      <c r="BD63" s="24"/>
      <c r="BE63" s="25">
        <f t="shared" si="305"/>
        <v>0</v>
      </c>
      <c r="BF63" s="23"/>
      <c r="BG63" s="23"/>
      <c r="BH63" s="25"/>
      <c r="BI63" s="25"/>
      <c r="BJ63" s="25"/>
      <c r="BK63" s="23"/>
      <c r="BL63" s="23"/>
      <c r="BM63" s="25"/>
      <c r="BN63" s="25"/>
      <c r="BO63" s="25"/>
      <c r="BP63" s="25"/>
      <c r="BQ63" s="25"/>
      <c r="BR63" s="25"/>
      <c r="BS63" s="25"/>
      <c r="BT63" s="25">
        <f t="shared" si="306"/>
        <v>0</v>
      </c>
      <c r="BU63" s="23"/>
      <c r="BV63" s="24"/>
      <c r="BW63" s="25">
        <f t="shared" si="309"/>
        <v>0</v>
      </c>
      <c r="BX63" s="23"/>
      <c r="BY63" s="23"/>
      <c r="BZ63" s="23"/>
      <c r="CA63" s="23"/>
      <c r="CB63" s="23"/>
      <c r="CC63" s="23">
        <f t="shared" si="289"/>
        <v>0</v>
      </c>
      <c r="CD63" s="23"/>
      <c r="CE63" s="23"/>
      <c r="CF63" s="23"/>
      <c r="CG63" s="23"/>
      <c r="CH63" s="23"/>
      <c r="CI63" s="23"/>
      <c r="CJ63" s="20"/>
      <c r="CK63" s="34"/>
      <c r="CL63" s="34"/>
      <c r="CM63" s="34"/>
      <c r="CN63" s="34"/>
      <c r="CO63" s="34"/>
      <c r="CP63" s="34">
        <f t="shared" si="293"/>
        <v>0</v>
      </c>
      <c r="CQ63" s="34"/>
      <c r="CR63" s="34"/>
      <c r="CS63" s="34"/>
      <c r="CT63" s="34"/>
      <c r="CU63" s="34"/>
      <c r="CV63" s="34">
        <f t="shared" si="299"/>
        <v>0</v>
      </c>
      <c r="CW63" s="37">
        <f t="shared" si="294"/>
        <v>0</v>
      </c>
      <c r="CX63" s="23"/>
      <c r="CY63" s="23"/>
      <c r="CZ63" s="23"/>
      <c r="DA63" s="23"/>
      <c r="DB63" s="23"/>
      <c r="DC63" s="25">
        <f t="shared" si="295"/>
        <v>0</v>
      </c>
      <c r="DD63" s="23"/>
      <c r="DE63" s="23"/>
      <c r="DF63" s="23"/>
      <c r="DG63" s="23"/>
      <c r="DH63" s="23"/>
      <c r="DI63" s="23">
        <f t="shared" si="296"/>
        <v>0</v>
      </c>
      <c r="DJ63" s="23">
        <f t="shared" si="297"/>
        <v>0</v>
      </c>
      <c r="DK63" s="23"/>
      <c r="DL63" s="23"/>
      <c r="DM63" s="23"/>
      <c r="DN63" s="23"/>
      <c r="DO63" s="23"/>
      <c r="DP63" s="23">
        <f t="shared" si="308"/>
        <v>0</v>
      </c>
      <c r="DQ63" s="23"/>
      <c r="DR63" s="23"/>
      <c r="DS63" s="23"/>
      <c r="DT63" s="23"/>
      <c r="DU63" s="23"/>
      <c r="DV63" s="23"/>
      <c r="DW63" s="23"/>
    </row>
    <row r="64" spans="1:127" x14ac:dyDescent="0.25">
      <c r="A64">
        <f t="shared" si="292"/>
        <v>60</v>
      </c>
      <c r="B64" t="str">
        <f t="shared" si="290"/>
        <v>J20-0369</v>
      </c>
      <c r="C64" s="20" t="s">
        <v>177</v>
      </c>
      <c r="D64" s="21" t="s">
        <v>178</v>
      </c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1"/>
      <c r="R64" s="22"/>
      <c r="S64" s="20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4"/>
      <c r="AJ64" s="24"/>
      <c r="AK64" s="24"/>
      <c r="AL64" s="24"/>
      <c r="AM64" s="24"/>
      <c r="AN64" s="24"/>
      <c r="AO64" s="24"/>
      <c r="AP64" s="24">
        <f t="shared" si="302"/>
        <v>0</v>
      </c>
      <c r="AQ64" s="24"/>
      <c r="AR64" s="24"/>
      <c r="AS64" s="24">
        <v>2055</v>
      </c>
      <c r="AT64" s="24"/>
      <c r="AU64" s="24">
        <f t="shared" si="303"/>
        <v>2055</v>
      </c>
      <c r="AV64" s="24"/>
      <c r="AW64" s="24"/>
      <c r="AX64" s="24"/>
      <c r="AY64" s="24"/>
      <c r="AZ64" s="24">
        <f t="shared" si="304"/>
        <v>0</v>
      </c>
      <c r="BA64" s="24"/>
      <c r="BB64" s="24"/>
      <c r="BC64" s="24"/>
      <c r="BD64" s="24"/>
      <c r="BE64" s="25">
        <f t="shared" si="305"/>
        <v>0</v>
      </c>
      <c r="BF64" s="23"/>
      <c r="BG64" s="23"/>
      <c r="BH64" s="25"/>
      <c r="BI64" s="25"/>
      <c r="BJ64" s="25"/>
      <c r="BK64" s="23"/>
      <c r="BL64" s="23"/>
      <c r="BM64" s="25"/>
      <c r="BN64" s="25"/>
      <c r="BO64" s="25"/>
      <c r="BP64" s="25"/>
      <c r="BQ64" s="25"/>
      <c r="BR64" s="25"/>
      <c r="BS64" s="25"/>
      <c r="BT64" s="25">
        <f t="shared" si="306"/>
        <v>0</v>
      </c>
      <c r="BU64" s="23"/>
      <c r="BV64" s="24"/>
      <c r="BW64" s="25">
        <f t="shared" si="309"/>
        <v>0</v>
      </c>
      <c r="BX64" s="23"/>
      <c r="BY64" s="23"/>
      <c r="BZ64" s="23"/>
      <c r="CA64" s="23"/>
      <c r="CB64" s="23"/>
      <c r="CC64" s="23">
        <f t="shared" si="289"/>
        <v>0</v>
      </c>
      <c r="CD64" s="23"/>
      <c r="CE64" s="23"/>
      <c r="CF64" s="23"/>
      <c r="CG64" s="23"/>
      <c r="CH64" s="23"/>
      <c r="CI64" s="23"/>
      <c r="CJ64" s="20"/>
      <c r="CK64" s="34"/>
      <c r="CL64" s="34"/>
      <c r="CM64" s="34"/>
      <c r="CN64" s="34"/>
      <c r="CO64" s="34"/>
      <c r="CP64" s="34">
        <f t="shared" si="293"/>
        <v>0</v>
      </c>
      <c r="CQ64" s="34"/>
      <c r="CR64" s="34"/>
      <c r="CS64" s="34"/>
      <c r="CT64" s="34"/>
      <c r="CU64" s="34"/>
      <c r="CV64" s="34">
        <f t="shared" si="299"/>
        <v>0</v>
      </c>
      <c r="CW64" s="37">
        <f t="shared" si="294"/>
        <v>0</v>
      </c>
      <c r="CX64" s="23"/>
      <c r="CY64" s="23"/>
      <c r="CZ64" s="23"/>
      <c r="DA64" s="23"/>
      <c r="DB64" s="23"/>
      <c r="DC64" s="25">
        <f t="shared" si="295"/>
        <v>0</v>
      </c>
      <c r="DD64" s="23"/>
      <c r="DE64" s="23"/>
      <c r="DF64" s="23"/>
      <c r="DG64" s="23"/>
      <c r="DH64" s="23"/>
      <c r="DI64" s="23">
        <f t="shared" si="296"/>
        <v>0</v>
      </c>
      <c r="DJ64" s="23">
        <f t="shared" si="297"/>
        <v>0</v>
      </c>
      <c r="DK64" s="23"/>
      <c r="DL64" s="23"/>
      <c r="DM64" s="23"/>
      <c r="DN64" s="23"/>
      <c r="DO64" s="23"/>
      <c r="DP64" s="23">
        <f t="shared" si="308"/>
        <v>0</v>
      </c>
      <c r="DQ64" s="23"/>
      <c r="DR64" s="23"/>
      <c r="DS64" s="23"/>
      <c r="DT64" s="23"/>
      <c r="DU64" s="23"/>
      <c r="DV64" s="23"/>
      <c r="DW64" s="23"/>
    </row>
    <row r="65" spans="1:127" x14ac:dyDescent="0.25">
      <c r="A65">
        <f t="shared" si="292"/>
        <v>61</v>
      </c>
      <c r="B65" t="str">
        <f t="shared" si="290"/>
        <v>J19-0688</v>
      </c>
      <c r="C65" s="20" t="s">
        <v>179</v>
      </c>
      <c r="D65" s="21" t="s">
        <v>180</v>
      </c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1"/>
      <c r="R65" s="22"/>
      <c r="S65" s="20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0"/>
      <c r="AH65" s="20"/>
      <c r="AI65" s="20"/>
      <c r="AJ65" s="20"/>
      <c r="AK65" s="20"/>
      <c r="AL65" s="20"/>
      <c r="AM65" s="20"/>
      <c r="AN65" s="20"/>
      <c r="AO65" s="20"/>
      <c r="AP65" s="24">
        <f t="shared" si="302"/>
        <v>0</v>
      </c>
      <c r="AQ65" s="24"/>
      <c r="AR65" s="24"/>
      <c r="AS65" s="24">
        <v>24081</v>
      </c>
      <c r="AT65" s="24"/>
      <c r="AU65" s="24">
        <f t="shared" si="303"/>
        <v>24081</v>
      </c>
      <c r="AV65" s="24"/>
      <c r="AW65" s="24"/>
      <c r="AX65" s="24">
        <v>19685</v>
      </c>
      <c r="AY65" s="24"/>
      <c r="AZ65" s="24">
        <f t="shared" si="304"/>
        <v>19685</v>
      </c>
      <c r="BA65" s="24"/>
      <c r="BB65" s="24"/>
      <c r="BC65" s="24"/>
      <c r="BD65" s="24"/>
      <c r="BE65" s="25">
        <f t="shared" si="305"/>
        <v>0</v>
      </c>
      <c r="BF65" s="23"/>
      <c r="BG65" s="23"/>
      <c r="BH65" s="25"/>
      <c r="BI65" s="25"/>
      <c r="BJ65" s="25"/>
      <c r="BK65" s="23"/>
      <c r="BL65" s="23"/>
      <c r="BM65" s="25"/>
      <c r="BN65" s="25"/>
      <c r="BO65" s="25"/>
      <c r="BP65" s="25"/>
      <c r="BQ65" s="25"/>
      <c r="BR65" s="25"/>
      <c r="BS65" s="25"/>
      <c r="BT65" s="25">
        <f t="shared" si="306"/>
        <v>0</v>
      </c>
      <c r="BU65" s="23"/>
      <c r="BV65" s="24"/>
      <c r="BW65" s="25">
        <f t="shared" si="309"/>
        <v>0</v>
      </c>
      <c r="BX65" s="23"/>
      <c r="BY65" s="23"/>
      <c r="BZ65" s="23"/>
      <c r="CA65" s="23"/>
      <c r="CB65" s="23"/>
      <c r="CC65" s="23">
        <f t="shared" si="289"/>
        <v>0</v>
      </c>
      <c r="CD65" s="23"/>
      <c r="CE65" s="23"/>
      <c r="CF65" s="23"/>
      <c r="CG65" s="23"/>
      <c r="CH65" s="23"/>
      <c r="CI65" s="23"/>
      <c r="CJ65" s="20"/>
      <c r="CK65" s="34"/>
      <c r="CL65" s="34"/>
      <c r="CM65" s="34"/>
      <c r="CN65" s="34"/>
      <c r="CO65" s="34"/>
      <c r="CP65" s="34">
        <f t="shared" si="293"/>
        <v>0</v>
      </c>
      <c r="CQ65" s="34"/>
      <c r="CR65" s="34"/>
      <c r="CS65" s="34"/>
      <c r="CT65" s="34"/>
      <c r="CU65" s="34"/>
      <c r="CV65" s="34">
        <f t="shared" si="299"/>
        <v>0</v>
      </c>
      <c r="CW65" s="37">
        <f t="shared" si="294"/>
        <v>0</v>
      </c>
      <c r="CX65" s="23"/>
      <c r="CY65" s="23"/>
      <c r="CZ65" s="23"/>
      <c r="DA65" s="23"/>
      <c r="DB65" s="23"/>
      <c r="DC65" s="25">
        <f t="shared" si="295"/>
        <v>0</v>
      </c>
      <c r="DD65" s="23"/>
      <c r="DE65" s="23"/>
      <c r="DF65" s="23"/>
      <c r="DG65" s="23"/>
      <c r="DH65" s="23"/>
      <c r="DI65" s="23">
        <f t="shared" si="296"/>
        <v>0</v>
      </c>
      <c r="DJ65" s="23">
        <f t="shared" si="297"/>
        <v>0</v>
      </c>
      <c r="DK65" s="23"/>
      <c r="DL65" s="23"/>
      <c r="DM65" s="23"/>
      <c r="DN65" s="23"/>
      <c r="DO65" s="23"/>
      <c r="DP65" s="23">
        <f t="shared" si="308"/>
        <v>0</v>
      </c>
      <c r="DQ65" s="23"/>
      <c r="DR65" s="23"/>
      <c r="DS65" s="23"/>
      <c r="DT65" s="23"/>
      <c r="DU65" s="23"/>
      <c r="DV65" s="23"/>
      <c r="DW65" s="23"/>
    </row>
    <row r="66" spans="1:127" x14ac:dyDescent="0.25">
      <c r="A66">
        <f t="shared" si="292"/>
        <v>62</v>
      </c>
      <c r="B66" t="str">
        <f t="shared" si="290"/>
        <v>J20-0199</v>
      </c>
      <c r="C66" s="20" t="s">
        <v>181</v>
      </c>
      <c r="D66" s="21" t="s">
        <v>182</v>
      </c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1"/>
      <c r="R66" s="22"/>
      <c r="S66" s="20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4"/>
      <c r="AJ66" s="24"/>
      <c r="AK66" s="24"/>
      <c r="AL66" s="24"/>
      <c r="AM66" s="24"/>
      <c r="AN66" s="24"/>
      <c r="AO66" s="24"/>
      <c r="AP66" s="24">
        <f t="shared" si="302"/>
        <v>0</v>
      </c>
      <c r="AQ66" s="24"/>
      <c r="AR66" s="24"/>
      <c r="AS66" s="24"/>
      <c r="AT66" s="24"/>
      <c r="AU66" s="24">
        <f t="shared" si="303"/>
        <v>0</v>
      </c>
      <c r="AV66" s="24"/>
      <c r="AW66" s="24"/>
      <c r="AX66" s="24">
        <v>5760</v>
      </c>
      <c r="AY66" s="24"/>
      <c r="AZ66" s="24">
        <f t="shared" si="304"/>
        <v>5760</v>
      </c>
      <c r="BA66" s="24">
        <v>37960</v>
      </c>
      <c r="BB66" s="24"/>
      <c r="BC66" s="24">
        <v>53730</v>
      </c>
      <c r="BD66" s="24"/>
      <c r="BE66" s="25">
        <f t="shared" si="305"/>
        <v>91690</v>
      </c>
      <c r="BF66" s="23">
        <v>39030</v>
      </c>
      <c r="BG66" s="23"/>
      <c r="BH66" s="25"/>
      <c r="BI66" s="25"/>
      <c r="BJ66" s="25">
        <f t="shared" si="307"/>
        <v>39030</v>
      </c>
      <c r="BK66" s="23"/>
      <c r="BL66" s="23"/>
      <c r="BM66" s="25"/>
      <c r="BN66" s="25"/>
      <c r="BO66" s="25"/>
      <c r="BP66" s="25"/>
      <c r="BQ66" s="25"/>
      <c r="BR66" s="25"/>
      <c r="BS66" s="25"/>
      <c r="BT66" s="25">
        <f t="shared" si="306"/>
        <v>0</v>
      </c>
      <c r="BU66" s="23"/>
      <c r="BV66" s="24"/>
      <c r="BW66" s="25">
        <f t="shared" si="309"/>
        <v>0</v>
      </c>
      <c r="BX66" s="23"/>
      <c r="BY66" s="23"/>
      <c r="BZ66" s="23"/>
      <c r="CA66" s="23"/>
      <c r="CB66" s="23"/>
      <c r="CC66" s="23">
        <f t="shared" si="289"/>
        <v>0</v>
      </c>
      <c r="CD66" s="23"/>
      <c r="CE66" s="23"/>
      <c r="CF66" s="23"/>
      <c r="CG66" s="23"/>
      <c r="CH66" s="23"/>
      <c r="CI66" s="23"/>
      <c r="CJ66" s="20"/>
      <c r="CK66" s="34"/>
      <c r="CL66" s="34"/>
      <c r="CM66" s="34"/>
      <c r="CN66" s="34"/>
      <c r="CO66" s="34"/>
      <c r="CP66" s="34">
        <f t="shared" si="293"/>
        <v>0</v>
      </c>
      <c r="CQ66" s="34"/>
      <c r="CR66" s="34"/>
      <c r="CS66" s="34"/>
      <c r="CT66" s="34"/>
      <c r="CU66" s="34"/>
      <c r="CV66" s="34">
        <f t="shared" si="299"/>
        <v>0</v>
      </c>
      <c r="CW66" s="37">
        <f t="shared" si="294"/>
        <v>0</v>
      </c>
      <c r="CX66" s="23"/>
      <c r="CY66" s="23"/>
      <c r="CZ66" s="23"/>
      <c r="DA66" s="23"/>
      <c r="DB66" s="23"/>
      <c r="DC66" s="25">
        <f t="shared" si="295"/>
        <v>0</v>
      </c>
      <c r="DD66" s="23"/>
      <c r="DE66" s="23"/>
      <c r="DF66" s="23"/>
      <c r="DG66" s="23"/>
      <c r="DH66" s="23"/>
      <c r="DI66" s="23">
        <f t="shared" si="296"/>
        <v>0</v>
      </c>
      <c r="DJ66" s="23">
        <f t="shared" si="297"/>
        <v>0</v>
      </c>
      <c r="DK66" s="23"/>
      <c r="DL66" s="23"/>
      <c r="DM66" s="23"/>
      <c r="DN66" s="23"/>
      <c r="DO66" s="23"/>
      <c r="DP66" s="23">
        <f t="shared" si="308"/>
        <v>0</v>
      </c>
      <c r="DQ66" s="23"/>
      <c r="DR66" s="23"/>
      <c r="DS66" s="23"/>
      <c r="DT66" s="23"/>
      <c r="DU66" s="23"/>
      <c r="DV66" s="23"/>
      <c r="DW66" s="23"/>
    </row>
    <row r="67" spans="1:127" x14ac:dyDescent="0.25">
      <c r="A67">
        <f t="shared" si="292"/>
        <v>63</v>
      </c>
      <c r="B67" t="str">
        <f t="shared" si="290"/>
        <v>J20-0728</v>
      </c>
      <c r="C67" s="20" t="s">
        <v>183</v>
      </c>
      <c r="D67" s="21" t="s">
        <v>184</v>
      </c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1"/>
      <c r="R67" s="22"/>
      <c r="S67" s="20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0"/>
      <c r="AH67" s="20"/>
      <c r="AI67" s="20"/>
      <c r="AJ67" s="20"/>
      <c r="AK67" s="20"/>
      <c r="AL67" s="20"/>
      <c r="AM67" s="20"/>
      <c r="AN67" s="20"/>
      <c r="AO67" s="20"/>
      <c r="AP67" s="24">
        <f t="shared" si="302"/>
        <v>0</v>
      </c>
      <c r="AQ67" s="24"/>
      <c r="AR67" s="24"/>
      <c r="AS67" s="24"/>
      <c r="AT67" s="24"/>
      <c r="AU67" s="24">
        <f t="shared" si="303"/>
        <v>0</v>
      </c>
      <c r="AV67" s="24"/>
      <c r="AW67" s="24"/>
      <c r="AX67" s="24"/>
      <c r="AY67" s="24"/>
      <c r="AZ67" s="24"/>
      <c r="BA67" s="24">
        <f>7200+12750</f>
        <v>19950</v>
      </c>
      <c r="BB67" s="24"/>
      <c r="BC67" s="24"/>
      <c r="BD67" s="24"/>
      <c r="BE67" s="25">
        <f t="shared" si="305"/>
        <v>19950</v>
      </c>
      <c r="BF67" s="23"/>
      <c r="BG67" s="23"/>
      <c r="BH67" s="25"/>
      <c r="BI67" s="25"/>
      <c r="BJ67" s="25"/>
      <c r="BK67" s="23"/>
      <c r="BL67" s="23"/>
      <c r="BM67" s="25"/>
      <c r="BN67" s="25"/>
      <c r="BO67" s="25"/>
      <c r="BP67" s="25"/>
      <c r="BQ67" s="25"/>
      <c r="BR67" s="25"/>
      <c r="BS67" s="25"/>
      <c r="BT67" s="25">
        <f t="shared" si="306"/>
        <v>0</v>
      </c>
      <c r="BU67" s="23">
        <f>4950+1800</f>
        <v>6750</v>
      </c>
      <c r="BV67" s="24"/>
      <c r="BW67" s="25">
        <f t="shared" si="309"/>
        <v>6750</v>
      </c>
      <c r="BX67" s="23"/>
      <c r="BY67" s="23"/>
      <c r="BZ67" s="23"/>
      <c r="CA67" s="23"/>
      <c r="CB67" s="23"/>
      <c r="CC67" s="23">
        <f t="shared" si="289"/>
        <v>0</v>
      </c>
      <c r="CD67" s="23"/>
      <c r="CE67" s="23"/>
      <c r="CF67" s="23"/>
      <c r="CG67" s="23"/>
      <c r="CH67" s="23"/>
      <c r="CI67" s="23"/>
      <c r="CJ67" s="20"/>
      <c r="CK67" s="34"/>
      <c r="CL67" s="34"/>
      <c r="CM67" s="34"/>
      <c r="CN67" s="34"/>
      <c r="CO67" s="34"/>
      <c r="CP67" s="34">
        <f t="shared" si="293"/>
        <v>0</v>
      </c>
      <c r="CQ67" s="34"/>
      <c r="CR67" s="34"/>
      <c r="CS67" s="34"/>
      <c r="CT67" s="34"/>
      <c r="CU67" s="34"/>
      <c r="CV67" s="34">
        <f t="shared" si="299"/>
        <v>0</v>
      </c>
      <c r="CW67" s="37">
        <f t="shared" si="294"/>
        <v>0</v>
      </c>
      <c r="CX67" s="23"/>
      <c r="CY67" s="23"/>
      <c r="CZ67" s="23"/>
      <c r="DA67" s="23"/>
      <c r="DB67" s="23"/>
      <c r="DC67" s="25">
        <f t="shared" si="295"/>
        <v>0</v>
      </c>
      <c r="DD67" s="23"/>
      <c r="DE67" s="23"/>
      <c r="DF67" s="23"/>
      <c r="DG67" s="23"/>
      <c r="DH67" s="23"/>
      <c r="DI67" s="23">
        <f t="shared" si="296"/>
        <v>0</v>
      </c>
      <c r="DJ67" s="23">
        <f t="shared" si="297"/>
        <v>0</v>
      </c>
      <c r="DK67" s="23"/>
      <c r="DL67" s="23"/>
      <c r="DM67" s="23"/>
      <c r="DN67" s="23"/>
      <c r="DO67" s="23"/>
      <c r="DP67" s="23">
        <f t="shared" si="308"/>
        <v>0</v>
      </c>
      <c r="DQ67" s="23"/>
      <c r="DR67" s="23"/>
      <c r="DS67" s="23"/>
      <c r="DT67" s="23"/>
      <c r="DU67" s="23"/>
      <c r="DV67" s="23"/>
      <c r="DW67" s="23"/>
    </row>
    <row r="68" spans="1:127" x14ac:dyDescent="0.25">
      <c r="A68">
        <f t="shared" si="292"/>
        <v>64</v>
      </c>
      <c r="B68" t="str">
        <f t="shared" si="290"/>
        <v>J20-0733</v>
      </c>
      <c r="C68" s="20" t="s">
        <v>185</v>
      </c>
      <c r="D68" s="21" t="s">
        <v>186</v>
      </c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1"/>
      <c r="R68" s="22"/>
      <c r="S68" s="20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0"/>
      <c r="AH68" s="20"/>
      <c r="AI68" s="20"/>
      <c r="AJ68" s="20"/>
      <c r="AK68" s="20"/>
      <c r="AL68" s="20"/>
      <c r="AM68" s="20"/>
      <c r="AN68" s="20"/>
      <c r="AO68" s="20"/>
      <c r="AP68" s="24">
        <f t="shared" si="302"/>
        <v>0</v>
      </c>
      <c r="AQ68" s="24"/>
      <c r="AR68" s="24"/>
      <c r="AS68" s="24"/>
      <c r="AT68" s="24"/>
      <c r="AU68" s="24">
        <f t="shared" si="303"/>
        <v>0</v>
      </c>
      <c r="AV68" s="24"/>
      <c r="AW68" s="24"/>
      <c r="AX68" s="24"/>
      <c r="AY68" s="24"/>
      <c r="AZ68" s="24"/>
      <c r="BA68" s="24">
        <f>24760+70520</f>
        <v>95280</v>
      </c>
      <c r="BB68" s="24"/>
      <c r="BC68" s="24">
        <v>58920</v>
      </c>
      <c r="BD68" s="24"/>
      <c r="BE68" s="25">
        <f t="shared" si="305"/>
        <v>154200</v>
      </c>
      <c r="BF68" s="23"/>
      <c r="BG68" s="23"/>
      <c r="BH68" s="25">
        <f>3000+4280</f>
        <v>7280</v>
      </c>
      <c r="BI68" s="25"/>
      <c r="BJ68" s="25">
        <f t="shared" si="307"/>
        <v>7280</v>
      </c>
      <c r="BK68" s="23"/>
      <c r="BL68" s="23"/>
      <c r="BM68" s="25"/>
      <c r="BN68" s="25"/>
      <c r="BO68" s="25"/>
      <c r="BP68" s="25"/>
      <c r="BQ68" s="25"/>
      <c r="BR68" s="25"/>
      <c r="BS68" s="25"/>
      <c r="BT68" s="25">
        <f t="shared" si="306"/>
        <v>0</v>
      </c>
      <c r="BU68" s="23"/>
      <c r="BV68" s="24"/>
      <c r="BW68" s="25">
        <f t="shared" si="309"/>
        <v>0</v>
      </c>
      <c r="BX68" s="23"/>
      <c r="BY68" s="23"/>
      <c r="BZ68" s="23"/>
      <c r="CA68" s="23"/>
      <c r="CB68" s="23"/>
      <c r="CC68" s="23">
        <f t="shared" si="289"/>
        <v>0</v>
      </c>
      <c r="CD68" s="23"/>
      <c r="CE68" s="23"/>
      <c r="CF68" s="23"/>
      <c r="CG68" s="23"/>
      <c r="CH68" s="23"/>
      <c r="CI68" s="23"/>
      <c r="CJ68" s="20"/>
      <c r="CK68" s="34">
        <v>205520</v>
      </c>
      <c r="CL68" s="34"/>
      <c r="CM68" s="34"/>
      <c r="CN68" s="34"/>
      <c r="CO68" s="34">
        <v>26</v>
      </c>
      <c r="CP68" s="34">
        <f t="shared" si="293"/>
        <v>205520</v>
      </c>
      <c r="CQ68" s="34"/>
      <c r="CR68" s="34"/>
      <c r="CS68" s="34"/>
      <c r="CT68" s="34"/>
      <c r="CU68" s="34"/>
      <c r="CV68" s="34">
        <f t="shared" si="299"/>
        <v>0</v>
      </c>
      <c r="CW68" s="37">
        <f t="shared" si="294"/>
        <v>205520</v>
      </c>
      <c r="CX68" s="23"/>
      <c r="CY68" s="23"/>
      <c r="CZ68" s="23"/>
      <c r="DA68" s="23"/>
      <c r="DB68" s="23"/>
      <c r="DC68" s="25">
        <f t="shared" si="295"/>
        <v>0</v>
      </c>
      <c r="DD68" s="23"/>
      <c r="DE68" s="23"/>
      <c r="DF68" s="23"/>
      <c r="DG68" s="23"/>
      <c r="DH68" s="23"/>
      <c r="DI68" s="23">
        <f t="shared" si="296"/>
        <v>0</v>
      </c>
      <c r="DJ68" s="23">
        <f t="shared" si="297"/>
        <v>0</v>
      </c>
      <c r="DK68" s="23">
        <v>63110</v>
      </c>
      <c r="DL68" s="23"/>
      <c r="DM68" s="23"/>
      <c r="DN68" s="23"/>
      <c r="DO68" s="23">
        <v>7</v>
      </c>
      <c r="DP68" s="23">
        <f t="shared" si="308"/>
        <v>63110</v>
      </c>
      <c r="DQ68" s="23"/>
      <c r="DR68" s="23"/>
      <c r="DS68" s="23"/>
      <c r="DT68" s="23"/>
      <c r="DU68" s="23"/>
      <c r="DV68" s="23"/>
      <c r="DW68" s="23"/>
    </row>
    <row r="69" spans="1:127" x14ac:dyDescent="0.25">
      <c r="A69">
        <f t="shared" si="292"/>
        <v>65</v>
      </c>
      <c r="B69" t="str">
        <f t="shared" si="290"/>
        <v>J20-0739</v>
      </c>
      <c r="C69" s="20" t="s">
        <v>187</v>
      </c>
      <c r="D69" s="21" t="s">
        <v>188</v>
      </c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1"/>
      <c r="R69" s="22"/>
      <c r="S69" s="20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0"/>
      <c r="AH69" s="20"/>
      <c r="AI69" s="20"/>
      <c r="AJ69" s="20"/>
      <c r="AK69" s="20"/>
      <c r="AL69" s="20"/>
      <c r="AM69" s="20"/>
      <c r="AN69" s="20"/>
      <c r="AO69" s="20"/>
      <c r="AP69" s="24">
        <f t="shared" si="302"/>
        <v>0</v>
      </c>
      <c r="AQ69" s="24"/>
      <c r="AR69" s="24"/>
      <c r="AS69" s="24"/>
      <c r="AT69" s="24"/>
      <c r="AU69" s="24">
        <f t="shared" si="303"/>
        <v>0</v>
      </c>
      <c r="AV69" s="24"/>
      <c r="AW69" s="24"/>
      <c r="AX69" s="24"/>
      <c r="AY69" s="24"/>
      <c r="AZ69" s="24"/>
      <c r="BA69" s="24">
        <v>3081</v>
      </c>
      <c r="BB69" s="24"/>
      <c r="BC69" s="24"/>
      <c r="BD69" s="24"/>
      <c r="BE69" s="25">
        <f t="shared" si="305"/>
        <v>3081</v>
      </c>
      <c r="BF69" s="23"/>
      <c r="BG69" s="23"/>
      <c r="BH69" s="25"/>
      <c r="BI69" s="25"/>
      <c r="BJ69" s="25"/>
      <c r="BK69" s="23"/>
      <c r="BL69" s="23"/>
      <c r="BM69" s="25"/>
      <c r="BN69" s="25"/>
      <c r="BO69" s="25"/>
      <c r="BP69" s="25"/>
      <c r="BQ69" s="25"/>
      <c r="BR69" s="25"/>
      <c r="BS69" s="25"/>
      <c r="BT69" s="25">
        <f t="shared" si="306"/>
        <v>0</v>
      </c>
      <c r="BU69" s="23"/>
      <c r="BV69" s="24"/>
      <c r="BW69" s="25">
        <f t="shared" si="309"/>
        <v>0</v>
      </c>
      <c r="BX69" s="23"/>
      <c r="BY69" s="23"/>
      <c r="BZ69" s="23"/>
      <c r="CA69" s="23"/>
      <c r="CB69" s="23"/>
      <c r="CC69" s="23">
        <f t="shared" ref="CC69:CC102" si="310">BX69+BY69+BZ69+CA69</f>
        <v>0</v>
      </c>
      <c r="CD69" s="23"/>
      <c r="CE69" s="23"/>
      <c r="CF69" s="23"/>
      <c r="CG69" s="23"/>
      <c r="CH69" s="23"/>
      <c r="CI69" s="23"/>
      <c r="CJ69" s="53"/>
      <c r="CK69" s="34"/>
      <c r="CL69" s="34"/>
      <c r="CM69" s="34"/>
      <c r="CN69" s="34"/>
      <c r="CO69" s="54"/>
      <c r="CP69" s="54">
        <f t="shared" si="293"/>
        <v>0</v>
      </c>
      <c r="CQ69" s="34"/>
      <c r="CR69" s="34"/>
      <c r="CS69" s="34"/>
      <c r="CT69" s="34"/>
      <c r="CU69" s="34"/>
      <c r="CV69" s="34">
        <f t="shared" si="299"/>
        <v>0</v>
      </c>
      <c r="CW69" s="37">
        <f t="shared" si="294"/>
        <v>0</v>
      </c>
      <c r="CX69" s="23"/>
      <c r="CY69" s="23"/>
      <c r="CZ69" s="23"/>
      <c r="DA69" s="23"/>
      <c r="DB69" s="23"/>
      <c r="DC69" s="25">
        <f t="shared" si="295"/>
        <v>0</v>
      </c>
      <c r="DD69" s="23"/>
      <c r="DE69" s="23"/>
      <c r="DF69" s="23"/>
      <c r="DG69" s="23"/>
      <c r="DH69" s="23"/>
      <c r="DI69" s="23">
        <f t="shared" si="296"/>
        <v>0</v>
      </c>
      <c r="DJ69" s="23">
        <f t="shared" si="297"/>
        <v>0</v>
      </c>
      <c r="DK69" s="23"/>
      <c r="DL69" s="23"/>
      <c r="DM69" s="23"/>
      <c r="DN69" s="23"/>
      <c r="DO69" s="23"/>
      <c r="DP69" s="23">
        <f t="shared" si="308"/>
        <v>0</v>
      </c>
      <c r="DQ69" s="23"/>
      <c r="DR69" s="23"/>
      <c r="DS69" s="23"/>
      <c r="DT69" s="23"/>
      <c r="DU69" s="23"/>
      <c r="DV69" s="23"/>
      <c r="DW69" s="23"/>
    </row>
    <row r="70" spans="1:127" x14ac:dyDescent="0.25">
      <c r="A70">
        <f t="shared" si="292"/>
        <v>66</v>
      </c>
      <c r="B70" t="str">
        <f t="shared" ref="B70:B122" si="311">D70</f>
        <v>J20-0752</v>
      </c>
      <c r="C70" s="20" t="s">
        <v>189</v>
      </c>
      <c r="D70" s="21" t="s">
        <v>190</v>
      </c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1"/>
      <c r="R70" s="22"/>
      <c r="S70" s="20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4"/>
      <c r="AJ70" s="24"/>
      <c r="AK70" s="24"/>
      <c r="AL70" s="24"/>
      <c r="AM70" s="24"/>
      <c r="AN70" s="24"/>
      <c r="AO70" s="24"/>
      <c r="AP70" s="24">
        <f t="shared" si="302"/>
        <v>0</v>
      </c>
      <c r="AQ70" s="24"/>
      <c r="AR70" s="24"/>
      <c r="AS70" s="24"/>
      <c r="AT70" s="24"/>
      <c r="AU70" s="24">
        <f t="shared" si="303"/>
        <v>0</v>
      </c>
      <c r="AV70" s="24"/>
      <c r="AW70" s="24"/>
      <c r="AX70" s="24"/>
      <c r="AY70" s="24"/>
      <c r="AZ70" s="24"/>
      <c r="BA70" s="24"/>
      <c r="BB70" s="24"/>
      <c r="BC70" s="24">
        <v>50307</v>
      </c>
      <c r="BD70" s="24"/>
      <c r="BE70" s="25">
        <f t="shared" si="305"/>
        <v>50307</v>
      </c>
      <c r="BF70" s="23">
        <v>88128</v>
      </c>
      <c r="BG70" s="23"/>
      <c r="BH70" s="25">
        <v>82192</v>
      </c>
      <c r="BI70" s="25"/>
      <c r="BJ70" s="25">
        <f t="shared" si="307"/>
        <v>170320</v>
      </c>
      <c r="BK70" s="23">
        <v>77302</v>
      </c>
      <c r="BL70" s="23">
        <v>1195</v>
      </c>
      <c r="BM70" s="24">
        <f>81533</f>
        <v>81533</v>
      </c>
      <c r="BN70" s="23">
        <v>1149</v>
      </c>
      <c r="BO70" s="23"/>
      <c r="BP70" s="23"/>
      <c r="BQ70" s="23"/>
      <c r="BR70" s="23"/>
      <c r="BS70" s="23"/>
      <c r="BT70" s="25">
        <f t="shared" si="306"/>
        <v>0</v>
      </c>
      <c r="BU70" s="23"/>
      <c r="BV70" s="24"/>
      <c r="BW70" s="25">
        <f t="shared" si="309"/>
        <v>0</v>
      </c>
      <c r="BX70" s="23"/>
      <c r="BY70" s="23"/>
      <c r="BZ70" s="23"/>
      <c r="CA70" s="23"/>
      <c r="CB70" s="23"/>
      <c r="CC70" s="23">
        <f t="shared" si="310"/>
        <v>0</v>
      </c>
      <c r="CD70" s="23"/>
      <c r="CE70" s="23"/>
      <c r="CF70" s="23"/>
      <c r="CG70" s="23"/>
      <c r="CH70" s="23"/>
      <c r="CI70" s="23"/>
      <c r="CJ70" s="20"/>
      <c r="CK70" s="34"/>
      <c r="CL70" s="34"/>
      <c r="CM70" s="34"/>
      <c r="CN70" s="34"/>
      <c r="CO70" s="34"/>
      <c r="CP70" s="34">
        <f t="shared" ref="CP70:CP110" si="312">SUM(CK70:CN70)</f>
        <v>0</v>
      </c>
      <c r="CQ70" s="34"/>
      <c r="CR70" s="34"/>
      <c r="CS70" s="34"/>
      <c r="CT70" s="34"/>
      <c r="CU70" s="34"/>
      <c r="CV70" s="34">
        <f t="shared" ref="CV70:CV110" si="313">SUM(CQ70:CT70)</f>
        <v>0</v>
      </c>
      <c r="CW70" s="37">
        <f t="shared" si="294"/>
        <v>0</v>
      </c>
      <c r="CX70" s="23"/>
      <c r="CY70" s="23"/>
      <c r="CZ70" s="23"/>
      <c r="DA70" s="23"/>
      <c r="DB70" s="23"/>
      <c r="DC70" s="25">
        <f t="shared" si="295"/>
        <v>0</v>
      </c>
      <c r="DD70" s="23"/>
      <c r="DE70" s="23"/>
      <c r="DF70" s="23"/>
      <c r="DG70" s="23"/>
      <c r="DH70" s="23"/>
      <c r="DI70" s="23">
        <f t="shared" si="296"/>
        <v>0</v>
      </c>
      <c r="DJ70" s="23">
        <f t="shared" si="297"/>
        <v>0</v>
      </c>
      <c r="DK70" s="23"/>
      <c r="DL70" s="23"/>
      <c r="DM70" s="23"/>
      <c r="DN70" s="23"/>
      <c r="DO70" s="23"/>
      <c r="DP70" s="23">
        <f t="shared" ref="DP70:DP121" si="314">SUM(DK70:DN70)</f>
        <v>0</v>
      </c>
      <c r="DQ70" s="23"/>
      <c r="DR70" s="23"/>
      <c r="DS70" s="23"/>
      <c r="DT70" s="23"/>
      <c r="DU70" s="23"/>
      <c r="DV70" s="23"/>
      <c r="DW70" s="23"/>
    </row>
    <row r="71" spans="1:127" x14ac:dyDescent="0.25">
      <c r="A71">
        <f t="shared" ref="A71:A134" si="315">IF(B71&lt;&gt;"",A70+1,"")</f>
        <v>67</v>
      </c>
      <c r="B71" t="str">
        <f t="shared" si="311"/>
        <v>J20-0493</v>
      </c>
      <c r="C71" s="20" t="s">
        <v>191</v>
      </c>
      <c r="D71" s="21" t="s">
        <v>192</v>
      </c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1"/>
      <c r="R71" s="22"/>
      <c r="S71" s="20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0"/>
      <c r="AH71" s="20"/>
      <c r="AI71" s="20"/>
      <c r="AJ71" s="20"/>
      <c r="AK71" s="20"/>
      <c r="AL71" s="20"/>
      <c r="AM71" s="20"/>
      <c r="AN71" s="20"/>
      <c r="AO71" s="20"/>
      <c r="AP71" s="24">
        <f t="shared" si="302"/>
        <v>0</v>
      </c>
      <c r="AQ71" s="24"/>
      <c r="AR71" s="24"/>
      <c r="AS71" s="24"/>
      <c r="AT71" s="24"/>
      <c r="AU71" s="24">
        <f t="shared" si="303"/>
        <v>0</v>
      </c>
      <c r="AV71" s="24"/>
      <c r="AW71" s="24"/>
      <c r="AX71" s="24"/>
      <c r="AY71" s="24"/>
      <c r="AZ71" s="24"/>
      <c r="BA71" s="24"/>
      <c r="BB71" s="24"/>
      <c r="BC71" s="24">
        <v>6681</v>
      </c>
      <c r="BD71" s="24"/>
      <c r="BE71" s="25">
        <f t="shared" si="305"/>
        <v>6681</v>
      </c>
      <c r="BF71" s="23"/>
      <c r="BG71" s="23"/>
      <c r="BH71" s="23"/>
      <c r="BI71" s="25"/>
      <c r="BJ71" s="25"/>
      <c r="BK71" s="23"/>
      <c r="BL71" s="23"/>
      <c r="BM71" s="24"/>
      <c r="BN71" s="23"/>
      <c r="BO71" s="23"/>
      <c r="BP71" s="23"/>
      <c r="BQ71" s="23"/>
      <c r="BR71" s="23"/>
      <c r="BS71" s="23"/>
      <c r="BT71" s="25">
        <f t="shared" si="306"/>
        <v>0</v>
      </c>
      <c r="BU71" s="23"/>
      <c r="BV71" s="24"/>
      <c r="BW71" s="25">
        <f t="shared" si="309"/>
        <v>0</v>
      </c>
      <c r="BX71" s="23"/>
      <c r="BY71" s="23"/>
      <c r="BZ71" s="23"/>
      <c r="CA71" s="23"/>
      <c r="CB71" s="23"/>
      <c r="CC71" s="23">
        <f t="shared" si="310"/>
        <v>0</v>
      </c>
      <c r="CD71" s="23"/>
      <c r="CE71" s="23"/>
      <c r="CF71" s="23"/>
      <c r="CG71" s="23"/>
      <c r="CH71" s="23"/>
      <c r="CI71" s="23"/>
      <c r="CJ71" s="20"/>
      <c r="CK71" s="34"/>
      <c r="CL71" s="34"/>
      <c r="CM71" s="34"/>
      <c r="CN71" s="34"/>
      <c r="CO71" s="34"/>
      <c r="CP71" s="34">
        <f t="shared" si="312"/>
        <v>0</v>
      </c>
      <c r="CQ71" s="34"/>
      <c r="CR71" s="34"/>
      <c r="CS71" s="34"/>
      <c r="CT71" s="34"/>
      <c r="CU71" s="34"/>
      <c r="CV71" s="34">
        <f t="shared" si="313"/>
        <v>0</v>
      </c>
      <c r="CW71" s="37">
        <f t="shared" ref="CW71:CW121" si="316">CP71+CV71</f>
        <v>0</v>
      </c>
      <c r="CX71" s="23"/>
      <c r="CY71" s="23"/>
      <c r="CZ71" s="23"/>
      <c r="DA71" s="23"/>
      <c r="DB71" s="23"/>
      <c r="DC71" s="25">
        <f t="shared" ref="DC71:DC121" si="317">CX71+CY71+CZ71+DA71</f>
        <v>0</v>
      </c>
      <c r="DD71" s="23"/>
      <c r="DE71" s="23"/>
      <c r="DF71" s="23"/>
      <c r="DG71" s="23"/>
      <c r="DH71" s="23"/>
      <c r="DI71" s="23">
        <f t="shared" ref="DI71:DI121" si="318">DD71+DE71+DF71+DG71</f>
        <v>0</v>
      </c>
      <c r="DJ71" s="23">
        <f t="shared" ref="DJ71:DJ122" si="319">DC71+DI71</f>
        <v>0</v>
      </c>
      <c r="DK71" s="23"/>
      <c r="DL71" s="23"/>
      <c r="DM71" s="23"/>
      <c r="DN71" s="23"/>
      <c r="DO71" s="23"/>
      <c r="DP71" s="23">
        <f t="shared" si="314"/>
        <v>0</v>
      </c>
      <c r="DQ71" s="23"/>
      <c r="DR71" s="23"/>
      <c r="DS71" s="23"/>
      <c r="DT71" s="23"/>
      <c r="DU71" s="23"/>
      <c r="DV71" s="23"/>
      <c r="DW71" s="23"/>
    </row>
    <row r="72" spans="1:127" x14ac:dyDescent="0.25">
      <c r="A72">
        <f t="shared" si="315"/>
        <v>68</v>
      </c>
      <c r="B72" t="str">
        <f t="shared" si="311"/>
        <v>J20-0856</v>
      </c>
      <c r="C72" s="20" t="s">
        <v>193</v>
      </c>
      <c r="D72" s="21" t="s">
        <v>194</v>
      </c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1"/>
      <c r="R72" s="22"/>
      <c r="S72" s="20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0"/>
      <c r="AH72" s="20"/>
      <c r="AI72" s="20"/>
      <c r="AJ72" s="20"/>
      <c r="AK72" s="20"/>
      <c r="AL72" s="20"/>
      <c r="AM72" s="20"/>
      <c r="AN72" s="20"/>
      <c r="AO72" s="20"/>
      <c r="AP72" s="24">
        <f t="shared" si="302"/>
        <v>0</v>
      </c>
      <c r="AQ72" s="24"/>
      <c r="AR72" s="24"/>
      <c r="AS72" s="24"/>
      <c r="AT72" s="24"/>
      <c r="AU72" s="24">
        <f t="shared" si="303"/>
        <v>0</v>
      </c>
      <c r="AV72" s="24"/>
      <c r="AW72" s="24"/>
      <c r="AX72" s="24"/>
      <c r="AY72" s="24"/>
      <c r="AZ72" s="24"/>
      <c r="BA72" s="24"/>
      <c r="BB72" s="24"/>
      <c r="BC72" s="24">
        <v>9431</v>
      </c>
      <c r="BD72" s="24"/>
      <c r="BE72" s="25">
        <f t="shared" si="305"/>
        <v>9431</v>
      </c>
      <c r="BF72" s="23"/>
      <c r="BG72" s="23"/>
      <c r="BH72" s="23">
        <v>15022</v>
      </c>
      <c r="BI72" s="25"/>
      <c r="BJ72" s="25">
        <f t="shared" si="307"/>
        <v>15022</v>
      </c>
      <c r="BK72" s="23"/>
      <c r="BL72" s="23"/>
      <c r="BM72" s="24"/>
      <c r="BN72" s="23"/>
      <c r="BO72" s="23"/>
      <c r="BP72" s="23"/>
      <c r="BQ72" s="23"/>
      <c r="BR72" s="23"/>
      <c r="BS72" s="23"/>
      <c r="BT72" s="25">
        <f t="shared" si="306"/>
        <v>0</v>
      </c>
      <c r="BU72" s="23"/>
      <c r="BV72" s="24"/>
      <c r="BW72" s="25">
        <f t="shared" si="309"/>
        <v>0</v>
      </c>
      <c r="BX72" s="23"/>
      <c r="BY72" s="23"/>
      <c r="BZ72" s="23"/>
      <c r="CA72" s="23"/>
      <c r="CB72" s="23"/>
      <c r="CC72" s="23">
        <f t="shared" si="310"/>
        <v>0</v>
      </c>
      <c r="CD72" s="23"/>
      <c r="CE72" s="23"/>
      <c r="CF72" s="23"/>
      <c r="CG72" s="23"/>
      <c r="CH72" s="23"/>
      <c r="CI72" s="23"/>
      <c r="CJ72" s="20"/>
      <c r="CK72" s="34"/>
      <c r="CL72" s="34"/>
      <c r="CM72" s="34"/>
      <c r="CN72" s="34"/>
      <c r="CO72" s="34"/>
      <c r="CP72" s="34">
        <f t="shared" si="312"/>
        <v>0</v>
      </c>
      <c r="CQ72" s="34"/>
      <c r="CR72" s="34"/>
      <c r="CS72" s="34"/>
      <c r="CT72" s="34"/>
      <c r="CU72" s="34"/>
      <c r="CV72" s="34">
        <f t="shared" si="313"/>
        <v>0</v>
      </c>
      <c r="CW72" s="37">
        <f t="shared" si="316"/>
        <v>0</v>
      </c>
      <c r="CX72" s="23"/>
      <c r="CY72" s="23"/>
      <c r="CZ72" s="23"/>
      <c r="DA72" s="23"/>
      <c r="DB72" s="23"/>
      <c r="DC72" s="25">
        <f t="shared" si="317"/>
        <v>0</v>
      </c>
      <c r="DD72" s="23"/>
      <c r="DE72" s="23"/>
      <c r="DF72" s="23"/>
      <c r="DG72" s="23"/>
      <c r="DH72" s="23"/>
      <c r="DI72" s="23">
        <f t="shared" si="318"/>
        <v>0</v>
      </c>
      <c r="DJ72" s="23">
        <f t="shared" si="319"/>
        <v>0</v>
      </c>
      <c r="DK72" s="23"/>
      <c r="DL72" s="23"/>
      <c r="DM72" s="23"/>
      <c r="DN72" s="23"/>
      <c r="DO72" s="23"/>
      <c r="DP72" s="23">
        <f t="shared" si="314"/>
        <v>0</v>
      </c>
      <c r="DQ72" s="23"/>
      <c r="DR72" s="23"/>
      <c r="DS72" s="23"/>
      <c r="DT72" s="23"/>
      <c r="DU72" s="23"/>
      <c r="DV72" s="23"/>
      <c r="DW72" s="23"/>
    </row>
    <row r="73" spans="1:127" x14ac:dyDescent="0.25">
      <c r="A73">
        <f t="shared" si="315"/>
        <v>69</v>
      </c>
      <c r="B73" t="str">
        <f t="shared" si="311"/>
        <v>J20-0740</v>
      </c>
      <c r="C73" s="20" t="s">
        <v>195</v>
      </c>
      <c r="D73" s="21" t="s">
        <v>196</v>
      </c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1"/>
      <c r="R73" s="22"/>
      <c r="S73" s="20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0"/>
      <c r="AH73" s="20"/>
      <c r="AI73" s="20"/>
      <c r="AJ73" s="20"/>
      <c r="AK73" s="20"/>
      <c r="AL73" s="20"/>
      <c r="AM73" s="20"/>
      <c r="AN73" s="20"/>
      <c r="AO73" s="20"/>
      <c r="AP73" s="24">
        <f t="shared" si="302"/>
        <v>0</v>
      </c>
      <c r="AQ73" s="24"/>
      <c r="AR73" s="24"/>
      <c r="AS73" s="24"/>
      <c r="AT73" s="24"/>
      <c r="AU73" s="24">
        <f t="shared" si="303"/>
        <v>0</v>
      </c>
      <c r="AV73" s="24"/>
      <c r="AW73" s="24"/>
      <c r="AX73" s="24"/>
      <c r="AY73" s="24"/>
      <c r="AZ73" s="24"/>
      <c r="BA73" s="24"/>
      <c r="BB73" s="24"/>
      <c r="BC73" s="24">
        <v>27494</v>
      </c>
      <c r="BD73" s="24"/>
      <c r="BE73" s="25">
        <f t="shared" si="305"/>
        <v>27494</v>
      </c>
      <c r="BF73" s="23"/>
      <c r="BG73" s="23"/>
      <c r="BH73" s="23"/>
      <c r="BI73" s="25"/>
      <c r="BJ73" s="25"/>
      <c r="BK73" s="23"/>
      <c r="BL73" s="23"/>
      <c r="BM73" s="24"/>
      <c r="BN73" s="23"/>
      <c r="BO73" s="23"/>
      <c r="BP73" s="23"/>
      <c r="BQ73" s="23"/>
      <c r="BR73" s="23"/>
      <c r="BS73" s="23"/>
      <c r="BT73" s="25">
        <f t="shared" si="306"/>
        <v>0</v>
      </c>
      <c r="BU73" s="23"/>
      <c r="BV73" s="24"/>
      <c r="BW73" s="25">
        <f t="shared" si="309"/>
        <v>0</v>
      </c>
      <c r="BX73" s="23"/>
      <c r="BY73" s="23"/>
      <c r="BZ73" s="23"/>
      <c r="CA73" s="23"/>
      <c r="CB73" s="23"/>
      <c r="CC73" s="23">
        <f t="shared" si="310"/>
        <v>0</v>
      </c>
      <c r="CD73" s="23"/>
      <c r="CE73" s="23"/>
      <c r="CF73" s="23"/>
      <c r="CG73" s="23"/>
      <c r="CH73" s="23"/>
      <c r="CI73" s="23"/>
      <c r="CJ73" s="20"/>
      <c r="CK73" s="34"/>
      <c r="CL73" s="34"/>
      <c r="CM73" s="34"/>
      <c r="CN73" s="34"/>
      <c r="CO73" s="34"/>
      <c r="CP73" s="34">
        <f t="shared" si="312"/>
        <v>0</v>
      </c>
      <c r="CQ73" s="34"/>
      <c r="CR73" s="34"/>
      <c r="CS73" s="34"/>
      <c r="CT73" s="34"/>
      <c r="CU73" s="34"/>
      <c r="CV73" s="34">
        <f t="shared" si="313"/>
        <v>0</v>
      </c>
      <c r="CW73" s="37">
        <f t="shared" si="316"/>
        <v>0</v>
      </c>
      <c r="CX73" s="23"/>
      <c r="CY73" s="23"/>
      <c r="CZ73" s="23"/>
      <c r="DA73" s="23"/>
      <c r="DB73" s="23"/>
      <c r="DC73" s="25">
        <f t="shared" si="317"/>
        <v>0</v>
      </c>
      <c r="DD73" s="23"/>
      <c r="DE73" s="23"/>
      <c r="DF73" s="23"/>
      <c r="DG73" s="23"/>
      <c r="DH73" s="23"/>
      <c r="DI73" s="23">
        <f t="shared" si="318"/>
        <v>0</v>
      </c>
      <c r="DJ73" s="23">
        <f t="shared" si="319"/>
        <v>0</v>
      </c>
      <c r="DK73" s="23"/>
      <c r="DL73" s="23"/>
      <c r="DM73" s="23"/>
      <c r="DN73" s="23"/>
      <c r="DO73" s="23"/>
      <c r="DP73" s="23">
        <f t="shared" si="314"/>
        <v>0</v>
      </c>
      <c r="DQ73" s="23"/>
      <c r="DR73" s="23"/>
      <c r="DS73" s="23"/>
      <c r="DT73" s="23"/>
      <c r="DU73" s="23"/>
      <c r="DV73" s="23"/>
      <c r="DW73" s="23"/>
    </row>
    <row r="74" spans="1:127" x14ac:dyDescent="0.25">
      <c r="A74">
        <f t="shared" si="315"/>
        <v>70</v>
      </c>
      <c r="B74" t="str">
        <f t="shared" si="311"/>
        <v>J20-0864</v>
      </c>
      <c r="C74" s="20" t="s">
        <v>197</v>
      </c>
      <c r="D74" s="21" t="s">
        <v>198</v>
      </c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1"/>
      <c r="R74" s="22"/>
      <c r="S74" s="20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0"/>
      <c r="AH74" s="20"/>
      <c r="AI74" s="20"/>
      <c r="AJ74" s="20"/>
      <c r="AK74" s="20"/>
      <c r="AL74" s="20"/>
      <c r="AM74" s="20"/>
      <c r="AN74" s="20"/>
      <c r="AO74" s="20"/>
      <c r="AP74" s="24">
        <f t="shared" si="302"/>
        <v>0</v>
      </c>
      <c r="AQ74" s="24"/>
      <c r="AR74" s="24"/>
      <c r="AS74" s="24"/>
      <c r="AT74" s="24"/>
      <c r="AU74" s="24">
        <f t="shared" si="303"/>
        <v>0</v>
      </c>
      <c r="AV74" s="24"/>
      <c r="AW74" s="24"/>
      <c r="AX74" s="24"/>
      <c r="AY74" s="24"/>
      <c r="AZ74" s="24"/>
      <c r="BA74" s="24"/>
      <c r="BB74" s="24"/>
      <c r="BC74" s="24"/>
      <c r="BD74" s="24"/>
      <c r="BE74" s="20"/>
      <c r="BF74" s="23">
        <v>4850</v>
      </c>
      <c r="BG74" s="23"/>
      <c r="BH74" s="23">
        <f>93700+13500</f>
        <v>107200</v>
      </c>
      <c r="BI74" s="20"/>
      <c r="BJ74" s="25">
        <f t="shared" si="307"/>
        <v>112050</v>
      </c>
      <c r="BK74" s="23"/>
      <c r="BL74" s="23"/>
      <c r="BM74" s="24"/>
      <c r="BN74" s="23"/>
      <c r="BO74" s="23"/>
      <c r="BP74" s="23"/>
      <c r="BQ74" s="23"/>
      <c r="BR74" s="23"/>
      <c r="BS74" s="23"/>
      <c r="BT74" s="25">
        <f t="shared" si="306"/>
        <v>0</v>
      </c>
      <c r="BU74" s="23">
        <f>420+4219</f>
        <v>4639</v>
      </c>
      <c r="BV74" s="24"/>
      <c r="BW74" s="25">
        <f t="shared" si="309"/>
        <v>4639</v>
      </c>
      <c r="BX74" s="23"/>
      <c r="BY74" s="23"/>
      <c r="BZ74" s="23"/>
      <c r="CA74" s="23"/>
      <c r="CB74" s="23"/>
      <c r="CC74" s="23">
        <f t="shared" si="310"/>
        <v>0</v>
      </c>
      <c r="CD74" s="23"/>
      <c r="CE74" s="23"/>
      <c r="CF74" s="23"/>
      <c r="CG74" s="23"/>
      <c r="CH74" s="23"/>
      <c r="CI74" s="23"/>
      <c r="CJ74" s="20"/>
      <c r="CK74" s="34"/>
      <c r="CL74" s="34"/>
      <c r="CM74" s="34"/>
      <c r="CN74" s="34"/>
      <c r="CO74" s="34"/>
      <c r="CP74" s="34">
        <f t="shared" si="312"/>
        <v>0</v>
      </c>
      <c r="CQ74" s="34"/>
      <c r="CR74" s="34"/>
      <c r="CS74" s="34"/>
      <c r="CT74" s="34"/>
      <c r="CU74" s="34"/>
      <c r="CV74" s="34">
        <f t="shared" si="313"/>
        <v>0</v>
      </c>
      <c r="CW74" s="37">
        <f t="shared" si="316"/>
        <v>0</v>
      </c>
      <c r="CX74" s="23"/>
      <c r="CY74" s="23"/>
      <c r="CZ74" s="23"/>
      <c r="DA74" s="23"/>
      <c r="DB74" s="23"/>
      <c r="DC74" s="25">
        <f t="shared" si="317"/>
        <v>0</v>
      </c>
      <c r="DD74" s="23"/>
      <c r="DE74" s="23"/>
      <c r="DF74" s="23"/>
      <c r="DG74" s="23"/>
      <c r="DH74" s="23"/>
      <c r="DI74" s="23">
        <f t="shared" si="318"/>
        <v>0</v>
      </c>
      <c r="DJ74" s="23">
        <f t="shared" si="319"/>
        <v>0</v>
      </c>
      <c r="DK74" s="23"/>
      <c r="DL74" s="23"/>
      <c r="DM74" s="23"/>
      <c r="DN74" s="23"/>
      <c r="DO74" s="23"/>
      <c r="DP74" s="23">
        <f t="shared" si="314"/>
        <v>0</v>
      </c>
      <c r="DQ74" s="23"/>
      <c r="DR74" s="23"/>
      <c r="DS74" s="23"/>
      <c r="DT74" s="23"/>
      <c r="DU74" s="23"/>
      <c r="DV74" s="23"/>
      <c r="DW74" s="23"/>
    </row>
    <row r="75" spans="1:127" x14ac:dyDescent="0.25">
      <c r="A75">
        <f t="shared" si="315"/>
        <v>71</v>
      </c>
      <c r="B75" t="str">
        <f t="shared" si="311"/>
        <v>J20-0890</v>
      </c>
      <c r="C75" s="20" t="s">
        <v>199</v>
      </c>
      <c r="D75" s="21" t="s">
        <v>200</v>
      </c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1"/>
      <c r="R75" s="22"/>
      <c r="S75" s="20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0"/>
      <c r="AH75" s="20"/>
      <c r="AI75" s="20"/>
      <c r="AJ75" s="20"/>
      <c r="AK75" s="20"/>
      <c r="AL75" s="20"/>
      <c r="AM75" s="20"/>
      <c r="AN75" s="20"/>
      <c r="AO75" s="20"/>
      <c r="AP75" s="24">
        <f t="shared" si="302"/>
        <v>0</v>
      </c>
      <c r="AQ75" s="24"/>
      <c r="AR75" s="24"/>
      <c r="AS75" s="24"/>
      <c r="AT75" s="24"/>
      <c r="AU75" s="24">
        <f t="shared" si="303"/>
        <v>0</v>
      </c>
      <c r="AV75" s="24"/>
      <c r="AW75" s="24"/>
      <c r="AX75" s="24"/>
      <c r="AY75" s="24"/>
      <c r="AZ75" s="24"/>
      <c r="BA75" s="24"/>
      <c r="BB75" s="24"/>
      <c r="BC75" s="24"/>
      <c r="BD75" s="24"/>
      <c r="BE75" s="20"/>
      <c r="BF75" s="23">
        <v>56340</v>
      </c>
      <c r="BG75" s="23"/>
      <c r="BH75" s="23">
        <f>42054+5417</f>
        <v>47471</v>
      </c>
      <c r="BI75" s="20"/>
      <c r="BJ75" s="25">
        <f t="shared" si="307"/>
        <v>103811</v>
      </c>
      <c r="BK75" s="23">
        <f>20450+16970</f>
        <v>37420</v>
      </c>
      <c r="BL75" s="23">
        <v>645</v>
      </c>
      <c r="BM75" s="24">
        <f>29830+4560</f>
        <v>34390</v>
      </c>
      <c r="BN75" s="23">
        <v>654</v>
      </c>
      <c r="BO75" s="23"/>
      <c r="BP75" s="23">
        <v>5760</v>
      </c>
      <c r="BQ75" s="23"/>
      <c r="BR75" s="23"/>
      <c r="BS75" s="23"/>
      <c r="BT75" s="25">
        <f t="shared" si="306"/>
        <v>5760</v>
      </c>
      <c r="BU75" s="23">
        <f>12150+8190+4400</f>
        <v>24740</v>
      </c>
      <c r="BV75" s="24"/>
      <c r="BW75" s="25">
        <f t="shared" si="309"/>
        <v>30500</v>
      </c>
      <c r="BX75" s="23"/>
      <c r="BY75" s="23"/>
      <c r="BZ75" s="23"/>
      <c r="CA75" s="23"/>
      <c r="CB75" s="23"/>
      <c r="CC75" s="23">
        <f t="shared" si="310"/>
        <v>0</v>
      </c>
      <c r="CD75" s="23"/>
      <c r="CE75" s="23"/>
      <c r="CF75" s="23"/>
      <c r="CG75" s="23"/>
      <c r="CH75" s="23"/>
      <c r="CI75" s="23"/>
      <c r="CJ75" s="20"/>
      <c r="CK75" s="34"/>
      <c r="CL75" s="34"/>
      <c r="CM75" s="34"/>
      <c r="CN75" s="34"/>
      <c r="CO75" s="34"/>
      <c r="CP75" s="34">
        <f t="shared" si="312"/>
        <v>0</v>
      </c>
      <c r="CQ75" s="34"/>
      <c r="CR75" s="34"/>
      <c r="CS75" s="34"/>
      <c r="CT75" s="34"/>
      <c r="CU75" s="34"/>
      <c r="CV75" s="34">
        <f t="shared" si="313"/>
        <v>0</v>
      </c>
      <c r="CW75" s="37">
        <f t="shared" si="316"/>
        <v>0</v>
      </c>
      <c r="CX75" s="23"/>
      <c r="CY75" s="23"/>
      <c r="CZ75" s="23"/>
      <c r="DA75" s="23"/>
      <c r="DB75" s="23"/>
      <c r="DC75" s="25">
        <f t="shared" si="317"/>
        <v>0</v>
      </c>
      <c r="DD75" s="23"/>
      <c r="DE75" s="23"/>
      <c r="DF75" s="23"/>
      <c r="DG75" s="23"/>
      <c r="DH75" s="23"/>
      <c r="DI75" s="23">
        <f t="shared" si="318"/>
        <v>0</v>
      </c>
      <c r="DJ75" s="23">
        <f t="shared" si="319"/>
        <v>0</v>
      </c>
      <c r="DK75" s="23"/>
      <c r="DL75" s="23"/>
      <c r="DM75" s="23"/>
      <c r="DN75" s="23"/>
      <c r="DO75" s="23"/>
      <c r="DP75" s="23">
        <f t="shared" si="314"/>
        <v>0</v>
      </c>
      <c r="DQ75" s="23"/>
      <c r="DR75" s="23"/>
      <c r="DS75" s="23"/>
      <c r="DT75" s="23"/>
      <c r="DU75" s="23"/>
      <c r="DV75" s="23"/>
      <c r="DW75" s="23"/>
    </row>
    <row r="76" spans="1:127" x14ac:dyDescent="0.25">
      <c r="A76">
        <f t="shared" si="315"/>
        <v>72</v>
      </c>
      <c r="B76" t="str">
        <f t="shared" si="311"/>
        <v>J20-0896</v>
      </c>
      <c r="C76" s="20" t="s">
        <v>201</v>
      </c>
      <c r="D76" s="21" t="s">
        <v>202</v>
      </c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1"/>
      <c r="R76" s="22"/>
      <c r="S76" s="20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0"/>
      <c r="AH76" s="20"/>
      <c r="AI76" s="20"/>
      <c r="AJ76" s="20"/>
      <c r="AK76" s="20"/>
      <c r="AL76" s="20"/>
      <c r="AM76" s="20"/>
      <c r="AN76" s="20"/>
      <c r="AO76" s="20"/>
      <c r="AP76" s="24">
        <f t="shared" si="302"/>
        <v>0</v>
      </c>
      <c r="AQ76" s="24"/>
      <c r="AR76" s="24"/>
      <c r="AS76" s="24"/>
      <c r="AT76" s="24"/>
      <c r="AU76" s="24">
        <f t="shared" si="303"/>
        <v>0</v>
      </c>
      <c r="AV76" s="24"/>
      <c r="AW76" s="24"/>
      <c r="AX76" s="24"/>
      <c r="AY76" s="24"/>
      <c r="AZ76" s="24"/>
      <c r="BA76" s="24"/>
      <c r="BB76" s="24"/>
      <c r="BC76" s="24"/>
      <c r="BD76" s="24"/>
      <c r="BE76" s="20"/>
      <c r="BF76" s="23">
        <v>48500</v>
      </c>
      <c r="BG76" s="23"/>
      <c r="BH76" s="23">
        <f>69527+13340</f>
        <v>82867</v>
      </c>
      <c r="BI76" s="20"/>
      <c r="BJ76" s="25">
        <f t="shared" si="307"/>
        <v>131367</v>
      </c>
      <c r="BK76" s="23">
        <f>73730+1460</f>
        <v>75190</v>
      </c>
      <c r="BL76" s="23">
        <v>1354</v>
      </c>
      <c r="BM76" s="24">
        <v>84860</v>
      </c>
      <c r="BN76" s="23">
        <v>1080</v>
      </c>
      <c r="BO76" s="23"/>
      <c r="BP76" s="23"/>
      <c r="BQ76" s="23"/>
      <c r="BR76" s="23"/>
      <c r="BS76" s="23"/>
      <c r="BT76" s="25">
        <f t="shared" si="306"/>
        <v>0</v>
      </c>
      <c r="BU76" s="23">
        <v>28880</v>
      </c>
      <c r="BV76" s="24"/>
      <c r="BW76" s="25">
        <f t="shared" si="309"/>
        <v>28880</v>
      </c>
      <c r="BX76" s="23"/>
      <c r="BY76" s="23"/>
      <c r="BZ76" s="23"/>
      <c r="CA76" s="23"/>
      <c r="CB76" s="23"/>
      <c r="CC76" s="23">
        <f t="shared" si="310"/>
        <v>0</v>
      </c>
      <c r="CD76" s="23"/>
      <c r="CE76" s="23"/>
      <c r="CF76" s="23"/>
      <c r="CG76" s="23"/>
      <c r="CH76" s="23"/>
      <c r="CI76" s="23"/>
      <c r="CJ76" s="20"/>
      <c r="CK76" s="34"/>
      <c r="CL76" s="34"/>
      <c r="CM76" s="34"/>
      <c r="CN76" s="34"/>
      <c r="CO76" s="34"/>
      <c r="CP76" s="34">
        <f t="shared" si="312"/>
        <v>0</v>
      </c>
      <c r="CQ76" s="34"/>
      <c r="CR76" s="34"/>
      <c r="CS76" s="34"/>
      <c r="CT76" s="34"/>
      <c r="CU76" s="34"/>
      <c r="CV76" s="34">
        <f t="shared" si="313"/>
        <v>0</v>
      </c>
      <c r="CW76" s="37">
        <f t="shared" si="316"/>
        <v>0</v>
      </c>
      <c r="CX76" s="23">
        <v>61940</v>
      </c>
      <c r="CY76" s="23"/>
      <c r="CZ76" s="23"/>
      <c r="DA76" s="23"/>
      <c r="DB76" s="23"/>
      <c r="DC76" s="25">
        <f t="shared" si="317"/>
        <v>61940</v>
      </c>
      <c r="DD76" s="23">
        <v>52315</v>
      </c>
      <c r="DE76" s="23">
        <v>1399</v>
      </c>
      <c r="DF76" s="23"/>
      <c r="DG76" s="23"/>
      <c r="DH76" s="23"/>
      <c r="DI76" s="23">
        <f t="shared" si="318"/>
        <v>53714</v>
      </c>
      <c r="DJ76" s="23">
        <f t="shared" si="319"/>
        <v>115654</v>
      </c>
      <c r="DK76" s="23">
        <v>41165</v>
      </c>
      <c r="DL76" s="23">
        <v>4418</v>
      </c>
      <c r="DM76" s="23"/>
      <c r="DN76" s="23"/>
      <c r="DO76" s="23"/>
      <c r="DP76" s="23">
        <f t="shared" si="314"/>
        <v>45583</v>
      </c>
      <c r="DQ76" s="23"/>
      <c r="DR76" s="23"/>
      <c r="DS76" s="23"/>
      <c r="DT76" s="23"/>
      <c r="DU76" s="23"/>
      <c r="DV76" s="23"/>
      <c r="DW76" s="23"/>
    </row>
    <row r="77" spans="1:127" x14ac:dyDescent="0.25">
      <c r="A77">
        <f t="shared" si="315"/>
        <v>73</v>
      </c>
      <c r="B77" t="str">
        <f t="shared" si="311"/>
        <v>J20-0936</v>
      </c>
      <c r="C77" s="20" t="s">
        <v>203</v>
      </c>
      <c r="D77" s="21" t="s">
        <v>204</v>
      </c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1"/>
      <c r="R77" s="22"/>
      <c r="S77" s="20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0"/>
      <c r="AH77" s="20"/>
      <c r="AI77" s="20"/>
      <c r="AJ77" s="20"/>
      <c r="AK77" s="20"/>
      <c r="AL77" s="20"/>
      <c r="AM77" s="20"/>
      <c r="AN77" s="20"/>
      <c r="AO77" s="20"/>
      <c r="AP77" s="24">
        <f t="shared" si="302"/>
        <v>0</v>
      </c>
      <c r="AQ77" s="24"/>
      <c r="AR77" s="24"/>
      <c r="AS77" s="24"/>
      <c r="AT77" s="24"/>
      <c r="AU77" s="24">
        <f t="shared" si="303"/>
        <v>0</v>
      </c>
      <c r="AV77" s="24"/>
      <c r="AW77" s="24"/>
      <c r="AX77" s="24"/>
      <c r="AY77" s="24"/>
      <c r="AZ77" s="24"/>
      <c r="BA77" s="24"/>
      <c r="BB77" s="24"/>
      <c r="BC77" s="24"/>
      <c r="BD77" s="24"/>
      <c r="BE77" s="20"/>
      <c r="BF77" s="23">
        <v>2457</v>
      </c>
      <c r="BG77" s="23"/>
      <c r="BH77" s="31">
        <v>1300</v>
      </c>
      <c r="BI77" s="20"/>
      <c r="BJ77" s="25">
        <f t="shared" si="307"/>
        <v>3757</v>
      </c>
      <c r="BK77" s="23"/>
      <c r="BL77" s="23"/>
      <c r="BM77" s="24"/>
      <c r="BN77" s="23"/>
      <c r="BO77" s="23"/>
      <c r="BP77" s="23"/>
      <c r="BQ77" s="23"/>
      <c r="BR77" s="23"/>
      <c r="BS77" s="23"/>
      <c r="BT77" s="25">
        <f t="shared" si="306"/>
        <v>0</v>
      </c>
      <c r="BU77" s="23"/>
      <c r="BV77" s="24"/>
      <c r="BW77" s="25">
        <f t="shared" si="309"/>
        <v>0</v>
      </c>
      <c r="BX77" s="23"/>
      <c r="BY77" s="23"/>
      <c r="BZ77" s="23"/>
      <c r="CA77" s="23"/>
      <c r="CB77" s="23"/>
      <c r="CC77" s="23">
        <f t="shared" si="310"/>
        <v>0</v>
      </c>
      <c r="CD77" s="23"/>
      <c r="CE77" s="23"/>
      <c r="CF77" s="23"/>
      <c r="CG77" s="23"/>
      <c r="CH77" s="23"/>
      <c r="CI77" s="23"/>
      <c r="CJ77" s="20"/>
      <c r="CK77" s="34"/>
      <c r="CL77" s="34"/>
      <c r="CM77" s="34"/>
      <c r="CN77" s="34"/>
      <c r="CO77" s="34"/>
      <c r="CP77" s="34">
        <f t="shared" si="312"/>
        <v>0</v>
      </c>
      <c r="CQ77" s="34"/>
      <c r="CR77" s="34"/>
      <c r="CS77" s="34"/>
      <c r="CT77" s="34"/>
      <c r="CU77" s="34"/>
      <c r="CV77" s="34">
        <f t="shared" si="313"/>
        <v>0</v>
      </c>
      <c r="CW77" s="37">
        <f t="shared" si="316"/>
        <v>0</v>
      </c>
      <c r="CX77" s="23"/>
      <c r="CY77" s="23"/>
      <c r="CZ77" s="23"/>
      <c r="DA77" s="23"/>
      <c r="DB77" s="23"/>
      <c r="DC77" s="25">
        <f t="shared" si="317"/>
        <v>0</v>
      </c>
      <c r="DD77" s="23"/>
      <c r="DE77" s="23"/>
      <c r="DF77" s="23"/>
      <c r="DG77" s="23"/>
      <c r="DH77" s="23"/>
      <c r="DI77" s="23">
        <f t="shared" si="318"/>
        <v>0</v>
      </c>
      <c r="DJ77" s="23">
        <f t="shared" si="319"/>
        <v>0</v>
      </c>
      <c r="DK77" s="23"/>
      <c r="DL77" s="23"/>
      <c r="DM77" s="23"/>
      <c r="DN77" s="23"/>
      <c r="DO77" s="23"/>
      <c r="DP77" s="23">
        <f t="shared" si="314"/>
        <v>0</v>
      </c>
      <c r="DQ77" s="23"/>
      <c r="DR77" s="23"/>
      <c r="DS77" s="23"/>
      <c r="DT77" s="23"/>
      <c r="DU77" s="23"/>
      <c r="DV77" s="23"/>
      <c r="DW77" s="23"/>
    </row>
    <row r="78" spans="1:127" x14ac:dyDescent="0.25">
      <c r="A78">
        <f t="shared" si="315"/>
        <v>74</v>
      </c>
      <c r="B78" t="str">
        <f t="shared" si="311"/>
        <v>J20-0872</v>
      </c>
      <c r="C78" s="20" t="s">
        <v>205</v>
      </c>
      <c r="D78" s="21" t="s">
        <v>206</v>
      </c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1"/>
      <c r="R78" s="22"/>
      <c r="S78" s="20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0"/>
      <c r="AH78" s="20"/>
      <c r="AI78" s="20"/>
      <c r="AJ78" s="20"/>
      <c r="AK78" s="20"/>
      <c r="AL78" s="20"/>
      <c r="AM78" s="20"/>
      <c r="AN78" s="20"/>
      <c r="AO78" s="20"/>
      <c r="AP78" s="24">
        <f t="shared" si="302"/>
        <v>0</v>
      </c>
      <c r="AQ78" s="24"/>
      <c r="AR78" s="24"/>
      <c r="AS78" s="24"/>
      <c r="AT78" s="24"/>
      <c r="AU78" s="24">
        <f t="shared" si="303"/>
        <v>0</v>
      </c>
      <c r="AV78" s="24"/>
      <c r="AW78" s="24"/>
      <c r="AX78" s="24"/>
      <c r="AY78" s="24"/>
      <c r="AZ78" s="24"/>
      <c r="BA78" s="24"/>
      <c r="BB78" s="24"/>
      <c r="BC78" s="24"/>
      <c r="BD78" s="24"/>
      <c r="BE78" s="20"/>
      <c r="BF78" s="23"/>
      <c r="BG78" s="23"/>
      <c r="BH78" s="31">
        <v>26040</v>
      </c>
      <c r="BI78" s="20"/>
      <c r="BJ78" s="25">
        <f t="shared" si="307"/>
        <v>26040</v>
      </c>
      <c r="BK78" s="23">
        <v>5360</v>
      </c>
      <c r="BL78" s="23">
        <v>894</v>
      </c>
      <c r="BM78" s="24"/>
      <c r="BN78" s="23"/>
      <c r="BO78" s="23"/>
      <c r="BP78" s="23"/>
      <c r="BQ78" s="23"/>
      <c r="BR78" s="23"/>
      <c r="BS78" s="23"/>
      <c r="BT78" s="25">
        <f t="shared" si="306"/>
        <v>0</v>
      </c>
      <c r="BU78" s="23"/>
      <c r="BV78" s="24"/>
      <c r="BW78" s="25">
        <f t="shared" si="309"/>
        <v>0</v>
      </c>
      <c r="BX78" s="23"/>
      <c r="BY78" s="23"/>
      <c r="BZ78" s="23"/>
      <c r="CA78" s="23"/>
      <c r="CB78" s="23"/>
      <c r="CC78" s="23">
        <f t="shared" si="310"/>
        <v>0</v>
      </c>
      <c r="CD78" s="23"/>
      <c r="CE78" s="23"/>
      <c r="CF78" s="23"/>
      <c r="CG78" s="23"/>
      <c r="CH78" s="23"/>
      <c r="CI78" s="23"/>
      <c r="CJ78" s="20"/>
      <c r="CK78" s="34"/>
      <c r="CL78" s="34"/>
      <c r="CM78" s="34"/>
      <c r="CN78" s="34"/>
      <c r="CO78" s="34"/>
      <c r="CP78" s="34">
        <f t="shared" si="312"/>
        <v>0</v>
      </c>
      <c r="CQ78" s="34"/>
      <c r="CR78" s="34"/>
      <c r="CS78" s="34"/>
      <c r="CT78" s="34"/>
      <c r="CU78" s="34"/>
      <c r="CV78" s="34">
        <f t="shared" si="313"/>
        <v>0</v>
      </c>
      <c r="CW78" s="37">
        <f t="shared" si="316"/>
        <v>0</v>
      </c>
      <c r="CX78" s="23"/>
      <c r="CY78" s="23"/>
      <c r="CZ78" s="23"/>
      <c r="DA78" s="23"/>
      <c r="DB78" s="23"/>
      <c r="DC78" s="25">
        <f t="shared" si="317"/>
        <v>0</v>
      </c>
      <c r="DD78" s="23"/>
      <c r="DE78" s="23"/>
      <c r="DF78" s="23"/>
      <c r="DG78" s="23"/>
      <c r="DH78" s="23"/>
      <c r="DI78" s="23">
        <f t="shared" si="318"/>
        <v>0</v>
      </c>
      <c r="DJ78" s="23">
        <f t="shared" si="319"/>
        <v>0</v>
      </c>
      <c r="DK78" s="23"/>
      <c r="DL78" s="23"/>
      <c r="DM78" s="23"/>
      <c r="DN78" s="23"/>
      <c r="DO78" s="23"/>
      <c r="DP78" s="23">
        <f t="shared" si="314"/>
        <v>0</v>
      </c>
      <c r="DQ78" s="23"/>
      <c r="DR78" s="23"/>
      <c r="DS78" s="23"/>
      <c r="DT78" s="23"/>
      <c r="DU78" s="23"/>
      <c r="DV78" s="23"/>
      <c r="DW78" s="23"/>
    </row>
    <row r="79" spans="1:127" x14ac:dyDescent="0.25">
      <c r="A79">
        <f t="shared" si="315"/>
        <v>75</v>
      </c>
      <c r="B79" t="str">
        <f t="shared" si="311"/>
        <v>J20-0633</v>
      </c>
      <c r="C79" s="20" t="s">
        <v>207</v>
      </c>
      <c r="D79" s="21" t="s">
        <v>208</v>
      </c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1"/>
      <c r="R79" s="22"/>
      <c r="S79" s="20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0"/>
      <c r="AH79" s="20"/>
      <c r="AI79" s="20"/>
      <c r="AJ79" s="20"/>
      <c r="AK79" s="20"/>
      <c r="AL79" s="20"/>
      <c r="AM79" s="20"/>
      <c r="AN79" s="20"/>
      <c r="AO79" s="20"/>
      <c r="AP79" s="24">
        <f t="shared" si="302"/>
        <v>0</v>
      </c>
      <c r="AQ79" s="24"/>
      <c r="AR79" s="24"/>
      <c r="AS79" s="24"/>
      <c r="AT79" s="24"/>
      <c r="AU79" s="24">
        <f t="shared" si="303"/>
        <v>0</v>
      </c>
      <c r="AV79" s="24"/>
      <c r="AW79" s="24"/>
      <c r="AX79" s="24"/>
      <c r="AY79" s="24"/>
      <c r="AZ79" s="24"/>
      <c r="BA79" s="24"/>
      <c r="BB79" s="24"/>
      <c r="BC79" s="24"/>
      <c r="BD79" s="24"/>
      <c r="BE79" s="20"/>
      <c r="BF79" s="23"/>
      <c r="BG79" s="23"/>
      <c r="BH79" s="31">
        <v>15680</v>
      </c>
      <c r="BI79" s="20"/>
      <c r="BJ79" s="25">
        <f t="shared" si="307"/>
        <v>15680</v>
      </c>
      <c r="BK79" s="23"/>
      <c r="BL79" s="23"/>
      <c r="BM79" s="24"/>
      <c r="BN79" s="23"/>
      <c r="BO79" s="23"/>
      <c r="BP79" s="23"/>
      <c r="BQ79" s="23"/>
      <c r="BR79" s="23"/>
      <c r="BS79" s="23"/>
      <c r="BT79" s="25">
        <f t="shared" si="306"/>
        <v>0</v>
      </c>
      <c r="BU79" s="23">
        <f>1480+4070+2200</f>
        <v>7750</v>
      </c>
      <c r="BV79" s="24"/>
      <c r="BW79" s="25">
        <f t="shared" si="309"/>
        <v>7750</v>
      </c>
      <c r="BX79" s="23"/>
      <c r="BY79" s="23"/>
      <c r="BZ79" s="23"/>
      <c r="CA79" s="23"/>
      <c r="CB79" s="23"/>
      <c r="CC79" s="23">
        <f t="shared" si="310"/>
        <v>0</v>
      </c>
      <c r="CD79" s="23"/>
      <c r="CE79" s="23"/>
      <c r="CF79" s="23"/>
      <c r="CG79" s="23"/>
      <c r="CH79" s="23"/>
      <c r="CI79" s="23"/>
      <c r="CJ79" s="20"/>
      <c r="CK79" s="34"/>
      <c r="CL79" s="34"/>
      <c r="CM79" s="34"/>
      <c r="CN79" s="34"/>
      <c r="CO79" s="34"/>
      <c r="CP79" s="34">
        <f t="shared" si="312"/>
        <v>0</v>
      </c>
      <c r="CQ79" s="34"/>
      <c r="CR79" s="34"/>
      <c r="CS79" s="34"/>
      <c r="CT79" s="34"/>
      <c r="CU79" s="34"/>
      <c r="CV79" s="34">
        <f t="shared" si="313"/>
        <v>0</v>
      </c>
      <c r="CW79" s="37">
        <f t="shared" si="316"/>
        <v>0</v>
      </c>
      <c r="CX79" s="23"/>
      <c r="CY79" s="23"/>
      <c r="CZ79" s="23"/>
      <c r="DA79" s="23"/>
      <c r="DB79" s="23"/>
      <c r="DC79" s="25">
        <f t="shared" si="317"/>
        <v>0</v>
      </c>
      <c r="DD79" s="23"/>
      <c r="DE79" s="23"/>
      <c r="DF79" s="23"/>
      <c r="DG79" s="23"/>
      <c r="DH79" s="23"/>
      <c r="DI79" s="23">
        <f t="shared" si="318"/>
        <v>0</v>
      </c>
      <c r="DJ79" s="23">
        <f t="shared" si="319"/>
        <v>0</v>
      </c>
      <c r="DK79" s="23"/>
      <c r="DL79" s="23"/>
      <c r="DM79" s="23"/>
      <c r="DN79" s="23"/>
      <c r="DO79" s="23"/>
      <c r="DP79" s="23">
        <f t="shared" si="314"/>
        <v>0</v>
      </c>
      <c r="DQ79" s="23"/>
      <c r="DR79" s="23"/>
      <c r="DS79" s="23"/>
      <c r="DT79" s="23"/>
      <c r="DU79" s="23"/>
      <c r="DV79" s="23"/>
      <c r="DW79" s="23"/>
    </row>
    <row r="80" spans="1:127" x14ac:dyDescent="0.25">
      <c r="A80">
        <f t="shared" si="315"/>
        <v>76</v>
      </c>
      <c r="B80" t="str">
        <f t="shared" si="311"/>
        <v>J20-0640</v>
      </c>
      <c r="C80" s="20" t="s">
        <v>209</v>
      </c>
      <c r="D80" s="21" t="s">
        <v>210</v>
      </c>
      <c r="E80" s="22"/>
      <c r="F80" s="22"/>
      <c r="G80" s="22"/>
      <c r="H80" s="22"/>
      <c r="I80" s="22"/>
      <c r="J80" s="22"/>
      <c r="K80" s="22"/>
      <c r="L80" s="22"/>
      <c r="M80" s="22"/>
      <c r="N80" s="22"/>
      <c r="P80" s="22"/>
      <c r="Q80" s="21"/>
      <c r="R80" s="55"/>
      <c r="S80" s="20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0"/>
      <c r="AH80" s="20"/>
      <c r="AI80" s="20"/>
      <c r="AJ80" s="20"/>
      <c r="AK80" s="20"/>
      <c r="AL80" s="20"/>
      <c r="AM80" s="20"/>
      <c r="AN80" s="20"/>
      <c r="AO80" s="20"/>
      <c r="AP80" s="24">
        <f t="shared" si="302"/>
        <v>0</v>
      </c>
      <c r="AQ80" s="24"/>
      <c r="AR80" s="24"/>
      <c r="AS80" s="24"/>
      <c r="AT80" s="24"/>
      <c r="AU80" s="24">
        <f t="shared" si="303"/>
        <v>0</v>
      </c>
      <c r="AV80" s="24"/>
      <c r="AW80" s="24"/>
      <c r="AX80" s="24"/>
      <c r="AY80" s="24"/>
      <c r="AZ80" s="24"/>
      <c r="BA80" s="24"/>
      <c r="BB80" s="24"/>
      <c r="BC80" s="24"/>
      <c r="BD80" s="24"/>
      <c r="BE80" s="20"/>
      <c r="BF80" s="23"/>
      <c r="BG80" s="23"/>
      <c r="BH80" s="23">
        <v>6800</v>
      </c>
      <c r="BI80" s="20"/>
      <c r="BJ80" s="25">
        <f t="shared" si="307"/>
        <v>6800</v>
      </c>
      <c r="BK80" s="23">
        <v>1200</v>
      </c>
      <c r="BL80" s="23"/>
      <c r="BM80" s="24">
        <v>6150</v>
      </c>
      <c r="BN80" s="23"/>
      <c r="BO80" s="23"/>
      <c r="BP80" s="23">
        <v>12836</v>
      </c>
      <c r="BQ80" s="23"/>
      <c r="BR80" s="23">
        <v>20140</v>
      </c>
      <c r="BS80" s="23">
        <v>645</v>
      </c>
      <c r="BT80" s="25">
        <f t="shared" si="306"/>
        <v>33621</v>
      </c>
      <c r="BU80" s="23">
        <v>1200</v>
      </c>
      <c r="BV80" s="24"/>
      <c r="BW80" s="25">
        <f t="shared" si="309"/>
        <v>35466</v>
      </c>
      <c r="BX80" s="23"/>
      <c r="BY80" s="23"/>
      <c r="BZ80" s="23"/>
      <c r="CA80" s="23"/>
      <c r="CB80" s="23"/>
      <c r="CC80" s="23">
        <f t="shared" si="310"/>
        <v>0</v>
      </c>
      <c r="CD80" s="23"/>
      <c r="CE80" s="23"/>
      <c r="CF80" s="23"/>
      <c r="CG80" s="23"/>
      <c r="CH80" s="23"/>
      <c r="CI80" s="23"/>
      <c r="CJ80" s="20"/>
      <c r="CK80" s="34"/>
      <c r="CL80" s="34"/>
      <c r="CM80" s="34"/>
      <c r="CN80" s="34"/>
      <c r="CO80" s="34"/>
      <c r="CP80" s="34">
        <f t="shared" si="312"/>
        <v>0</v>
      </c>
      <c r="CQ80" s="34"/>
      <c r="CR80" s="34"/>
      <c r="CS80" s="34"/>
      <c r="CT80" s="34"/>
      <c r="CU80" s="34"/>
      <c r="CV80" s="34">
        <f t="shared" si="313"/>
        <v>0</v>
      </c>
      <c r="CW80" s="37">
        <f t="shared" si="316"/>
        <v>0</v>
      </c>
      <c r="CX80" s="23"/>
      <c r="CY80" s="23"/>
      <c r="CZ80" s="23"/>
      <c r="DA80" s="23"/>
      <c r="DB80" s="23"/>
      <c r="DC80" s="25">
        <f t="shared" si="317"/>
        <v>0</v>
      </c>
      <c r="DD80" s="23"/>
      <c r="DE80" s="23"/>
      <c r="DF80" s="23"/>
      <c r="DG80" s="23"/>
      <c r="DH80" s="23"/>
      <c r="DI80" s="23">
        <f t="shared" si="318"/>
        <v>0</v>
      </c>
      <c r="DJ80" s="23">
        <f t="shared" si="319"/>
        <v>0</v>
      </c>
      <c r="DK80" s="23"/>
      <c r="DL80" s="23"/>
      <c r="DM80" s="23"/>
      <c r="DN80" s="23"/>
      <c r="DO80" s="23"/>
      <c r="DP80" s="23">
        <f t="shared" si="314"/>
        <v>0</v>
      </c>
      <c r="DQ80" s="23"/>
      <c r="DR80" s="23"/>
      <c r="DS80" s="23"/>
      <c r="DT80" s="23"/>
      <c r="DU80" s="23"/>
      <c r="DV80" s="23"/>
      <c r="DW80" s="23"/>
    </row>
    <row r="81" spans="1:127" x14ac:dyDescent="0.25">
      <c r="A81">
        <f t="shared" si="315"/>
        <v>77</v>
      </c>
      <c r="B81" t="str">
        <f t="shared" si="311"/>
        <v>J19-1101</v>
      </c>
      <c r="C81" s="20" t="s">
        <v>211</v>
      </c>
      <c r="D81" s="21" t="s">
        <v>212</v>
      </c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1"/>
      <c r="R81" s="22">
        <v>47478</v>
      </c>
      <c r="S81" s="20"/>
      <c r="T81" s="24">
        <v>14415</v>
      </c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0"/>
      <c r="AH81" s="20"/>
      <c r="AI81" s="20"/>
      <c r="AJ81" s="20"/>
      <c r="AK81" s="20"/>
      <c r="AL81" s="20"/>
      <c r="AM81" s="20"/>
      <c r="AN81" s="20"/>
      <c r="AO81" s="20"/>
      <c r="AP81" s="24">
        <f t="shared" si="302"/>
        <v>0</v>
      </c>
      <c r="AQ81" s="24"/>
      <c r="AR81" s="24"/>
      <c r="AS81" s="24"/>
      <c r="AT81" s="24"/>
      <c r="AU81" s="24">
        <f t="shared" si="303"/>
        <v>0</v>
      </c>
      <c r="AV81" s="24"/>
      <c r="AW81" s="24"/>
      <c r="AX81" s="24"/>
      <c r="AY81" s="24"/>
      <c r="AZ81" s="24"/>
      <c r="BA81" s="24"/>
      <c r="BB81" s="24"/>
      <c r="BC81" s="24"/>
      <c r="BD81" s="24"/>
      <c r="BE81" s="20"/>
      <c r="BF81" s="23"/>
      <c r="BG81" s="23"/>
      <c r="BH81" s="20"/>
      <c r="BI81" s="20"/>
      <c r="BJ81" s="25"/>
      <c r="BK81" s="23"/>
      <c r="BL81" s="23"/>
      <c r="BM81" s="24"/>
      <c r="BN81" s="23"/>
      <c r="BO81" s="23"/>
      <c r="BP81" s="23"/>
      <c r="BQ81" s="23"/>
      <c r="BR81" s="23"/>
      <c r="BS81" s="23"/>
      <c r="BT81" s="25">
        <f t="shared" si="306"/>
        <v>0</v>
      </c>
      <c r="BU81" s="23"/>
      <c r="BV81" s="24"/>
      <c r="BW81" s="25">
        <f t="shared" si="309"/>
        <v>0</v>
      </c>
      <c r="BX81" s="23"/>
      <c r="BY81" s="23"/>
      <c r="BZ81" s="23"/>
      <c r="CA81" s="23"/>
      <c r="CB81" s="23"/>
      <c r="CC81" s="23">
        <f t="shared" si="310"/>
        <v>0</v>
      </c>
      <c r="CD81" s="23"/>
      <c r="CE81" s="23"/>
      <c r="CF81" s="23"/>
      <c r="CG81" s="23"/>
      <c r="CH81" s="23"/>
      <c r="CI81" s="23"/>
      <c r="CJ81" s="20"/>
      <c r="CK81" s="34"/>
      <c r="CL81" s="34"/>
      <c r="CM81" s="34"/>
      <c r="CN81" s="34"/>
      <c r="CO81" s="34"/>
      <c r="CP81" s="34">
        <f t="shared" si="312"/>
        <v>0</v>
      </c>
      <c r="CQ81" s="34"/>
      <c r="CR81" s="34"/>
      <c r="CS81" s="34"/>
      <c r="CT81" s="34"/>
      <c r="CU81" s="34"/>
      <c r="CV81" s="34">
        <f t="shared" si="313"/>
        <v>0</v>
      </c>
      <c r="CW81" s="37">
        <f t="shared" si="316"/>
        <v>0</v>
      </c>
      <c r="CX81" s="23"/>
      <c r="CY81" s="23"/>
      <c r="CZ81" s="23"/>
      <c r="DA81" s="23"/>
      <c r="DB81" s="23"/>
      <c r="DC81" s="25">
        <f t="shared" si="317"/>
        <v>0</v>
      </c>
      <c r="DD81" s="23"/>
      <c r="DE81" s="23"/>
      <c r="DF81" s="23"/>
      <c r="DG81" s="23"/>
      <c r="DH81" s="23"/>
      <c r="DI81" s="23">
        <f t="shared" si="318"/>
        <v>0</v>
      </c>
      <c r="DJ81" s="23">
        <f t="shared" si="319"/>
        <v>0</v>
      </c>
      <c r="DK81" s="23"/>
      <c r="DL81" s="23"/>
      <c r="DM81" s="23"/>
      <c r="DN81" s="23"/>
      <c r="DO81" s="23"/>
      <c r="DP81" s="23">
        <f t="shared" si="314"/>
        <v>0</v>
      </c>
      <c r="DQ81" s="23"/>
      <c r="DR81" s="23"/>
      <c r="DS81" s="23"/>
      <c r="DT81" s="23"/>
      <c r="DU81" s="23"/>
      <c r="DV81" s="23"/>
      <c r="DW81" s="23"/>
    </row>
    <row r="82" spans="1:127" x14ac:dyDescent="0.25">
      <c r="A82">
        <f t="shared" si="315"/>
        <v>78</v>
      </c>
      <c r="B82" t="str">
        <f t="shared" si="311"/>
        <v>J19-0931</v>
      </c>
      <c r="C82" s="20" t="s">
        <v>213</v>
      </c>
      <c r="D82" s="21" t="s">
        <v>214</v>
      </c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1"/>
      <c r="R82" s="22">
        <v>58350</v>
      </c>
      <c r="S82" s="20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0"/>
      <c r="AH82" s="20"/>
      <c r="AI82" s="20"/>
      <c r="AJ82" s="20"/>
      <c r="AK82" s="20"/>
      <c r="AL82" s="20"/>
      <c r="AM82" s="20"/>
      <c r="AN82" s="20"/>
      <c r="AO82" s="20"/>
      <c r="AP82" s="24">
        <f t="shared" si="302"/>
        <v>0</v>
      </c>
      <c r="AQ82" s="24"/>
      <c r="AR82" s="24"/>
      <c r="AS82" s="24"/>
      <c r="AT82" s="24"/>
      <c r="AU82" s="24">
        <f t="shared" si="303"/>
        <v>0</v>
      </c>
      <c r="AV82" s="24"/>
      <c r="AW82" s="24"/>
      <c r="AX82" s="24"/>
      <c r="AY82" s="24"/>
      <c r="AZ82" s="24"/>
      <c r="BA82" s="24"/>
      <c r="BB82" s="24"/>
      <c r="BC82" s="24"/>
      <c r="BD82" s="24"/>
      <c r="BE82" s="20"/>
      <c r="BF82" s="23"/>
      <c r="BG82" s="23"/>
      <c r="BH82" s="20"/>
      <c r="BI82" s="20"/>
      <c r="BJ82" s="25"/>
      <c r="BK82" s="23"/>
      <c r="BL82" s="23"/>
      <c r="BM82" s="24"/>
      <c r="BN82" s="23"/>
      <c r="BO82" s="23"/>
      <c r="BP82" s="23"/>
      <c r="BQ82" s="23"/>
      <c r="BR82" s="23"/>
      <c r="BS82" s="23"/>
      <c r="BT82" s="25">
        <f t="shared" si="306"/>
        <v>0</v>
      </c>
      <c r="BU82" s="23"/>
      <c r="BV82" s="24"/>
      <c r="BW82" s="25">
        <f t="shared" si="309"/>
        <v>0</v>
      </c>
      <c r="BX82" s="23"/>
      <c r="BY82" s="23"/>
      <c r="BZ82" s="23"/>
      <c r="CA82" s="23"/>
      <c r="CB82" s="23"/>
      <c r="CC82" s="23">
        <f t="shared" si="310"/>
        <v>0</v>
      </c>
      <c r="CD82" s="23"/>
      <c r="CE82" s="23"/>
      <c r="CF82" s="23"/>
      <c r="CG82" s="23"/>
      <c r="CH82" s="23"/>
      <c r="CI82" s="23"/>
      <c r="CJ82" s="20"/>
      <c r="CK82" s="34"/>
      <c r="CL82" s="34"/>
      <c r="CM82" s="34"/>
      <c r="CN82" s="34"/>
      <c r="CO82" s="34"/>
      <c r="CP82" s="34">
        <f t="shared" si="312"/>
        <v>0</v>
      </c>
      <c r="CQ82" s="34"/>
      <c r="CR82" s="34"/>
      <c r="CS82" s="34"/>
      <c r="CT82" s="34"/>
      <c r="CU82" s="34"/>
      <c r="CV82" s="34">
        <f t="shared" si="313"/>
        <v>0</v>
      </c>
      <c r="CW82" s="37">
        <f t="shared" si="316"/>
        <v>0</v>
      </c>
      <c r="CX82" s="23"/>
      <c r="CY82" s="23"/>
      <c r="CZ82" s="23"/>
      <c r="DA82" s="23"/>
      <c r="DB82" s="23"/>
      <c r="DC82" s="25">
        <f t="shared" si="317"/>
        <v>0</v>
      </c>
      <c r="DD82" s="23"/>
      <c r="DE82" s="23"/>
      <c r="DF82" s="23"/>
      <c r="DG82" s="23"/>
      <c r="DH82" s="23"/>
      <c r="DI82" s="23">
        <f t="shared" si="318"/>
        <v>0</v>
      </c>
      <c r="DJ82" s="23">
        <f t="shared" si="319"/>
        <v>0</v>
      </c>
      <c r="DK82" s="23"/>
      <c r="DL82" s="23"/>
      <c r="DM82" s="23"/>
      <c r="DN82" s="23"/>
      <c r="DO82" s="23"/>
      <c r="DP82" s="23">
        <f t="shared" si="314"/>
        <v>0</v>
      </c>
      <c r="DQ82" s="23"/>
      <c r="DR82" s="23"/>
      <c r="DS82" s="23"/>
      <c r="DT82" s="23"/>
      <c r="DU82" s="23"/>
      <c r="DV82" s="23"/>
      <c r="DW82" s="23"/>
    </row>
    <row r="83" spans="1:127" x14ac:dyDescent="0.25">
      <c r="A83">
        <f t="shared" si="315"/>
        <v>79</v>
      </c>
      <c r="B83" t="str">
        <f t="shared" si="311"/>
        <v>J19-1155</v>
      </c>
      <c r="C83" s="20" t="s">
        <v>215</v>
      </c>
      <c r="D83" s="21" t="s">
        <v>216</v>
      </c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1"/>
      <c r="R83" s="22">
        <f>27729+3486</f>
        <v>31215</v>
      </c>
      <c r="S83" s="20"/>
      <c r="T83" s="24">
        <f>17060+33110</f>
        <v>50170</v>
      </c>
      <c r="U83" s="23"/>
      <c r="V83" s="23"/>
      <c r="W83" s="23">
        <v>1700</v>
      </c>
      <c r="X83" s="23"/>
      <c r="Y83" s="23"/>
      <c r="Z83" s="23"/>
      <c r="AA83" s="23"/>
      <c r="AB83" s="23"/>
      <c r="AC83" s="23"/>
      <c r="AD83" s="23"/>
      <c r="AE83" s="23"/>
      <c r="AF83" s="23"/>
      <c r="AG83" s="20"/>
      <c r="AH83" s="20"/>
      <c r="AI83" s="20"/>
      <c r="AJ83" s="20"/>
      <c r="AK83" s="20"/>
      <c r="AL83" s="20"/>
      <c r="AM83" s="20"/>
      <c r="AN83" s="20"/>
      <c r="AO83" s="20"/>
      <c r="AP83" s="24">
        <f t="shared" si="302"/>
        <v>0</v>
      </c>
      <c r="AQ83" s="24"/>
      <c r="AR83" s="24"/>
      <c r="AS83" s="24"/>
      <c r="AT83" s="24"/>
      <c r="AU83" s="24">
        <f t="shared" si="303"/>
        <v>0</v>
      </c>
      <c r="AV83" s="24"/>
      <c r="AW83" s="24"/>
      <c r="AX83" s="24"/>
      <c r="AY83" s="24"/>
      <c r="AZ83" s="24"/>
      <c r="BA83" s="24"/>
      <c r="BB83" s="24"/>
      <c r="BC83" s="24"/>
      <c r="BD83" s="24"/>
      <c r="BE83" s="20"/>
      <c r="BF83" s="23"/>
      <c r="BG83" s="23"/>
      <c r="BH83" s="20"/>
      <c r="BI83" s="20"/>
      <c r="BJ83" s="25"/>
      <c r="BK83" s="23"/>
      <c r="BL83" s="23"/>
      <c r="BM83" s="24"/>
      <c r="BN83" s="23"/>
      <c r="BO83" s="23"/>
      <c r="BP83" s="23"/>
      <c r="BQ83" s="23"/>
      <c r="BR83" s="23"/>
      <c r="BS83" s="23"/>
      <c r="BT83" s="25">
        <f t="shared" si="306"/>
        <v>0</v>
      </c>
      <c r="BU83" s="23">
        <v>4080</v>
      </c>
      <c r="BV83" s="24"/>
      <c r="BW83" s="25">
        <f t="shared" ref="BW83:BW102" si="320">SUM(BS83+BT83+BU83+BV83)</f>
        <v>4080</v>
      </c>
      <c r="BX83" s="23"/>
      <c r="BY83" s="23"/>
      <c r="BZ83" s="23"/>
      <c r="CA83" s="23"/>
      <c r="CB83" s="23"/>
      <c r="CC83" s="23">
        <f t="shared" si="310"/>
        <v>0</v>
      </c>
      <c r="CD83" s="23"/>
      <c r="CE83" s="23"/>
      <c r="CF83" s="23"/>
      <c r="CG83" s="23"/>
      <c r="CH83" s="23"/>
      <c r="CI83" s="23"/>
      <c r="CJ83" s="20"/>
      <c r="CK83" s="34"/>
      <c r="CL83" s="34"/>
      <c r="CM83" s="34"/>
      <c r="CN83" s="34"/>
      <c r="CO83" s="34"/>
      <c r="CP83" s="34">
        <f t="shared" si="312"/>
        <v>0</v>
      </c>
      <c r="CQ83" s="34"/>
      <c r="CR83" s="34"/>
      <c r="CS83" s="34"/>
      <c r="CT83" s="34"/>
      <c r="CU83" s="34"/>
      <c r="CV83" s="34">
        <f t="shared" si="313"/>
        <v>0</v>
      </c>
      <c r="CW83" s="37">
        <f t="shared" si="316"/>
        <v>0</v>
      </c>
      <c r="CX83" s="23"/>
      <c r="CY83" s="23"/>
      <c r="CZ83" s="23"/>
      <c r="DA83" s="23"/>
      <c r="DB83" s="23"/>
      <c r="DC83" s="25">
        <f t="shared" si="317"/>
        <v>0</v>
      </c>
      <c r="DD83" s="23"/>
      <c r="DE83" s="23"/>
      <c r="DF83" s="23"/>
      <c r="DG83" s="23"/>
      <c r="DH83" s="23"/>
      <c r="DI83" s="23">
        <f t="shared" si="318"/>
        <v>0</v>
      </c>
      <c r="DJ83" s="23">
        <f t="shared" si="319"/>
        <v>0</v>
      </c>
      <c r="DK83" s="23"/>
      <c r="DL83" s="23"/>
      <c r="DM83" s="23"/>
      <c r="DN83" s="23"/>
      <c r="DO83" s="23"/>
      <c r="DP83" s="23">
        <f t="shared" si="314"/>
        <v>0</v>
      </c>
      <c r="DQ83" s="23"/>
      <c r="DR83" s="23"/>
      <c r="DS83" s="23"/>
      <c r="DT83" s="23"/>
      <c r="DU83" s="23"/>
      <c r="DV83" s="23"/>
      <c r="DW83" s="23"/>
    </row>
    <row r="84" spans="1:127" x14ac:dyDescent="0.25">
      <c r="A84">
        <f t="shared" si="315"/>
        <v>80</v>
      </c>
      <c r="B84" t="str">
        <f t="shared" si="311"/>
        <v>J19-1021</v>
      </c>
      <c r="C84" s="20" t="s">
        <v>217</v>
      </c>
      <c r="D84" s="21" t="s">
        <v>218</v>
      </c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1"/>
      <c r="R84" s="20"/>
      <c r="S84" s="20"/>
      <c r="T84" s="24">
        <v>31455</v>
      </c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0"/>
      <c r="AH84" s="20"/>
      <c r="AI84" s="20"/>
      <c r="AJ84" s="20"/>
      <c r="AK84" s="20"/>
      <c r="AL84" s="20"/>
      <c r="AM84" s="20"/>
      <c r="AN84" s="20"/>
      <c r="AO84" s="20"/>
      <c r="AP84" s="24">
        <f t="shared" si="302"/>
        <v>0</v>
      </c>
      <c r="AQ84" s="24"/>
      <c r="AR84" s="24"/>
      <c r="AS84" s="24"/>
      <c r="AT84" s="24"/>
      <c r="AU84" s="24">
        <f t="shared" si="303"/>
        <v>0</v>
      </c>
      <c r="AV84" s="24"/>
      <c r="AW84" s="24"/>
      <c r="AX84" s="24"/>
      <c r="AY84" s="24"/>
      <c r="AZ84" s="24"/>
      <c r="BA84" s="24"/>
      <c r="BB84" s="24"/>
      <c r="BC84" s="24"/>
      <c r="BD84" s="24"/>
      <c r="BE84" s="20"/>
      <c r="BF84" s="23"/>
      <c r="BG84" s="23"/>
      <c r="BH84" s="20"/>
      <c r="BI84" s="20"/>
      <c r="BJ84" s="25"/>
      <c r="BK84" s="23"/>
      <c r="BL84" s="23"/>
      <c r="BM84" s="24"/>
      <c r="BN84" s="23"/>
      <c r="BO84" s="23"/>
      <c r="BP84" s="23"/>
      <c r="BQ84" s="23"/>
      <c r="BR84" s="23"/>
      <c r="BS84" s="23"/>
      <c r="BT84" s="25">
        <f t="shared" ref="BT84:BT98" si="321">SUM(BP84+BQ84+BR84+BS84)</f>
        <v>0</v>
      </c>
      <c r="BU84" s="23"/>
      <c r="BV84" s="24"/>
      <c r="BW84" s="25">
        <f t="shared" si="320"/>
        <v>0</v>
      </c>
      <c r="BX84" s="23"/>
      <c r="BY84" s="23"/>
      <c r="BZ84" s="23"/>
      <c r="CA84" s="23"/>
      <c r="CB84" s="23"/>
      <c r="CC84" s="23">
        <f t="shared" si="310"/>
        <v>0</v>
      </c>
      <c r="CD84" s="23"/>
      <c r="CE84" s="23"/>
      <c r="CF84" s="23"/>
      <c r="CG84" s="23"/>
      <c r="CH84" s="23"/>
      <c r="CI84" s="23"/>
      <c r="CJ84" s="20"/>
      <c r="CK84" s="34"/>
      <c r="CL84" s="34"/>
      <c r="CM84" s="34"/>
      <c r="CN84" s="34"/>
      <c r="CO84" s="34"/>
      <c r="CP84" s="34">
        <f t="shared" si="312"/>
        <v>0</v>
      </c>
      <c r="CQ84" s="34"/>
      <c r="CR84" s="34"/>
      <c r="CS84" s="34"/>
      <c r="CT84" s="34"/>
      <c r="CU84" s="34"/>
      <c r="CV84" s="34">
        <f t="shared" si="313"/>
        <v>0</v>
      </c>
      <c r="CW84" s="37">
        <f t="shared" si="316"/>
        <v>0</v>
      </c>
      <c r="CX84" s="23"/>
      <c r="CY84" s="23"/>
      <c r="CZ84" s="23"/>
      <c r="DA84" s="23"/>
      <c r="DB84" s="23"/>
      <c r="DC84" s="25">
        <f t="shared" si="317"/>
        <v>0</v>
      </c>
      <c r="DD84" s="23"/>
      <c r="DE84" s="23"/>
      <c r="DF84" s="23"/>
      <c r="DG84" s="23"/>
      <c r="DH84" s="23"/>
      <c r="DI84" s="23">
        <f t="shared" si="318"/>
        <v>0</v>
      </c>
      <c r="DJ84" s="23">
        <f t="shared" si="319"/>
        <v>0</v>
      </c>
      <c r="DK84" s="23"/>
      <c r="DL84" s="23"/>
      <c r="DM84" s="23"/>
      <c r="DN84" s="23"/>
      <c r="DO84" s="23"/>
      <c r="DP84" s="23">
        <f t="shared" si="314"/>
        <v>0</v>
      </c>
      <c r="DQ84" s="23"/>
      <c r="DR84" s="23"/>
      <c r="DS84" s="23"/>
      <c r="DT84" s="23"/>
      <c r="DU84" s="23"/>
      <c r="DV84" s="23"/>
      <c r="DW84" s="23"/>
    </row>
    <row r="85" spans="1:127" x14ac:dyDescent="0.25">
      <c r="A85">
        <f t="shared" si="315"/>
        <v>81</v>
      </c>
      <c r="B85" t="str">
        <f t="shared" si="311"/>
        <v>J18-1547</v>
      </c>
      <c r="C85" s="51" t="s">
        <v>219</v>
      </c>
      <c r="D85" s="56" t="s">
        <v>220</v>
      </c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6"/>
      <c r="R85" s="51"/>
      <c r="S85" s="51"/>
      <c r="T85" s="58">
        <v>4000</v>
      </c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9">
        <f>AG76+AI76</f>
        <v>0</v>
      </c>
      <c r="AL85" s="60">
        <f>AL76+AN76</f>
        <v>0</v>
      </c>
      <c r="BA85" s="60">
        <f>BA76+BC76</f>
        <v>0</v>
      </c>
      <c r="BJ85" s="25"/>
      <c r="BK85" s="23"/>
      <c r="BM85" s="58"/>
      <c r="BN85" s="61"/>
      <c r="BO85" s="61"/>
      <c r="BP85" s="61"/>
      <c r="BQ85" s="61"/>
      <c r="BR85" s="61"/>
      <c r="BS85" s="61"/>
      <c r="BT85" s="25">
        <f t="shared" si="321"/>
        <v>0</v>
      </c>
      <c r="BU85" s="23"/>
      <c r="BV85" s="24"/>
      <c r="BW85" s="25">
        <f t="shared" si="320"/>
        <v>0</v>
      </c>
      <c r="BX85" s="23"/>
      <c r="BY85" s="23"/>
      <c r="BZ85" s="23"/>
      <c r="CA85" s="23"/>
      <c r="CB85" s="23"/>
      <c r="CC85" s="23">
        <f t="shared" si="310"/>
        <v>0</v>
      </c>
      <c r="CD85" s="23"/>
      <c r="CE85" s="23"/>
      <c r="CF85" s="23"/>
      <c r="CG85" s="23"/>
      <c r="CH85" s="23"/>
      <c r="CI85" s="23"/>
      <c r="CJ85" s="20"/>
      <c r="CK85" s="34"/>
      <c r="CL85" s="34"/>
      <c r="CM85" s="34"/>
      <c r="CN85" s="34"/>
      <c r="CO85" s="34"/>
      <c r="CP85" s="34">
        <f t="shared" si="312"/>
        <v>0</v>
      </c>
      <c r="CQ85" s="34"/>
      <c r="CR85" s="34"/>
      <c r="CS85" s="34"/>
      <c r="CT85" s="34"/>
      <c r="CU85" s="34"/>
      <c r="CV85" s="34">
        <f t="shared" si="313"/>
        <v>0</v>
      </c>
      <c r="CW85" s="37">
        <f t="shared" si="316"/>
        <v>0</v>
      </c>
      <c r="CX85" s="23"/>
      <c r="CY85" s="23"/>
      <c r="CZ85" s="23"/>
      <c r="DA85" s="23"/>
      <c r="DB85" s="23"/>
      <c r="DC85" s="25">
        <f t="shared" si="317"/>
        <v>0</v>
      </c>
      <c r="DD85" s="23"/>
      <c r="DE85" s="23"/>
      <c r="DF85" s="23"/>
      <c r="DG85" s="23"/>
      <c r="DH85" s="23"/>
      <c r="DI85" s="23">
        <f t="shared" si="318"/>
        <v>0</v>
      </c>
      <c r="DJ85" s="23">
        <f t="shared" si="319"/>
        <v>0</v>
      </c>
      <c r="DK85" s="23"/>
      <c r="DL85" s="23"/>
      <c r="DM85" s="23"/>
      <c r="DN85" s="23"/>
      <c r="DO85" s="23"/>
      <c r="DP85" s="23">
        <f t="shared" si="314"/>
        <v>0</v>
      </c>
      <c r="DQ85" s="23"/>
      <c r="DR85" s="23"/>
      <c r="DS85" s="23"/>
      <c r="DT85" s="23"/>
      <c r="DU85" s="23"/>
      <c r="DV85" s="23"/>
      <c r="DW85" s="23"/>
    </row>
    <row r="86" spans="1:127" x14ac:dyDescent="0.25">
      <c r="A86">
        <f t="shared" si="315"/>
        <v>82</v>
      </c>
      <c r="B86" t="str">
        <f t="shared" si="311"/>
        <v>J20-0861</v>
      </c>
      <c r="C86" s="20" t="s">
        <v>221</v>
      </c>
      <c r="D86" s="21" t="s">
        <v>222</v>
      </c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1"/>
      <c r="R86" s="20"/>
      <c r="S86" s="20"/>
      <c r="T86" s="23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5">
        <f t="shared" ref="AG86" si="322">AG78+AI78</f>
        <v>0</v>
      </c>
      <c r="AH86" s="20"/>
      <c r="AI86" s="20"/>
      <c r="AJ86" s="20"/>
      <c r="AK86" s="20"/>
      <c r="AL86" s="25">
        <f t="shared" ref="AL86" si="323">AL78+AN78</f>
        <v>0</v>
      </c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5">
        <f t="shared" ref="BA86" si="324">BA78+BC78</f>
        <v>0</v>
      </c>
      <c r="BB86" s="20"/>
      <c r="BC86" s="20"/>
      <c r="BD86" s="20"/>
      <c r="BE86" s="20"/>
      <c r="BF86" s="23"/>
      <c r="BG86" s="23"/>
      <c r="BH86" s="20"/>
      <c r="BI86" s="20"/>
      <c r="BJ86" s="25"/>
      <c r="BK86" s="23">
        <v>43900</v>
      </c>
      <c r="BL86" s="23">
        <v>791</v>
      </c>
      <c r="BM86" s="24">
        <v>10000</v>
      </c>
      <c r="BN86" s="23">
        <v>678</v>
      </c>
      <c r="BO86" s="23"/>
      <c r="BP86" s="23"/>
      <c r="BQ86" s="23"/>
      <c r="BR86" s="23"/>
      <c r="BS86" s="23"/>
      <c r="BT86" s="25">
        <f t="shared" si="321"/>
        <v>0</v>
      </c>
      <c r="BU86" s="23">
        <v>1800</v>
      </c>
      <c r="BV86" s="24"/>
      <c r="BW86" s="25">
        <f t="shared" si="320"/>
        <v>1800</v>
      </c>
      <c r="BX86" s="23"/>
      <c r="BY86" s="23"/>
      <c r="BZ86" s="23"/>
      <c r="CA86" s="23"/>
      <c r="CB86" s="23"/>
      <c r="CC86" s="23">
        <f t="shared" si="310"/>
        <v>0</v>
      </c>
      <c r="CD86" s="23"/>
      <c r="CE86" s="23"/>
      <c r="CF86" s="23"/>
      <c r="CG86" s="23"/>
      <c r="CH86" s="23"/>
      <c r="CI86" s="23"/>
      <c r="CJ86" s="20"/>
      <c r="CK86" s="34"/>
      <c r="CL86" s="34"/>
      <c r="CM86" s="34"/>
      <c r="CN86" s="34"/>
      <c r="CO86" s="34"/>
      <c r="CP86" s="34">
        <f t="shared" si="312"/>
        <v>0</v>
      </c>
      <c r="CQ86" s="34"/>
      <c r="CR86" s="34"/>
      <c r="CS86" s="34"/>
      <c r="CT86" s="34"/>
      <c r="CU86" s="34"/>
      <c r="CV86" s="34">
        <f t="shared" si="313"/>
        <v>0</v>
      </c>
      <c r="CW86" s="37">
        <f t="shared" si="316"/>
        <v>0</v>
      </c>
      <c r="CX86" s="23"/>
      <c r="CY86" s="23"/>
      <c r="CZ86" s="23"/>
      <c r="DA86" s="23"/>
      <c r="DB86" s="23"/>
      <c r="DC86" s="25">
        <f t="shared" si="317"/>
        <v>0</v>
      </c>
      <c r="DD86" s="23"/>
      <c r="DE86" s="23"/>
      <c r="DF86" s="23"/>
      <c r="DG86" s="23"/>
      <c r="DH86" s="23"/>
      <c r="DI86" s="23">
        <f t="shared" si="318"/>
        <v>0</v>
      </c>
      <c r="DJ86" s="23">
        <f t="shared" si="319"/>
        <v>0</v>
      </c>
      <c r="DK86" s="23"/>
      <c r="DL86" s="23"/>
      <c r="DM86" s="23"/>
      <c r="DN86" s="23"/>
      <c r="DO86" s="23"/>
      <c r="DP86" s="23">
        <f t="shared" si="314"/>
        <v>0</v>
      </c>
      <c r="DQ86" s="23"/>
      <c r="DR86" s="23"/>
      <c r="DS86" s="23"/>
      <c r="DT86" s="23"/>
      <c r="DU86" s="23"/>
      <c r="DV86" s="23"/>
      <c r="DW86" s="23"/>
    </row>
    <row r="87" spans="1:127" x14ac:dyDescent="0.25">
      <c r="A87">
        <f t="shared" si="315"/>
        <v>83</v>
      </c>
      <c r="B87" t="str">
        <f t="shared" si="311"/>
        <v>J20-0773</v>
      </c>
      <c r="C87" s="20" t="s">
        <v>223</v>
      </c>
      <c r="D87" s="21" t="s">
        <v>224</v>
      </c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1"/>
      <c r="R87" s="20"/>
      <c r="S87" s="20"/>
      <c r="T87" s="23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5">
        <f>AG74+AI74</f>
        <v>0</v>
      </c>
      <c r="AH87" s="20"/>
      <c r="AI87" s="20"/>
      <c r="AJ87" s="20"/>
      <c r="AK87" s="20"/>
      <c r="AL87" s="25">
        <f>AL74+AN74</f>
        <v>0</v>
      </c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5">
        <f>BA74+BC74</f>
        <v>0</v>
      </c>
      <c r="BB87" s="20"/>
      <c r="BC87" s="20"/>
      <c r="BD87" s="20"/>
      <c r="BE87" s="20"/>
      <c r="BF87" s="23"/>
      <c r="BG87" s="23"/>
      <c r="BH87" s="20"/>
      <c r="BI87" s="20"/>
      <c r="BJ87" s="25"/>
      <c r="BK87" s="23">
        <v>14960</v>
      </c>
      <c r="BL87" s="23"/>
      <c r="BM87" s="24">
        <v>40560</v>
      </c>
      <c r="BN87" s="23"/>
      <c r="BO87" s="23"/>
      <c r="BP87" s="23">
        <v>22530</v>
      </c>
      <c r="BQ87" s="23">
        <v>826</v>
      </c>
      <c r="BR87" s="23">
        <v>36250</v>
      </c>
      <c r="BS87" s="23">
        <v>776</v>
      </c>
      <c r="BT87" s="25">
        <f t="shared" si="321"/>
        <v>60382</v>
      </c>
      <c r="BU87" s="23">
        <v>8480</v>
      </c>
      <c r="BV87" s="24"/>
      <c r="BW87" s="25">
        <f t="shared" si="320"/>
        <v>69638</v>
      </c>
      <c r="BX87" s="23"/>
      <c r="BY87" s="23"/>
      <c r="BZ87" s="23"/>
      <c r="CA87" s="23"/>
      <c r="CB87" s="23"/>
      <c r="CC87" s="23">
        <f t="shared" si="310"/>
        <v>0</v>
      </c>
      <c r="CD87" s="23"/>
      <c r="CE87" s="23"/>
      <c r="CF87" s="23"/>
      <c r="CG87" s="23"/>
      <c r="CH87" s="23"/>
      <c r="CI87" s="23"/>
      <c r="CJ87" s="20"/>
      <c r="CK87" s="34"/>
      <c r="CL87" s="34"/>
      <c r="CM87" s="34"/>
      <c r="CN87" s="34"/>
      <c r="CO87" s="34"/>
      <c r="CP87" s="34">
        <f t="shared" si="312"/>
        <v>0</v>
      </c>
      <c r="CQ87" s="34"/>
      <c r="CR87" s="34"/>
      <c r="CS87" s="34"/>
      <c r="CT87" s="34"/>
      <c r="CU87" s="34"/>
      <c r="CV87" s="34">
        <f t="shared" si="313"/>
        <v>0</v>
      </c>
      <c r="CW87" s="37">
        <f t="shared" si="316"/>
        <v>0</v>
      </c>
      <c r="CX87" s="23"/>
      <c r="CY87" s="23"/>
      <c r="CZ87" s="23"/>
      <c r="DA87" s="23"/>
      <c r="DB87" s="23"/>
      <c r="DC87" s="25">
        <f t="shared" si="317"/>
        <v>0</v>
      </c>
      <c r="DD87" s="23"/>
      <c r="DE87" s="23"/>
      <c r="DF87" s="23"/>
      <c r="DG87" s="23"/>
      <c r="DH87" s="23"/>
      <c r="DI87" s="23">
        <f t="shared" si="318"/>
        <v>0</v>
      </c>
      <c r="DJ87" s="23">
        <f t="shared" si="319"/>
        <v>0</v>
      </c>
      <c r="DK87" s="23"/>
      <c r="DL87" s="23"/>
      <c r="DM87" s="23"/>
      <c r="DN87" s="23"/>
      <c r="DO87" s="23"/>
      <c r="DP87" s="23">
        <f t="shared" si="314"/>
        <v>0</v>
      </c>
      <c r="DQ87" s="23"/>
      <c r="DR87" s="23"/>
      <c r="DS87" s="23"/>
      <c r="DT87" s="23"/>
      <c r="DU87" s="23"/>
      <c r="DV87" s="23"/>
      <c r="DW87" s="23"/>
    </row>
    <row r="88" spans="1:127" x14ac:dyDescent="0.25">
      <c r="A88">
        <f t="shared" si="315"/>
        <v>84</v>
      </c>
      <c r="B88" t="str">
        <f t="shared" si="311"/>
        <v>J20-0745</v>
      </c>
      <c r="C88" s="20" t="s">
        <v>225</v>
      </c>
      <c r="D88" s="21" t="s">
        <v>226</v>
      </c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1"/>
      <c r="R88" s="20"/>
      <c r="S88" s="20"/>
      <c r="T88" s="23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5">
        <f t="shared" ref="AG88:AG91" si="325">AG75+AI75</f>
        <v>0</v>
      </c>
      <c r="AH88" s="20"/>
      <c r="AI88" s="20"/>
      <c r="AJ88" s="20"/>
      <c r="AK88" s="20"/>
      <c r="AL88" s="25">
        <f t="shared" ref="AL88:AL91" si="326">AL75+AN75</f>
        <v>0</v>
      </c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5">
        <f t="shared" ref="BA88:BA91" si="327">BA75+BC75</f>
        <v>0</v>
      </c>
      <c r="BB88" s="20"/>
      <c r="BC88" s="20"/>
      <c r="BD88" s="20"/>
      <c r="BE88" s="20"/>
      <c r="BF88" s="23"/>
      <c r="BG88" s="23"/>
      <c r="BH88" s="20"/>
      <c r="BI88" s="20"/>
      <c r="BJ88" s="25"/>
      <c r="BK88" s="23">
        <v>9200</v>
      </c>
      <c r="BL88" s="23"/>
      <c r="BM88" s="24">
        <v>8640</v>
      </c>
      <c r="BN88" s="23">
        <v>808</v>
      </c>
      <c r="BO88" s="23"/>
      <c r="BP88" s="23"/>
      <c r="BQ88" s="23"/>
      <c r="BR88" s="23"/>
      <c r="BS88" s="23"/>
      <c r="BT88" s="25">
        <f t="shared" si="321"/>
        <v>0</v>
      </c>
      <c r="BU88" s="23">
        <f>7080+7700+15250</f>
        <v>30030</v>
      </c>
      <c r="BV88" s="24"/>
      <c r="BW88" s="25">
        <f t="shared" si="320"/>
        <v>30030</v>
      </c>
      <c r="BX88" s="23"/>
      <c r="BY88" s="23"/>
      <c r="BZ88" s="23"/>
      <c r="CA88" s="23"/>
      <c r="CB88" s="23"/>
      <c r="CC88" s="23">
        <f t="shared" si="310"/>
        <v>0</v>
      </c>
      <c r="CD88" s="23"/>
      <c r="CE88" s="23"/>
      <c r="CF88" s="23"/>
      <c r="CG88" s="23"/>
      <c r="CH88" s="23"/>
      <c r="CI88" s="23"/>
      <c r="CJ88" s="20"/>
      <c r="CK88" s="34"/>
      <c r="CL88" s="34"/>
      <c r="CM88" s="34"/>
      <c r="CN88" s="34"/>
      <c r="CO88" s="34"/>
      <c r="CP88" s="34">
        <f t="shared" si="312"/>
        <v>0</v>
      </c>
      <c r="CQ88" s="34"/>
      <c r="CR88" s="34"/>
      <c r="CS88" s="34"/>
      <c r="CT88" s="34"/>
      <c r="CU88" s="34"/>
      <c r="CV88" s="34">
        <f t="shared" si="313"/>
        <v>0</v>
      </c>
      <c r="CW88" s="37">
        <f t="shared" si="316"/>
        <v>0</v>
      </c>
      <c r="CX88" s="23"/>
      <c r="CY88" s="23"/>
      <c r="CZ88" s="23"/>
      <c r="DA88" s="23"/>
      <c r="DB88" s="23"/>
      <c r="DC88" s="25">
        <f t="shared" si="317"/>
        <v>0</v>
      </c>
      <c r="DD88" s="23"/>
      <c r="DE88" s="23"/>
      <c r="DF88" s="23"/>
      <c r="DG88" s="23"/>
      <c r="DH88" s="23"/>
      <c r="DI88" s="23">
        <f t="shared" si="318"/>
        <v>0</v>
      </c>
      <c r="DJ88" s="23">
        <f t="shared" si="319"/>
        <v>0</v>
      </c>
      <c r="DK88" s="23"/>
      <c r="DL88" s="23"/>
      <c r="DM88" s="23"/>
      <c r="DN88" s="23"/>
      <c r="DO88" s="23"/>
      <c r="DP88" s="23">
        <f t="shared" si="314"/>
        <v>0</v>
      </c>
      <c r="DQ88" s="23"/>
      <c r="DR88" s="23"/>
      <c r="DS88" s="23"/>
      <c r="DT88" s="23"/>
      <c r="DU88" s="23"/>
      <c r="DV88" s="23"/>
      <c r="DW88" s="23"/>
    </row>
    <row r="89" spans="1:127" x14ac:dyDescent="0.25">
      <c r="A89">
        <f t="shared" si="315"/>
        <v>85</v>
      </c>
      <c r="B89" t="str">
        <f t="shared" si="311"/>
        <v>J20-0509</v>
      </c>
      <c r="C89" s="20" t="s">
        <v>227</v>
      </c>
      <c r="D89" s="21" t="s">
        <v>228</v>
      </c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1"/>
      <c r="R89" s="20"/>
      <c r="S89" s="20"/>
      <c r="T89" s="23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5">
        <f t="shared" si="325"/>
        <v>0</v>
      </c>
      <c r="AH89" s="20"/>
      <c r="AI89" s="20"/>
      <c r="AJ89" s="20"/>
      <c r="AK89" s="20"/>
      <c r="AL89" s="25">
        <f t="shared" si="326"/>
        <v>0</v>
      </c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5">
        <f t="shared" si="327"/>
        <v>0</v>
      </c>
      <c r="BB89" s="20"/>
      <c r="BC89" s="20"/>
      <c r="BD89" s="20"/>
      <c r="BE89" s="20"/>
      <c r="BF89" s="23"/>
      <c r="BG89" s="23"/>
      <c r="BH89" s="20"/>
      <c r="BI89" s="20"/>
      <c r="BJ89" s="20"/>
      <c r="BK89" s="23">
        <v>1718</v>
      </c>
      <c r="BL89" s="23"/>
      <c r="BM89" s="24"/>
      <c r="BN89" s="23"/>
      <c r="BO89" s="23"/>
      <c r="BP89" s="23"/>
      <c r="BQ89" s="23"/>
      <c r="BR89" s="23"/>
      <c r="BS89" s="23"/>
      <c r="BT89" s="25">
        <f t="shared" si="321"/>
        <v>0</v>
      </c>
      <c r="BU89" s="23"/>
      <c r="BV89" s="24"/>
      <c r="BW89" s="25">
        <f t="shared" si="320"/>
        <v>0</v>
      </c>
      <c r="BX89" s="23"/>
      <c r="BY89" s="23"/>
      <c r="BZ89" s="23"/>
      <c r="CA89" s="23"/>
      <c r="CB89" s="23"/>
      <c r="CC89" s="23">
        <f t="shared" si="310"/>
        <v>0</v>
      </c>
      <c r="CD89" s="23"/>
      <c r="CE89" s="23"/>
      <c r="CF89" s="23"/>
      <c r="CG89" s="23"/>
      <c r="CH89" s="23"/>
      <c r="CI89" s="23"/>
      <c r="CJ89" s="20"/>
      <c r="CK89" s="34"/>
      <c r="CL89" s="34"/>
      <c r="CM89" s="34"/>
      <c r="CN89" s="34"/>
      <c r="CO89" s="34"/>
      <c r="CP89" s="34">
        <f t="shared" si="312"/>
        <v>0</v>
      </c>
      <c r="CQ89" s="34"/>
      <c r="CR89" s="34"/>
      <c r="CS89" s="34"/>
      <c r="CT89" s="34"/>
      <c r="CU89" s="34"/>
      <c r="CV89" s="34">
        <f t="shared" si="313"/>
        <v>0</v>
      </c>
      <c r="CW89" s="37">
        <f t="shared" si="316"/>
        <v>0</v>
      </c>
      <c r="CX89" s="23"/>
      <c r="CY89" s="23"/>
      <c r="CZ89" s="23"/>
      <c r="DA89" s="23"/>
      <c r="DB89" s="23"/>
      <c r="DC89" s="25">
        <f t="shared" si="317"/>
        <v>0</v>
      </c>
      <c r="DD89" s="23"/>
      <c r="DE89" s="23"/>
      <c r="DF89" s="23"/>
      <c r="DG89" s="23"/>
      <c r="DH89" s="23"/>
      <c r="DI89" s="23">
        <f t="shared" si="318"/>
        <v>0</v>
      </c>
      <c r="DJ89" s="23">
        <f t="shared" si="319"/>
        <v>0</v>
      </c>
      <c r="DK89" s="23"/>
      <c r="DL89" s="23"/>
      <c r="DM89" s="23"/>
      <c r="DN89" s="23"/>
      <c r="DO89" s="23"/>
      <c r="DP89" s="23">
        <f t="shared" si="314"/>
        <v>0</v>
      </c>
      <c r="DQ89" s="23"/>
      <c r="DR89" s="23"/>
      <c r="DS89" s="23"/>
      <c r="DT89" s="23"/>
      <c r="DU89" s="23"/>
      <c r="DV89" s="23"/>
      <c r="DW89" s="23"/>
    </row>
    <row r="90" spans="1:127" x14ac:dyDescent="0.25">
      <c r="A90">
        <f t="shared" si="315"/>
        <v>86</v>
      </c>
      <c r="B90" t="str">
        <f t="shared" si="311"/>
        <v>J20-0891</v>
      </c>
      <c r="C90" s="20" t="s">
        <v>221</v>
      </c>
      <c r="D90" s="21" t="s">
        <v>229</v>
      </c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1"/>
      <c r="R90" s="20"/>
      <c r="S90" s="20"/>
      <c r="T90" s="23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5">
        <f t="shared" si="325"/>
        <v>0</v>
      </c>
      <c r="AH90" s="20"/>
      <c r="AI90" s="20"/>
      <c r="AJ90" s="20"/>
      <c r="AK90" s="20"/>
      <c r="AL90" s="25">
        <f t="shared" si="326"/>
        <v>0</v>
      </c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5">
        <f t="shared" si="327"/>
        <v>0</v>
      </c>
      <c r="BB90" s="20"/>
      <c r="BC90" s="20"/>
      <c r="BD90" s="20"/>
      <c r="BE90" s="20"/>
      <c r="BF90" s="23"/>
      <c r="BG90" s="23"/>
      <c r="BH90" s="20"/>
      <c r="BI90" s="20"/>
      <c r="BJ90" s="20"/>
      <c r="BK90" s="23"/>
      <c r="BL90" s="23"/>
      <c r="BM90" s="24">
        <v>31500</v>
      </c>
      <c r="BN90" s="23"/>
      <c r="BO90" s="23"/>
      <c r="BP90" s="23"/>
      <c r="BQ90" s="23"/>
      <c r="BR90" s="23"/>
      <c r="BS90" s="23"/>
      <c r="BT90" s="25">
        <f t="shared" si="321"/>
        <v>0</v>
      </c>
      <c r="BU90" s="23">
        <v>3150</v>
      </c>
      <c r="BV90" s="24"/>
      <c r="BW90" s="25">
        <f t="shared" si="320"/>
        <v>3150</v>
      </c>
      <c r="BX90" s="23"/>
      <c r="BY90" s="23"/>
      <c r="BZ90" s="23"/>
      <c r="CA90" s="23"/>
      <c r="CB90" s="23"/>
      <c r="CC90" s="23">
        <f t="shared" si="310"/>
        <v>0</v>
      </c>
      <c r="CD90" s="23"/>
      <c r="CE90" s="23"/>
      <c r="CF90" s="23"/>
      <c r="CG90" s="23"/>
      <c r="CH90" s="23"/>
      <c r="CI90" s="23"/>
      <c r="CJ90" s="20"/>
      <c r="CK90" s="34"/>
      <c r="CL90" s="34"/>
      <c r="CM90" s="34"/>
      <c r="CN90" s="34"/>
      <c r="CO90" s="34"/>
      <c r="CP90" s="34">
        <f t="shared" si="312"/>
        <v>0</v>
      </c>
      <c r="CQ90" s="34"/>
      <c r="CR90" s="34"/>
      <c r="CS90" s="34"/>
      <c r="CT90" s="34"/>
      <c r="CU90" s="34"/>
      <c r="CV90" s="34">
        <f t="shared" si="313"/>
        <v>0</v>
      </c>
      <c r="CW90" s="37">
        <f t="shared" si="316"/>
        <v>0</v>
      </c>
      <c r="CX90" s="23"/>
      <c r="CY90" s="23"/>
      <c r="CZ90" s="23"/>
      <c r="DA90" s="23"/>
      <c r="DB90" s="23"/>
      <c r="DC90" s="25">
        <f t="shared" si="317"/>
        <v>0</v>
      </c>
      <c r="DD90" s="23"/>
      <c r="DE90" s="23"/>
      <c r="DF90" s="23"/>
      <c r="DG90" s="23"/>
      <c r="DH90" s="23"/>
      <c r="DI90" s="23">
        <f t="shared" si="318"/>
        <v>0</v>
      </c>
      <c r="DJ90" s="23">
        <f t="shared" si="319"/>
        <v>0</v>
      </c>
      <c r="DK90" s="23"/>
      <c r="DL90" s="23"/>
      <c r="DM90" s="23"/>
      <c r="DN90" s="23"/>
      <c r="DO90" s="23"/>
      <c r="DP90" s="23">
        <f t="shared" si="314"/>
        <v>0</v>
      </c>
      <c r="DQ90" s="23"/>
      <c r="DR90" s="23"/>
      <c r="DS90" s="23"/>
      <c r="DT90" s="23"/>
      <c r="DU90" s="23"/>
      <c r="DV90" s="23"/>
      <c r="DW90" s="23"/>
    </row>
    <row r="91" spans="1:127" x14ac:dyDescent="0.25">
      <c r="A91">
        <f t="shared" si="315"/>
        <v>87</v>
      </c>
      <c r="B91" t="str">
        <f t="shared" si="311"/>
        <v>J20-0467</v>
      </c>
      <c r="C91" s="20" t="s">
        <v>230</v>
      </c>
      <c r="D91" s="21" t="s">
        <v>231</v>
      </c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1"/>
      <c r="R91" s="20"/>
      <c r="S91" s="20"/>
      <c r="T91" s="23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5">
        <f t="shared" si="325"/>
        <v>0</v>
      </c>
      <c r="AH91" s="20"/>
      <c r="AI91" s="20"/>
      <c r="AJ91" s="20"/>
      <c r="AK91" s="20"/>
      <c r="AL91" s="25">
        <f t="shared" si="326"/>
        <v>0</v>
      </c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5">
        <f t="shared" si="327"/>
        <v>0</v>
      </c>
      <c r="BB91" s="20"/>
      <c r="BC91" s="20"/>
      <c r="BD91" s="20"/>
      <c r="BE91" s="20"/>
      <c r="BF91" s="23"/>
      <c r="BG91" s="23"/>
      <c r="BH91" s="20"/>
      <c r="BI91" s="20"/>
      <c r="BJ91" s="20"/>
      <c r="BK91" s="23"/>
      <c r="BL91" s="23"/>
      <c r="BM91" s="24">
        <v>6300</v>
      </c>
      <c r="BN91" s="23"/>
      <c r="BO91" s="23"/>
      <c r="BP91" s="23">
        <v>40100</v>
      </c>
      <c r="BQ91" s="23">
        <v>717</v>
      </c>
      <c r="BR91" s="23">
        <v>21000</v>
      </c>
      <c r="BS91" s="23">
        <v>660</v>
      </c>
      <c r="BT91" s="25">
        <f t="shared" si="321"/>
        <v>62477</v>
      </c>
      <c r="BU91" s="23"/>
      <c r="BV91" s="24"/>
      <c r="BW91" s="25">
        <f t="shared" si="320"/>
        <v>63137</v>
      </c>
      <c r="BX91" s="23"/>
      <c r="BY91" s="23"/>
      <c r="BZ91" s="23"/>
      <c r="CA91" s="23"/>
      <c r="CB91" s="23"/>
      <c r="CC91" s="23">
        <f t="shared" si="310"/>
        <v>0</v>
      </c>
      <c r="CD91" s="23"/>
      <c r="CE91" s="23"/>
      <c r="CF91" s="23"/>
      <c r="CG91" s="23"/>
      <c r="CH91" s="23"/>
      <c r="CI91" s="23"/>
      <c r="CJ91" s="20"/>
      <c r="CK91" s="34"/>
      <c r="CL91" s="34"/>
      <c r="CM91" s="34"/>
      <c r="CN91" s="34"/>
      <c r="CO91" s="34"/>
      <c r="CP91" s="34">
        <f t="shared" si="312"/>
        <v>0</v>
      </c>
      <c r="CQ91" s="34"/>
      <c r="CR91" s="34"/>
      <c r="CS91" s="34"/>
      <c r="CT91" s="34"/>
      <c r="CU91" s="34"/>
      <c r="CV91" s="34">
        <f t="shared" si="313"/>
        <v>0</v>
      </c>
      <c r="CW91" s="37">
        <f t="shared" si="316"/>
        <v>0</v>
      </c>
      <c r="CX91" s="23"/>
      <c r="CY91" s="23"/>
      <c r="CZ91" s="23"/>
      <c r="DA91" s="23"/>
      <c r="DB91" s="23"/>
      <c r="DC91" s="25">
        <f t="shared" si="317"/>
        <v>0</v>
      </c>
      <c r="DD91" s="23"/>
      <c r="DE91" s="23"/>
      <c r="DF91" s="23"/>
      <c r="DG91" s="23"/>
      <c r="DH91" s="23"/>
      <c r="DI91" s="23">
        <f t="shared" si="318"/>
        <v>0</v>
      </c>
      <c r="DJ91" s="23">
        <f t="shared" si="319"/>
        <v>0</v>
      </c>
      <c r="DK91" s="23"/>
      <c r="DL91" s="23"/>
      <c r="DM91" s="23"/>
      <c r="DN91" s="23"/>
      <c r="DO91" s="23"/>
      <c r="DP91" s="23">
        <f t="shared" si="314"/>
        <v>0</v>
      </c>
      <c r="DQ91" s="23"/>
      <c r="DR91" s="23"/>
      <c r="DS91" s="23"/>
      <c r="DT91" s="23"/>
      <c r="DU91" s="23"/>
      <c r="DV91" s="23"/>
      <c r="DW91" s="23"/>
    </row>
    <row r="92" spans="1:127" x14ac:dyDescent="0.25">
      <c r="A92">
        <f t="shared" si="315"/>
        <v>88</v>
      </c>
      <c r="B92" t="str">
        <f t="shared" si="311"/>
        <v>J20-0981</v>
      </c>
      <c r="C92" s="20" t="s">
        <v>232</v>
      </c>
      <c r="D92" s="21" t="s">
        <v>233</v>
      </c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1"/>
      <c r="R92" s="20"/>
      <c r="S92" s="20"/>
      <c r="T92" s="23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5">
        <f>AG79+AI79</f>
        <v>0</v>
      </c>
      <c r="AH92" s="20"/>
      <c r="AI92" s="20"/>
      <c r="AJ92" s="20"/>
      <c r="AK92" s="20"/>
      <c r="AL92" s="25">
        <f>AL79+AN79</f>
        <v>0</v>
      </c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5">
        <f>BA79+BC79</f>
        <v>0</v>
      </c>
      <c r="BB92" s="20"/>
      <c r="BC92" s="20"/>
      <c r="BD92" s="20"/>
      <c r="BE92" s="20"/>
      <c r="BF92" s="23"/>
      <c r="BG92" s="23"/>
      <c r="BH92" s="20"/>
      <c r="BI92" s="20"/>
      <c r="BJ92" s="20"/>
      <c r="BK92" s="23"/>
      <c r="BL92" s="23"/>
      <c r="BM92" s="24">
        <v>1200</v>
      </c>
      <c r="BN92" s="23"/>
      <c r="BO92" s="23"/>
      <c r="BP92" s="23"/>
      <c r="BQ92" s="23"/>
      <c r="BR92" s="23"/>
      <c r="BS92" s="23"/>
      <c r="BT92" s="25">
        <f t="shared" si="321"/>
        <v>0</v>
      </c>
      <c r="BU92" s="23"/>
      <c r="BV92" s="24"/>
      <c r="BW92" s="25">
        <f t="shared" si="320"/>
        <v>0</v>
      </c>
      <c r="BX92" s="23"/>
      <c r="BY92" s="23"/>
      <c r="BZ92" s="23"/>
      <c r="CA92" s="23"/>
      <c r="CB92" s="23"/>
      <c r="CC92" s="23">
        <f t="shared" si="310"/>
        <v>0</v>
      </c>
      <c r="CD92" s="23"/>
      <c r="CE92" s="23"/>
      <c r="CF92" s="23"/>
      <c r="CG92" s="23"/>
      <c r="CH92" s="23"/>
      <c r="CI92" s="23"/>
      <c r="CJ92" s="20"/>
      <c r="CK92" s="34"/>
      <c r="CL92" s="34"/>
      <c r="CM92" s="34"/>
      <c r="CN92" s="34"/>
      <c r="CO92" s="34"/>
      <c r="CP92" s="34">
        <f t="shared" si="312"/>
        <v>0</v>
      </c>
      <c r="CQ92" s="34"/>
      <c r="CR92" s="34"/>
      <c r="CS92" s="34"/>
      <c r="CT92" s="34"/>
      <c r="CU92" s="34"/>
      <c r="CV92" s="34">
        <f t="shared" si="313"/>
        <v>0</v>
      </c>
      <c r="CW92" s="37">
        <f t="shared" si="316"/>
        <v>0</v>
      </c>
      <c r="CX92" s="23"/>
      <c r="CY92" s="23"/>
      <c r="CZ92" s="23"/>
      <c r="DA92" s="23"/>
      <c r="DB92" s="23"/>
      <c r="DC92" s="25">
        <f t="shared" si="317"/>
        <v>0</v>
      </c>
      <c r="DD92" s="23">
        <v>2780</v>
      </c>
      <c r="DE92" s="23"/>
      <c r="DF92" s="23"/>
      <c r="DG92" s="23"/>
      <c r="DH92" s="23"/>
      <c r="DI92" s="23">
        <f t="shared" si="318"/>
        <v>2780</v>
      </c>
      <c r="DJ92" s="23">
        <f t="shared" si="319"/>
        <v>2780</v>
      </c>
      <c r="DK92" s="23">
        <v>12000</v>
      </c>
      <c r="DL92" s="23"/>
      <c r="DM92" s="23"/>
      <c r="DN92" s="23"/>
      <c r="DO92" s="23"/>
      <c r="DP92" s="23">
        <f t="shared" si="314"/>
        <v>12000</v>
      </c>
      <c r="DQ92" s="23"/>
      <c r="DR92" s="23"/>
      <c r="DS92" s="23"/>
      <c r="DT92" s="23"/>
      <c r="DU92" s="23"/>
      <c r="DV92" s="23"/>
      <c r="DW92" s="23"/>
    </row>
    <row r="93" spans="1:127" x14ac:dyDescent="0.25">
      <c r="A93">
        <f t="shared" si="315"/>
        <v>89</v>
      </c>
      <c r="B93" t="str">
        <f t="shared" si="311"/>
        <v>J20-1085</v>
      </c>
      <c r="C93" s="20" t="s">
        <v>234</v>
      </c>
      <c r="D93" s="21" t="s">
        <v>235</v>
      </c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1"/>
      <c r="R93" s="20"/>
      <c r="S93" s="20"/>
      <c r="T93" s="23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5"/>
      <c r="AH93" s="20"/>
      <c r="AI93" s="20"/>
      <c r="AJ93" s="20"/>
      <c r="AK93" s="20"/>
      <c r="AL93" s="25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5"/>
      <c r="BB93" s="20"/>
      <c r="BC93" s="20"/>
      <c r="BD93" s="20"/>
      <c r="BE93" s="20"/>
      <c r="BF93" s="23"/>
      <c r="BG93" s="23"/>
      <c r="BH93" s="20"/>
      <c r="BI93" s="20"/>
      <c r="BJ93" s="20"/>
      <c r="BK93" s="23"/>
      <c r="BL93" s="23"/>
      <c r="BM93" s="24">
        <v>11890</v>
      </c>
      <c r="BN93" s="23"/>
      <c r="BO93" s="23"/>
      <c r="BP93" s="23"/>
      <c r="BQ93" s="23"/>
      <c r="BR93" s="23">
        <f>19386+3134+10984</f>
        <v>33504</v>
      </c>
      <c r="BS93" s="23"/>
      <c r="BT93" s="25">
        <f t="shared" si="321"/>
        <v>33504</v>
      </c>
      <c r="BU93" s="23"/>
      <c r="BV93" s="24"/>
      <c r="BW93" s="25">
        <f t="shared" si="320"/>
        <v>33504</v>
      </c>
      <c r="BX93" s="23"/>
      <c r="BY93" s="23"/>
      <c r="BZ93" s="23"/>
      <c r="CA93" s="23"/>
      <c r="CB93" s="23"/>
      <c r="CC93" s="23">
        <f t="shared" si="310"/>
        <v>0</v>
      </c>
      <c r="CD93" s="23"/>
      <c r="CE93" s="23"/>
      <c r="CF93" s="23"/>
      <c r="CG93" s="23"/>
      <c r="CH93" s="23"/>
      <c r="CI93" s="23"/>
      <c r="CJ93" s="20"/>
      <c r="CK93" s="34"/>
      <c r="CL93" s="34"/>
      <c r="CM93" s="34"/>
      <c r="CN93" s="34"/>
      <c r="CO93" s="34"/>
      <c r="CP93" s="34">
        <f t="shared" si="312"/>
        <v>0</v>
      </c>
      <c r="CQ93" s="34"/>
      <c r="CR93" s="34"/>
      <c r="CS93" s="34"/>
      <c r="CT93" s="34"/>
      <c r="CU93" s="34"/>
      <c r="CV93" s="34">
        <f t="shared" si="313"/>
        <v>0</v>
      </c>
      <c r="CW93" s="37">
        <f t="shared" si="316"/>
        <v>0</v>
      </c>
      <c r="CX93" s="23"/>
      <c r="CY93" s="23"/>
      <c r="CZ93" s="23"/>
      <c r="DA93" s="23"/>
      <c r="DB93" s="23"/>
      <c r="DC93" s="25">
        <f t="shared" si="317"/>
        <v>0</v>
      </c>
      <c r="DD93" s="23"/>
      <c r="DE93" s="23"/>
      <c r="DF93" s="23"/>
      <c r="DG93" s="23"/>
      <c r="DH93" s="23"/>
      <c r="DI93" s="23">
        <f t="shared" si="318"/>
        <v>0</v>
      </c>
      <c r="DJ93" s="23">
        <f t="shared" si="319"/>
        <v>0</v>
      </c>
      <c r="DK93" s="23"/>
      <c r="DL93" s="23"/>
      <c r="DM93" s="23"/>
      <c r="DN93" s="23"/>
      <c r="DO93" s="23"/>
      <c r="DP93" s="23">
        <f t="shared" si="314"/>
        <v>0</v>
      </c>
      <c r="DQ93" s="23"/>
      <c r="DR93" s="23"/>
      <c r="DS93" s="23"/>
      <c r="DT93" s="23"/>
      <c r="DU93" s="23"/>
      <c r="DV93" s="23"/>
      <c r="DW93" s="23"/>
    </row>
    <row r="94" spans="1:127" x14ac:dyDescent="0.25">
      <c r="A94">
        <f t="shared" si="315"/>
        <v>90</v>
      </c>
      <c r="B94" t="str">
        <f t="shared" si="311"/>
        <v>J20-1112</v>
      </c>
      <c r="C94" s="20" t="s">
        <v>236</v>
      </c>
      <c r="D94" s="21" t="s">
        <v>237</v>
      </c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1"/>
      <c r="R94" s="20"/>
      <c r="S94" s="20"/>
      <c r="T94" s="23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5"/>
      <c r="AH94" s="20"/>
      <c r="AI94" s="20"/>
      <c r="AJ94" s="20"/>
      <c r="AK94" s="20"/>
      <c r="AL94" s="25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5"/>
      <c r="BB94" s="20"/>
      <c r="BC94" s="20"/>
      <c r="BD94" s="20"/>
      <c r="BE94" s="20"/>
      <c r="BF94" s="23"/>
      <c r="BG94" s="23"/>
      <c r="BH94" s="20"/>
      <c r="BI94" s="20"/>
      <c r="BJ94" s="20"/>
      <c r="BK94" s="23"/>
      <c r="BL94" s="23"/>
      <c r="BM94" s="24"/>
      <c r="BN94" s="23"/>
      <c r="BO94" s="23"/>
      <c r="BP94" s="23">
        <v>30706</v>
      </c>
      <c r="BQ94" s="23"/>
      <c r="BR94" s="23"/>
      <c r="BS94" s="23"/>
      <c r="BT94" s="25">
        <f t="shared" si="321"/>
        <v>30706</v>
      </c>
      <c r="BU94" s="23"/>
      <c r="BV94" s="24"/>
      <c r="BW94" s="25">
        <f t="shared" si="320"/>
        <v>30706</v>
      </c>
      <c r="BX94" s="23"/>
      <c r="BY94" s="23"/>
      <c r="BZ94" s="23"/>
      <c r="CA94" s="23"/>
      <c r="CB94" s="23"/>
      <c r="CC94" s="23">
        <f t="shared" si="310"/>
        <v>0</v>
      </c>
      <c r="CD94" s="23"/>
      <c r="CE94" s="23"/>
      <c r="CF94" s="23"/>
      <c r="CG94" s="23"/>
      <c r="CH94" s="23"/>
      <c r="CI94" s="23"/>
      <c r="CJ94" s="20"/>
      <c r="CK94" s="34"/>
      <c r="CL94" s="34"/>
      <c r="CM94" s="34"/>
      <c r="CN94" s="34"/>
      <c r="CO94" s="34"/>
      <c r="CP94" s="34">
        <f t="shared" si="312"/>
        <v>0</v>
      </c>
      <c r="CQ94" s="34"/>
      <c r="CR94" s="34"/>
      <c r="CS94" s="34"/>
      <c r="CT94" s="34"/>
      <c r="CU94" s="34"/>
      <c r="CV94" s="34">
        <f t="shared" si="313"/>
        <v>0</v>
      </c>
      <c r="CW94" s="37">
        <f t="shared" si="316"/>
        <v>0</v>
      </c>
      <c r="CX94" s="23"/>
      <c r="CY94" s="23"/>
      <c r="CZ94" s="23"/>
      <c r="DA94" s="23"/>
      <c r="DB94" s="23"/>
      <c r="DC94" s="25">
        <f t="shared" si="317"/>
        <v>0</v>
      </c>
      <c r="DD94" s="23"/>
      <c r="DE94" s="23"/>
      <c r="DF94" s="23"/>
      <c r="DG94" s="23"/>
      <c r="DH94" s="23"/>
      <c r="DI94" s="23">
        <f t="shared" si="318"/>
        <v>0</v>
      </c>
      <c r="DJ94" s="23">
        <f t="shared" si="319"/>
        <v>0</v>
      </c>
      <c r="DK94" s="23"/>
      <c r="DL94" s="23"/>
      <c r="DM94" s="23"/>
      <c r="DN94" s="23"/>
      <c r="DO94" s="23"/>
      <c r="DP94" s="23">
        <f t="shared" si="314"/>
        <v>0</v>
      </c>
      <c r="DQ94" s="23"/>
      <c r="DR94" s="23"/>
      <c r="DS94" s="23"/>
      <c r="DT94" s="23"/>
      <c r="DU94" s="23"/>
      <c r="DV94" s="23"/>
      <c r="DW94" s="23"/>
    </row>
    <row r="95" spans="1:127" x14ac:dyDescent="0.25">
      <c r="A95">
        <f t="shared" si="315"/>
        <v>91</v>
      </c>
      <c r="B95" t="str">
        <f t="shared" si="311"/>
        <v>J20-0858</v>
      </c>
      <c r="C95" s="20" t="s">
        <v>238</v>
      </c>
      <c r="D95" s="21" t="s">
        <v>239</v>
      </c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1"/>
      <c r="R95" s="20"/>
      <c r="S95" s="20"/>
      <c r="T95" s="23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5"/>
      <c r="AH95" s="20"/>
      <c r="AI95" s="20"/>
      <c r="AJ95" s="20"/>
      <c r="AK95" s="20"/>
      <c r="AL95" s="25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5"/>
      <c r="BB95" s="20"/>
      <c r="BC95" s="20"/>
      <c r="BD95" s="20"/>
      <c r="BE95" s="20"/>
      <c r="BF95" s="23"/>
      <c r="BG95" s="23"/>
      <c r="BH95" s="20"/>
      <c r="BI95" s="20"/>
      <c r="BJ95" s="20"/>
      <c r="BK95" s="23"/>
      <c r="BL95" s="23"/>
      <c r="BM95" s="24"/>
      <c r="BN95" s="23"/>
      <c r="BO95" s="23"/>
      <c r="BP95" s="23">
        <v>12361</v>
      </c>
      <c r="BQ95" s="23"/>
      <c r="BR95" s="23">
        <v>26900</v>
      </c>
      <c r="BS95" s="23"/>
      <c r="BT95" s="25">
        <f t="shared" si="321"/>
        <v>39261</v>
      </c>
      <c r="BU95" s="23">
        <v>12374</v>
      </c>
      <c r="BV95" s="24"/>
      <c r="BW95" s="25">
        <f t="shared" si="320"/>
        <v>51635</v>
      </c>
      <c r="BX95" s="23"/>
      <c r="BY95" s="23"/>
      <c r="BZ95" s="23"/>
      <c r="CA95" s="23"/>
      <c r="CB95" s="23"/>
      <c r="CC95" s="23">
        <f t="shared" si="310"/>
        <v>0</v>
      </c>
      <c r="CD95" s="23"/>
      <c r="CE95" s="23"/>
      <c r="CF95" s="23"/>
      <c r="CG95" s="23"/>
      <c r="CH95" s="23"/>
      <c r="CI95" s="23"/>
      <c r="CJ95" s="20"/>
      <c r="CK95" s="34"/>
      <c r="CL95" s="34"/>
      <c r="CM95" s="34"/>
      <c r="CN95" s="34"/>
      <c r="CO95" s="34"/>
      <c r="CP95" s="34">
        <f t="shared" si="312"/>
        <v>0</v>
      </c>
      <c r="CQ95" s="34">
        <v>16520</v>
      </c>
      <c r="CR95" s="34">
        <v>7526</v>
      </c>
      <c r="CS95" s="34"/>
      <c r="CT95" s="34"/>
      <c r="CU95" s="34"/>
      <c r="CV95" s="34">
        <f t="shared" si="313"/>
        <v>24046</v>
      </c>
      <c r="CW95" s="37">
        <f t="shared" si="316"/>
        <v>24046</v>
      </c>
      <c r="CX95" s="23">
        <v>14780</v>
      </c>
      <c r="CY95" s="23">
        <v>2770</v>
      </c>
      <c r="CZ95" s="23"/>
      <c r="DA95" s="23"/>
      <c r="DB95" s="23"/>
      <c r="DC95" s="25">
        <f t="shared" si="317"/>
        <v>17550</v>
      </c>
      <c r="DD95" s="23"/>
      <c r="DE95" s="23"/>
      <c r="DF95" s="23"/>
      <c r="DG95" s="23"/>
      <c r="DH95" s="23"/>
      <c r="DI95" s="23">
        <f t="shared" si="318"/>
        <v>0</v>
      </c>
      <c r="DJ95" s="23">
        <f t="shared" si="319"/>
        <v>17550</v>
      </c>
      <c r="DK95" s="23"/>
      <c r="DL95" s="23"/>
      <c r="DM95" s="23"/>
      <c r="DN95" s="23"/>
      <c r="DO95" s="23"/>
      <c r="DP95" s="23">
        <f t="shared" si="314"/>
        <v>0</v>
      </c>
      <c r="DQ95" s="23"/>
      <c r="DR95" s="23"/>
      <c r="DS95" s="23"/>
      <c r="DT95" s="23"/>
      <c r="DU95" s="23"/>
      <c r="DV95" s="23"/>
      <c r="DW95" s="23"/>
    </row>
    <row r="96" spans="1:127" x14ac:dyDescent="0.25">
      <c r="A96">
        <f t="shared" si="315"/>
        <v>92</v>
      </c>
      <c r="B96" t="str">
        <f t="shared" si="311"/>
        <v>J20-0751</v>
      </c>
      <c r="C96" s="20" t="s">
        <v>240</v>
      </c>
      <c r="D96" s="21" t="s">
        <v>241</v>
      </c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1"/>
      <c r="R96" s="20"/>
      <c r="S96" s="20"/>
      <c r="T96" s="23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5"/>
      <c r="AH96" s="20"/>
      <c r="AI96" s="20"/>
      <c r="AJ96" s="20"/>
      <c r="AK96" s="20"/>
      <c r="AL96" s="25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5"/>
      <c r="BB96" s="20"/>
      <c r="BC96" s="20"/>
      <c r="BD96" s="20"/>
      <c r="BE96" s="20"/>
      <c r="BF96" s="23"/>
      <c r="BG96" s="23"/>
      <c r="BH96" s="20"/>
      <c r="BI96" s="20"/>
      <c r="BJ96" s="20"/>
      <c r="BK96" s="23"/>
      <c r="BL96" s="23"/>
      <c r="BM96" s="24"/>
      <c r="BN96" s="23"/>
      <c r="BO96" s="23"/>
      <c r="BP96" s="23"/>
      <c r="BQ96" s="23"/>
      <c r="BR96" s="23">
        <v>10200</v>
      </c>
      <c r="BS96" s="23"/>
      <c r="BT96" s="25">
        <f t="shared" si="321"/>
        <v>10200</v>
      </c>
      <c r="BU96" s="23"/>
      <c r="BV96" s="24"/>
      <c r="BW96" s="25">
        <f t="shared" si="320"/>
        <v>10200</v>
      </c>
      <c r="BX96" s="23"/>
      <c r="BY96" s="23"/>
      <c r="BZ96" s="23"/>
      <c r="CA96" s="23"/>
      <c r="CB96" s="23"/>
      <c r="CC96" s="23">
        <f t="shared" si="310"/>
        <v>0</v>
      </c>
      <c r="CD96" s="23"/>
      <c r="CE96" s="23"/>
      <c r="CF96" s="23"/>
      <c r="CG96" s="23"/>
      <c r="CH96" s="23"/>
      <c r="CI96" s="23"/>
      <c r="CJ96" s="20"/>
      <c r="CK96" s="34"/>
      <c r="CL96" s="34"/>
      <c r="CM96" s="34"/>
      <c r="CN96" s="34"/>
      <c r="CO96" s="34"/>
      <c r="CP96" s="34">
        <f t="shared" si="312"/>
        <v>0</v>
      </c>
      <c r="CQ96" s="34"/>
      <c r="CR96" s="34"/>
      <c r="CS96" s="34"/>
      <c r="CT96" s="34"/>
      <c r="CU96" s="34"/>
      <c r="CV96" s="34">
        <f t="shared" si="313"/>
        <v>0</v>
      </c>
      <c r="CW96" s="37">
        <f t="shared" si="316"/>
        <v>0</v>
      </c>
      <c r="CX96" s="23"/>
      <c r="CY96" s="23"/>
      <c r="CZ96" s="23"/>
      <c r="DA96" s="23"/>
      <c r="DB96" s="23"/>
      <c r="DC96" s="25">
        <f t="shared" si="317"/>
        <v>0</v>
      </c>
      <c r="DD96" s="23"/>
      <c r="DE96" s="23"/>
      <c r="DF96" s="23"/>
      <c r="DG96" s="23"/>
      <c r="DH96" s="23"/>
      <c r="DI96" s="23">
        <f t="shared" si="318"/>
        <v>0</v>
      </c>
      <c r="DJ96" s="23">
        <f t="shared" si="319"/>
        <v>0</v>
      </c>
      <c r="DK96" s="23"/>
      <c r="DL96" s="23"/>
      <c r="DM96" s="23"/>
      <c r="DN96" s="23"/>
      <c r="DO96" s="23"/>
      <c r="DP96" s="23">
        <f t="shared" si="314"/>
        <v>0</v>
      </c>
      <c r="DQ96" s="23"/>
      <c r="DR96" s="23"/>
      <c r="DS96" s="23"/>
      <c r="DT96" s="23"/>
      <c r="DU96" s="23"/>
      <c r="DV96" s="23"/>
      <c r="DW96" s="23"/>
    </row>
    <row r="97" spans="1:127" x14ac:dyDescent="0.25">
      <c r="A97">
        <f t="shared" si="315"/>
        <v>93</v>
      </c>
      <c r="B97" t="str">
        <f t="shared" si="311"/>
        <v>J20-0897</v>
      </c>
      <c r="C97" s="20" t="s">
        <v>242</v>
      </c>
      <c r="D97" s="21" t="s">
        <v>243</v>
      </c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1"/>
      <c r="R97" s="20"/>
      <c r="S97" s="20"/>
      <c r="T97" s="23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5"/>
      <c r="AH97" s="20"/>
      <c r="AI97" s="20"/>
      <c r="AJ97" s="20"/>
      <c r="AK97" s="20"/>
      <c r="AL97" s="25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5"/>
      <c r="BB97" s="20"/>
      <c r="BC97" s="20"/>
      <c r="BD97" s="20"/>
      <c r="BE97" s="20"/>
      <c r="BF97" s="23"/>
      <c r="BG97" s="23"/>
      <c r="BH97" s="20"/>
      <c r="BI97" s="20"/>
      <c r="BJ97" s="20"/>
      <c r="BK97" s="23"/>
      <c r="BL97" s="23"/>
      <c r="BM97" s="24"/>
      <c r="BN97" s="23"/>
      <c r="BO97" s="23"/>
      <c r="BP97" s="23"/>
      <c r="BQ97" s="23"/>
      <c r="BR97" s="23">
        <v>35344</v>
      </c>
      <c r="BS97" s="23"/>
      <c r="BT97" s="25">
        <f t="shared" si="321"/>
        <v>35344</v>
      </c>
      <c r="BU97" s="23">
        <v>55841</v>
      </c>
      <c r="BV97" s="24"/>
      <c r="BW97" s="25">
        <f t="shared" si="320"/>
        <v>91185</v>
      </c>
      <c r="BX97" s="23"/>
      <c r="BY97" s="23"/>
      <c r="BZ97" s="23"/>
      <c r="CA97" s="23"/>
      <c r="CB97" s="23"/>
      <c r="CC97" s="23">
        <f t="shared" si="310"/>
        <v>0</v>
      </c>
      <c r="CD97" s="23"/>
      <c r="CE97" s="23"/>
      <c r="CF97" s="23"/>
      <c r="CG97" s="23"/>
      <c r="CH97" s="23"/>
      <c r="CI97" s="23"/>
      <c r="CJ97" s="20"/>
      <c r="CK97" s="34"/>
      <c r="CL97" s="34"/>
      <c r="CM97" s="34"/>
      <c r="CN97" s="34"/>
      <c r="CO97" s="34"/>
      <c r="CP97" s="34">
        <f t="shared" si="312"/>
        <v>0</v>
      </c>
      <c r="CQ97" s="34"/>
      <c r="CR97" s="34"/>
      <c r="CS97" s="34"/>
      <c r="CT97" s="34"/>
      <c r="CU97" s="34"/>
      <c r="CV97" s="34">
        <f t="shared" si="313"/>
        <v>0</v>
      </c>
      <c r="CW97" s="37">
        <f t="shared" si="316"/>
        <v>0</v>
      </c>
      <c r="CX97" s="23"/>
      <c r="CY97" s="23"/>
      <c r="CZ97" s="23"/>
      <c r="DA97" s="23"/>
      <c r="DB97" s="23"/>
      <c r="DC97" s="25">
        <f t="shared" si="317"/>
        <v>0</v>
      </c>
      <c r="DD97" s="23"/>
      <c r="DE97" s="23"/>
      <c r="DF97" s="23"/>
      <c r="DG97" s="23"/>
      <c r="DH97" s="23"/>
      <c r="DI97" s="23">
        <f t="shared" si="318"/>
        <v>0</v>
      </c>
      <c r="DJ97" s="23">
        <f t="shared" si="319"/>
        <v>0</v>
      </c>
      <c r="DK97" s="23"/>
      <c r="DL97" s="23"/>
      <c r="DM97" s="23"/>
      <c r="DN97" s="23"/>
      <c r="DO97" s="23"/>
      <c r="DP97" s="23">
        <f t="shared" si="314"/>
        <v>0</v>
      </c>
      <c r="DQ97" s="23"/>
      <c r="DR97" s="23"/>
      <c r="DS97" s="23"/>
      <c r="DT97" s="23"/>
      <c r="DU97" s="23"/>
      <c r="DV97" s="23"/>
      <c r="DW97" s="23"/>
    </row>
    <row r="98" spans="1:127" x14ac:dyDescent="0.25">
      <c r="A98">
        <f t="shared" si="315"/>
        <v>94</v>
      </c>
      <c r="B98" t="str">
        <f t="shared" si="311"/>
        <v>J20-0948</v>
      </c>
      <c r="C98" s="20" t="s">
        <v>244</v>
      </c>
      <c r="D98" s="21" t="s">
        <v>245</v>
      </c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1"/>
      <c r="R98" s="20"/>
      <c r="S98" s="20"/>
      <c r="T98" s="23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5"/>
      <c r="AH98" s="20"/>
      <c r="AI98" s="20"/>
      <c r="AJ98" s="20"/>
      <c r="AK98" s="20"/>
      <c r="AL98" s="25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5"/>
      <c r="BB98" s="20"/>
      <c r="BC98" s="20"/>
      <c r="BD98" s="20"/>
      <c r="BE98" s="20"/>
      <c r="BF98" s="23"/>
      <c r="BG98" s="23"/>
      <c r="BH98" s="20"/>
      <c r="BI98" s="20"/>
      <c r="BJ98" s="20"/>
      <c r="BK98" s="23"/>
      <c r="BL98" s="23"/>
      <c r="BM98" s="24"/>
      <c r="BN98" s="23"/>
      <c r="BO98" s="23"/>
      <c r="BP98" s="23"/>
      <c r="BQ98" s="23"/>
      <c r="BR98" s="23">
        <v>16807</v>
      </c>
      <c r="BS98" s="23">
        <v>855</v>
      </c>
      <c r="BT98" s="25">
        <f t="shared" si="321"/>
        <v>17662</v>
      </c>
      <c r="BU98" s="23">
        <v>80632</v>
      </c>
      <c r="BV98" s="24"/>
      <c r="BW98" s="25">
        <f t="shared" si="320"/>
        <v>99149</v>
      </c>
      <c r="BX98" s="23"/>
      <c r="BY98" s="23"/>
      <c r="BZ98" s="23"/>
      <c r="CA98" s="23"/>
      <c r="CB98" s="23"/>
      <c r="CC98" s="23">
        <f t="shared" si="310"/>
        <v>0</v>
      </c>
      <c r="CD98" s="23"/>
      <c r="CE98" s="23"/>
      <c r="CF98" s="23"/>
      <c r="CG98" s="23"/>
      <c r="CH98" s="23"/>
      <c r="CI98" s="23"/>
      <c r="CJ98" s="20"/>
      <c r="CK98" s="34"/>
      <c r="CL98" s="34"/>
      <c r="CM98" s="34"/>
      <c r="CN98" s="34"/>
      <c r="CO98" s="34"/>
      <c r="CP98" s="34">
        <f t="shared" si="312"/>
        <v>0</v>
      </c>
      <c r="CQ98" s="34"/>
      <c r="CR98" s="34"/>
      <c r="CS98" s="34"/>
      <c r="CT98" s="34">
        <v>2850</v>
      </c>
      <c r="CU98" s="34"/>
      <c r="CV98" s="34">
        <f t="shared" si="313"/>
        <v>2850</v>
      </c>
      <c r="CW98" s="37">
        <f t="shared" si="316"/>
        <v>2850</v>
      </c>
      <c r="CX98" s="23"/>
      <c r="CY98" s="23"/>
      <c r="CZ98" s="23"/>
      <c r="DA98" s="23"/>
      <c r="DB98" s="23"/>
      <c r="DC98" s="25">
        <f t="shared" si="317"/>
        <v>0</v>
      </c>
      <c r="DD98" s="23"/>
      <c r="DE98" s="23"/>
      <c r="DF98" s="23"/>
      <c r="DG98" s="23"/>
      <c r="DH98" s="23"/>
      <c r="DI98" s="23">
        <f t="shared" si="318"/>
        <v>0</v>
      </c>
      <c r="DJ98" s="23">
        <f t="shared" si="319"/>
        <v>0</v>
      </c>
      <c r="DK98" s="23"/>
      <c r="DL98" s="23"/>
      <c r="DM98" s="23"/>
      <c r="DN98" s="23"/>
      <c r="DO98" s="23"/>
      <c r="DP98" s="23">
        <f t="shared" si="314"/>
        <v>0</v>
      </c>
      <c r="DQ98" s="23"/>
      <c r="DR98" s="23"/>
      <c r="DS98" s="23"/>
      <c r="DT98" s="23"/>
      <c r="DU98" s="23"/>
      <c r="DV98" s="23"/>
      <c r="DW98" s="23"/>
    </row>
    <row r="99" spans="1:127" x14ac:dyDescent="0.25">
      <c r="A99">
        <f t="shared" si="315"/>
        <v>95</v>
      </c>
      <c r="B99" t="str">
        <f t="shared" si="311"/>
        <v>J20-0397</v>
      </c>
      <c r="C99" s="20" t="s">
        <v>223</v>
      </c>
      <c r="D99" s="21" t="s">
        <v>246</v>
      </c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1"/>
      <c r="R99" s="20"/>
      <c r="S99" s="20"/>
      <c r="T99" s="23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5"/>
      <c r="AH99" s="20"/>
      <c r="AI99" s="20"/>
      <c r="AJ99" s="20"/>
      <c r="AK99" s="20"/>
      <c r="AL99" s="25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5"/>
      <c r="BB99" s="20"/>
      <c r="BC99" s="20"/>
      <c r="BD99" s="20"/>
      <c r="BE99" s="20"/>
      <c r="BF99" s="23"/>
      <c r="BG99" s="23"/>
      <c r="BH99" s="20"/>
      <c r="BI99" s="20"/>
      <c r="BJ99" s="20"/>
      <c r="BK99" s="23"/>
      <c r="BL99" s="23"/>
      <c r="BM99" s="24"/>
      <c r="BN99" s="23"/>
      <c r="BO99" s="23"/>
      <c r="BP99" s="23"/>
      <c r="BQ99" s="23"/>
      <c r="BR99" s="23"/>
      <c r="BS99" s="23"/>
      <c r="BT99" s="23"/>
      <c r="BU99" s="23">
        <f>3700+2590+8600</f>
        <v>14890</v>
      </c>
      <c r="BV99" s="24"/>
      <c r="BW99" s="25">
        <f t="shared" si="320"/>
        <v>14890</v>
      </c>
      <c r="BX99" s="23"/>
      <c r="BY99" s="23"/>
      <c r="BZ99" s="23"/>
      <c r="CA99" s="23"/>
      <c r="CB99" s="23"/>
      <c r="CC99" s="23">
        <f t="shared" si="310"/>
        <v>0</v>
      </c>
      <c r="CD99" s="23"/>
      <c r="CE99" s="23"/>
      <c r="CF99" s="23"/>
      <c r="CG99" s="23"/>
      <c r="CH99" s="23"/>
      <c r="CI99" s="23"/>
      <c r="CJ99" s="20"/>
      <c r="CK99" s="34"/>
      <c r="CL99" s="34"/>
      <c r="CM99" s="34"/>
      <c r="CN99" s="34"/>
      <c r="CO99" s="34"/>
      <c r="CP99" s="34">
        <f t="shared" si="312"/>
        <v>0</v>
      </c>
      <c r="CQ99" s="34"/>
      <c r="CR99" s="34"/>
      <c r="CS99" s="34"/>
      <c r="CT99" s="34"/>
      <c r="CU99" s="34"/>
      <c r="CV99" s="34">
        <f t="shared" si="313"/>
        <v>0</v>
      </c>
      <c r="CW99" s="37">
        <f t="shared" si="316"/>
        <v>0</v>
      </c>
      <c r="CX99" s="23"/>
      <c r="CY99" s="23"/>
      <c r="CZ99" s="23"/>
      <c r="DA99" s="23"/>
      <c r="DB99" s="23"/>
      <c r="DC99" s="25">
        <f t="shared" si="317"/>
        <v>0</v>
      </c>
      <c r="DD99" s="23"/>
      <c r="DE99" s="23"/>
      <c r="DF99" s="23"/>
      <c r="DG99" s="23"/>
      <c r="DH99" s="23"/>
      <c r="DI99" s="23">
        <f t="shared" si="318"/>
        <v>0</v>
      </c>
      <c r="DJ99" s="23">
        <f t="shared" si="319"/>
        <v>0</v>
      </c>
      <c r="DK99" s="23"/>
      <c r="DL99" s="23"/>
      <c r="DM99" s="23"/>
      <c r="DN99" s="23"/>
      <c r="DO99" s="23"/>
      <c r="DP99" s="23">
        <f t="shared" si="314"/>
        <v>0</v>
      </c>
      <c r="DQ99" s="23"/>
      <c r="DR99" s="23"/>
      <c r="DS99" s="23"/>
      <c r="DT99" s="23"/>
      <c r="DU99" s="23"/>
      <c r="DV99" s="23"/>
      <c r="DW99" s="23"/>
    </row>
    <row r="100" spans="1:127" x14ac:dyDescent="0.25">
      <c r="A100">
        <f t="shared" si="315"/>
        <v>96</v>
      </c>
      <c r="B100" t="str">
        <f t="shared" si="311"/>
        <v>J20-1072</v>
      </c>
      <c r="C100" s="20" t="s">
        <v>247</v>
      </c>
      <c r="D100" s="21" t="s">
        <v>248</v>
      </c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1"/>
      <c r="R100" s="20"/>
      <c r="S100" s="20"/>
      <c r="T100" s="23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5"/>
      <c r="AH100" s="20"/>
      <c r="AI100" s="20"/>
      <c r="AJ100" s="20"/>
      <c r="AK100" s="20"/>
      <c r="AL100" s="25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5"/>
      <c r="BB100" s="20"/>
      <c r="BC100" s="20"/>
      <c r="BD100" s="20"/>
      <c r="BE100" s="20"/>
      <c r="BF100" s="23"/>
      <c r="BG100" s="23"/>
      <c r="BH100" s="20"/>
      <c r="BI100" s="20"/>
      <c r="BJ100" s="20"/>
      <c r="BK100" s="23"/>
      <c r="BL100" s="23"/>
      <c r="BM100" s="20"/>
      <c r="BN100" s="20"/>
      <c r="BO100" s="20"/>
      <c r="BP100" s="20"/>
      <c r="BQ100" s="20"/>
      <c r="BR100" s="20"/>
      <c r="BS100" s="20"/>
      <c r="BT100" s="20"/>
      <c r="BU100" s="23">
        <f>1291+28926</f>
        <v>30217</v>
      </c>
      <c r="BV100" s="24"/>
      <c r="BW100" s="25">
        <f t="shared" si="320"/>
        <v>30217</v>
      </c>
      <c r="BX100" s="23"/>
      <c r="BY100" s="23"/>
      <c r="BZ100" s="23"/>
      <c r="CA100" s="23"/>
      <c r="CB100" s="23"/>
      <c r="CC100" s="23">
        <f>BX100+BY100+BZ100+CA100</f>
        <v>0</v>
      </c>
      <c r="CD100" s="23"/>
      <c r="CE100" s="23"/>
      <c r="CF100" s="23"/>
      <c r="CG100" s="23"/>
      <c r="CH100" s="23"/>
      <c r="CI100" s="23"/>
      <c r="CJ100" s="20"/>
      <c r="CK100" s="34"/>
      <c r="CL100" s="34"/>
      <c r="CM100" s="34"/>
      <c r="CN100" s="34"/>
      <c r="CO100" s="34"/>
      <c r="CP100" s="34">
        <f t="shared" si="312"/>
        <v>0</v>
      </c>
      <c r="CQ100" s="34"/>
      <c r="CR100" s="34"/>
      <c r="CS100" s="34"/>
      <c r="CT100" s="34"/>
      <c r="CU100" s="34"/>
      <c r="CV100" s="34">
        <f t="shared" si="313"/>
        <v>0</v>
      </c>
      <c r="CW100" s="37">
        <f t="shared" si="316"/>
        <v>0</v>
      </c>
      <c r="CX100" s="23"/>
      <c r="CY100" s="23"/>
      <c r="CZ100" s="23"/>
      <c r="DA100" s="23"/>
      <c r="DB100" s="23"/>
      <c r="DC100" s="25">
        <f t="shared" si="317"/>
        <v>0</v>
      </c>
      <c r="DD100" s="23"/>
      <c r="DE100" s="23"/>
      <c r="DF100" s="23"/>
      <c r="DG100" s="23"/>
      <c r="DH100" s="23"/>
      <c r="DI100" s="23">
        <f t="shared" si="318"/>
        <v>0</v>
      </c>
      <c r="DJ100" s="23">
        <f t="shared" si="319"/>
        <v>0</v>
      </c>
      <c r="DK100" s="23"/>
      <c r="DL100" s="23"/>
      <c r="DM100" s="23"/>
      <c r="DN100" s="23"/>
      <c r="DO100" s="23"/>
      <c r="DP100" s="23">
        <f t="shared" si="314"/>
        <v>0</v>
      </c>
      <c r="DQ100" s="23"/>
      <c r="DR100" s="23"/>
      <c r="DS100" s="23"/>
      <c r="DT100" s="23"/>
      <c r="DU100" s="23"/>
      <c r="DV100" s="23"/>
      <c r="DW100" s="23"/>
    </row>
    <row r="101" spans="1:127" x14ac:dyDescent="0.25">
      <c r="A101">
        <f t="shared" si="315"/>
        <v>97</v>
      </c>
      <c r="B101" t="str">
        <f t="shared" si="311"/>
        <v>J20-1175</v>
      </c>
      <c r="C101" s="20" t="s">
        <v>249</v>
      </c>
      <c r="D101" s="21" t="s">
        <v>250</v>
      </c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1"/>
      <c r="R101" s="20"/>
      <c r="S101" s="20"/>
      <c r="T101" s="23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5">
        <f>AG79+AI79</f>
        <v>0</v>
      </c>
      <c r="AH101" s="20"/>
      <c r="AI101" s="20"/>
      <c r="AJ101" s="20"/>
      <c r="AK101" s="20"/>
      <c r="AL101" s="25">
        <f>AL79+AN79</f>
        <v>0</v>
      </c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5">
        <f>BA79+BC79</f>
        <v>0</v>
      </c>
      <c r="BB101" s="20"/>
      <c r="BC101" s="20"/>
      <c r="BD101" s="20"/>
      <c r="BE101" s="20"/>
      <c r="BF101" s="23"/>
      <c r="BG101" s="23"/>
      <c r="BH101" s="20"/>
      <c r="BI101" s="20"/>
      <c r="BJ101" s="20"/>
      <c r="BK101" s="23"/>
      <c r="BL101" s="23"/>
      <c r="BM101" s="20"/>
      <c r="BN101" s="20"/>
      <c r="BO101" s="20"/>
      <c r="BP101" s="20"/>
      <c r="BQ101" s="20"/>
      <c r="BR101" s="20"/>
      <c r="BS101" s="20"/>
      <c r="BT101" s="20"/>
      <c r="BU101" s="23"/>
      <c r="BV101" s="24">
        <f>42234+2325</f>
        <v>44559</v>
      </c>
      <c r="BW101" s="25">
        <f t="shared" si="320"/>
        <v>44559</v>
      </c>
      <c r="BX101" s="23"/>
      <c r="BY101" s="23"/>
      <c r="BZ101" s="23"/>
      <c r="CA101" s="23"/>
      <c r="CB101" s="23"/>
      <c r="CC101" s="23">
        <f t="shared" si="310"/>
        <v>0</v>
      </c>
      <c r="CD101" s="23"/>
      <c r="CE101" s="23"/>
      <c r="CF101" s="23"/>
      <c r="CG101" s="23"/>
      <c r="CH101" s="23"/>
      <c r="CI101" s="23"/>
      <c r="CJ101" s="20"/>
      <c r="CK101" s="34"/>
      <c r="CL101" s="34"/>
      <c r="CM101" s="34"/>
      <c r="CN101" s="34"/>
      <c r="CO101" s="34"/>
      <c r="CP101" s="34">
        <f t="shared" si="312"/>
        <v>0</v>
      </c>
      <c r="CQ101" s="34"/>
      <c r="CR101" s="34"/>
      <c r="CS101" s="34"/>
      <c r="CT101" s="34"/>
      <c r="CU101" s="34"/>
      <c r="CV101" s="34">
        <f t="shared" si="313"/>
        <v>0</v>
      </c>
      <c r="CW101" s="37">
        <f t="shared" si="316"/>
        <v>0</v>
      </c>
      <c r="CX101" s="23"/>
      <c r="CY101" s="23"/>
      <c r="CZ101" s="23"/>
      <c r="DA101" s="23"/>
      <c r="DB101" s="23"/>
      <c r="DC101" s="25">
        <f t="shared" si="317"/>
        <v>0</v>
      </c>
      <c r="DD101" s="23"/>
      <c r="DE101" s="23"/>
      <c r="DF101" s="23"/>
      <c r="DG101" s="23"/>
      <c r="DH101" s="23"/>
      <c r="DI101" s="23">
        <f t="shared" si="318"/>
        <v>0</v>
      </c>
      <c r="DJ101" s="23">
        <f t="shared" si="319"/>
        <v>0</v>
      </c>
      <c r="DK101" s="23"/>
      <c r="DL101" s="23"/>
      <c r="DM101" s="23"/>
      <c r="DN101" s="23"/>
      <c r="DO101" s="23"/>
      <c r="DP101" s="23">
        <f t="shared" si="314"/>
        <v>0</v>
      </c>
      <c r="DQ101" s="23"/>
      <c r="DR101" s="23"/>
      <c r="DS101" s="23"/>
      <c r="DT101" s="23"/>
      <c r="DU101" s="23"/>
      <c r="DV101" s="23"/>
      <c r="DW101" s="23"/>
    </row>
    <row r="102" spans="1:127" x14ac:dyDescent="0.25">
      <c r="A102">
        <f t="shared" si="315"/>
        <v>98</v>
      </c>
      <c r="B102" t="str">
        <f t="shared" si="311"/>
        <v>J20-0920</v>
      </c>
      <c r="C102" s="20" t="s">
        <v>251</v>
      </c>
      <c r="D102" s="21" t="s">
        <v>252</v>
      </c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1"/>
      <c r="R102" s="20"/>
      <c r="S102" s="20"/>
      <c r="T102" s="23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5"/>
      <c r="AH102" s="20"/>
      <c r="AI102" s="20"/>
      <c r="AJ102" s="20"/>
      <c r="AK102" s="20"/>
      <c r="AL102" s="25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5"/>
      <c r="BB102" s="20"/>
      <c r="BC102" s="20"/>
      <c r="BD102" s="20"/>
      <c r="BE102" s="20"/>
      <c r="BF102" s="23"/>
      <c r="BG102" s="23"/>
      <c r="BH102" s="20"/>
      <c r="BI102" s="20"/>
      <c r="BJ102" s="20"/>
      <c r="BK102" s="23"/>
      <c r="BL102" s="23"/>
      <c r="BM102" s="20"/>
      <c r="BN102" s="20"/>
      <c r="BO102" s="20"/>
      <c r="BP102" s="20"/>
      <c r="BQ102" s="20"/>
      <c r="BR102" s="20"/>
      <c r="BS102" s="20"/>
      <c r="BT102" s="20"/>
      <c r="BU102" s="23"/>
      <c r="BV102" s="24">
        <f>42233+5156</f>
        <v>47389</v>
      </c>
      <c r="BW102" s="25">
        <f t="shared" si="320"/>
        <v>47389</v>
      </c>
      <c r="BX102" s="23"/>
      <c r="BY102" s="23"/>
      <c r="BZ102" s="23"/>
      <c r="CA102" s="23"/>
      <c r="CB102" s="23"/>
      <c r="CC102" s="23">
        <f t="shared" si="310"/>
        <v>0</v>
      </c>
      <c r="CD102" s="23"/>
      <c r="CE102" s="23"/>
      <c r="CF102" s="23"/>
      <c r="CG102" s="23"/>
      <c r="CH102" s="23"/>
      <c r="CI102" s="23"/>
      <c r="CJ102" s="20"/>
      <c r="CK102" s="34"/>
      <c r="CL102" s="34"/>
      <c r="CM102" s="34"/>
      <c r="CN102" s="34"/>
      <c r="CO102" s="34"/>
      <c r="CP102" s="34">
        <f t="shared" si="312"/>
        <v>0</v>
      </c>
      <c r="CQ102" s="34"/>
      <c r="CR102" s="34"/>
      <c r="CS102" s="34"/>
      <c r="CT102" s="34"/>
      <c r="CU102" s="34"/>
      <c r="CV102" s="34">
        <f t="shared" si="313"/>
        <v>0</v>
      </c>
      <c r="CW102" s="37">
        <f t="shared" si="316"/>
        <v>0</v>
      </c>
      <c r="CX102" s="23"/>
      <c r="CY102" s="23"/>
      <c r="CZ102" s="23"/>
      <c r="DA102" s="23"/>
      <c r="DB102" s="23"/>
      <c r="DC102" s="25">
        <f t="shared" si="317"/>
        <v>0</v>
      </c>
      <c r="DD102" s="23"/>
      <c r="DE102" s="23"/>
      <c r="DF102" s="23"/>
      <c r="DG102" s="23"/>
      <c r="DH102" s="23"/>
      <c r="DI102" s="23">
        <f t="shared" si="318"/>
        <v>0</v>
      </c>
      <c r="DJ102" s="23">
        <f t="shared" si="319"/>
        <v>0</v>
      </c>
      <c r="DK102" s="23"/>
      <c r="DL102" s="23"/>
      <c r="DM102" s="23"/>
      <c r="DN102" s="23"/>
      <c r="DO102" s="23"/>
      <c r="DP102" s="23">
        <f t="shared" si="314"/>
        <v>0</v>
      </c>
      <c r="DQ102" s="23"/>
      <c r="DR102" s="23"/>
      <c r="DS102" s="23"/>
      <c r="DT102" s="23"/>
      <c r="DU102" s="23"/>
      <c r="DV102" s="23"/>
      <c r="DW102" s="23"/>
    </row>
    <row r="103" spans="1:127" x14ac:dyDescent="0.25">
      <c r="A103">
        <f t="shared" si="315"/>
        <v>99</v>
      </c>
      <c r="B103" t="str">
        <f t="shared" si="311"/>
        <v>J20-1205</v>
      </c>
      <c r="C103" s="20" t="s">
        <v>87</v>
      </c>
      <c r="D103" s="21" t="s">
        <v>253</v>
      </c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1"/>
      <c r="R103" s="20"/>
      <c r="S103" s="20"/>
      <c r="T103" s="23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5"/>
      <c r="AH103" s="20"/>
      <c r="AI103" s="20"/>
      <c r="AJ103" s="20"/>
      <c r="AK103" s="20"/>
      <c r="AL103" s="25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5"/>
      <c r="BB103" s="20"/>
      <c r="BC103" s="20"/>
      <c r="BD103" s="20"/>
      <c r="BE103" s="20"/>
      <c r="BF103" s="23"/>
      <c r="BG103" s="23"/>
      <c r="BH103" s="20"/>
      <c r="BI103" s="20"/>
      <c r="BJ103" s="20"/>
      <c r="BK103" s="23"/>
      <c r="BL103" s="23"/>
      <c r="BM103" s="20"/>
      <c r="BN103" s="20"/>
      <c r="BO103" s="20"/>
      <c r="BP103" s="20"/>
      <c r="BQ103" s="20"/>
      <c r="BR103" s="20"/>
      <c r="BS103" s="20"/>
      <c r="BT103" s="20"/>
      <c r="BU103" s="23"/>
      <c r="BV103" s="24"/>
      <c r="BW103" s="20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5"/>
      <c r="CK103" s="34">
        <v>20250</v>
      </c>
      <c r="CL103" s="34">
        <v>10036</v>
      </c>
      <c r="CM103" s="34"/>
      <c r="CN103" s="34"/>
      <c r="CO103" s="34"/>
      <c r="CP103" s="34">
        <f t="shared" si="312"/>
        <v>30286</v>
      </c>
      <c r="CQ103" s="34"/>
      <c r="CR103" s="34"/>
      <c r="CS103" s="34"/>
      <c r="CT103" s="34"/>
      <c r="CU103" s="34"/>
      <c r="CV103" s="34">
        <f t="shared" si="313"/>
        <v>0</v>
      </c>
      <c r="CW103" s="37">
        <f t="shared" si="316"/>
        <v>30286</v>
      </c>
      <c r="CX103" s="23"/>
      <c r="CY103" s="23"/>
      <c r="CZ103" s="23"/>
      <c r="DA103" s="23"/>
      <c r="DB103" s="23"/>
      <c r="DC103" s="25">
        <f t="shared" si="317"/>
        <v>0</v>
      </c>
      <c r="DD103" s="23"/>
      <c r="DE103" s="23"/>
      <c r="DF103" s="23"/>
      <c r="DG103" s="23"/>
      <c r="DH103" s="23"/>
      <c r="DI103" s="23">
        <f t="shared" si="318"/>
        <v>0</v>
      </c>
      <c r="DJ103" s="23">
        <f t="shared" si="319"/>
        <v>0</v>
      </c>
      <c r="DK103" s="23"/>
      <c r="DL103" s="23"/>
      <c r="DM103" s="23"/>
      <c r="DN103" s="23"/>
      <c r="DO103" s="23"/>
      <c r="DP103" s="23">
        <f t="shared" si="314"/>
        <v>0</v>
      </c>
      <c r="DQ103" s="23"/>
      <c r="DR103" s="23"/>
      <c r="DS103" s="23"/>
      <c r="DT103" s="23"/>
      <c r="DU103" s="23"/>
      <c r="DV103" s="23"/>
      <c r="DW103" s="23"/>
    </row>
    <row r="104" spans="1:127" x14ac:dyDescent="0.25">
      <c r="A104">
        <f t="shared" si="315"/>
        <v>100</v>
      </c>
      <c r="B104" t="str">
        <f t="shared" si="311"/>
        <v>J21-0040</v>
      </c>
      <c r="C104" s="20" t="s">
        <v>87</v>
      </c>
      <c r="D104" s="21" t="s">
        <v>254</v>
      </c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1"/>
      <c r="R104" s="20"/>
      <c r="S104" s="20"/>
      <c r="T104" s="23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5"/>
      <c r="AH104" s="20"/>
      <c r="AI104" s="20"/>
      <c r="AJ104" s="20"/>
      <c r="AK104" s="20"/>
      <c r="AL104" s="25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5"/>
      <c r="BB104" s="20"/>
      <c r="BC104" s="20"/>
      <c r="BD104" s="20"/>
      <c r="BE104" s="20"/>
      <c r="BF104" s="23"/>
      <c r="BG104" s="23"/>
      <c r="BH104" s="20"/>
      <c r="BI104" s="20"/>
      <c r="BJ104" s="20"/>
      <c r="BK104" s="23"/>
      <c r="BL104" s="23"/>
      <c r="BM104" s="20"/>
      <c r="BN104" s="20"/>
      <c r="BO104" s="20"/>
      <c r="BP104" s="20"/>
      <c r="BQ104" s="20"/>
      <c r="BR104" s="20"/>
      <c r="BS104" s="20"/>
      <c r="BT104" s="20"/>
      <c r="BU104" s="23"/>
      <c r="BV104" s="24"/>
      <c r="BW104" s="20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5"/>
      <c r="CK104" s="34">
        <v>34520</v>
      </c>
      <c r="CL104" s="34">
        <v>3485</v>
      </c>
      <c r="CM104" s="34"/>
      <c r="CN104" s="34"/>
      <c r="CO104" s="34"/>
      <c r="CP104" s="34">
        <f t="shared" si="312"/>
        <v>38005</v>
      </c>
      <c r="CQ104" s="35">
        <f>11700+55800</f>
        <v>67500</v>
      </c>
      <c r="CR104" s="34"/>
      <c r="CS104" s="34"/>
      <c r="CT104" s="34"/>
      <c r="CU104" s="34"/>
      <c r="CV104" s="34">
        <f t="shared" si="313"/>
        <v>67500</v>
      </c>
      <c r="CW104" s="37">
        <f t="shared" si="316"/>
        <v>105505</v>
      </c>
      <c r="CX104" s="23">
        <v>15810</v>
      </c>
      <c r="CY104" s="23"/>
      <c r="CZ104" s="23"/>
      <c r="DA104" s="23"/>
      <c r="DB104" s="23"/>
      <c r="DC104" s="25">
        <f t="shared" si="317"/>
        <v>15810</v>
      </c>
      <c r="DD104" s="23"/>
      <c r="DE104" s="23"/>
      <c r="DF104" s="23"/>
      <c r="DG104" s="23"/>
      <c r="DH104" s="23"/>
      <c r="DI104" s="23">
        <f t="shared" si="318"/>
        <v>0</v>
      </c>
      <c r="DJ104" s="23">
        <f t="shared" si="319"/>
        <v>15810</v>
      </c>
      <c r="DK104" s="23">
        <v>56090</v>
      </c>
      <c r="DL104" s="23">
        <v>29392</v>
      </c>
      <c r="DM104" s="23"/>
      <c r="DN104" s="23"/>
      <c r="DO104" s="23"/>
      <c r="DP104" s="23">
        <f t="shared" si="314"/>
        <v>85482</v>
      </c>
      <c r="DQ104" s="23"/>
      <c r="DR104" s="23"/>
      <c r="DS104" s="23"/>
      <c r="DT104" s="23"/>
      <c r="DU104" s="23"/>
      <c r="DV104" s="23"/>
      <c r="DW104" s="23"/>
    </row>
    <row r="105" spans="1:127" x14ac:dyDescent="0.25">
      <c r="A105">
        <f t="shared" si="315"/>
        <v>101</v>
      </c>
      <c r="B105" t="str">
        <f t="shared" si="311"/>
        <v>J21-0094</v>
      </c>
      <c r="C105" s="20" t="s">
        <v>255</v>
      </c>
      <c r="D105" s="21" t="s">
        <v>256</v>
      </c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1"/>
      <c r="R105" s="20"/>
      <c r="S105" s="20"/>
      <c r="T105" s="23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5"/>
      <c r="AH105" s="20"/>
      <c r="AI105" s="20"/>
      <c r="AJ105" s="20"/>
      <c r="AK105" s="20"/>
      <c r="AL105" s="25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5"/>
      <c r="BB105" s="20"/>
      <c r="BC105" s="20"/>
      <c r="BD105" s="20"/>
      <c r="BE105" s="20"/>
      <c r="BF105" s="23"/>
      <c r="BG105" s="23"/>
      <c r="BH105" s="20"/>
      <c r="BI105" s="20"/>
      <c r="BJ105" s="20"/>
      <c r="BK105" s="23"/>
      <c r="BL105" s="23"/>
      <c r="BM105" s="20"/>
      <c r="BN105" s="20"/>
      <c r="BO105" s="20"/>
      <c r="BP105" s="20"/>
      <c r="BQ105" s="20"/>
      <c r="BR105" s="20"/>
      <c r="BS105" s="20"/>
      <c r="BT105" s="20"/>
      <c r="BU105" s="23"/>
      <c r="BV105" s="24"/>
      <c r="BW105" s="20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5"/>
      <c r="CK105" s="34">
        <v>60486</v>
      </c>
      <c r="CL105" s="34"/>
      <c r="CM105" s="34"/>
      <c r="CN105" s="34"/>
      <c r="CO105" s="34">
        <v>7</v>
      </c>
      <c r="CP105" s="34">
        <f>SUM(CK105:CN105)</f>
        <v>60486</v>
      </c>
      <c r="CQ105" s="35">
        <v>47260</v>
      </c>
      <c r="CR105" s="34"/>
      <c r="CS105" s="34"/>
      <c r="CT105" s="34"/>
      <c r="CU105" s="34">
        <v>7</v>
      </c>
      <c r="CV105" s="34">
        <f t="shared" si="313"/>
        <v>47260</v>
      </c>
      <c r="CW105" s="37">
        <f t="shared" si="316"/>
        <v>107746</v>
      </c>
      <c r="CX105" s="23">
        <v>53098</v>
      </c>
      <c r="CY105" s="23"/>
      <c r="CZ105" s="23"/>
      <c r="DA105" s="23"/>
      <c r="DB105" s="23">
        <v>6</v>
      </c>
      <c r="DC105" s="25">
        <f t="shared" si="317"/>
        <v>53098</v>
      </c>
      <c r="DD105" s="23">
        <v>66122</v>
      </c>
      <c r="DE105" s="23"/>
      <c r="DF105" s="23"/>
      <c r="DG105" s="23"/>
      <c r="DH105" s="23">
        <v>7</v>
      </c>
      <c r="DI105" s="23">
        <f t="shared" si="318"/>
        <v>66122</v>
      </c>
      <c r="DJ105" s="23">
        <f t="shared" si="319"/>
        <v>119220</v>
      </c>
      <c r="DK105" s="23"/>
      <c r="DL105" s="23"/>
      <c r="DM105" s="23"/>
      <c r="DN105" s="23"/>
      <c r="DO105" s="23"/>
      <c r="DP105" s="23">
        <f t="shared" si="314"/>
        <v>0</v>
      </c>
      <c r="DQ105" s="23"/>
      <c r="DR105" s="23"/>
      <c r="DS105" s="23"/>
      <c r="DT105" s="23"/>
      <c r="DU105" s="23"/>
      <c r="DV105" s="23"/>
      <c r="DW105" s="23"/>
    </row>
    <row r="106" spans="1:127" x14ac:dyDescent="0.25">
      <c r="A106">
        <f t="shared" si="315"/>
        <v>102</v>
      </c>
      <c r="B106" t="str">
        <f t="shared" si="311"/>
        <v>J20-1079</v>
      </c>
      <c r="C106" s="20" t="s">
        <v>257</v>
      </c>
      <c r="D106" s="21" t="s">
        <v>258</v>
      </c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1"/>
      <c r="R106" s="20"/>
      <c r="S106" s="20"/>
      <c r="T106" s="23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5"/>
      <c r="AH106" s="20"/>
      <c r="AI106" s="20"/>
      <c r="AJ106" s="20"/>
      <c r="AK106" s="20"/>
      <c r="AL106" s="25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5"/>
      <c r="BB106" s="20"/>
      <c r="BC106" s="20"/>
      <c r="BD106" s="20"/>
      <c r="BE106" s="20"/>
      <c r="BF106" s="23"/>
      <c r="BG106" s="23"/>
      <c r="BH106" s="20"/>
      <c r="BI106" s="20"/>
      <c r="BJ106" s="20"/>
      <c r="BK106" s="23"/>
      <c r="BL106" s="23"/>
      <c r="BM106" s="20"/>
      <c r="BN106" s="20"/>
      <c r="BO106" s="20"/>
      <c r="BP106" s="20"/>
      <c r="BQ106" s="20"/>
      <c r="BR106" s="20"/>
      <c r="BS106" s="20"/>
      <c r="BT106" s="20"/>
      <c r="BU106" s="23"/>
      <c r="BV106" s="24"/>
      <c r="BW106" s="20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5"/>
      <c r="CK106" s="34"/>
      <c r="CL106" s="34"/>
      <c r="CM106" s="34"/>
      <c r="CN106" s="34"/>
      <c r="CO106" s="34"/>
      <c r="CP106" s="34">
        <f t="shared" si="312"/>
        <v>0</v>
      </c>
      <c r="CQ106" s="34">
        <v>3860</v>
      </c>
      <c r="CR106" s="34">
        <v>1314</v>
      </c>
      <c r="CS106" s="34"/>
      <c r="CT106" s="34"/>
      <c r="CU106" s="34"/>
      <c r="CV106" s="34">
        <f t="shared" si="313"/>
        <v>5174</v>
      </c>
      <c r="CW106" s="37">
        <f t="shared" si="316"/>
        <v>5174</v>
      </c>
      <c r="CX106" s="23"/>
      <c r="CY106" s="23"/>
      <c r="CZ106" s="23"/>
      <c r="DA106" s="23"/>
      <c r="DB106" s="23"/>
      <c r="DC106" s="25">
        <f t="shared" si="317"/>
        <v>0</v>
      </c>
      <c r="DD106" s="23"/>
      <c r="DE106" s="23"/>
      <c r="DF106" s="23"/>
      <c r="DG106" s="23"/>
      <c r="DH106" s="23"/>
      <c r="DI106" s="23">
        <f t="shared" si="318"/>
        <v>0</v>
      </c>
      <c r="DJ106" s="23">
        <f t="shared" si="319"/>
        <v>0</v>
      </c>
      <c r="DK106" s="23"/>
      <c r="DL106" s="23"/>
      <c r="DM106" s="23"/>
      <c r="DN106" s="23"/>
      <c r="DO106" s="23"/>
      <c r="DP106" s="23">
        <f t="shared" si="314"/>
        <v>0</v>
      </c>
      <c r="DQ106" s="23"/>
      <c r="DR106" s="23"/>
      <c r="DS106" s="23"/>
      <c r="DT106" s="23"/>
      <c r="DU106" s="23"/>
      <c r="DV106" s="23"/>
      <c r="DW106" s="23"/>
    </row>
    <row r="107" spans="1:127" x14ac:dyDescent="0.25">
      <c r="A107">
        <f t="shared" si="315"/>
        <v>103</v>
      </c>
      <c r="B107" t="str">
        <f t="shared" si="311"/>
        <v>J21-0211</v>
      </c>
      <c r="C107" s="20" t="s">
        <v>259</v>
      </c>
      <c r="D107" s="21" t="s">
        <v>260</v>
      </c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1"/>
      <c r="R107" s="20"/>
      <c r="S107" s="20"/>
      <c r="T107" s="23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5"/>
      <c r="AH107" s="20"/>
      <c r="AI107" s="20"/>
      <c r="AJ107" s="20"/>
      <c r="AK107" s="20"/>
      <c r="AL107" s="25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5"/>
      <c r="BB107" s="20"/>
      <c r="BC107" s="20"/>
      <c r="BD107" s="20"/>
      <c r="BE107" s="20"/>
      <c r="BF107" s="23"/>
      <c r="BG107" s="23"/>
      <c r="BH107" s="20"/>
      <c r="BI107" s="20"/>
      <c r="BJ107" s="20"/>
      <c r="BK107" s="23"/>
      <c r="BL107" s="23"/>
      <c r="BM107" s="20"/>
      <c r="BN107" s="20"/>
      <c r="BO107" s="20"/>
      <c r="BP107" s="20"/>
      <c r="BQ107" s="20"/>
      <c r="BR107" s="20"/>
      <c r="BS107" s="20"/>
      <c r="BT107" s="20"/>
      <c r="BU107" s="23"/>
      <c r="BV107" s="24"/>
      <c r="BW107" s="20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5"/>
      <c r="CK107" s="34"/>
      <c r="CL107" s="34"/>
      <c r="CM107" s="34"/>
      <c r="CN107" s="34"/>
      <c r="CO107" s="34"/>
      <c r="CP107" s="34">
        <f t="shared" si="312"/>
        <v>0</v>
      </c>
      <c r="CQ107" s="34">
        <v>184310</v>
      </c>
      <c r="CR107" s="34"/>
      <c r="CS107" s="34"/>
      <c r="CT107" s="34"/>
      <c r="CU107" s="34">
        <v>27</v>
      </c>
      <c r="CV107" s="34">
        <f t="shared" si="313"/>
        <v>184310</v>
      </c>
      <c r="CW107" s="37">
        <f t="shared" si="316"/>
        <v>184310</v>
      </c>
      <c r="CX107" s="23">
        <f>369008+8060</f>
        <v>377068</v>
      </c>
      <c r="CY107" s="23">
        <f>811+407</f>
        <v>1218</v>
      </c>
      <c r="CZ107" s="23"/>
      <c r="DA107" s="23"/>
      <c r="DB107" s="23">
        <v>70</v>
      </c>
      <c r="DC107" s="25">
        <f t="shared" si="317"/>
        <v>378286</v>
      </c>
      <c r="DD107" s="23">
        <f>388252+14120</f>
        <v>402372</v>
      </c>
      <c r="DE107" s="23">
        <v>14187</v>
      </c>
      <c r="DF107" s="23"/>
      <c r="DG107" s="23">
        <v>2000</v>
      </c>
      <c r="DH107" s="23">
        <v>64</v>
      </c>
      <c r="DI107" s="23">
        <f t="shared" si="318"/>
        <v>418559</v>
      </c>
      <c r="DJ107" s="23">
        <f t="shared" si="319"/>
        <v>796845</v>
      </c>
      <c r="DK107" s="23">
        <f>26920+385911</f>
        <v>412831</v>
      </c>
      <c r="DL107" s="23">
        <f>8396+142507</f>
        <v>150903</v>
      </c>
      <c r="DM107" s="23"/>
      <c r="DN107" s="23"/>
      <c r="DO107" s="23">
        <v>70</v>
      </c>
      <c r="DP107" s="23">
        <f t="shared" si="314"/>
        <v>563734</v>
      </c>
      <c r="DQ107" s="23"/>
      <c r="DR107" s="23"/>
      <c r="DS107" s="23"/>
      <c r="DT107" s="23"/>
      <c r="DU107" s="23"/>
      <c r="DV107" s="23"/>
      <c r="DW107" s="23"/>
    </row>
    <row r="108" spans="1:127" x14ac:dyDescent="0.25">
      <c r="A108">
        <f t="shared" si="315"/>
        <v>104</v>
      </c>
      <c r="B108" t="str">
        <f t="shared" si="311"/>
        <v>J20-1374</v>
      </c>
      <c r="C108" s="20" t="s">
        <v>261</v>
      </c>
      <c r="D108" s="21" t="s">
        <v>262</v>
      </c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1"/>
      <c r="R108" s="20"/>
      <c r="S108" s="20"/>
      <c r="T108" s="23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5"/>
      <c r="AH108" s="20"/>
      <c r="AI108" s="20"/>
      <c r="AJ108" s="20"/>
      <c r="AK108" s="20"/>
      <c r="AL108" s="25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5"/>
      <c r="BB108" s="20"/>
      <c r="BC108" s="20"/>
      <c r="BD108" s="20"/>
      <c r="BE108" s="20"/>
      <c r="BF108" s="23"/>
      <c r="BG108" s="23"/>
      <c r="BH108" s="20"/>
      <c r="BI108" s="20"/>
      <c r="BJ108" s="20"/>
      <c r="BK108" s="23"/>
      <c r="BL108" s="23"/>
      <c r="BM108" s="20"/>
      <c r="BN108" s="20"/>
      <c r="BO108" s="20"/>
      <c r="BP108" s="20"/>
      <c r="BQ108" s="20"/>
      <c r="BR108" s="20"/>
      <c r="BS108" s="20"/>
      <c r="BT108" s="20"/>
      <c r="BU108" s="23"/>
      <c r="BV108" s="24"/>
      <c r="BW108" s="20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5"/>
      <c r="CK108" s="34"/>
      <c r="CL108" s="34"/>
      <c r="CM108" s="34"/>
      <c r="CN108" s="34"/>
      <c r="CO108" s="34"/>
      <c r="CP108" s="34">
        <f t="shared" si="312"/>
        <v>0</v>
      </c>
      <c r="CQ108" s="34">
        <v>41470</v>
      </c>
      <c r="CR108" s="34"/>
      <c r="CS108" s="34">
        <v>4550</v>
      </c>
      <c r="CT108" s="34"/>
      <c r="CU108" s="34">
        <v>7</v>
      </c>
      <c r="CV108" s="34">
        <f t="shared" si="313"/>
        <v>46020</v>
      </c>
      <c r="CW108" s="37">
        <f t="shared" si="316"/>
        <v>46020</v>
      </c>
      <c r="CX108" s="23">
        <v>41570</v>
      </c>
      <c r="CY108" s="23"/>
      <c r="CZ108" s="23">
        <v>5250</v>
      </c>
      <c r="DA108" s="23"/>
      <c r="DB108" s="23">
        <v>7</v>
      </c>
      <c r="DC108" s="25">
        <f t="shared" si="317"/>
        <v>46820</v>
      </c>
      <c r="DD108" s="23">
        <v>19570</v>
      </c>
      <c r="DE108" s="23"/>
      <c r="DF108" s="23">
        <v>1700</v>
      </c>
      <c r="DG108" s="23"/>
      <c r="DH108" s="23">
        <v>7</v>
      </c>
      <c r="DI108" s="23">
        <f t="shared" si="318"/>
        <v>21270</v>
      </c>
      <c r="DJ108" s="23">
        <f t="shared" si="319"/>
        <v>68090</v>
      </c>
      <c r="DK108" s="23"/>
      <c r="DL108" s="23"/>
      <c r="DM108" s="23"/>
      <c r="DN108" s="23"/>
      <c r="DO108" s="23"/>
      <c r="DP108" s="23">
        <f t="shared" si="314"/>
        <v>0</v>
      </c>
      <c r="DQ108" s="23"/>
      <c r="DR108" s="23"/>
      <c r="DS108" s="23"/>
      <c r="DT108" s="23"/>
      <c r="DU108" s="23"/>
      <c r="DV108" s="23"/>
      <c r="DW108" s="23"/>
    </row>
    <row r="109" spans="1:127" x14ac:dyDescent="0.25">
      <c r="A109">
        <f t="shared" si="315"/>
        <v>105</v>
      </c>
      <c r="B109" t="str">
        <f t="shared" si="311"/>
        <v>J20-1148</v>
      </c>
      <c r="C109" s="20" t="s">
        <v>263</v>
      </c>
      <c r="D109" s="21" t="s">
        <v>264</v>
      </c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1"/>
      <c r="R109" s="20"/>
      <c r="S109" s="20"/>
      <c r="T109" s="23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5"/>
      <c r="AH109" s="20"/>
      <c r="AI109" s="20"/>
      <c r="AJ109" s="20"/>
      <c r="AK109" s="20"/>
      <c r="AL109" s="25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5"/>
      <c r="BB109" s="20"/>
      <c r="BC109" s="20"/>
      <c r="BD109" s="20"/>
      <c r="BE109" s="20"/>
      <c r="BF109" s="23"/>
      <c r="BG109" s="23"/>
      <c r="BH109" s="20"/>
      <c r="BI109" s="20"/>
      <c r="BJ109" s="20"/>
      <c r="BK109" s="23"/>
      <c r="BL109" s="23"/>
      <c r="BM109" s="20"/>
      <c r="BN109" s="20"/>
      <c r="BO109" s="20"/>
      <c r="BP109" s="20"/>
      <c r="BQ109" s="20"/>
      <c r="BR109" s="20"/>
      <c r="BS109" s="20"/>
      <c r="BT109" s="20"/>
      <c r="BU109" s="23"/>
      <c r="BV109" s="24"/>
      <c r="BW109" s="20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5"/>
      <c r="CK109" s="34"/>
      <c r="CL109" s="34"/>
      <c r="CM109" s="34"/>
      <c r="CN109" s="34"/>
      <c r="CO109" s="34"/>
      <c r="CP109" s="34">
        <f t="shared" si="312"/>
        <v>0</v>
      </c>
      <c r="CQ109" s="34">
        <v>110340</v>
      </c>
      <c r="CR109" s="34"/>
      <c r="CS109" s="34">
        <v>13959</v>
      </c>
      <c r="CT109" s="34"/>
      <c r="CU109" s="34">
        <v>33</v>
      </c>
      <c r="CV109" s="34">
        <f t="shared" si="313"/>
        <v>124299</v>
      </c>
      <c r="CW109" s="37">
        <f t="shared" si="316"/>
        <v>124299</v>
      </c>
      <c r="CX109" s="23">
        <v>146340</v>
      </c>
      <c r="CY109" s="23">
        <v>27975</v>
      </c>
      <c r="CZ109" s="23">
        <v>16027</v>
      </c>
      <c r="DA109" s="23"/>
      <c r="DB109" s="23">
        <v>27</v>
      </c>
      <c r="DC109" s="25">
        <f t="shared" si="317"/>
        <v>190342</v>
      </c>
      <c r="DD109" s="23">
        <v>104770</v>
      </c>
      <c r="DE109" s="23">
        <v>34700</v>
      </c>
      <c r="DF109" s="23">
        <v>17484</v>
      </c>
      <c r="DG109" s="23"/>
      <c r="DH109" s="23">
        <v>27</v>
      </c>
      <c r="DI109" s="23">
        <f t="shared" si="318"/>
        <v>156954</v>
      </c>
      <c r="DJ109" s="23">
        <f t="shared" si="319"/>
        <v>347296</v>
      </c>
      <c r="DK109" s="23">
        <v>43120</v>
      </c>
      <c r="DL109" s="23">
        <v>11072</v>
      </c>
      <c r="DM109" s="23"/>
      <c r="DN109" s="23"/>
      <c r="DO109" s="23">
        <v>27</v>
      </c>
      <c r="DP109" s="23">
        <f t="shared" si="314"/>
        <v>54192</v>
      </c>
      <c r="DQ109" s="23"/>
      <c r="DR109" s="23"/>
      <c r="DS109" s="23"/>
      <c r="DT109" s="23"/>
      <c r="DU109" s="23"/>
      <c r="DV109" s="23"/>
      <c r="DW109" s="23"/>
    </row>
    <row r="110" spans="1:127" x14ac:dyDescent="0.25">
      <c r="A110">
        <f t="shared" si="315"/>
        <v>106</v>
      </c>
      <c r="B110" t="str">
        <f t="shared" si="311"/>
        <v>J21-0189</v>
      </c>
      <c r="C110" s="20" t="s">
        <v>265</v>
      </c>
      <c r="D110" s="21" t="s">
        <v>266</v>
      </c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1"/>
      <c r="R110" s="20"/>
      <c r="S110" s="20"/>
      <c r="T110" s="23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5"/>
      <c r="AH110" s="20"/>
      <c r="AI110" s="20"/>
      <c r="AJ110" s="20"/>
      <c r="AK110" s="20"/>
      <c r="AL110" s="25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5"/>
      <c r="BB110" s="20"/>
      <c r="BC110" s="20"/>
      <c r="BD110" s="20"/>
      <c r="BE110" s="20"/>
      <c r="BF110" s="23"/>
      <c r="BG110" s="23"/>
      <c r="BH110" s="20"/>
      <c r="BI110" s="20"/>
      <c r="BJ110" s="20"/>
      <c r="BK110" s="23"/>
      <c r="BL110" s="23"/>
      <c r="BM110" s="20"/>
      <c r="BN110" s="20"/>
      <c r="BO110" s="20"/>
      <c r="BP110" s="20"/>
      <c r="BQ110" s="20"/>
      <c r="BR110" s="20"/>
      <c r="BS110" s="20"/>
      <c r="BT110" s="20"/>
      <c r="BU110" s="23"/>
      <c r="BV110" s="24"/>
      <c r="BW110" s="20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5"/>
      <c r="CK110" s="34"/>
      <c r="CL110" s="34"/>
      <c r="CM110" s="34"/>
      <c r="CN110" s="34"/>
      <c r="CO110" s="34"/>
      <c r="CP110" s="34">
        <f t="shared" si="312"/>
        <v>0</v>
      </c>
      <c r="CQ110" s="34">
        <v>17640</v>
      </c>
      <c r="CR110" s="34">
        <v>8275</v>
      </c>
      <c r="CS110" s="34"/>
      <c r="CT110" s="34"/>
      <c r="CU110" s="34"/>
      <c r="CV110" s="34">
        <f t="shared" si="313"/>
        <v>25915</v>
      </c>
      <c r="CW110" s="37">
        <f t="shared" si="316"/>
        <v>25915</v>
      </c>
      <c r="CX110" s="23">
        <v>8820</v>
      </c>
      <c r="CY110" s="23">
        <v>3307</v>
      </c>
      <c r="CZ110" s="23"/>
      <c r="DA110" s="23"/>
      <c r="DB110" s="23"/>
      <c r="DC110" s="25">
        <f t="shared" si="317"/>
        <v>12127</v>
      </c>
      <c r="DD110" s="23"/>
      <c r="DE110" s="23"/>
      <c r="DF110" s="23"/>
      <c r="DG110" s="23"/>
      <c r="DH110" s="23"/>
      <c r="DI110" s="23">
        <f t="shared" si="318"/>
        <v>0</v>
      </c>
      <c r="DJ110" s="23">
        <f t="shared" si="319"/>
        <v>12127</v>
      </c>
      <c r="DK110" s="23"/>
      <c r="DL110" s="23"/>
      <c r="DM110" s="23"/>
      <c r="DN110" s="23"/>
      <c r="DO110" s="23"/>
      <c r="DP110" s="23">
        <f t="shared" si="314"/>
        <v>0</v>
      </c>
      <c r="DQ110" s="23"/>
      <c r="DR110" s="23"/>
      <c r="DS110" s="23"/>
      <c r="DT110" s="23"/>
      <c r="DU110" s="23"/>
      <c r="DV110" s="23"/>
      <c r="DW110" s="23"/>
    </row>
    <row r="111" spans="1:127" x14ac:dyDescent="0.25">
      <c r="A111">
        <f t="shared" si="315"/>
        <v>107</v>
      </c>
      <c r="B111" t="str">
        <f t="shared" si="311"/>
        <v xml:space="preserve"> J21-0041</v>
      </c>
      <c r="C111" s="20" t="s">
        <v>267</v>
      </c>
      <c r="D111" s="21" t="s">
        <v>268</v>
      </c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1"/>
      <c r="R111" s="20"/>
      <c r="S111" s="20"/>
      <c r="T111" s="23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5"/>
      <c r="AH111" s="20"/>
      <c r="AI111" s="20"/>
      <c r="AJ111" s="20"/>
      <c r="AK111" s="20"/>
      <c r="AL111" s="25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5"/>
      <c r="BB111" s="20"/>
      <c r="BC111" s="20"/>
      <c r="BD111" s="20"/>
      <c r="BE111" s="20"/>
      <c r="BF111" s="23"/>
      <c r="BG111" s="23"/>
      <c r="BH111" s="20"/>
      <c r="BI111" s="20"/>
      <c r="BJ111" s="20"/>
      <c r="BK111" s="23"/>
      <c r="BL111" s="23"/>
      <c r="BM111" s="20"/>
      <c r="BN111" s="20"/>
      <c r="BO111" s="20"/>
      <c r="BP111" s="20"/>
      <c r="BQ111" s="20"/>
      <c r="BR111" s="20"/>
      <c r="BS111" s="20"/>
      <c r="BT111" s="20"/>
      <c r="BU111" s="23"/>
      <c r="BV111" s="24"/>
      <c r="BW111" s="20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5"/>
      <c r="CK111" s="26"/>
      <c r="CL111" s="26"/>
      <c r="CM111" s="26"/>
      <c r="CN111" s="26"/>
      <c r="CO111" s="26"/>
      <c r="CP111" s="26">
        <f t="shared" ref="CP111:CP121" si="328">SUM(CK111:CN111)</f>
        <v>0</v>
      </c>
      <c r="CQ111" s="26"/>
      <c r="CR111" s="26"/>
      <c r="CS111" s="26"/>
      <c r="CT111" s="26"/>
      <c r="CU111" s="26"/>
      <c r="CV111" s="26"/>
      <c r="CW111" s="37">
        <f t="shared" si="316"/>
        <v>0</v>
      </c>
      <c r="CX111" s="23">
        <v>25410</v>
      </c>
      <c r="CY111" s="23">
        <v>8174</v>
      </c>
      <c r="CZ111" s="23"/>
      <c r="DA111" s="23"/>
      <c r="DB111" s="23"/>
      <c r="DC111" s="25">
        <f t="shared" si="317"/>
        <v>33584</v>
      </c>
      <c r="DD111" s="23">
        <v>70271</v>
      </c>
      <c r="DE111" s="23">
        <v>24139</v>
      </c>
      <c r="DF111" s="23"/>
      <c r="DG111" s="23"/>
      <c r="DH111" s="23"/>
      <c r="DI111" s="23">
        <f t="shared" si="318"/>
        <v>94410</v>
      </c>
      <c r="DJ111" s="23">
        <f t="shared" si="319"/>
        <v>127994</v>
      </c>
      <c r="DK111" s="23">
        <v>31360</v>
      </c>
      <c r="DL111" s="23">
        <v>7855</v>
      </c>
      <c r="DM111" s="23"/>
      <c r="DN111" s="23"/>
      <c r="DO111" s="23"/>
      <c r="DP111" s="23">
        <f t="shared" si="314"/>
        <v>39215</v>
      </c>
      <c r="DQ111" s="23"/>
      <c r="DR111" s="23"/>
      <c r="DS111" s="23"/>
      <c r="DT111" s="23"/>
      <c r="DU111" s="23"/>
      <c r="DV111" s="23"/>
      <c r="DW111" s="23"/>
    </row>
    <row r="112" spans="1:127" x14ac:dyDescent="0.25">
      <c r="A112">
        <f t="shared" si="315"/>
        <v>108</v>
      </c>
      <c r="B112" t="str">
        <f t="shared" si="311"/>
        <v>J21-0230</v>
      </c>
      <c r="C112" s="20" t="s">
        <v>269</v>
      </c>
      <c r="D112" s="21" t="s">
        <v>270</v>
      </c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1"/>
      <c r="R112" s="20"/>
      <c r="S112" s="20"/>
      <c r="T112" s="23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5"/>
      <c r="AH112" s="20"/>
      <c r="AI112" s="20"/>
      <c r="AJ112" s="20"/>
      <c r="AK112" s="20"/>
      <c r="AL112" s="25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5"/>
      <c r="BB112" s="20"/>
      <c r="BC112" s="20"/>
      <c r="BD112" s="20"/>
      <c r="BE112" s="20"/>
      <c r="BF112" s="23"/>
      <c r="BG112" s="23"/>
      <c r="BH112" s="20"/>
      <c r="BI112" s="20"/>
      <c r="BJ112" s="20"/>
      <c r="BK112" s="23"/>
      <c r="BL112" s="23"/>
      <c r="BM112" s="20"/>
      <c r="BN112" s="20"/>
      <c r="BO112" s="20"/>
      <c r="BP112" s="20"/>
      <c r="BQ112" s="20"/>
      <c r="BR112" s="20"/>
      <c r="BS112" s="20"/>
      <c r="BT112" s="20"/>
      <c r="BU112" s="23"/>
      <c r="BV112" s="24"/>
      <c r="BW112" s="20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5"/>
      <c r="CK112" s="26"/>
      <c r="CL112" s="26"/>
      <c r="CM112" s="26"/>
      <c r="CN112" s="26"/>
      <c r="CO112" s="26"/>
      <c r="CP112" s="26">
        <f t="shared" si="328"/>
        <v>0</v>
      </c>
      <c r="CQ112" s="26"/>
      <c r="CR112" s="26"/>
      <c r="CS112" s="26"/>
      <c r="CT112" s="26"/>
      <c r="CU112" s="26"/>
      <c r="CV112" s="26"/>
      <c r="CW112" s="37">
        <f t="shared" si="316"/>
        <v>0</v>
      </c>
      <c r="CX112" s="23">
        <v>12960</v>
      </c>
      <c r="CY112" s="23"/>
      <c r="CZ112" s="23"/>
      <c r="DA112" s="23"/>
      <c r="DB112" s="23"/>
      <c r="DC112" s="25">
        <f t="shared" si="317"/>
        <v>12960</v>
      </c>
      <c r="DD112" s="23"/>
      <c r="DE112" s="23"/>
      <c r="DF112" s="23"/>
      <c r="DG112" s="23"/>
      <c r="DH112" s="23"/>
      <c r="DI112" s="23">
        <f t="shared" si="318"/>
        <v>0</v>
      </c>
      <c r="DJ112" s="23">
        <f t="shared" si="319"/>
        <v>12960</v>
      </c>
      <c r="DK112" s="23"/>
      <c r="DL112" s="23"/>
      <c r="DM112" s="23"/>
      <c r="DN112" s="23"/>
      <c r="DO112" s="23"/>
      <c r="DP112" s="23">
        <f t="shared" si="314"/>
        <v>0</v>
      </c>
      <c r="DQ112" s="23"/>
      <c r="DR112" s="23"/>
      <c r="DS112" s="23"/>
      <c r="DT112" s="23"/>
      <c r="DU112" s="23"/>
      <c r="DV112" s="23"/>
      <c r="DW112" s="23"/>
    </row>
    <row r="113" spans="1:127" x14ac:dyDescent="0.25">
      <c r="A113">
        <f t="shared" si="315"/>
        <v>109</v>
      </c>
      <c r="B113" t="str">
        <f t="shared" si="311"/>
        <v>J20-1348</v>
      </c>
      <c r="C113" s="20" t="s">
        <v>271</v>
      </c>
      <c r="D113" s="21" t="s">
        <v>272</v>
      </c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1"/>
      <c r="R113" s="20"/>
      <c r="S113" s="20"/>
      <c r="T113" s="23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5"/>
      <c r="AH113" s="20"/>
      <c r="AI113" s="20"/>
      <c r="AJ113" s="20"/>
      <c r="AK113" s="20"/>
      <c r="AL113" s="25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5"/>
      <c r="BB113" s="20"/>
      <c r="BC113" s="20"/>
      <c r="BD113" s="20"/>
      <c r="BE113" s="20"/>
      <c r="BF113" s="23"/>
      <c r="BG113" s="23"/>
      <c r="BH113" s="20"/>
      <c r="BI113" s="20"/>
      <c r="BJ113" s="20"/>
      <c r="BK113" s="23"/>
      <c r="BL113" s="23"/>
      <c r="BM113" s="20"/>
      <c r="BN113" s="20"/>
      <c r="BO113" s="20"/>
      <c r="BP113" s="20"/>
      <c r="BQ113" s="20"/>
      <c r="BR113" s="20"/>
      <c r="BS113" s="20"/>
      <c r="BT113" s="20"/>
      <c r="BU113" s="23"/>
      <c r="BV113" s="24"/>
      <c r="BW113" s="20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5"/>
      <c r="CK113" s="26"/>
      <c r="CL113" s="26"/>
      <c r="CM113" s="26"/>
      <c r="CN113" s="26"/>
      <c r="CO113" s="26"/>
      <c r="CP113" s="26">
        <f t="shared" si="328"/>
        <v>0</v>
      </c>
      <c r="CQ113" s="26"/>
      <c r="CR113" s="26"/>
      <c r="CS113" s="26"/>
      <c r="CT113" s="26"/>
      <c r="CU113" s="26"/>
      <c r="CV113" s="26"/>
      <c r="CW113" s="37">
        <f t="shared" si="316"/>
        <v>0</v>
      </c>
      <c r="CX113" s="23"/>
      <c r="CY113" s="23"/>
      <c r="CZ113" s="23"/>
      <c r="DA113" s="23"/>
      <c r="DB113" s="23"/>
      <c r="DC113" s="25">
        <f t="shared" si="317"/>
        <v>0</v>
      </c>
      <c r="DD113" s="23">
        <v>50820</v>
      </c>
      <c r="DE113" s="23">
        <v>17705</v>
      </c>
      <c r="DF113" s="23"/>
      <c r="DG113" s="23"/>
      <c r="DH113" s="23"/>
      <c r="DI113" s="23">
        <f t="shared" si="318"/>
        <v>68525</v>
      </c>
      <c r="DJ113" s="23">
        <f t="shared" si="319"/>
        <v>68525</v>
      </c>
      <c r="DK113" s="23">
        <v>65922</v>
      </c>
      <c r="DL113" s="23">
        <v>58705</v>
      </c>
      <c r="DM113" s="23">
        <v>13489</v>
      </c>
      <c r="DN113" s="23"/>
      <c r="DO113" s="23"/>
      <c r="DP113" s="23">
        <f t="shared" si="314"/>
        <v>138116</v>
      </c>
      <c r="DQ113" s="23"/>
      <c r="DR113" s="23"/>
      <c r="DS113" s="23"/>
      <c r="DT113" s="23"/>
      <c r="DU113" s="23"/>
      <c r="DV113" s="23"/>
      <c r="DW113" s="23"/>
    </row>
    <row r="114" spans="1:127" x14ac:dyDescent="0.25">
      <c r="A114">
        <f t="shared" si="315"/>
        <v>110</v>
      </c>
      <c r="B114" t="str">
        <f t="shared" si="311"/>
        <v>J20-1367</v>
      </c>
      <c r="C114" s="20" t="s">
        <v>273</v>
      </c>
      <c r="D114" s="21" t="s">
        <v>274</v>
      </c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1"/>
      <c r="R114" s="20"/>
      <c r="S114" s="20"/>
      <c r="T114" s="23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5"/>
      <c r="AH114" s="20"/>
      <c r="AI114" s="20"/>
      <c r="AJ114" s="20"/>
      <c r="AK114" s="20"/>
      <c r="AL114" s="25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5"/>
      <c r="BB114" s="20"/>
      <c r="BC114" s="20"/>
      <c r="BD114" s="20"/>
      <c r="BE114" s="20"/>
      <c r="BF114" s="23"/>
      <c r="BG114" s="23"/>
      <c r="BH114" s="20"/>
      <c r="BI114" s="20"/>
      <c r="BJ114" s="20"/>
      <c r="BK114" s="23"/>
      <c r="BL114" s="23"/>
      <c r="BM114" s="20"/>
      <c r="BN114" s="20"/>
      <c r="BO114" s="20"/>
      <c r="BP114" s="20"/>
      <c r="BQ114" s="20"/>
      <c r="BR114" s="20"/>
      <c r="BS114" s="20"/>
      <c r="BT114" s="20"/>
      <c r="BU114" s="23"/>
      <c r="BV114" s="24"/>
      <c r="BW114" s="20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5"/>
      <c r="CK114" s="26"/>
      <c r="CL114" s="26"/>
      <c r="CM114" s="26"/>
      <c r="CN114" s="26"/>
      <c r="CO114" s="26"/>
      <c r="CP114" s="26">
        <f t="shared" si="328"/>
        <v>0</v>
      </c>
      <c r="CQ114" s="26"/>
      <c r="CR114" s="26"/>
      <c r="CS114" s="26"/>
      <c r="CT114" s="26"/>
      <c r="CU114" s="26"/>
      <c r="CV114" s="26"/>
      <c r="CW114" s="37">
        <f t="shared" si="316"/>
        <v>0</v>
      </c>
      <c r="CX114" s="23"/>
      <c r="CY114" s="23"/>
      <c r="CZ114" s="23"/>
      <c r="DA114" s="23"/>
      <c r="DB114" s="23"/>
      <c r="DC114" s="25">
        <f t="shared" si="317"/>
        <v>0</v>
      </c>
      <c r="DD114" s="23">
        <v>3240</v>
      </c>
      <c r="DE114" s="23">
        <v>1822</v>
      </c>
      <c r="DF114" s="23"/>
      <c r="DG114" s="23"/>
      <c r="DH114" s="23"/>
      <c r="DI114" s="23">
        <f t="shared" si="318"/>
        <v>5062</v>
      </c>
      <c r="DJ114" s="23">
        <f t="shared" si="319"/>
        <v>5062</v>
      </c>
      <c r="DK114" s="23"/>
      <c r="DL114" s="23"/>
      <c r="DM114" s="23"/>
      <c r="DN114" s="23"/>
      <c r="DO114" s="23"/>
      <c r="DP114" s="23">
        <f t="shared" si="314"/>
        <v>0</v>
      </c>
      <c r="DQ114" s="23"/>
      <c r="DR114" s="23"/>
      <c r="DS114" s="23"/>
      <c r="DT114" s="23"/>
      <c r="DU114" s="23"/>
      <c r="DV114" s="23"/>
      <c r="DW114" s="23"/>
    </row>
    <row r="115" spans="1:127" x14ac:dyDescent="0.25">
      <c r="A115">
        <f t="shared" si="315"/>
        <v>111</v>
      </c>
      <c r="B115" t="str">
        <f t="shared" si="311"/>
        <v>J21-0270</v>
      </c>
      <c r="C115" s="20" t="s">
        <v>275</v>
      </c>
      <c r="D115" s="21" t="s">
        <v>276</v>
      </c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1"/>
      <c r="R115" s="20"/>
      <c r="S115" s="20"/>
      <c r="T115" s="23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5"/>
      <c r="AH115" s="20"/>
      <c r="AI115" s="20"/>
      <c r="AJ115" s="20"/>
      <c r="AK115" s="20"/>
      <c r="AL115" s="25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5"/>
      <c r="BB115" s="20"/>
      <c r="BC115" s="20"/>
      <c r="BD115" s="20"/>
      <c r="BE115" s="20"/>
      <c r="BF115" s="23"/>
      <c r="BG115" s="23"/>
      <c r="BH115" s="20"/>
      <c r="BI115" s="20"/>
      <c r="BJ115" s="20"/>
      <c r="BK115" s="23"/>
      <c r="BL115" s="23"/>
      <c r="BM115" s="20"/>
      <c r="BN115" s="20"/>
      <c r="BO115" s="20"/>
      <c r="BP115" s="20"/>
      <c r="BQ115" s="20"/>
      <c r="BR115" s="20"/>
      <c r="BS115" s="20"/>
      <c r="BT115" s="20"/>
      <c r="BU115" s="23"/>
      <c r="BV115" s="24"/>
      <c r="BW115" s="20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5"/>
      <c r="CK115" s="26"/>
      <c r="CL115" s="26"/>
      <c r="CM115" s="26"/>
      <c r="CN115" s="26"/>
      <c r="CO115" s="26"/>
      <c r="CP115" s="26">
        <f t="shared" si="328"/>
        <v>0</v>
      </c>
      <c r="CQ115" s="26"/>
      <c r="CR115" s="26"/>
      <c r="CS115" s="26"/>
      <c r="CT115" s="26"/>
      <c r="CU115" s="26"/>
      <c r="CV115" s="26"/>
      <c r="CW115" s="37">
        <f t="shared" si="316"/>
        <v>0</v>
      </c>
      <c r="CX115" s="23"/>
      <c r="CY115" s="23"/>
      <c r="CZ115" s="23"/>
      <c r="DA115" s="23"/>
      <c r="DB115" s="23"/>
      <c r="DC115" s="25">
        <f t="shared" si="317"/>
        <v>0</v>
      </c>
      <c r="DD115" s="23"/>
      <c r="DE115" s="23"/>
      <c r="DF115" s="23"/>
      <c r="DG115" s="23"/>
      <c r="DH115" s="23"/>
      <c r="DI115" s="23">
        <f t="shared" si="318"/>
        <v>0</v>
      </c>
      <c r="DJ115" s="23">
        <f t="shared" si="319"/>
        <v>0</v>
      </c>
      <c r="DK115" s="23">
        <f>59044+21205</f>
        <v>80249</v>
      </c>
      <c r="DL115" s="23"/>
      <c r="DM115" s="23"/>
      <c r="DN115" s="23"/>
      <c r="DO115" s="23">
        <v>8</v>
      </c>
      <c r="DP115" s="23">
        <f t="shared" si="314"/>
        <v>80249</v>
      </c>
      <c r="DQ115" s="23"/>
      <c r="DR115" s="23"/>
      <c r="DS115" s="23"/>
      <c r="DT115" s="23"/>
      <c r="DU115" s="23"/>
      <c r="DV115" s="23"/>
      <c r="DW115" s="23"/>
    </row>
    <row r="116" spans="1:127" x14ac:dyDescent="0.25">
      <c r="A116">
        <f t="shared" si="315"/>
        <v>112</v>
      </c>
      <c r="B116" t="str">
        <f t="shared" si="311"/>
        <v>J21-0224</v>
      </c>
      <c r="C116" s="20" t="s">
        <v>277</v>
      </c>
      <c r="D116" s="21" t="s">
        <v>278</v>
      </c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1"/>
      <c r="R116" s="20"/>
      <c r="S116" s="20"/>
      <c r="T116" s="23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5"/>
      <c r="AH116" s="20"/>
      <c r="AI116" s="20"/>
      <c r="AJ116" s="20"/>
      <c r="AK116" s="20"/>
      <c r="AL116" s="25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5"/>
      <c r="BB116" s="20"/>
      <c r="BC116" s="20"/>
      <c r="BD116" s="20"/>
      <c r="BE116" s="20"/>
      <c r="BF116" s="23"/>
      <c r="BG116" s="23"/>
      <c r="BH116" s="20"/>
      <c r="BI116" s="20"/>
      <c r="BJ116" s="20"/>
      <c r="BK116" s="23"/>
      <c r="BL116" s="23"/>
      <c r="BM116" s="20"/>
      <c r="BN116" s="20"/>
      <c r="BO116" s="20"/>
      <c r="BP116" s="20"/>
      <c r="BQ116" s="20"/>
      <c r="BR116" s="20"/>
      <c r="BS116" s="20"/>
      <c r="BT116" s="20"/>
      <c r="BU116" s="23"/>
      <c r="BV116" s="24"/>
      <c r="BW116" s="20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5"/>
      <c r="CK116" s="26"/>
      <c r="CL116" s="26"/>
      <c r="CM116" s="26"/>
      <c r="CN116" s="26"/>
      <c r="CO116" s="26"/>
      <c r="CP116" s="26">
        <f t="shared" si="328"/>
        <v>0</v>
      </c>
      <c r="CQ116" s="26"/>
      <c r="CR116" s="26"/>
      <c r="CS116" s="26"/>
      <c r="CT116" s="26"/>
      <c r="CU116" s="26"/>
      <c r="CV116" s="26"/>
      <c r="CW116" s="37">
        <f t="shared" si="316"/>
        <v>0</v>
      </c>
      <c r="CX116" s="23"/>
      <c r="CY116" s="23"/>
      <c r="CZ116" s="23"/>
      <c r="DA116" s="23"/>
      <c r="DB116" s="23"/>
      <c r="DC116" s="25">
        <f t="shared" si="317"/>
        <v>0</v>
      </c>
      <c r="DD116" s="23"/>
      <c r="DE116" s="23"/>
      <c r="DF116" s="23"/>
      <c r="DG116" s="23"/>
      <c r="DH116" s="23"/>
      <c r="DI116" s="23">
        <f t="shared" si="318"/>
        <v>0</v>
      </c>
      <c r="DJ116" s="23">
        <f t="shared" si="319"/>
        <v>0</v>
      </c>
      <c r="DK116" s="23">
        <v>31900</v>
      </c>
      <c r="DL116" s="23">
        <v>1201</v>
      </c>
      <c r="DM116" s="23"/>
      <c r="DN116" s="23"/>
      <c r="DO116" s="23">
        <v>5</v>
      </c>
      <c r="DP116" s="23">
        <f t="shared" si="314"/>
        <v>33101</v>
      </c>
      <c r="DQ116" s="23"/>
      <c r="DR116" s="23"/>
      <c r="DS116" s="23"/>
      <c r="DT116" s="23"/>
      <c r="DU116" s="23"/>
      <c r="DV116" s="23"/>
      <c r="DW116" s="23"/>
    </row>
    <row r="117" spans="1:127" x14ac:dyDescent="0.25">
      <c r="A117">
        <f t="shared" si="315"/>
        <v>113</v>
      </c>
      <c r="B117" t="str">
        <f t="shared" si="311"/>
        <v>J21-0273</v>
      </c>
      <c r="C117" s="20" t="s">
        <v>279</v>
      </c>
      <c r="D117" s="21" t="s">
        <v>280</v>
      </c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1"/>
      <c r="R117" s="20"/>
      <c r="S117" s="20"/>
      <c r="T117" s="23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5"/>
      <c r="AH117" s="20"/>
      <c r="AI117" s="20"/>
      <c r="AJ117" s="20"/>
      <c r="AK117" s="20"/>
      <c r="AL117" s="25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5"/>
      <c r="BB117" s="20"/>
      <c r="BC117" s="20"/>
      <c r="BD117" s="20"/>
      <c r="BE117" s="20"/>
      <c r="BF117" s="23"/>
      <c r="BG117" s="23"/>
      <c r="BH117" s="20"/>
      <c r="BI117" s="20"/>
      <c r="BJ117" s="20"/>
      <c r="BK117" s="23"/>
      <c r="BL117" s="23"/>
      <c r="BM117" s="20"/>
      <c r="BN117" s="20"/>
      <c r="BO117" s="20"/>
      <c r="BP117" s="20"/>
      <c r="BQ117" s="20"/>
      <c r="BR117" s="20"/>
      <c r="BS117" s="20"/>
      <c r="BT117" s="20"/>
      <c r="BU117" s="23"/>
      <c r="BV117" s="24"/>
      <c r="BW117" s="20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5"/>
      <c r="CK117" s="26"/>
      <c r="CL117" s="26"/>
      <c r="CM117" s="26"/>
      <c r="CN117" s="26"/>
      <c r="CO117" s="26"/>
      <c r="CP117" s="26">
        <f t="shared" si="328"/>
        <v>0</v>
      </c>
      <c r="CQ117" s="26"/>
      <c r="CR117" s="26"/>
      <c r="CS117" s="26"/>
      <c r="CT117" s="26"/>
      <c r="CU117" s="26"/>
      <c r="CV117" s="26"/>
      <c r="CW117" s="37">
        <f t="shared" si="316"/>
        <v>0</v>
      </c>
      <c r="CX117" s="23"/>
      <c r="CY117" s="23"/>
      <c r="CZ117" s="23"/>
      <c r="DA117" s="23"/>
      <c r="DB117" s="23"/>
      <c r="DC117" s="25">
        <f t="shared" si="317"/>
        <v>0</v>
      </c>
      <c r="DD117" s="23"/>
      <c r="DE117" s="23"/>
      <c r="DF117" s="23"/>
      <c r="DG117" s="23"/>
      <c r="DH117" s="23"/>
      <c r="DI117" s="23">
        <f t="shared" si="318"/>
        <v>0</v>
      </c>
      <c r="DJ117" s="23">
        <f t="shared" si="319"/>
        <v>0</v>
      </c>
      <c r="DK117" s="23">
        <v>9570</v>
      </c>
      <c r="DL117" s="23">
        <v>1195</v>
      </c>
      <c r="DM117" s="23"/>
      <c r="DN117" s="23"/>
      <c r="DO117" s="23"/>
      <c r="DP117" s="23">
        <f t="shared" si="314"/>
        <v>10765</v>
      </c>
      <c r="DQ117" s="23"/>
      <c r="DR117" s="23"/>
      <c r="DS117" s="23"/>
      <c r="DT117" s="23"/>
      <c r="DU117" s="23"/>
      <c r="DV117" s="23"/>
      <c r="DW117" s="23"/>
    </row>
    <row r="118" spans="1:127" x14ac:dyDescent="0.25">
      <c r="A118">
        <f t="shared" si="315"/>
        <v>114</v>
      </c>
      <c r="B118">
        <f t="shared" si="311"/>
        <v>0</v>
      </c>
      <c r="C118" s="20"/>
      <c r="D118" s="21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1"/>
      <c r="R118" s="20"/>
      <c r="S118" s="20"/>
      <c r="T118" s="23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5"/>
      <c r="AH118" s="20"/>
      <c r="AI118" s="20"/>
      <c r="AJ118" s="20"/>
      <c r="AK118" s="20"/>
      <c r="AL118" s="25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5"/>
      <c r="BB118" s="20"/>
      <c r="BC118" s="20"/>
      <c r="BD118" s="20"/>
      <c r="BE118" s="20"/>
      <c r="BF118" s="23"/>
      <c r="BG118" s="23"/>
      <c r="BH118" s="20"/>
      <c r="BI118" s="20"/>
      <c r="BJ118" s="20"/>
      <c r="BK118" s="23"/>
      <c r="BL118" s="23"/>
      <c r="BM118" s="20"/>
      <c r="BN118" s="20"/>
      <c r="BO118" s="20"/>
      <c r="BP118" s="20"/>
      <c r="BQ118" s="20"/>
      <c r="BR118" s="20"/>
      <c r="BS118" s="20"/>
      <c r="BT118" s="20"/>
      <c r="BU118" s="23"/>
      <c r="BV118" s="24"/>
      <c r="BW118" s="20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5"/>
      <c r="CK118" s="26"/>
      <c r="CL118" s="26"/>
      <c r="CM118" s="26"/>
      <c r="CN118" s="26"/>
      <c r="CO118" s="26"/>
      <c r="CP118" s="26">
        <f t="shared" si="328"/>
        <v>0</v>
      </c>
      <c r="CQ118" s="26"/>
      <c r="CR118" s="26"/>
      <c r="CS118" s="26"/>
      <c r="CT118" s="26"/>
      <c r="CU118" s="26"/>
      <c r="CV118" s="26"/>
      <c r="CW118" s="37">
        <f t="shared" si="316"/>
        <v>0</v>
      </c>
      <c r="CX118" s="23"/>
      <c r="CY118" s="23"/>
      <c r="CZ118" s="23"/>
      <c r="DA118" s="23"/>
      <c r="DB118" s="23"/>
      <c r="DC118" s="25">
        <f t="shared" si="317"/>
        <v>0</v>
      </c>
      <c r="DD118" s="23"/>
      <c r="DE118" s="23"/>
      <c r="DF118" s="23"/>
      <c r="DG118" s="23"/>
      <c r="DH118" s="23"/>
      <c r="DI118" s="23">
        <f t="shared" si="318"/>
        <v>0</v>
      </c>
      <c r="DJ118" s="23">
        <f t="shared" si="319"/>
        <v>0</v>
      </c>
      <c r="DK118" s="23"/>
      <c r="DL118" s="23"/>
      <c r="DM118" s="23"/>
      <c r="DN118" s="23"/>
      <c r="DO118" s="23"/>
      <c r="DP118" s="23">
        <f t="shared" si="314"/>
        <v>0</v>
      </c>
      <c r="DQ118" s="23"/>
      <c r="DR118" s="23"/>
      <c r="DS118" s="23"/>
      <c r="DT118" s="23"/>
      <c r="DU118" s="23"/>
      <c r="DV118" s="23"/>
      <c r="DW118" s="23"/>
    </row>
    <row r="119" spans="1:127" x14ac:dyDescent="0.25">
      <c r="A119">
        <f t="shared" si="315"/>
        <v>115</v>
      </c>
      <c r="B119">
        <f t="shared" si="311"/>
        <v>0</v>
      </c>
      <c r="C119" s="20"/>
      <c r="D119" s="21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1"/>
      <c r="R119" s="20"/>
      <c r="S119" s="20"/>
      <c r="T119" s="23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5"/>
      <c r="AH119" s="20"/>
      <c r="AI119" s="20"/>
      <c r="AJ119" s="20"/>
      <c r="AK119" s="20"/>
      <c r="AL119" s="25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5"/>
      <c r="BB119" s="20"/>
      <c r="BC119" s="20"/>
      <c r="BD119" s="20"/>
      <c r="BE119" s="20"/>
      <c r="BF119" s="23"/>
      <c r="BG119" s="23"/>
      <c r="BH119" s="20"/>
      <c r="BI119" s="20"/>
      <c r="BJ119" s="20"/>
      <c r="BK119" s="23"/>
      <c r="BL119" s="23"/>
      <c r="BM119" s="20"/>
      <c r="BN119" s="20"/>
      <c r="BO119" s="20"/>
      <c r="BP119" s="20"/>
      <c r="BQ119" s="20"/>
      <c r="BR119" s="20"/>
      <c r="BS119" s="20"/>
      <c r="BT119" s="20"/>
      <c r="BU119" s="23"/>
      <c r="BV119" s="24"/>
      <c r="BW119" s="20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5"/>
      <c r="CK119" s="26"/>
      <c r="CL119" s="26"/>
      <c r="CM119" s="26"/>
      <c r="CN119" s="26"/>
      <c r="CO119" s="26"/>
      <c r="CP119" s="26">
        <f t="shared" si="328"/>
        <v>0</v>
      </c>
      <c r="CQ119" s="26"/>
      <c r="CR119" s="26"/>
      <c r="CS119" s="26"/>
      <c r="CT119" s="26"/>
      <c r="CU119" s="26"/>
      <c r="CV119" s="26"/>
      <c r="CW119" s="37">
        <f t="shared" si="316"/>
        <v>0</v>
      </c>
      <c r="CX119" s="23"/>
      <c r="CY119" s="23"/>
      <c r="CZ119" s="23"/>
      <c r="DA119" s="23"/>
      <c r="DB119" s="23"/>
      <c r="DC119" s="25">
        <f t="shared" si="317"/>
        <v>0</v>
      </c>
      <c r="DD119" s="23"/>
      <c r="DE119" s="23"/>
      <c r="DF119" s="23"/>
      <c r="DG119" s="23"/>
      <c r="DH119" s="23"/>
      <c r="DI119" s="23">
        <f t="shared" si="318"/>
        <v>0</v>
      </c>
      <c r="DJ119" s="23">
        <f t="shared" si="319"/>
        <v>0</v>
      </c>
      <c r="DK119" s="23"/>
      <c r="DL119" s="23"/>
      <c r="DM119" s="23"/>
      <c r="DN119" s="23"/>
      <c r="DO119" s="23"/>
      <c r="DP119" s="23">
        <f t="shared" si="314"/>
        <v>0</v>
      </c>
      <c r="DQ119" s="23"/>
      <c r="DR119" s="23"/>
      <c r="DS119" s="23"/>
      <c r="DT119" s="23"/>
      <c r="DU119" s="23"/>
      <c r="DV119" s="23"/>
      <c r="DW119" s="23"/>
    </row>
    <row r="120" spans="1:127" x14ac:dyDescent="0.25">
      <c r="A120">
        <f t="shared" si="315"/>
        <v>116</v>
      </c>
      <c r="B120">
        <f t="shared" si="311"/>
        <v>0</v>
      </c>
      <c r="C120" s="20"/>
      <c r="D120" s="21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1"/>
      <c r="R120" s="20"/>
      <c r="S120" s="20"/>
      <c r="T120" s="23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5"/>
      <c r="AH120" s="20"/>
      <c r="AI120" s="20"/>
      <c r="AJ120" s="20"/>
      <c r="AK120" s="20"/>
      <c r="AL120" s="25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5"/>
      <c r="BB120" s="20"/>
      <c r="BC120" s="20"/>
      <c r="BD120" s="20"/>
      <c r="BE120" s="20"/>
      <c r="BF120" s="23"/>
      <c r="BG120" s="23"/>
      <c r="BH120" s="20"/>
      <c r="BI120" s="20"/>
      <c r="BJ120" s="20"/>
      <c r="BK120" s="23"/>
      <c r="BL120" s="23"/>
      <c r="BM120" s="20"/>
      <c r="BN120" s="20"/>
      <c r="BO120" s="20"/>
      <c r="BP120" s="20"/>
      <c r="BQ120" s="20"/>
      <c r="BR120" s="20"/>
      <c r="BS120" s="20"/>
      <c r="BT120" s="20"/>
      <c r="BU120" s="23"/>
      <c r="BV120" s="24"/>
      <c r="BW120" s="20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5"/>
      <c r="CK120" s="26"/>
      <c r="CL120" s="26"/>
      <c r="CM120" s="26"/>
      <c r="CN120" s="26"/>
      <c r="CO120" s="26"/>
      <c r="CP120" s="26">
        <f t="shared" si="328"/>
        <v>0</v>
      </c>
      <c r="CQ120" s="26"/>
      <c r="CR120" s="26"/>
      <c r="CS120" s="26"/>
      <c r="CT120" s="26"/>
      <c r="CU120" s="26"/>
      <c r="CV120" s="26"/>
      <c r="CW120" s="37">
        <f t="shared" si="316"/>
        <v>0</v>
      </c>
      <c r="CX120" s="23"/>
      <c r="CY120" s="23"/>
      <c r="CZ120" s="23"/>
      <c r="DA120" s="23"/>
      <c r="DB120" s="23"/>
      <c r="DC120" s="25">
        <f t="shared" si="317"/>
        <v>0</v>
      </c>
      <c r="DD120" s="23"/>
      <c r="DE120" s="23"/>
      <c r="DF120" s="23"/>
      <c r="DG120" s="23"/>
      <c r="DH120" s="23"/>
      <c r="DI120" s="23">
        <f t="shared" si="318"/>
        <v>0</v>
      </c>
      <c r="DJ120" s="23">
        <f t="shared" si="319"/>
        <v>0</v>
      </c>
      <c r="DK120" s="23"/>
      <c r="DL120" s="23"/>
      <c r="DM120" s="23"/>
      <c r="DN120" s="23"/>
      <c r="DO120" s="23"/>
      <c r="DP120" s="23">
        <f t="shared" si="314"/>
        <v>0</v>
      </c>
      <c r="DQ120" s="23"/>
      <c r="DR120" s="23"/>
      <c r="DS120" s="23"/>
      <c r="DT120" s="23"/>
      <c r="DU120" s="23"/>
      <c r="DV120" s="23"/>
      <c r="DW120" s="23"/>
    </row>
    <row r="121" spans="1:127" x14ac:dyDescent="0.25">
      <c r="A121">
        <f t="shared" si="315"/>
        <v>117</v>
      </c>
      <c r="B121">
        <f t="shared" si="311"/>
        <v>0</v>
      </c>
      <c r="C121" s="20"/>
      <c r="D121" s="21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1"/>
      <c r="R121" s="20"/>
      <c r="S121" s="20"/>
      <c r="T121" s="23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5"/>
      <c r="AH121" s="20"/>
      <c r="AI121" s="20"/>
      <c r="AJ121" s="20"/>
      <c r="AK121" s="20"/>
      <c r="AL121" s="25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5"/>
      <c r="BB121" s="20"/>
      <c r="BC121" s="20"/>
      <c r="BD121" s="20"/>
      <c r="BE121" s="20"/>
      <c r="BF121" s="23"/>
      <c r="BG121" s="23"/>
      <c r="BH121" s="20"/>
      <c r="BI121" s="20"/>
      <c r="BJ121" s="20"/>
      <c r="BK121" s="23"/>
      <c r="BL121" s="23"/>
      <c r="BM121" s="20"/>
      <c r="BN121" s="20"/>
      <c r="BO121" s="20"/>
      <c r="BP121" s="20"/>
      <c r="BQ121" s="20"/>
      <c r="BR121" s="20"/>
      <c r="BS121" s="20"/>
      <c r="BT121" s="20"/>
      <c r="BU121" s="23"/>
      <c r="BV121" s="24"/>
      <c r="BW121" s="20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5"/>
      <c r="CK121" s="26"/>
      <c r="CL121" s="26"/>
      <c r="CM121" s="26"/>
      <c r="CN121" s="26"/>
      <c r="CO121" s="26"/>
      <c r="CP121" s="26">
        <f t="shared" si="328"/>
        <v>0</v>
      </c>
      <c r="CQ121" s="26"/>
      <c r="CR121" s="26"/>
      <c r="CS121" s="26"/>
      <c r="CT121" s="26"/>
      <c r="CU121" s="26"/>
      <c r="CV121" s="26"/>
      <c r="CW121" s="37">
        <f t="shared" si="316"/>
        <v>0</v>
      </c>
      <c r="CX121" s="23"/>
      <c r="CY121" s="23"/>
      <c r="CZ121" s="23"/>
      <c r="DA121" s="23"/>
      <c r="DB121" s="23"/>
      <c r="DC121" s="25">
        <f t="shared" si="317"/>
        <v>0</v>
      </c>
      <c r="DD121" s="23"/>
      <c r="DE121" s="23"/>
      <c r="DF121" s="23"/>
      <c r="DG121" s="23"/>
      <c r="DH121" s="23"/>
      <c r="DI121" s="23">
        <f t="shared" si="318"/>
        <v>0</v>
      </c>
      <c r="DJ121" s="23">
        <f t="shared" si="319"/>
        <v>0</v>
      </c>
      <c r="DK121" s="23"/>
      <c r="DL121" s="23"/>
      <c r="DM121" s="23"/>
      <c r="DN121" s="23"/>
      <c r="DO121" s="23"/>
      <c r="DP121" s="23">
        <f t="shared" si="314"/>
        <v>0</v>
      </c>
      <c r="DQ121" s="23"/>
      <c r="DR121" s="23"/>
      <c r="DS121" s="23"/>
      <c r="DT121" s="23"/>
      <c r="DU121" s="23"/>
      <c r="DV121" s="23"/>
      <c r="DW121" s="23"/>
    </row>
    <row r="122" spans="1:127" x14ac:dyDescent="0.25">
      <c r="A122">
        <f t="shared" si="315"/>
        <v>118</v>
      </c>
      <c r="B122">
        <f t="shared" si="311"/>
        <v>0</v>
      </c>
      <c r="T122" s="4"/>
      <c r="AG122" s="60">
        <f>AG82+AI82</f>
        <v>0</v>
      </c>
      <c r="AL122" s="60">
        <f>AL82+AN82</f>
        <v>0</v>
      </c>
      <c r="BA122" s="60">
        <f>BA82+BC82</f>
        <v>0</v>
      </c>
      <c r="BX122" s="26">
        <f t="shared" ref="BX122:CV122" si="329">SUM(BX5:BX121)</f>
        <v>2718158</v>
      </c>
      <c r="BY122" s="26">
        <f t="shared" si="329"/>
        <v>740473</v>
      </c>
      <c r="BZ122" s="26">
        <f t="shared" si="329"/>
        <v>109375</v>
      </c>
      <c r="CA122" s="26">
        <f t="shared" si="329"/>
        <v>499180</v>
      </c>
      <c r="CB122" s="26">
        <f t="shared" si="329"/>
        <v>420</v>
      </c>
      <c r="CC122" s="26">
        <f t="shared" si="329"/>
        <v>4067186</v>
      </c>
      <c r="CD122" s="26">
        <f t="shared" si="329"/>
        <v>2757317</v>
      </c>
      <c r="CE122" s="26">
        <f t="shared" si="329"/>
        <v>1097862</v>
      </c>
      <c r="CF122" s="26">
        <f t="shared" si="329"/>
        <v>154467</v>
      </c>
      <c r="CG122" s="26">
        <f t="shared" si="329"/>
        <v>601640</v>
      </c>
      <c r="CH122" s="26">
        <f t="shared" si="329"/>
        <v>395</v>
      </c>
      <c r="CI122" s="26">
        <f t="shared" si="329"/>
        <v>4611476</v>
      </c>
      <c r="CJ122" s="26">
        <f t="shared" si="329"/>
        <v>8678662</v>
      </c>
      <c r="CK122" s="26">
        <f t="shared" si="329"/>
        <v>2251834</v>
      </c>
      <c r="CL122" s="26">
        <f t="shared" si="329"/>
        <v>652896</v>
      </c>
      <c r="CM122" s="26">
        <f t="shared" si="329"/>
        <v>139332</v>
      </c>
      <c r="CN122" s="26">
        <f t="shared" si="329"/>
        <v>139130</v>
      </c>
      <c r="CO122" s="26">
        <f t="shared" si="329"/>
        <v>342</v>
      </c>
      <c r="CP122" s="26">
        <f t="shared" si="329"/>
        <v>3183449</v>
      </c>
      <c r="CQ122" s="26">
        <f t="shared" si="329"/>
        <v>1999570</v>
      </c>
      <c r="CR122" s="26">
        <f t="shared" si="329"/>
        <v>520083</v>
      </c>
      <c r="CS122" s="26">
        <f t="shared" si="329"/>
        <v>135189</v>
      </c>
      <c r="CT122" s="26">
        <f t="shared" si="329"/>
        <v>1531750</v>
      </c>
      <c r="CU122" s="26">
        <f t="shared" si="329"/>
        <v>338</v>
      </c>
      <c r="CV122" s="26">
        <f t="shared" si="329"/>
        <v>4186678</v>
      </c>
      <c r="CW122" s="37">
        <f>CP122+CV122</f>
        <v>7370127</v>
      </c>
      <c r="CX122" s="23">
        <f t="shared" ref="CX122:DI122" si="330">SUM(CX6:CX121)</f>
        <v>2086927</v>
      </c>
      <c r="CY122" s="23">
        <f t="shared" si="330"/>
        <v>549602</v>
      </c>
      <c r="CZ122" s="23">
        <f t="shared" si="330"/>
        <v>155957</v>
      </c>
      <c r="DA122" s="23">
        <f t="shared" si="330"/>
        <v>102300</v>
      </c>
      <c r="DB122" s="23">
        <f t="shared" si="330"/>
        <v>299</v>
      </c>
      <c r="DC122" s="23">
        <f t="shared" si="330"/>
        <v>2894786</v>
      </c>
      <c r="DD122" s="23">
        <f t="shared" si="330"/>
        <v>2342075</v>
      </c>
      <c r="DE122" s="23">
        <f t="shared" si="330"/>
        <v>547099</v>
      </c>
      <c r="DF122" s="23">
        <f t="shared" si="330"/>
        <v>183444</v>
      </c>
      <c r="DG122" s="23">
        <f t="shared" si="330"/>
        <v>64700</v>
      </c>
      <c r="DH122" s="23">
        <f t="shared" si="330"/>
        <v>294</v>
      </c>
      <c r="DI122" s="23">
        <f t="shared" si="330"/>
        <v>3137318</v>
      </c>
      <c r="DJ122" s="23">
        <f t="shared" si="319"/>
        <v>6032104</v>
      </c>
      <c r="DK122" s="23">
        <f t="shared" ref="DK122:DP122" si="331">SUM(DK5:DK121)</f>
        <v>2102910</v>
      </c>
      <c r="DL122" s="23">
        <f t="shared" si="331"/>
        <v>417626</v>
      </c>
      <c r="DM122" s="23">
        <f t="shared" si="331"/>
        <v>157269</v>
      </c>
      <c r="DN122" s="23">
        <f t="shared" si="331"/>
        <v>298500</v>
      </c>
      <c r="DO122" s="23">
        <f t="shared" si="331"/>
        <v>281</v>
      </c>
      <c r="DP122" s="23">
        <f t="shared" si="331"/>
        <v>2976305</v>
      </c>
      <c r="DQ122" s="23"/>
      <c r="DR122" s="23"/>
      <c r="DS122" s="23"/>
      <c r="DT122" s="23"/>
      <c r="DU122" s="23"/>
      <c r="DV122" s="23"/>
      <c r="DW122" s="23"/>
    </row>
    <row r="123" spans="1:127" x14ac:dyDescent="0.25">
      <c r="A123" t="str">
        <f t="shared" si="315"/>
        <v/>
      </c>
      <c r="BF123" s="23"/>
      <c r="BG123" s="23"/>
      <c r="BH123" s="20"/>
      <c r="BI123" s="20"/>
      <c r="BJ123" s="20"/>
    </row>
    <row r="124" spans="1:127" x14ac:dyDescent="0.25">
      <c r="A124" t="str">
        <f t="shared" si="315"/>
        <v/>
      </c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  <c r="AB124" s="62"/>
      <c r="AC124" s="62"/>
      <c r="AD124" s="62"/>
      <c r="AE124" s="62"/>
      <c r="AF124" s="62"/>
      <c r="AG124" s="62"/>
      <c r="AH124" s="62"/>
      <c r="AI124" s="62"/>
      <c r="AJ124" s="62"/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  <c r="BA124" s="62"/>
      <c r="BB124" s="62"/>
      <c r="BC124" s="62"/>
      <c r="BD124" s="62"/>
      <c r="BE124" s="62"/>
      <c r="BF124" s="62"/>
      <c r="BG124" s="62"/>
      <c r="BH124" s="62"/>
      <c r="BI124" s="62"/>
      <c r="BJ124" s="62"/>
      <c r="BK124" s="62"/>
      <c r="BL124" s="62"/>
      <c r="BM124" s="62"/>
      <c r="BN124" s="62"/>
      <c r="BO124" s="62"/>
      <c r="BP124" s="62"/>
      <c r="BQ124" s="62"/>
      <c r="BR124" s="62"/>
      <c r="BS124" s="62"/>
      <c r="BT124" s="62"/>
      <c r="BU124" s="62"/>
      <c r="BV124" s="62"/>
      <c r="BW124" s="62"/>
      <c r="BX124" s="62"/>
      <c r="BY124" s="62"/>
      <c r="BZ124" s="62"/>
      <c r="CA124" s="62"/>
      <c r="CB124" s="62"/>
      <c r="CC124" s="62"/>
      <c r="CD124" s="62"/>
      <c r="CE124" s="62"/>
      <c r="CF124" s="62"/>
      <c r="CG124" s="62"/>
      <c r="CH124" s="62"/>
      <c r="CI124" s="62"/>
      <c r="CJ124" s="63">
        <f>CC122+CI122</f>
        <v>8678662</v>
      </c>
      <c r="CP124" s="4"/>
      <c r="CQ124" s="4"/>
      <c r="CR124" s="4"/>
      <c r="CS124" s="4"/>
      <c r="CT124" s="4"/>
      <c r="CU124" s="4"/>
      <c r="CV124" s="4"/>
      <c r="CW124" s="64">
        <f>CP122+CV122</f>
        <v>7370127</v>
      </c>
      <c r="DJ124" s="65">
        <f>DC122+DI122</f>
        <v>6032104</v>
      </c>
    </row>
    <row r="125" spans="1:127" x14ac:dyDescent="0.25">
      <c r="A125" t="str">
        <f t="shared" si="315"/>
        <v/>
      </c>
    </row>
    <row r="126" spans="1:127" x14ac:dyDescent="0.25">
      <c r="A126" t="str">
        <f t="shared" si="315"/>
        <v/>
      </c>
      <c r="AQ126" s="66">
        <f>AQ124+AS124</f>
        <v>0</v>
      </c>
      <c r="AV126" s="60">
        <f>AV124+AX124</f>
        <v>0</v>
      </c>
    </row>
    <row r="127" spans="1:127" x14ac:dyDescent="0.25">
      <c r="A127" t="str">
        <f t="shared" si="315"/>
        <v/>
      </c>
      <c r="AD127" s="60">
        <f>AD124+AG124</f>
        <v>0</v>
      </c>
      <c r="AG127" s="60"/>
      <c r="AI127" s="66">
        <f>AI124+AL124+AN124</f>
        <v>0</v>
      </c>
      <c r="AL127" s="60"/>
      <c r="BA127" s="60">
        <f>BA124+BC124</f>
        <v>0</v>
      </c>
      <c r="BP127" s="60">
        <f>BP124+BR124</f>
        <v>0</v>
      </c>
      <c r="BQ127" s="60">
        <f>BQ124+BS124</f>
        <v>0</v>
      </c>
      <c r="BU127" s="67">
        <f>BU124+BV124</f>
        <v>0</v>
      </c>
    </row>
    <row r="128" spans="1:127" x14ac:dyDescent="0.25">
      <c r="A128" t="str">
        <f t="shared" si="315"/>
        <v/>
      </c>
      <c r="T128" s="60">
        <f>T124+W124</f>
        <v>0</v>
      </c>
      <c r="Y128" s="60">
        <f>Y124+AB124</f>
        <v>0</v>
      </c>
      <c r="BF128" s="4">
        <f>BF124+BH124</f>
        <v>0</v>
      </c>
    </row>
    <row r="129" spans="1:1" x14ac:dyDescent="0.25">
      <c r="A129" t="str">
        <f t="shared" si="315"/>
        <v/>
      </c>
    </row>
    <row r="130" spans="1:1" x14ac:dyDescent="0.25">
      <c r="A130" t="str">
        <f t="shared" si="315"/>
        <v/>
      </c>
    </row>
    <row r="131" spans="1:1" x14ac:dyDescent="0.25">
      <c r="A131" t="str">
        <f t="shared" si="315"/>
        <v/>
      </c>
    </row>
    <row r="132" spans="1:1" x14ac:dyDescent="0.25">
      <c r="A132" t="str">
        <f t="shared" si="315"/>
        <v/>
      </c>
    </row>
    <row r="133" spans="1:1" x14ac:dyDescent="0.25">
      <c r="A133" t="str">
        <f t="shared" si="315"/>
        <v/>
      </c>
    </row>
    <row r="134" spans="1:1" x14ac:dyDescent="0.25">
      <c r="A134" t="str">
        <f t="shared" si="315"/>
        <v/>
      </c>
    </row>
    <row r="135" spans="1:1" x14ac:dyDescent="0.25">
      <c r="A135" t="str">
        <f t="shared" ref="A135:A198" si="332">IF(B135&lt;&gt;"",A134+1,"")</f>
        <v/>
      </c>
    </row>
    <row r="136" spans="1:1" x14ac:dyDescent="0.25">
      <c r="A136" t="str">
        <f t="shared" si="332"/>
        <v/>
      </c>
    </row>
    <row r="137" spans="1:1" x14ac:dyDescent="0.25">
      <c r="A137" t="str">
        <f t="shared" si="332"/>
        <v/>
      </c>
    </row>
    <row r="138" spans="1:1" x14ac:dyDescent="0.25">
      <c r="A138" t="str">
        <f t="shared" si="332"/>
        <v/>
      </c>
    </row>
    <row r="139" spans="1:1" x14ac:dyDescent="0.25">
      <c r="A139" t="str">
        <f t="shared" si="332"/>
        <v/>
      </c>
    </row>
    <row r="140" spans="1:1" x14ac:dyDescent="0.25">
      <c r="A140" t="str">
        <f t="shared" si="332"/>
        <v/>
      </c>
    </row>
    <row r="141" spans="1:1" x14ac:dyDescent="0.25">
      <c r="A141" t="str">
        <f t="shared" si="332"/>
        <v/>
      </c>
    </row>
    <row r="142" spans="1:1" x14ac:dyDescent="0.25">
      <c r="A142" t="str">
        <f t="shared" si="332"/>
        <v/>
      </c>
    </row>
    <row r="143" spans="1:1" x14ac:dyDescent="0.25">
      <c r="A143" t="str">
        <f t="shared" si="332"/>
        <v/>
      </c>
    </row>
    <row r="144" spans="1:1" x14ac:dyDescent="0.25">
      <c r="A144" t="str">
        <f t="shared" si="332"/>
        <v/>
      </c>
    </row>
    <row r="145" spans="1:1" x14ac:dyDescent="0.25">
      <c r="A145" t="str">
        <f t="shared" si="332"/>
        <v/>
      </c>
    </row>
    <row r="146" spans="1:1" x14ac:dyDescent="0.25">
      <c r="A146" t="str">
        <f t="shared" si="332"/>
        <v/>
      </c>
    </row>
    <row r="147" spans="1:1" x14ac:dyDescent="0.25">
      <c r="A147" t="str">
        <f t="shared" si="332"/>
        <v/>
      </c>
    </row>
    <row r="148" spans="1:1" x14ac:dyDescent="0.25">
      <c r="A148" t="str">
        <f t="shared" si="332"/>
        <v/>
      </c>
    </row>
    <row r="149" spans="1:1" x14ac:dyDescent="0.25">
      <c r="A149" t="str">
        <f t="shared" si="332"/>
        <v/>
      </c>
    </row>
    <row r="150" spans="1:1" x14ac:dyDescent="0.25">
      <c r="A150" t="str">
        <f t="shared" si="332"/>
        <v/>
      </c>
    </row>
    <row r="151" spans="1:1" x14ac:dyDescent="0.25">
      <c r="A151" t="str">
        <f t="shared" si="332"/>
        <v/>
      </c>
    </row>
    <row r="152" spans="1:1" x14ac:dyDescent="0.25">
      <c r="A152" t="str">
        <f t="shared" si="332"/>
        <v/>
      </c>
    </row>
    <row r="153" spans="1:1" x14ac:dyDescent="0.25">
      <c r="A153" t="str">
        <f t="shared" si="332"/>
        <v/>
      </c>
    </row>
    <row r="154" spans="1:1" x14ac:dyDescent="0.25">
      <c r="A154" t="str">
        <f t="shared" si="332"/>
        <v/>
      </c>
    </row>
    <row r="155" spans="1:1" x14ac:dyDescent="0.25">
      <c r="A155" t="str">
        <f t="shared" si="332"/>
        <v/>
      </c>
    </row>
    <row r="156" spans="1:1" x14ac:dyDescent="0.25">
      <c r="A156" t="str">
        <f t="shared" si="332"/>
        <v/>
      </c>
    </row>
    <row r="157" spans="1:1" x14ac:dyDescent="0.25">
      <c r="A157" t="str">
        <f t="shared" si="332"/>
        <v/>
      </c>
    </row>
    <row r="158" spans="1:1" x14ac:dyDescent="0.25">
      <c r="A158" t="str">
        <f t="shared" si="332"/>
        <v/>
      </c>
    </row>
    <row r="159" spans="1:1" x14ac:dyDescent="0.25">
      <c r="A159" t="str">
        <f t="shared" si="332"/>
        <v/>
      </c>
    </row>
    <row r="160" spans="1:1" x14ac:dyDescent="0.25">
      <c r="A160" t="str">
        <f t="shared" si="332"/>
        <v/>
      </c>
    </row>
    <row r="161" spans="1:1" x14ac:dyDescent="0.25">
      <c r="A161" t="str">
        <f t="shared" si="332"/>
        <v/>
      </c>
    </row>
    <row r="162" spans="1:1" x14ac:dyDescent="0.25">
      <c r="A162" t="str">
        <f t="shared" si="332"/>
        <v/>
      </c>
    </row>
    <row r="163" spans="1:1" x14ac:dyDescent="0.25">
      <c r="A163" t="str">
        <f t="shared" si="332"/>
        <v/>
      </c>
    </row>
    <row r="164" spans="1:1" x14ac:dyDescent="0.25">
      <c r="A164" t="str">
        <f t="shared" si="332"/>
        <v/>
      </c>
    </row>
    <row r="165" spans="1:1" x14ac:dyDescent="0.25">
      <c r="A165" t="str">
        <f t="shared" si="332"/>
        <v/>
      </c>
    </row>
    <row r="166" spans="1:1" x14ac:dyDescent="0.25">
      <c r="A166" t="str">
        <f t="shared" si="332"/>
        <v/>
      </c>
    </row>
    <row r="167" spans="1:1" x14ac:dyDescent="0.25">
      <c r="A167" t="str">
        <f t="shared" si="332"/>
        <v/>
      </c>
    </row>
    <row r="168" spans="1:1" x14ac:dyDescent="0.25">
      <c r="A168" t="str">
        <f t="shared" si="332"/>
        <v/>
      </c>
    </row>
    <row r="169" spans="1:1" x14ac:dyDescent="0.25">
      <c r="A169" t="str">
        <f t="shared" si="332"/>
        <v/>
      </c>
    </row>
    <row r="170" spans="1:1" x14ac:dyDescent="0.25">
      <c r="A170" t="str">
        <f t="shared" si="332"/>
        <v/>
      </c>
    </row>
    <row r="171" spans="1:1" x14ac:dyDescent="0.25">
      <c r="A171" t="str">
        <f t="shared" si="332"/>
        <v/>
      </c>
    </row>
    <row r="172" spans="1:1" x14ac:dyDescent="0.25">
      <c r="A172" t="str">
        <f t="shared" si="332"/>
        <v/>
      </c>
    </row>
    <row r="173" spans="1:1" x14ac:dyDescent="0.25">
      <c r="A173" t="str">
        <f t="shared" si="332"/>
        <v/>
      </c>
    </row>
    <row r="174" spans="1:1" x14ac:dyDescent="0.25">
      <c r="A174" t="str">
        <f t="shared" si="332"/>
        <v/>
      </c>
    </row>
    <row r="175" spans="1:1" x14ac:dyDescent="0.25">
      <c r="A175" t="str">
        <f t="shared" si="332"/>
        <v/>
      </c>
    </row>
    <row r="176" spans="1:1" x14ac:dyDescent="0.25">
      <c r="A176" t="str">
        <f t="shared" si="332"/>
        <v/>
      </c>
    </row>
    <row r="177" spans="1:1" x14ac:dyDescent="0.25">
      <c r="A177" t="str">
        <f t="shared" si="332"/>
        <v/>
      </c>
    </row>
    <row r="178" spans="1:1" x14ac:dyDescent="0.25">
      <c r="A178" t="str">
        <f t="shared" si="332"/>
        <v/>
      </c>
    </row>
    <row r="179" spans="1:1" x14ac:dyDescent="0.25">
      <c r="A179" t="str">
        <f t="shared" si="332"/>
        <v/>
      </c>
    </row>
    <row r="180" spans="1:1" x14ac:dyDescent="0.25">
      <c r="A180" t="str">
        <f t="shared" si="332"/>
        <v/>
      </c>
    </row>
    <row r="181" spans="1:1" x14ac:dyDescent="0.25">
      <c r="A181" t="str">
        <f t="shared" si="332"/>
        <v/>
      </c>
    </row>
    <row r="182" spans="1:1" x14ac:dyDescent="0.25">
      <c r="A182" t="str">
        <f t="shared" si="332"/>
        <v/>
      </c>
    </row>
    <row r="183" spans="1:1" x14ac:dyDescent="0.25">
      <c r="A183" t="str">
        <f t="shared" si="332"/>
        <v/>
      </c>
    </row>
    <row r="184" spans="1:1" x14ac:dyDescent="0.25">
      <c r="A184" t="str">
        <f t="shared" si="332"/>
        <v/>
      </c>
    </row>
    <row r="185" spans="1:1" x14ac:dyDescent="0.25">
      <c r="A185" t="str">
        <f t="shared" si="332"/>
        <v/>
      </c>
    </row>
    <row r="186" spans="1:1" x14ac:dyDescent="0.25">
      <c r="A186" t="str">
        <f t="shared" si="332"/>
        <v/>
      </c>
    </row>
    <row r="187" spans="1:1" x14ac:dyDescent="0.25">
      <c r="A187" t="str">
        <f t="shared" si="332"/>
        <v/>
      </c>
    </row>
    <row r="188" spans="1:1" x14ac:dyDescent="0.25">
      <c r="A188" t="str">
        <f t="shared" si="332"/>
        <v/>
      </c>
    </row>
    <row r="189" spans="1:1" x14ac:dyDescent="0.25">
      <c r="A189" t="str">
        <f t="shared" si="332"/>
        <v/>
      </c>
    </row>
    <row r="190" spans="1:1" x14ac:dyDescent="0.25">
      <c r="A190" t="str">
        <f t="shared" si="332"/>
        <v/>
      </c>
    </row>
    <row r="191" spans="1:1" x14ac:dyDescent="0.25">
      <c r="A191" t="str">
        <f t="shared" si="332"/>
        <v/>
      </c>
    </row>
    <row r="192" spans="1:1" x14ac:dyDescent="0.25">
      <c r="A192" t="str">
        <f t="shared" si="332"/>
        <v/>
      </c>
    </row>
    <row r="193" spans="1:1" x14ac:dyDescent="0.25">
      <c r="A193" t="str">
        <f t="shared" si="332"/>
        <v/>
      </c>
    </row>
    <row r="194" spans="1:1" x14ac:dyDescent="0.25">
      <c r="A194" t="str">
        <f t="shared" si="332"/>
        <v/>
      </c>
    </row>
    <row r="195" spans="1:1" x14ac:dyDescent="0.25">
      <c r="A195" t="str">
        <f t="shared" si="332"/>
        <v/>
      </c>
    </row>
    <row r="196" spans="1:1" x14ac:dyDescent="0.25">
      <c r="A196" t="str">
        <f t="shared" si="332"/>
        <v/>
      </c>
    </row>
    <row r="197" spans="1:1" x14ac:dyDescent="0.25">
      <c r="A197" t="str">
        <f t="shared" si="332"/>
        <v/>
      </c>
    </row>
    <row r="198" spans="1:1" x14ac:dyDescent="0.25">
      <c r="A198" t="str">
        <f t="shared" si="332"/>
        <v/>
      </c>
    </row>
    <row r="199" spans="1:1" x14ac:dyDescent="0.25">
      <c r="A199" t="str">
        <f t="shared" ref="A199:A262" si="333">IF(B199&lt;&gt;"",A198+1,"")</f>
        <v/>
      </c>
    </row>
    <row r="200" spans="1:1" x14ac:dyDescent="0.25">
      <c r="A200" t="str">
        <f t="shared" si="333"/>
        <v/>
      </c>
    </row>
    <row r="201" spans="1:1" x14ac:dyDescent="0.25">
      <c r="A201" t="str">
        <f t="shared" si="333"/>
        <v/>
      </c>
    </row>
    <row r="202" spans="1:1" x14ac:dyDescent="0.25">
      <c r="A202" t="str">
        <f t="shared" si="333"/>
        <v/>
      </c>
    </row>
    <row r="203" spans="1:1" x14ac:dyDescent="0.25">
      <c r="A203" t="str">
        <f t="shared" si="333"/>
        <v/>
      </c>
    </row>
    <row r="204" spans="1:1" x14ac:dyDescent="0.25">
      <c r="A204" t="str">
        <f t="shared" si="333"/>
        <v/>
      </c>
    </row>
    <row r="205" spans="1:1" x14ac:dyDescent="0.25">
      <c r="A205" t="str">
        <f t="shared" si="333"/>
        <v/>
      </c>
    </row>
    <row r="206" spans="1:1" x14ac:dyDescent="0.25">
      <c r="A206" t="str">
        <f t="shared" si="333"/>
        <v/>
      </c>
    </row>
    <row r="207" spans="1:1" x14ac:dyDescent="0.25">
      <c r="A207" t="str">
        <f t="shared" si="333"/>
        <v/>
      </c>
    </row>
    <row r="208" spans="1:1" x14ac:dyDescent="0.25">
      <c r="A208" t="str">
        <f t="shared" si="333"/>
        <v/>
      </c>
    </row>
    <row r="209" spans="1:1" x14ac:dyDescent="0.25">
      <c r="A209" t="str">
        <f t="shared" si="333"/>
        <v/>
      </c>
    </row>
    <row r="210" spans="1:1" x14ac:dyDescent="0.25">
      <c r="A210" t="str">
        <f t="shared" si="333"/>
        <v/>
      </c>
    </row>
    <row r="211" spans="1:1" x14ac:dyDescent="0.25">
      <c r="A211" t="str">
        <f t="shared" si="333"/>
        <v/>
      </c>
    </row>
    <row r="212" spans="1:1" x14ac:dyDescent="0.25">
      <c r="A212" t="str">
        <f t="shared" si="333"/>
        <v/>
      </c>
    </row>
    <row r="213" spans="1:1" x14ac:dyDescent="0.25">
      <c r="A213" t="str">
        <f t="shared" si="333"/>
        <v/>
      </c>
    </row>
    <row r="214" spans="1:1" x14ac:dyDescent="0.25">
      <c r="A214" t="str">
        <f t="shared" si="333"/>
        <v/>
      </c>
    </row>
    <row r="215" spans="1:1" x14ac:dyDescent="0.25">
      <c r="A215" t="str">
        <f t="shared" si="333"/>
        <v/>
      </c>
    </row>
    <row r="216" spans="1:1" x14ac:dyDescent="0.25">
      <c r="A216" t="str">
        <f t="shared" si="333"/>
        <v/>
      </c>
    </row>
    <row r="217" spans="1:1" x14ac:dyDescent="0.25">
      <c r="A217" t="str">
        <f t="shared" si="333"/>
        <v/>
      </c>
    </row>
    <row r="218" spans="1:1" x14ac:dyDescent="0.25">
      <c r="A218" t="str">
        <f t="shared" si="333"/>
        <v/>
      </c>
    </row>
    <row r="219" spans="1:1" x14ac:dyDescent="0.25">
      <c r="A219" t="str">
        <f t="shared" si="333"/>
        <v/>
      </c>
    </row>
    <row r="220" spans="1:1" x14ac:dyDescent="0.25">
      <c r="A220" t="str">
        <f t="shared" si="333"/>
        <v/>
      </c>
    </row>
    <row r="221" spans="1:1" x14ac:dyDescent="0.25">
      <c r="A221" t="str">
        <f t="shared" si="333"/>
        <v/>
      </c>
    </row>
    <row r="222" spans="1:1" x14ac:dyDescent="0.25">
      <c r="A222" t="str">
        <f t="shared" si="333"/>
        <v/>
      </c>
    </row>
    <row r="223" spans="1:1" x14ac:dyDescent="0.25">
      <c r="A223" t="str">
        <f t="shared" si="333"/>
        <v/>
      </c>
    </row>
    <row r="224" spans="1:1" x14ac:dyDescent="0.25">
      <c r="A224" t="str">
        <f t="shared" si="333"/>
        <v/>
      </c>
    </row>
    <row r="225" spans="1:1" x14ac:dyDescent="0.25">
      <c r="A225" t="str">
        <f t="shared" si="333"/>
        <v/>
      </c>
    </row>
    <row r="226" spans="1:1" x14ac:dyDescent="0.25">
      <c r="A226" t="str">
        <f t="shared" si="333"/>
        <v/>
      </c>
    </row>
    <row r="227" spans="1:1" x14ac:dyDescent="0.25">
      <c r="A227" t="str">
        <f t="shared" si="333"/>
        <v/>
      </c>
    </row>
    <row r="228" spans="1:1" x14ac:dyDescent="0.25">
      <c r="A228" t="str">
        <f t="shared" si="333"/>
        <v/>
      </c>
    </row>
    <row r="229" spans="1:1" x14ac:dyDescent="0.25">
      <c r="A229" t="str">
        <f t="shared" si="333"/>
        <v/>
      </c>
    </row>
    <row r="230" spans="1:1" x14ac:dyDescent="0.25">
      <c r="A230" t="str">
        <f t="shared" si="333"/>
        <v/>
      </c>
    </row>
    <row r="231" spans="1:1" x14ac:dyDescent="0.25">
      <c r="A231" t="str">
        <f t="shared" si="333"/>
        <v/>
      </c>
    </row>
    <row r="232" spans="1:1" x14ac:dyDescent="0.25">
      <c r="A232" t="str">
        <f t="shared" si="333"/>
        <v/>
      </c>
    </row>
    <row r="233" spans="1:1" x14ac:dyDescent="0.25">
      <c r="A233" t="str">
        <f t="shared" si="333"/>
        <v/>
      </c>
    </row>
    <row r="234" spans="1:1" x14ac:dyDescent="0.25">
      <c r="A234" t="str">
        <f t="shared" si="333"/>
        <v/>
      </c>
    </row>
    <row r="235" spans="1:1" x14ac:dyDescent="0.25">
      <c r="A235" t="str">
        <f t="shared" si="333"/>
        <v/>
      </c>
    </row>
    <row r="236" spans="1:1" x14ac:dyDescent="0.25">
      <c r="A236" t="str">
        <f t="shared" si="333"/>
        <v/>
      </c>
    </row>
    <row r="237" spans="1:1" x14ac:dyDescent="0.25">
      <c r="A237" t="str">
        <f t="shared" si="333"/>
        <v/>
      </c>
    </row>
    <row r="238" spans="1:1" x14ac:dyDescent="0.25">
      <c r="A238" t="str">
        <f t="shared" si="333"/>
        <v/>
      </c>
    </row>
    <row r="239" spans="1:1" x14ac:dyDescent="0.25">
      <c r="A239" t="str">
        <f t="shared" si="333"/>
        <v/>
      </c>
    </row>
    <row r="240" spans="1:1" x14ac:dyDescent="0.25">
      <c r="A240" t="str">
        <f t="shared" si="333"/>
        <v/>
      </c>
    </row>
    <row r="241" spans="1:1" x14ac:dyDescent="0.25">
      <c r="A241" t="str">
        <f t="shared" si="333"/>
        <v/>
      </c>
    </row>
    <row r="242" spans="1:1" x14ac:dyDescent="0.25">
      <c r="A242" t="str">
        <f t="shared" si="333"/>
        <v/>
      </c>
    </row>
    <row r="243" spans="1:1" x14ac:dyDescent="0.25">
      <c r="A243" t="str">
        <f t="shared" si="333"/>
        <v/>
      </c>
    </row>
    <row r="244" spans="1:1" x14ac:dyDescent="0.25">
      <c r="A244" t="str">
        <f t="shared" si="333"/>
        <v/>
      </c>
    </row>
    <row r="245" spans="1:1" x14ac:dyDescent="0.25">
      <c r="A245" t="str">
        <f t="shared" si="333"/>
        <v/>
      </c>
    </row>
    <row r="246" spans="1:1" x14ac:dyDescent="0.25">
      <c r="A246" t="str">
        <f t="shared" si="333"/>
        <v/>
      </c>
    </row>
    <row r="247" spans="1:1" x14ac:dyDescent="0.25">
      <c r="A247" t="str">
        <f t="shared" si="333"/>
        <v/>
      </c>
    </row>
    <row r="248" spans="1:1" x14ac:dyDescent="0.25">
      <c r="A248" t="str">
        <f t="shared" si="333"/>
        <v/>
      </c>
    </row>
    <row r="249" spans="1:1" x14ac:dyDescent="0.25">
      <c r="A249" t="str">
        <f t="shared" si="333"/>
        <v/>
      </c>
    </row>
    <row r="250" spans="1:1" x14ac:dyDescent="0.25">
      <c r="A250" t="str">
        <f t="shared" si="333"/>
        <v/>
      </c>
    </row>
    <row r="251" spans="1:1" x14ac:dyDescent="0.25">
      <c r="A251" t="str">
        <f t="shared" si="333"/>
        <v/>
      </c>
    </row>
    <row r="252" spans="1:1" x14ac:dyDescent="0.25">
      <c r="A252" t="str">
        <f t="shared" si="333"/>
        <v/>
      </c>
    </row>
    <row r="253" spans="1:1" x14ac:dyDescent="0.25">
      <c r="A253" t="str">
        <f t="shared" si="333"/>
        <v/>
      </c>
    </row>
    <row r="254" spans="1:1" x14ac:dyDescent="0.25">
      <c r="A254" t="str">
        <f t="shared" si="333"/>
        <v/>
      </c>
    </row>
    <row r="255" spans="1:1" x14ac:dyDescent="0.25">
      <c r="A255" t="str">
        <f t="shared" si="333"/>
        <v/>
      </c>
    </row>
    <row r="256" spans="1:1" x14ac:dyDescent="0.25">
      <c r="A256" t="str">
        <f t="shared" si="333"/>
        <v/>
      </c>
    </row>
    <row r="257" spans="1:1" x14ac:dyDescent="0.25">
      <c r="A257" t="str">
        <f t="shared" si="333"/>
        <v/>
      </c>
    </row>
    <row r="258" spans="1:1" x14ac:dyDescent="0.25">
      <c r="A258" t="str">
        <f t="shared" si="333"/>
        <v/>
      </c>
    </row>
    <row r="259" spans="1:1" x14ac:dyDescent="0.25">
      <c r="A259" t="str">
        <f t="shared" si="333"/>
        <v/>
      </c>
    </row>
    <row r="260" spans="1:1" x14ac:dyDescent="0.25">
      <c r="A260" t="str">
        <f t="shared" si="333"/>
        <v/>
      </c>
    </row>
    <row r="261" spans="1:1" x14ac:dyDescent="0.25">
      <c r="A261" t="str">
        <f t="shared" si="333"/>
        <v/>
      </c>
    </row>
    <row r="262" spans="1:1" x14ac:dyDescent="0.25">
      <c r="A262" t="str">
        <f t="shared" si="333"/>
        <v/>
      </c>
    </row>
    <row r="263" spans="1:1" x14ac:dyDescent="0.25">
      <c r="A263" t="str">
        <f t="shared" ref="A263:A326" si="334">IF(B263&lt;&gt;"",A262+1,"")</f>
        <v/>
      </c>
    </row>
    <row r="264" spans="1:1" x14ac:dyDescent="0.25">
      <c r="A264" t="str">
        <f t="shared" si="334"/>
        <v/>
      </c>
    </row>
    <row r="265" spans="1:1" x14ac:dyDescent="0.25">
      <c r="A265" t="str">
        <f t="shared" si="334"/>
        <v/>
      </c>
    </row>
    <row r="266" spans="1:1" x14ac:dyDescent="0.25">
      <c r="A266" t="str">
        <f t="shared" si="334"/>
        <v/>
      </c>
    </row>
    <row r="267" spans="1:1" x14ac:dyDescent="0.25">
      <c r="A267" t="str">
        <f t="shared" si="334"/>
        <v/>
      </c>
    </row>
    <row r="268" spans="1:1" x14ac:dyDescent="0.25">
      <c r="A268" t="str">
        <f t="shared" si="334"/>
        <v/>
      </c>
    </row>
    <row r="269" spans="1:1" x14ac:dyDescent="0.25">
      <c r="A269" t="str">
        <f t="shared" si="334"/>
        <v/>
      </c>
    </row>
    <row r="270" spans="1:1" x14ac:dyDescent="0.25">
      <c r="A270" t="str">
        <f t="shared" si="334"/>
        <v/>
      </c>
    </row>
    <row r="271" spans="1:1" x14ac:dyDescent="0.25">
      <c r="A271" t="str">
        <f t="shared" si="334"/>
        <v/>
      </c>
    </row>
    <row r="272" spans="1:1" x14ac:dyDescent="0.25">
      <c r="A272" t="str">
        <f t="shared" si="334"/>
        <v/>
      </c>
    </row>
    <row r="273" spans="1:1" x14ac:dyDescent="0.25">
      <c r="A273" t="str">
        <f t="shared" si="334"/>
        <v/>
      </c>
    </row>
    <row r="274" spans="1:1" x14ac:dyDescent="0.25">
      <c r="A274" t="str">
        <f t="shared" si="334"/>
        <v/>
      </c>
    </row>
    <row r="275" spans="1:1" x14ac:dyDescent="0.25">
      <c r="A275" t="str">
        <f t="shared" si="334"/>
        <v/>
      </c>
    </row>
    <row r="276" spans="1:1" x14ac:dyDescent="0.25">
      <c r="A276" t="str">
        <f t="shared" si="334"/>
        <v/>
      </c>
    </row>
    <row r="277" spans="1:1" x14ac:dyDescent="0.25">
      <c r="A277" t="str">
        <f t="shared" si="334"/>
        <v/>
      </c>
    </row>
    <row r="278" spans="1:1" x14ac:dyDescent="0.25">
      <c r="A278" t="str">
        <f t="shared" si="334"/>
        <v/>
      </c>
    </row>
    <row r="279" spans="1:1" x14ac:dyDescent="0.25">
      <c r="A279" t="str">
        <f t="shared" si="334"/>
        <v/>
      </c>
    </row>
    <row r="280" spans="1:1" x14ac:dyDescent="0.25">
      <c r="A280" t="str">
        <f t="shared" si="334"/>
        <v/>
      </c>
    </row>
    <row r="281" spans="1:1" x14ac:dyDescent="0.25">
      <c r="A281" t="str">
        <f t="shared" si="334"/>
        <v/>
      </c>
    </row>
    <row r="282" spans="1:1" x14ac:dyDescent="0.25">
      <c r="A282" t="str">
        <f t="shared" si="334"/>
        <v/>
      </c>
    </row>
    <row r="283" spans="1:1" x14ac:dyDescent="0.25">
      <c r="A283" t="str">
        <f t="shared" si="334"/>
        <v/>
      </c>
    </row>
    <row r="284" spans="1:1" x14ac:dyDescent="0.25">
      <c r="A284" t="str">
        <f t="shared" si="334"/>
        <v/>
      </c>
    </row>
    <row r="285" spans="1:1" x14ac:dyDescent="0.25">
      <c r="A285" t="str">
        <f t="shared" si="334"/>
        <v/>
      </c>
    </row>
    <row r="286" spans="1:1" x14ac:dyDescent="0.25">
      <c r="A286" t="str">
        <f t="shared" si="334"/>
        <v/>
      </c>
    </row>
    <row r="287" spans="1:1" x14ac:dyDescent="0.25">
      <c r="A287" t="str">
        <f t="shared" si="334"/>
        <v/>
      </c>
    </row>
    <row r="288" spans="1:1" x14ac:dyDescent="0.25">
      <c r="A288" t="str">
        <f t="shared" si="334"/>
        <v/>
      </c>
    </row>
    <row r="289" spans="1:1" x14ac:dyDescent="0.25">
      <c r="A289" t="str">
        <f t="shared" si="334"/>
        <v/>
      </c>
    </row>
    <row r="290" spans="1:1" x14ac:dyDescent="0.25">
      <c r="A290" t="str">
        <f t="shared" si="334"/>
        <v/>
      </c>
    </row>
    <row r="291" spans="1:1" x14ac:dyDescent="0.25">
      <c r="A291" t="str">
        <f t="shared" si="334"/>
        <v/>
      </c>
    </row>
    <row r="292" spans="1:1" x14ac:dyDescent="0.25">
      <c r="A292" t="str">
        <f t="shared" si="334"/>
        <v/>
      </c>
    </row>
    <row r="293" spans="1:1" x14ac:dyDescent="0.25">
      <c r="A293" t="str">
        <f t="shared" si="334"/>
        <v/>
      </c>
    </row>
    <row r="294" spans="1:1" x14ac:dyDescent="0.25">
      <c r="A294" t="str">
        <f t="shared" si="334"/>
        <v/>
      </c>
    </row>
    <row r="295" spans="1:1" x14ac:dyDescent="0.25">
      <c r="A295" t="str">
        <f t="shared" si="334"/>
        <v/>
      </c>
    </row>
    <row r="296" spans="1:1" x14ac:dyDescent="0.25">
      <c r="A296" t="str">
        <f t="shared" si="334"/>
        <v/>
      </c>
    </row>
    <row r="297" spans="1:1" x14ac:dyDescent="0.25">
      <c r="A297" t="str">
        <f t="shared" si="334"/>
        <v/>
      </c>
    </row>
    <row r="298" spans="1:1" x14ac:dyDescent="0.25">
      <c r="A298" t="str">
        <f t="shared" si="334"/>
        <v/>
      </c>
    </row>
    <row r="299" spans="1:1" x14ac:dyDescent="0.25">
      <c r="A299" t="str">
        <f t="shared" si="334"/>
        <v/>
      </c>
    </row>
    <row r="300" spans="1:1" x14ac:dyDescent="0.25">
      <c r="A300" t="str">
        <f t="shared" si="334"/>
        <v/>
      </c>
    </row>
    <row r="301" spans="1:1" x14ac:dyDescent="0.25">
      <c r="A301" t="str">
        <f t="shared" si="334"/>
        <v/>
      </c>
    </row>
    <row r="302" spans="1:1" x14ac:dyDescent="0.25">
      <c r="A302" t="str">
        <f t="shared" si="334"/>
        <v/>
      </c>
    </row>
    <row r="303" spans="1:1" x14ac:dyDescent="0.25">
      <c r="A303" t="str">
        <f t="shared" si="334"/>
        <v/>
      </c>
    </row>
    <row r="304" spans="1:1" x14ac:dyDescent="0.25">
      <c r="A304" t="str">
        <f t="shared" si="334"/>
        <v/>
      </c>
    </row>
    <row r="305" spans="1:1" x14ac:dyDescent="0.25">
      <c r="A305" t="str">
        <f t="shared" si="334"/>
        <v/>
      </c>
    </row>
    <row r="306" spans="1:1" x14ac:dyDescent="0.25">
      <c r="A306" t="str">
        <f t="shared" si="334"/>
        <v/>
      </c>
    </row>
    <row r="307" spans="1:1" x14ac:dyDescent="0.25">
      <c r="A307" t="str">
        <f t="shared" si="334"/>
        <v/>
      </c>
    </row>
    <row r="308" spans="1:1" x14ac:dyDescent="0.25">
      <c r="A308" t="str">
        <f t="shared" si="334"/>
        <v/>
      </c>
    </row>
    <row r="309" spans="1:1" x14ac:dyDescent="0.25">
      <c r="A309" t="str">
        <f t="shared" si="334"/>
        <v/>
      </c>
    </row>
    <row r="310" spans="1:1" x14ac:dyDescent="0.25">
      <c r="A310" t="str">
        <f t="shared" si="334"/>
        <v/>
      </c>
    </row>
    <row r="311" spans="1:1" x14ac:dyDescent="0.25">
      <c r="A311" t="str">
        <f t="shared" si="334"/>
        <v/>
      </c>
    </row>
    <row r="312" spans="1:1" x14ac:dyDescent="0.25">
      <c r="A312" t="str">
        <f t="shared" si="334"/>
        <v/>
      </c>
    </row>
    <row r="313" spans="1:1" x14ac:dyDescent="0.25">
      <c r="A313" t="str">
        <f t="shared" si="334"/>
        <v/>
      </c>
    </row>
    <row r="314" spans="1:1" x14ac:dyDescent="0.25">
      <c r="A314" t="str">
        <f t="shared" si="334"/>
        <v/>
      </c>
    </row>
    <row r="315" spans="1:1" x14ac:dyDescent="0.25">
      <c r="A315" t="str">
        <f t="shared" si="334"/>
        <v/>
      </c>
    </row>
    <row r="316" spans="1:1" x14ac:dyDescent="0.25">
      <c r="A316" t="str">
        <f t="shared" si="334"/>
        <v/>
      </c>
    </row>
    <row r="317" spans="1:1" x14ac:dyDescent="0.25">
      <c r="A317" t="str">
        <f t="shared" si="334"/>
        <v/>
      </c>
    </row>
    <row r="318" spans="1:1" x14ac:dyDescent="0.25">
      <c r="A318" t="str">
        <f t="shared" si="334"/>
        <v/>
      </c>
    </row>
    <row r="319" spans="1:1" x14ac:dyDescent="0.25">
      <c r="A319" t="str">
        <f t="shared" si="334"/>
        <v/>
      </c>
    </row>
    <row r="320" spans="1:1" x14ac:dyDescent="0.25">
      <c r="A320" t="str">
        <f t="shared" si="334"/>
        <v/>
      </c>
    </row>
    <row r="321" spans="1:1" x14ac:dyDescent="0.25">
      <c r="A321" t="str">
        <f t="shared" si="334"/>
        <v/>
      </c>
    </row>
    <row r="322" spans="1:1" x14ac:dyDescent="0.25">
      <c r="A322" t="str">
        <f t="shared" si="334"/>
        <v/>
      </c>
    </row>
    <row r="323" spans="1:1" x14ac:dyDescent="0.25">
      <c r="A323" t="str">
        <f t="shared" si="334"/>
        <v/>
      </c>
    </row>
    <row r="324" spans="1:1" x14ac:dyDescent="0.25">
      <c r="A324" t="str">
        <f t="shared" si="334"/>
        <v/>
      </c>
    </row>
    <row r="325" spans="1:1" x14ac:dyDescent="0.25">
      <c r="A325" t="str">
        <f t="shared" si="334"/>
        <v/>
      </c>
    </row>
    <row r="326" spans="1:1" x14ac:dyDescent="0.25">
      <c r="A326" t="str">
        <f t="shared" si="334"/>
        <v/>
      </c>
    </row>
    <row r="327" spans="1:1" x14ac:dyDescent="0.25">
      <c r="A327" t="str">
        <f t="shared" ref="A327:A390" si="335">IF(B327&lt;&gt;"",A326+1,"")</f>
        <v/>
      </c>
    </row>
    <row r="328" spans="1:1" x14ac:dyDescent="0.25">
      <c r="A328" t="str">
        <f t="shared" si="335"/>
        <v/>
      </c>
    </row>
    <row r="329" spans="1:1" x14ac:dyDescent="0.25">
      <c r="A329" t="str">
        <f t="shared" si="335"/>
        <v/>
      </c>
    </row>
    <row r="330" spans="1:1" x14ac:dyDescent="0.25">
      <c r="A330" t="str">
        <f t="shared" si="335"/>
        <v/>
      </c>
    </row>
    <row r="331" spans="1:1" x14ac:dyDescent="0.25">
      <c r="A331" t="str">
        <f t="shared" si="335"/>
        <v/>
      </c>
    </row>
    <row r="332" spans="1:1" x14ac:dyDescent="0.25">
      <c r="A332" t="str">
        <f t="shared" si="335"/>
        <v/>
      </c>
    </row>
    <row r="333" spans="1:1" x14ac:dyDescent="0.25">
      <c r="A333" t="str">
        <f t="shared" si="335"/>
        <v/>
      </c>
    </row>
    <row r="334" spans="1:1" x14ac:dyDescent="0.25">
      <c r="A334" t="str">
        <f t="shared" si="335"/>
        <v/>
      </c>
    </row>
    <row r="335" spans="1:1" x14ac:dyDescent="0.25">
      <c r="A335" t="str">
        <f t="shared" si="335"/>
        <v/>
      </c>
    </row>
    <row r="336" spans="1:1" x14ac:dyDescent="0.25">
      <c r="A336" t="str">
        <f t="shared" si="335"/>
        <v/>
      </c>
    </row>
    <row r="337" spans="1:1" x14ac:dyDescent="0.25">
      <c r="A337" t="str">
        <f t="shared" si="335"/>
        <v/>
      </c>
    </row>
    <row r="338" spans="1:1" x14ac:dyDescent="0.25">
      <c r="A338" t="str">
        <f t="shared" si="335"/>
        <v/>
      </c>
    </row>
    <row r="339" spans="1:1" x14ac:dyDescent="0.25">
      <c r="A339" t="str">
        <f t="shared" si="335"/>
        <v/>
      </c>
    </row>
    <row r="340" spans="1:1" x14ac:dyDescent="0.25">
      <c r="A340" t="str">
        <f t="shared" si="335"/>
        <v/>
      </c>
    </row>
    <row r="341" spans="1:1" x14ac:dyDescent="0.25">
      <c r="A341" t="str">
        <f t="shared" si="335"/>
        <v/>
      </c>
    </row>
    <row r="342" spans="1:1" x14ac:dyDescent="0.25">
      <c r="A342" t="str">
        <f t="shared" si="335"/>
        <v/>
      </c>
    </row>
    <row r="343" spans="1:1" x14ac:dyDescent="0.25">
      <c r="A343" t="str">
        <f t="shared" si="335"/>
        <v/>
      </c>
    </row>
    <row r="344" spans="1:1" x14ac:dyDescent="0.25">
      <c r="A344" t="str">
        <f t="shared" si="335"/>
        <v/>
      </c>
    </row>
    <row r="345" spans="1:1" x14ac:dyDescent="0.25">
      <c r="A345" t="str">
        <f t="shared" si="335"/>
        <v/>
      </c>
    </row>
    <row r="346" spans="1:1" x14ac:dyDescent="0.25">
      <c r="A346" t="str">
        <f t="shared" si="335"/>
        <v/>
      </c>
    </row>
    <row r="347" spans="1:1" x14ac:dyDescent="0.25">
      <c r="A347" t="str">
        <f t="shared" si="335"/>
        <v/>
      </c>
    </row>
    <row r="348" spans="1:1" x14ac:dyDescent="0.25">
      <c r="A348" t="str">
        <f t="shared" si="335"/>
        <v/>
      </c>
    </row>
    <row r="349" spans="1:1" x14ac:dyDescent="0.25">
      <c r="A349" t="str">
        <f t="shared" si="335"/>
        <v/>
      </c>
    </row>
    <row r="350" spans="1:1" x14ac:dyDescent="0.25">
      <c r="A350" t="str">
        <f t="shared" si="335"/>
        <v/>
      </c>
    </row>
    <row r="351" spans="1:1" x14ac:dyDescent="0.25">
      <c r="A351" t="str">
        <f t="shared" si="335"/>
        <v/>
      </c>
    </row>
    <row r="352" spans="1:1" x14ac:dyDescent="0.25">
      <c r="A352" t="str">
        <f t="shared" si="335"/>
        <v/>
      </c>
    </row>
    <row r="353" spans="1:1" x14ac:dyDescent="0.25">
      <c r="A353" t="str">
        <f t="shared" si="335"/>
        <v/>
      </c>
    </row>
    <row r="354" spans="1:1" x14ac:dyDescent="0.25">
      <c r="A354" t="str">
        <f t="shared" si="335"/>
        <v/>
      </c>
    </row>
    <row r="355" spans="1:1" x14ac:dyDescent="0.25">
      <c r="A355" t="str">
        <f t="shared" si="335"/>
        <v/>
      </c>
    </row>
    <row r="356" spans="1:1" x14ac:dyDescent="0.25">
      <c r="A356" t="str">
        <f t="shared" si="335"/>
        <v/>
      </c>
    </row>
    <row r="357" spans="1:1" x14ac:dyDescent="0.25">
      <c r="A357" t="str">
        <f t="shared" si="335"/>
        <v/>
      </c>
    </row>
    <row r="358" spans="1:1" x14ac:dyDescent="0.25">
      <c r="A358" t="str">
        <f t="shared" si="335"/>
        <v/>
      </c>
    </row>
    <row r="359" spans="1:1" x14ac:dyDescent="0.25">
      <c r="A359" t="str">
        <f t="shared" si="335"/>
        <v/>
      </c>
    </row>
    <row r="360" spans="1:1" x14ac:dyDescent="0.25">
      <c r="A360" t="str">
        <f t="shared" si="335"/>
        <v/>
      </c>
    </row>
    <row r="361" spans="1:1" x14ac:dyDescent="0.25">
      <c r="A361" t="str">
        <f t="shared" si="335"/>
        <v/>
      </c>
    </row>
    <row r="362" spans="1:1" x14ac:dyDescent="0.25">
      <c r="A362" t="str">
        <f t="shared" si="335"/>
        <v/>
      </c>
    </row>
    <row r="363" spans="1:1" x14ac:dyDescent="0.25">
      <c r="A363" t="str">
        <f t="shared" si="335"/>
        <v/>
      </c>
    </row>
    <row r="364" spans="1:1" x14ac:dyDescent="0.25">
      <c r="A364" t="str">
        <f t="shared" si="335"/>
        <v/>
      </c>
    </row>
    <row r="365" spans="1:1" x14ac:dyDescent="0.25">
      <c r="A365" t="str">
        <f t="shared" si="335"/>
        <v/>
      </c>
    </row>
    <row r="366" spans="1:1" x14ac:dyDescent="0.25">
      <c r="A366" t="str">
        <f t="shared" si="335"/>
        <v/>
      </c>
    </row>
    <row r="367" spans="1:1" x14ac:dyDescent="0.25">
      <c r="A367" t="str">
        <f t="shared" si="335"/>
        <v/>
      </c>
    </row>
    <row r="368" spans="1:1" x14ac:dyDescent="0.25">
      <c r="A368" t="str">
        <f t="shared" si="335"/>
        <v/>
      </c>
    </row>
    <row r="369" spans="1:1" x14ac:dyDescent="0.25">
      <c r="A369" t="str">
        <f t="shared" si="335"/>
        <v/>
      </c>
    </row>
    <row r="370" spans="1:1" x14ac:dyDescent="0.25">
      <c r="A370" t="str">
        <f t="shared" si="335"/>
        <v/>
      </c>
    </row>
    <row r="371" spans="1:1" x14ac:dyDescent="0.25">
      <c r="A371" t="str">
        <f t="shared" si="335"/>
        <v/>
      </c>
    </row>
    <row r="372" spans="1:1" x14ac:dyDescent="0.25">
      <c r="A372" t="str">
        <f t="shared" si="335"/>
        <v/>
      </c>
    </row>
    <row r="373" spans="1:1" x14ac:dyDescent="0.25">
      <c r="A373" t="str">
        <f t="shared" si="335"/>
        <v/>
      </c>
    </row>
    <row r="374" spans="1:1" x14ac:dyDescent="0.25">
      <c r="A374" t="str">
        <f t="shared" si="335"/>
        <v/>
      </c>
    </row>
    <row r="375" spans="1:1" x14ac:dyDescent="0.25">
      <c r="A375" t="str">
        <f t="shared" si="335"/>
        <v/>
      </c>
    </row>
    <row r="376" spans="1:1" x14ac:dyDescent="0.25">
      <c r="A376" t="str">
        <f t="shared" si="335"/>
        <v/>
      </c>
    </row>
    <row r="377" spans="1:1" x14ac:dyDescent="0.25">
      <c r="A377" t="str">
        <f t="shared" si="335"/>
        <v/>
      </c>
    </row>
    <row r="378" spans="1:1" x14ac:dyDescent="0.25">
      <c r="A378" t="str">
        <f t="shared" si="335"/>
        <v/>
      </c>
    </row>
    <row r="379" spans="1:1" x14ac:dyDescent="0.25">
      <c r="A379" t="str">
        <f t="shared" si="335"/>
        <v/>
      </c>
    </row>
    <row r="380" spans="1:1" x14ac:dyDescent="0.25">
      <c r="A380" t="str">
        <f t="shared" si="335"/>
        <v/>
      </c>
    </row>
    <row r="381" spans="1:1" x14ac:dyDescent="0.25">
      <c r="A381" t="str">
        <f t="shared" si="335"/>
        <v/>
      </c>
    </row>
    <row r="382" spans="1:1" x14ac:dyDescent="0.25">
      <c r="A382" t="str">
        <f t="shared" si="335"/>
        <v/>
      </c>
    </row>
    <row r="383" spans="1:1" x14ac:dyDescent="0.25">
      <c r="A383" t="str">
        <f t="shared" si="335"/>
        <v/>
      </c>
    </row>
    <row r="384" spans="1:1" x14ac:dyDescent="0.25">
      <c r="A384" t="str">
        <f t="shared" si="335"/>
        <v/>
      </c>
    </row>
    <row r="385" spans="1:1" x14ac:dyDescent="0.25">
      <c r="A385" t="str">
        <f t="shared" si="335"/>
        <v/>
      </c>
    </row>
    <row r="386" spans="1:1" x14ac:dyDescent="0.25">
      <c r="A386" t="str">
        <f t="shared" si="335"/>
        <v/>
      </c>
    </row>
    <row r="387" spans="1:1" x14ac:dyDescent="0.25">
      <c r="A387" t="str">
        <f t="shared" si="335"/>
        <v/>
      </c>
    </row>
    <row r="388" spans="1:1" x14ac:dyDescent="0.25">
      <c r="A388" t="str">
        <f t="shared" si="335"/>
        <v/>
      </c>
    </row>
    <row r="389" spans="1:1" x14ac:dyDescent="0.25">
      <c r="A389" t="str">
        <f t="shared" si="335"/>
        <v/>
      </c>
    </row>
    <row r="390" spans="1:1" x14ac:dyDescent="0.25">
      <c r="A390" t="str">
        <f t="shared" si="335"/>
        <v/>
      </c>
    </row>
    <row r="391" spans="1:1" x14ac:dyDescent="0.25">
      <c r="A391" t="str">
        <f t="shared" ref="A391:A454" si="336">IF(B391&lt;&gt;"",A390+1,"")</f>
        <v/>
      </c>
    </row>
    <row r="392" spans="1:1" x14ac:dyDescent="0.25">
      <c r="A392" t="str">
        <f t="shared" si="336"/>
        <v/>
      </c>
    </row>
    <row r="393" spans="1:1" x14ac:dyDescent="0.25">
      <c r="A393" t="str">
        <f t="shared" si="336"/>
        <v/>
      </c>
    </row>
    <row r="394" spans="1:1" x14ac:dyDescent="0.25">
      <c r="A394" t="str">
        <f t="shared" si="336"/>
        <v/>
      </c>
    </row>
    <row r="395" spans="1:1" x14ac:dyDescent="0.25">
      <c r="A395" t="str">
        <f t="shared" si="336"/>
        <v/>
      </c>
    </row>
    <row r="396" spans="1:1" x14ac:dyDescent="0.25">
      <c r="A396" t="str">
        <f t="shared" si="336"/>
        <v/>
      </c>
    </row>
    <row r="397" spans="1:1" x14ac:dyDescent="0.25">
      <c r="A397" t="str">
        <f t="shared" si="336"/>
        <v/>
      </c>
    </row>
    <row r="398" spans="1:1" x14ac:dyDescent="0.25">
      <c r="A398" t="str">
        <f t="shared" si="336"/>
        <v/>
      </c>
    </row>
    <row r="399" spans="1:1" x14ac:dyDescent="0.25">
      <c r="A399" t="str">
        <f t="shared" si="336"/>
        <v/>
      </c>
    </row>
    <row r="400" spans="1:1" x14ac:dyDescent="0.25">
      <c r="A400" t="str">
        <f t="shared" si="336"/>
        <v/>
      </c>
    </row>
    <row r="401" spans="1:1" x14ac:dyDescent="0.25">
      <c r="A401" t="str">
        <f t="shared" si="336"/>
        <v/>
      </c>
    </row>
    <row r="402" spans="1:1" x14ac:dyDescent="0.25">
      <c r="A402" t="str">
        <f t="shared" si="336"/>
        <v/>
      </c>
    </row>
    <row r="403" spans="1:1" x14ac:dyDescent="0.25">
      <c r="A403" t="str">
        <f t="shared" si="336"/>
        <v/>
      </c>
    </row>
    <row r="404" spans="1:1" x14ac:dyDescent="0.25">
      <c r="A404" t="str">
        <f t="shared" si="336"/>
        <v/>
      </c>
    </row>
    <row r="405" spans="1:1" x14ac:dyDescent="0.25">
      <c r="A405" t="str">
        <f t="shared" si="336"/>
        <v/>
      </c>
    </row>
    <row r="406" spans="1:1" x14ac:dyDescent="0.25">
      <c r="A406" t="str">
        <f t="shared" si="336"/>
        <v/>
      </c>
    </row>
    <row r="407" spans="1:1" x14ac:dyDescent="0.25">
      <c r="A407" t="str">
        <f t="shared" si="336"/>
        <v/>
      </c>
    </row>
    <row r="408" spans="1:1" x14ac:dyDescent="0.25">
      <c r="A408" t="str">
        <f t="shared" si="336"/>
        <v/>
      </c>
    </row>
    <row r="409" spans="1:1" x14ac:dyDescent="0.25">
      <c r="A409" t="str">
        <f t="shared" si="336"/>
        <v/>
      </c>
    </row>
    <row r="410" spans="1:1" x14ac:dyDescent="0.25">
      <c r="A410" t="str">
        <f t="shared" si="336"/>
        <v/>
      </c>
    </row>
    <row r="411" spans="1:1" x14ac:dyDescent="0.25">
      <c r="A411" t="str">
        <f t="shared" si="336"/>
        <v/>
      </c>
    </row>
    <row r="412" spans="1:1" x14ac:dyDescent="0.25">
      <c r="A412" t="str">
        <f t="shared" si="336"/>
        <v/>
      </c>
    </row>
    <row r="413" spans="1:1" x14ac:dyDescent="0.25">
      <c r="A413" t="str">
        <f t="shared" si="336"/>
        <v/>
      </c>
    </row>
    <row r="414" spans="1:1" x14ac:dyDescent="0.25">
      <c r="A414" t="str">
        <f t="shared" si="336"/>
        <v/>
      </c>
    </row>
    <row r="415" spans="1:1" x14ac:dyDescent="0.25">
      <c r="A415" t="str">
        <f t="shared" si="336"/>
        <v/>
      </c>
    </row>
    <row r="416" spans="1:1" x14ac:dyDescent="0.25">
      <c r="A416" t="str">
        <f t="shared" si="336"/>
        <v/>
      </c>
    </row>
    <row r="417" spans="1:1" x14ac:dyDescent="0.25">
      <c r="A417" t="str">
        <f t="shared" si="336"/>
        <v/>
      </c>
    </row>
    <row r="418" spans="1:1" x14ac:dyDescent="0.25">
      <c r="A418" t="str">
        <f t="shared" si="336"/>
        <v/>
      </c>
    </row>
    <row r="419" spans="1:1" x14ac:dyDescent="0.25">
      <c r="A419" t="str">
        <f t="shared" si="336"/>
        <v/>
      </c>
    </row>
    <row r="420" spans="1:1" x14ac:dyDescent="0.25">
      <c r="A420" t="str">
        <f t="shared" si="336"/>
        <v/>
      </c>
    </row>
    <row r="421" spans="1:1" x14ac:dyDescent="0.25">
      <c r="A421" t="str">
        <f t="shared" si="336"/>
        <v/>
      </c>
    </row>
    <row r="422" spans="1:1" x14ac:dyDescent="0.25">
      <c r="A422" t="str">
        <f t="shared" si="336"/>
        <v/>
      </c>
    </row>
    <row r="423" spans="1:1" x14ac:dyDescent="0.25">
      <c r="A423" t="str">
        <f t="shared" si="336"/>
        <v/>
      </c>
    </row>
    <row r="424" spans="1:1" x14ac:dyDescent="0.25">
      <c r="A424" t="str">
        <f t="shared" si="336"/>
        <v/>
      </c>
    </row>
    <row r="425" spans="1:1" x14ac:dyDescent="0.25">
      <c r="A425" t="str">
        <f t="shared" si="336"/>
        <v/>
      </c>
    </row>
    <row r="426" spans="1:1" x14ac:dyDescent="0.25">
      <c r="A426" t="str">
        <f t="shared" si="336"/>
        <v/>
      </c>
    </row>
    <row r="427" spans="1:1" x14ac:dyDescent="0.25">
      <c r="A427" t="str">
        <f t="shared" si="336"/>
        <v/>
      </c>
    </row>
    <row r="428" spans="1:1" x14ac:dyDescent="0.25">
      <c r="A428" t="str">
        <f t="shared" si="336"/>
        <v/>
      </c>
    </row>
    <row r="429" spans="1:1" x14ac:dyDescent="0.25">
      <c r="A429" t="str">
        <f t="shared" si="336"/>
        <v/>
      </c>
    </row>
    <row r="430" spans="1:1" x14ac:dyDescent="0.25">
      <c r="A430" t="str">
        <f t="shared" si="336"/>
        <v/>
      </c>
    </row>
    <row r="431" spans="1:1" x14ac:dyDescent="0.25">
      <c r="A431" t="str">
        <f t="shared" si="336"/>
        <v/>
      </c>
    </row>
    <row r="432" spans="1:1" x14ac:dyDescent="0.25">
      <c r="A432" t="str">
        <f t="shared" si="336"/>
        <v/>
      </c>
    </row>
    <row r="433" spans="1:1" x14ac:dyDescent="0.25">
      <c r="A433" t="str">
        <f t="shared" si="336"/>
        <v/>
      </c>
    </row>
    <row r="434" spans="1:1" x14ac:dyDescent="0.25">
      <c r="A434" t="str">
        <f t="shared" si="336"/>
        <v/>
      </c>
    </row>
    <row r="435" spans="1:1" x14ac:dyDescent="0.25">
      <c r="A435" t="str">
        <f t="shared" si="336"/>
        <v/>
      </c>
    </row>
    <row r="436" spans="1:1" x14ac:dyDescent="0.25">
      <c r="A436" t="str">
        <f t="shared" si="336"/>
        <v/>
      </c>
    </row>
    <row r="437" spans="1:1" x14ac:dyDescent="0.25">
      <c r="A437" t="str">
        <f t="shared" si="336"/>
        <v/>
      </c>
    </row>
    <row r="438" spans="1:1" x14ac:dyDescent="0.25">
      <c r="A438" t="str">
        <f t="shared" si="336"/>
        <v/>
      </c>
    </row>
    <row r="439" spans="1:1" x14ac:dyDescent="0.25">
      <c r="A439" t="str">
        <f t="shared" si="336"/>
        <v/>
      </c>
    </row>
    <row r="440" spans="1:1" x14ac:dyDescent="0.25">
      <c r="A440" t="str">
        <f t="shared" si="336"/>
        <v/>
      </c>
    </row>
    <row r="441" spans="1:1" x14ac:dyDescent="0.25">
      <c r="A441" t="str">
        <f t="shared" si="336"/>
        <v/>
      </c>
    </row>
    <row r="442" spans="1:1" x14ac:dyDescent="0.25">
      <c r="A442" t="str">
        <f t="shared" si="336"/>
        <v/>
      </c>
    </row>
    <row r="443" spans="1:1" x14ac:dyDescent="0.25">
      <c r="A443" t="str">
        <f t="shared" si="336"/>
        <v/>
      </c>
    </row>
    <row r="444" spans="1:1" x14ac:dyDescent="0.25">
      <c r="A444" t="str">
        <f t="shared" si="336"/>
        <v/>
      </c>
    </row>
    <row r="445" spans="1:1" x14ac:dyDescent="0.25">
      <c r="A445" t="str">
        <f t="shared" si="336"/>
        <v/>
      </c>
    </row>
    <row r="446" spans="1:1" x14ac:dyDescent="0.25">
      <c r="A446" t="str">
        <f t="shared" si="336"/>
        <v/>
      </c>
    </row>
    <row r="447" spans="1:1" x14ac:dyDescent="0.25">
      <c r="A447" t="str">
        <f t="shared" si="336"/>
        <v/>
      </c>
    </row>
    <row r="448" spans="1:1" x14ac:dyDescent="0.25">
      <c r="A448" t="str">
        <f t="shared" si="336"/>
        <v/>
      </c>
    </row>
    <row r="449" spans="1:1" x14ac:dyDescent="0.25">
      <c r="A449" t="str">
        <f t="shared" si="336"/>
        <v/>
      </c>
    </row>
    <row r="450" spans="1:1" x14ac:dyDescent="0.25">
      <c r="A450" t="str">
        <f t="shared" si="336"/>
        <v/>
      </c>
    </row>
    <row r="451" spans="1:1" x14ac:dyDescent="0.25">
      <c r="A451" t="str">
        <f t="shared" si="336"/>
        <v/>
      </c>
    </row>
    <row r="452" spans="1:1" x14ac:dyDescent="0.25">
      <c r="A452" t="str">
        <f t="shared" si="336"/>
        <v/>
      </c>
    </row>
    <row r="453" spans="1:1" x14ac:dyDescent="0.25">
      <c r="A453" t="str">
        <f t="shared" si="336"/>
        <v/>
      </c>
    </row>
    <row r="454" spans="1:1" x14ac:dyDescent="0.25">
      <c r="A454" t="str">
        <f t="shared" si="336"/>
        <v/>
      </c>
    </row>
    <row r="455" spans="1:1" x14ac:dyDescent="0.25">
      <c r="A455" t="str">
        <f t="shared" ref="A455:A518" si="337">IF(B455&lt;&gt;"",A454+1,"")</f>
        <v/>
      </c>
    </row>
    <row r="456" spans="1:1" x14ac:dyDescent="0.25">
      <c r="A456" t="str">
        <f t="shared" si="337"/>
        <v/>
      </c>
    </row>
    <row r="457" spans="1:1" x14ac:dyDescent="0.25">
      <c r="A457" t="str">
        <f t="shared" si="337"/>
        <v/>
      </c>
    </row>
    <row r="458" spans="1:1" x14ac:dyDescent="0.25">
      <c r="A458" t="str">
        <f t="shared" si="337"/>
        <v/>
      </c>
    </row>
    <row r="459" spans="1:1" x14ac:dyDescent="0.25">
      <c r="A459" t="str">
        <f t="shared" si="337"/>
        <v/>
      </c>
    </row>
    <row r="460" spans="1:1" x14ac:dyDescent="0.25">
      <c r="A460" t="str">
        <f t="shared" si="337"/>
        <v/>
      </c>
    </row>
    <row r="461" spans="1:1" x14ac:dyDescent="0.25">
      <c r="A461" t="str">
        <f t="shared" si="337"/>
        <v/>
      </c>
    </row>
    <row r="462" spans="1:1" x14ac:dyDescent="0.25">
      <c r="A462" t="str">
        <f t="shared" si="337"/>
        <v/>
      </c>
    </row>
    <row r="463" spans="1:1" x14ac:dyDescent="0.25">
      <c r="A463" t="str">
        <f t="shared" si="337"/>
        <v/>
      </c>
    </row>
    <row r="464" spans="1:1" x14ac:dyDescent="0.25">
      <c r="A464" t="str">
        <f t="shared" si="337"/>
        <v/>
      </c>
    </row>
    <row r="465" spans="1:1" x14ac:dyDescent="0.25">
      <c r="A465" t="str">
        <f t="shared" si="337"/>
        <v/>
      </c>
    </row>
    <row r="466" spans="1:1" x14ac:dyDescent="0.25">
      <c r="A466" t="str">
        <f t="shared" si="337"/>
        <v/>
      </c>
    </row>
    <row r="467" spans="1:1" x14ac:dyDescent="0.25">
      <c r="A467" t="str">
        <f t="shared" si="337"/>
        <v/>
      </c>
    </row>
    <row r="468" spans="1:1" x14ac:dyDescent="0.25">
      <c r="A468" t="str">
        <f t="shared" si="337"/>
        <v/>
      </c>
    </row>
    <row r="469" spans="1:1" x14ac:dyDescent="0.25">
      <c r="A469" t="str">
        <f t="shared" si="337"/>
        <v/>
      </c>
    </row>
    <row r="470" spans="1:1" x14ac:dyDescent="0.25">
      <c r="A470" t="str">
        <f t="shared" si="337"/>
        <v/>
      </c>
    </row>
    <row r="471" spans="1:1" x14ac:dyDescent="0.25">
      <c r="A471" t="str">
        <f t="shared" si="337"/>
        <v/>
      </c>
    </row>
    <row r="472" spans="1:1" x14ac:dyDescent="0.25">
      <c r="A472" t="str">
        <f t="shared" si="337"/>
        <v/>
      </c>
    </row>
    <row r="473" spans="1:1" x14ac:dyDescent="0.25">
      <c r="A473" t="str">
        <f t="shared" si="337"/>
        <v/>
      </c>
    </row>
    <row r="474" spans="1:1" x14ac:dyDescent="0.25">
      <c r="A474" t="str">
        <f t="shared" si="337"/>
        <v/>
      </c>
    </row>
    <row r="475" spans="1:1" x14ac:dyDescent="0.25">
      <c r="A475" t="str">
        <f t="shared" si="337"/>
        <v/>
      </c>
    </row>
    <row r="476" spans="1:1" x14ac:dyDescent="0.25">
      <c r="A476" t="str">
        <f t="shared" si="337"/>
        <v/>
      </c>
    </row>
    <row r="477" spans="1:1" x14ac:dyDescent="0.25">
      <c r="A477" t="str">
        <f t="shared" si="337"/>
        <v/>
      </c>
    </row>
    <row r="478" spans="1:1" x14ac:dyDescent="0.25">
      <c r="A478" t="str">
        <f t="shared" si="337"/>
        <v/>
      </c>
    </row>
    <row r="479" spans="1:1" x14ac:dyDescent="0.25">
      <c r="A479" t="str">
        <f t="shared" si="337"/>
        <v/>
      </c>
    </row>
    <row r="480" spans="1:1" x14ac:dyDescent="0.25">
      <c r="A480" t="str">
        <f t="shared" si="337"/>
        <v/>
      </c>
    </row>
    <row r="481" spans="1:1" x14ac:dyDescent="0.25">
      <c r="A481" t="str">
        <f t="shared" si="337"/>
        <v/>
      </c>
    </row>
    <row r="482" spans="1:1" x14ac:dyDescent="0.25">
      <c r="A482" t="str">
        <f t="shared" si="337"/>
        <v/>
      </c>
    </row>
    <row r="483" spans="1:1" x14ac:dyDescent="0.25">
      <c r="A483" t="str">
        <f t="shared" si="337"/>
        <v/>
      </c>
    </row>
    <row r="484" spans="1:1" x14ac:dyDescent="0.25">
      <c r="A484" t="str">
        <f t="shared" si="337"/>
        <v/>
      </c>
    </row>
    <row r="485" spans="1:1" x14ac:dyDescent="0.25">
      <c r="A485" t="str">
        <f t="shared" si="337"/>
        <v/>
      </c>
    </row>
    <row r="486" spans="1:1" x14ac:dyDescent="0.25">
      <c r="A486" t="str">
        <f t="shared" si="337"/>
        <v/>
      </c>
    </row>
    <row r="487" spans="1:1" x14ac:dyDescent="0.25">
      <c r="A487" t="str">
        <f t="shared" si="337"/>
        <v/>
      </c>
    </row>
    <row r="488" spans="1:1" x14ac:dyDescent="0.25">
      <c r="A488" t="str">
        <f t="shared" si="337"/>
        <v/>
      </c>
    </row>
    <row r="489" spans="1:1" x14ac:dyDescent="0.25">
      <c r="A489" t="str">
        <f t="shared" si="337"/>
        <v/>
      </c>
    </row>
    <row r="490" spans="1:1" x14ac:dyDescent="0.25">
      <c r="A490" t="str">
        <f t="shared" si="337"/>
        <v/>
      </c>
    </row>
    <row r="491" spans="1:1" x14ac:dyDescent="0.25">
      <c r="A491" t="str">
        <f t="shared" si="337"/>
        <v/>
      </c>
    </row>
    <row r="492" spans="1:1" x14ac:dyDescent="0.25">
      <c r="A492" t="str">
        <f t="shared" si="337"/>
        <v/>
      </c>
    </row>
    <row r="493" spans="1:1" x14ac:dyDescent="0.25">
      <c r="A493" t="str">
        <f t="shared" si="337"/>
        <v/>
      </c>
    </row>
    <row r="494" spans="1:1" x14ac:dyDescent="0.25">
      <c r="A494" t="str">
        <f t="shared" si="337"/>
        <v/>
      </c>
    </row>
    <row r="495" spans="1:1" x14ac:dyDescent="0.25">
      <c r="A495" t="str">
        <f t="shared" si="337"/>
        <v/>
      </c>
    </row>
    <row r="496" spans="1:1" x14ac:dyDescent="0.25">
      <c r="A496" t="str">
        <f t="shared" si="337"/>
        <v/>
      </c>
    </row>
    <row r="497" spans="1:1" x14ac:dyDescent="0.25">
      <c r="A497" t="str">
        <f t="shared" si="337"/>
        <v/>
      </c>
    </row>
    <row r="498" spans="1:1" x14ac:dyDescent="0.25">
      <c r="A498" t="str">
        <f t="shared" si="337"/>
        <v/>
      </c>
    </row>
    <row r="499" spans="1:1" x14ac:dyDescent="0.25">
      <c r="A499" t="str">
        <f t="shared" si="337"/>
        <v/>
      </c>
    </row>
    <row r="500" spans="1:1" x14ac:dyDescent="0.25">
      <c r="A500" t="str">
        <f t="shared" si="337"/>
        <v/>
      </c>
    </row>
    <row r="501" spans="1:1" x14ac:dyDescent="0.25">
      <c r="A501" t="str">
        <f t="shared" si="337"/>
        <v/>
      </c>
    </row>
    <row r="502" spans="1:1" x14ac:dyDescent="0.25">
      <c r="A502" t="str">
        <f t="shared" si="337"/>
        <v/>
      </c>
    </row>
    <row r="503" spans="1:1" x14ac:dyDescent="0.25">
      <c r="A503" t="str">
        <f t="shared" si="337"/>
        <v/>
      </c>
    </row>
    <row r="504" spans="1:1" x14ac:dyDescent="0.25">
      <c r="A504" t="str">
        <f t="shared" si="337"/>
        <v/>
      </c>
    </row>
    <row r="505" spans="1:1" x14ac:dyDescent="0.25">
      <c r="A505" t="str">
        <f t="shared" si="337"/>
        <v/>
      </c>
    </row>
    <row r="506" spans="1:1" x14ac:dyDescent="0.25">
      <c r="A506" t="str">
        <f t="shared" si="337"/>
        <v/>
      </c>
    </row>
    <row r="507" spans="1:1" x14ac:dyDescent="0.25">
      <c r="A507" t="str">
        <f t="shared" si="337"/>
        <v/>
      </c>
    </row>
    <row r="508" spans="1:1" x14ac:dyDescent="0.25">
      <c r="A508" t="str">
        <f t="shared" si="337"/>
        <v/>
      </c>
    </row>
    <row r="509" spans="1:1" x14ac:dyDescent="0.25">
      <c r="A509" t="str">
        <f t="shared" si="337"/>
        <v/>
      </c>
    </row>
    <row r="510" spans="1:1" x14ac:dyDescent="0.25">
      <c r="A510" t="str">
        <f t="shared" si="337"/>
        <v/>
      </c>
    </row>
    <row r="511" spans="1:1" x14ac:dyDescent="0.25">
      <c r="A511" t="str">
        <f t="shared" si="337"/>
        <v/>
      </c>
    </row>
    <row r="512" spans="1:1" x14ac:dyDescent="0.25">
      <c r="A512" t="str">
        <f t="shared" si="337"/>
        <v/>
      </c>
    </row>
    <row r="513" spans="1:1" x14ac:dyDescent="0.25">
      <c r="A513" t="str">
        <f t="shared" si="337"/>
        <v/>
      </c>
    </row>
    <row r="514" spans="1:1" x14ac:dyDescent="0.25">
      <c r="A514" t="str">
        <f t="shared" si="337"/>
        <v/>
      </c>
    </row>
    <row r="515" spans="1:1" x14ac:dyDescent="0.25">
      <c r="A515" t="str">
        <f t="shared" si="337"/>
        <v/>
      </c>
    </row>
    <row r="516" spans="1:1" x14ac:dyDescent="0.25">
      <c r="A516" t="str">
        <f t="shared" si="337"/>
        <v/>
      </c>
    </row>
    <row r="517" spans="1:1" x14ac:dyDescent="0.25">
      <c r="A517" t="str">
        <f t="shared" si="337"/>
        <v/>
      </c>
    </row>
    <row r="518" spans="1:1" x14ac:dyDescent="0.25">
      <c r="A518" t="str">
        <f t="shared" si="337"/>
        <v/>
      </c>
    </row>
    <row r="519" spans="1:1" x14ac:dyDescent="0.25">
      <c r="A519" t="str">
        <f t="shared" ref="A519:A582" si="338">IF(B519&lt;&gt;"",A518+1,"")</f>
        <v/>
      </c>
    </row>
    <row r="520" spans="1:1" x14ac:dyDescent="0.25">
      <c r="A520" t="str">
        <f t="shared" si="338"/>
        <v/>
      </c>
    </row>
    <row r="521" spans="1:1" x14ac:dyDescent="0.25">
      <c r="A521" t="str">
        <f t="shared" si="338"/>
        <v/>
      </c>
    </row>
    <row r="522" spans="1:1" x14ac:dyDescent="0.25">
      <c r="A522" t="str">
        <f t="shared" si="338"/>
        <v/>
      </c>
    </row>
    <row r="523" spans="1:1" x14ac:dyDescent="0.25">
      <c r="A523" t="str">
        <f t="shared" si="338"/>
        <v/>
      </c>
    </row>
    <row r="524" spans="1:1" x14ac:dyDescent="0.25">
      <c r="A524" t="str">
        <f t="shared" si="338"/>
        <v/>
      </c>
    </row>
    <row r="525" spans="1:1" x14ac:dyDescent="0.25">
      <c r="A525" t="str">
        <f t="shared" si="338"/>
        <v/>
      </c>
    </row>
    <row r="526" spans="1:1" x14ac:dyDescent="0.25">
      <c r="A526" t="str">
        <f t="shared" si="338"/>
        <v/>
      </c>
    </row>
    <row r="527" spans="1:1" x14ac:dyDescent="0.25">
      <c r="A527" t="str">
        <f t="shared" si="338"/>
        <v/>
      </c>
    </row>
    <row r="528" spans="1:1" x14ac:dyDescent="0.25">
      <c r="A528" t="str">
        <f t="shared" si="338"/>
        <v/>
      </c>
    </row>
    <row r="529" spans="1:1" x14ac:dyDescent="0.25">
      <c r="A529" t="str">
        <f t="shared" si="338"/>
        <v/>
      </c>
    </row>
    <row r="530" spans="1:1" x14ac:dyDescent="0.25">
      <c r="A530" t="str">
        <f t="shared" si="338"/>
        <v/>
      </c>
    </row>
    <row r="531" spans="1:1" x14ac:dyDescent="0.25">
      <c r="A531" t="str">
        <f t="shared" si="338"/>
        <v/>
      </c>
    </row>
    <row r="532" spans="1:1" x14ac:dyDescent="0.25">
      <c r="A532" t="str">
        <f t="shared" si="338"/>
        <v/>
      </c>
    </row>
    <row r="533" spans="1:1" x14ac:dyDescent="0.25">
      <c r="A533" t="str">
        <f t="shared" si="338"/>
        <v/>
      </c>
    </row>
    <row r="534" spans="1:1" x14ac:dyDescent="0.25">
      <c r="A534" t="str">
        <f t="shared" si="338"/>
        <v/>
      </c>
    </row>
    <row r="535" spans="1:1" x14ac:dyDescent="0.25">
      <c r="A535" t="str">
        <f t="shared" si="338"/>
        <v/>
      </c>
    </row>
    <row r="536" spans="1:1" x14ac:dyDescent="0.25">
      <c r="A536" t="str">
        <f t="shared" si="338"/>
        <v/>
      </c>
    </row>
    <row r="537" spans="1:1" x14ac:dyDescent="0.25">
      <c r="A537" t="str">
        <f t="shared" si="338"/>
        <v/>
      </c>
    </row>
    <row r="538" spans="1:1" x14ac:dyDescent="0.25">
      <c r="A538" t="str">
        <f t="shared" si="338"/>
        <v/>
      </c>
    </row>
    <row r="539" spans="1:1" x14ac:dyDescent="0.25">
      <c r="A539" t="str">
        <f t="shared" si="338"/>
        <v/>
      </c>
    </row>
    <row r="540" spans="1:1" x14ac:dyDescent="0.25">
      <c r="A540" t="str">
        <f t="shared" si="338"/>
        <v/>
      </c>
    </row>
    <row r="541" spans="1:1" x14ac:dyDescent="0.25">
      <c r="A541" t="str">
        <f t="shared" si="338"/>
        <v/>
      </c>
    </row>
    <row r="542" spans="1:1" x14ac:dyDescent="0.25">
      <c r="A542" t="str">
        <f t="shared" si="338"/>
        <v/>
      </c>
    </row>
    <row r="543" spans="1:1" x14ac:dyDescent="0.25">
      <c r="A543" t="str">
        <f t="shared" si="338"/>
        <v/>
      </c>
    </row>
    <row r="544" spans="1:1" x14ac:dyDescent="0.25">
      <c r="A544" t="str">
        <f t="shared" si="338"/>
        <v/>
      </c>
    </row>
    <row r="545" spans="1:1" x14ac:dyDescent="0.25">
      <c r="A545" t="str">
        <f t="shared" si="338"/>
        <v/>
      </c>
    </row>
    <row r="546" spans="1:1" x14ac:dyDescent="0.25">
      <c r="A546" t="str">
        <f t="shared" si="338"/>
        <v/>
      </c>
    </row>
    <row r="547" spans="1:1" x14ac:dyDescent="0.25">
      <c r="A547" t="str">
        <f t="shared" si="338"/>
        <v/>
      </c>
    </row>
    <row r="548" spans="1:1" x14ac:dyDescent="0.25">
      <c r="A548" t="str">
        <f t="shared" si="338"/>
        <v/>
      </c>
    </row>
    <row r="549" spans="1:1" x14ac:dyDescent="0.25">
      <c r="A549" t="str">
        <f t="shared" si="338"/>
        <v/>
      </c>
    </row>
    <row r="550" spans="1:1" x14ac:dyDescent="0.25">
      <c r="A550" t="str">
        <f t="shared" si="338"/>
        <v/>
      </c>
    </row>
    <row r="551" spans="1:1" x14ac:dyDescent="0.25">
      <c r="A551" t="str">
        <f t="shared" si="338"/>
        <v/>
      </c>
    </row>
    <row r="552" spans="1:1" x14ac:dyDescent="0.25">
      <c r="A552" t="str">
        <f t="shared" si="338"/>
        <v/>
      </c>
    </row>
    <row r="553" spans="1:1" x14ac:dyDescent="0.25">
      <c r="A553" t="str">
        <f t="shared" si="338"/>
        <v/>
      </c>
    </row>
    <row r="554" spans="1:1" x14ac:dyDescent="0.25">
      <c r="A554" t="str">
        <f t="shared" si="338"/>
        <v/>
      </c>
    </row>
    <row r="555" spans="1:1" x14ac:dyDescent="0.25">
      <c r="A555" t="str">
        <f t="shared" si="338"/>
        <v/>
      </c>
    </row>
    <row r="556" spans="1:1" x14ac:dyDescent="0.25">
      <c r="A556" t="str">
        <f t="shared" si="338"/>
        <v/>
      </c>
    </row>
    <row r="557" spans="1:1" x14ac:dyDescent="0.25">
      <c r="A557" t="str">
        <f t="shared" si="338"/>
        <v/>
      </c>
    </row>
    <row r="558" spans="1:1" x14ac:dyDescent="0.25">
      <c r="A558" t="str">
        <f t="shared" si="338"/>
        <v/>
      </c>
    </row>
    <row r="559" spans="1:1" x14ac:dyDescent="0.25">
      <c r="A559" t="str">
        <f t="shared" si="338"/>
        <v/>
      </c>
    </row>
    <row r="560" spans="1:1" x14ac:dyDescent="0.25">
      <c r="A560" t="str">
        <f t="shared" si="338"/>
        <v/>
      </c>
    </row>
    <row r="561" spans="1:1" x14ac:dyDescent="0.25">
      <c r="A561" t="str">
        <f t="shared" si="338"/>
        <v/>
      </c>
    </row>
    <row r="562" spans="1:1" x14ac:dyDescent="0.25">
      <c r="A562" t="str">
        <f t="shared" si="338"/>
        <v/>
      </c>
    </row>
    <row r="563" spans="1:1" x14ac:dyDescent="0.25">
      <c r="A563" t="str">
        <f t="shared" si="338"/>
        <v/>
      </c>
    </row>
    <row r="564" spans="1:1" x14ac:dyDescent="0.25">
      <c r="A564" t="str">
        <f t="shared" si="338"/>
        <v/>
      </c>
    </row>
    <row r="565" spans="1:1" x14ac:dyDescent="0.25">
      <c r="A565" t="str">
        <f t="shared" si="338"/>
        <v/>
      </c>
    </row>
    <row r="566" spans="1:1" x14ac:dyDescent="0.25">
      <c r="A566" t="str">
        <f t="shared" si="338"/>
        <v/>
      </c>
    </row>
    <row r="567" spans="1:1" x14ac:dyDescent="0.25">
      <c r="A567" t="str">
        <f t="shared" si="338"/>
        <v/>
      </c>
    </row>
    <row r="568" spans="1:1" x14ac:dyDescent="0.25">
      <c r="A568" t="str">
        <f t="shared" si="338"/>
        <v/>
      </c>
    </row>
    <row r="569" spans="1:1" x14ac:dyDescent="0.25">
      <c r="A569" t="str">
        <f t="shared" si="338"/>
        <v/>
      </c>
    </row>
    <row r="570" spans="1:1" x14ac:dyDescent="0.25">
      <c r="A570" t="str">
        <f t="shared" si="338"/>
        <v/>
      </c>
    </row>
    <row r="571" spans="1:1" x14ac:dyDescent="0.25">
      <c r="A571" t="str">
        <f t="shared" si="338"/>
        <v/>
      </c>
    </row>
    <row r="572" spans="1:1" x14ac:dyDescent="0.25">
      <c r="A572" t="str">
        <f t="shared" si="338"/>
        <v/>
      </c>
    </row>
    <row r="573" spans="1:1" x14ac:dyDescent="0.25">
      <c r="A573" t="str">
        <f t="shared" si="338"/>
        <v/>
      </c>
    </row>
    <row r="574" spans="1:1" x14ac:dyDescent="0.25">
      <c r="A574" t="str">
        <f t="shared" si="338"/>
        <v/>
      </c>
    </row>
    <row r="575" spans="1:1" x14ac:dyDescent="0.25">
      <c r="A575" t="str">
        <f t="shared" si="338"/>
        <v/>
      </c>
    </row>
    <row r="576" spans="1:1" x14ac:dyDescent="0.25">
      <c r="A576" t="str">
        <f t="shared" si="338"/>
        <v/>
      </c>
    </row>
    <row r="577" spans="1:1" x14ac:dyDescent="0.25">
      <c r="A577" t="str">
        <f t="shared" si="338"/>
        <v/>
      </c>
    </row>
    <row r="578" spans="1:1" x14ac:dyDescent="0.25">
      <c r="A578" t="str">
        <f t="shared" si="338"/>
        <v/>
      </c>
    </row>
    <row r="579" spans="1:1" x14ac:dyDescent="0.25">
      <c r="A579" t="str">
        <f t="shared" si="338"/>
        <v/>
      </c>
    </row>
    <row r="580" spans="1:1" x14ac:dyDescent="0.25">
      <c r="A580" t="str">
        <f t="shared" si="338"/>
        <v/>
      </c>
    </row>
    <row r="581" spans="1:1" x14ac:dyDescent="0.25">
      <c r="A581" t="str">
        <f t="shared" si="338"/>
        <v/>
      </c>
    </row>
    <row r="582" spans="1:1" x14ac:dyDescent="0.25">
      <c r="A582" t="str">
        <f t="shared" si="338"/>
        <v/>
      </c>
    </row>
    <row r="583" spans="1:1" x14ac:dyDescent="0.25">
      <c r="A583" t="str">
        <f t="shared" ref="A583:A646" si="339">IF(B583&lt;&gt;"",A582+1,"")</f>
        <v/>
      </c>
    </row>
    <row r="584" spans="1:1" x14ac:dyDescent="0.25">
      <c r="A584" t="str">
        <f t="shared" si="339"/>
        <v/>
      </c>
    </row>
    <row r="585" spans="1:1" x14ac:dyDescent="0.25">
      <c r="A585" t="str">
        <f t="shared" si="339"/>
        <v/>
      </c>
    </row>
    <row r="586" spans="1:1" x14ac:dyDescent="0.25">
      <c r="A586" t="str">
        <f t="shared" si="339"/>
        <v/>
      </c>
    </row>
    <row r="587" spans="1:1" x14ac:dyDescent="0.25">
      <c r="A587" t="str">
        <f t="shared" si="339"/>
        <v/>
      </c>
    </row>
    <row r="588" spans="1:1" x14ac:dyDescent="0.25">
      <c r="A588" t="str">
        <f t="shared" si="339"/>
        <v/>
      </c>
    </row>
    <row r="589" spans="1:1" x14ac:dyDescent="0.25">
      <c r="A589" t="str">
        <f t="shared" si="339"/>
        <v/>
      </c>
    </row>
    <row r="590" spans="1:1" x14ac:dyDescent="0.25">
      <c r="A590" t="str">
        <f t="shared" si="339"/>
        <v/>
      </c>
    </row>
    <row r="591" spans="1:1" x14ac:dyDescent="0.25">
      <c r="A591" t="str">
        <f t="shared" si="339"/>
        <v/>
      </c>
    </row>
    <row r="592" spans="1:1" x14ac:dyDescent="0.25">
      <c r="A592" t="str">
        <f t="shared" si="339"/>
        <v/>
      </c>
    </row>
    <row r="593" spans="1:1" x14ac:dyDescent="0.25">
      <c r="A593" t="str">
        <f t="shared" si="339"/>
        <v/>
      </c>
    </row>
    <row r="594" spans="1:1" x14ac:dyDescent="0.25">
      <c r="A594" t="str">
        <f t="shared" si="339"/>
        <v/>
      </c>
    </row>
    <row r="595" spans="1:1" x14ac:dyDescent="0.25">
      <c r="A595" t="str">
        <f t="shared" si="339"/>
        <v/>
      </c>
    </row>
    <row r="596" spans="1:1" x14ac:dyDescent="0.25">
      <c r="A596" t="str">
        <f t="shared" si="339"/>
        <v/>
      </c>
    </row>
    <row r="597" spans="1:1" x14ac:dyDescent="0.25">
      <c r="A597" t="str">
        <f t="shared" si="339"/>
        <v/>
      </c>
    </row>
    <row r="598" spans="1:1" x14ac:dyDescent="0.25">
      <c r="A598" t="str">
        <f t="shared" si="339"/>
        <v/>
      </c>
    </row>
    <row r="599" spans="1:1" x14ac:dyDescent="0.25">
      <c r="A599" t="str">
        <f t="shared" si="339"/>
        <v/>
      </c>
    </row>
    <row r="600" spans="1:1" x14ac:dyDescent="0.25">
      <c r="A600" t="str">
        <f t="shared" si="339"/>
        <v/>
      </c>
    </row>
    <row r="601" spans="1:1" x14ac:dyDescent="0.25">
      <c r="A601" t="str">
        <f t="shared" si="339"/>
        <v/>
      </c>
    </row>
    <row r="602" spans="1:1" x14ac:dyDescent="0.25">
      <c r="A602" t="str">
        <f t="shared" si="339"/>
        <v/>
      </c>
    </row>
    <row r="603" spans="1:1" x14ac:dyDescent="0.25">
      <c r="A603" t="str">
        <f t="shared" si="339"/>
        <v/>
      </c>
    </row>
    <row r="604" spans="1:1" x14ac:dyDescent="0.25">
      <c r="A604" t="str">
        <f t="shared" si="339"/>
        <v/>
      </c>
    </row>
    <row r="605" spans="1:1" x14ac:dyDescent="0.25">
      <c r="A605" t="str">
        <f t="shared" si="339"/>
        <v/>
      </c>
    </row>
    <row r="606" spans="1:1" x14ac:dyDescent="0.25">
      <c r="A606" t="str">
        <f t="shared" si="339"/>
        <v/>
      </c>
    </row>
    <row r="607" spans="1:1" x14ac:dyDescent="0.25">
      <c r="A607" t="str">
        <f t="shared" si="339"/>
        <v/>
      </c>
    </row>
    <row r="608" spans="1:1" x14ac:dyDescent="0.25">
      <c r="A608" t="str">
        <f t="shared" si="339"/>
        <v/>
      </c>
    </row>
    <row r="609" spans="1:1" x14ac:dyDescent="0.25">
      <c r="A609" t="str">
        <f t="shared" si="339"/>
        <v/>
      </c>
    </row>
    <row r="610" spans="1:1" x14ac:dyDescent="0.25">
      <c r="A610" t="str">
        <f t="shared" si="339"/>
        <v/>
      </c>
    </row>
    <row r="611" spans="1:1" x14ac:dyDescent="0.25">
      <c r="A611" t="str">
        <f t="shared" si="339"/>
        <v/>
      </c>
    </row>
    <row r="612" spans="1:1" x14ac:dyDescent="0.25">
      <c r="A612" t="str">
        <f t="shared" si="339"/>
        <v/>
      </c>
    </row>
    <row r="613" spans="1:1" x14ac:dyDescent="0.25">
      <c r="A613" t="str">
        <f t="shared" si="339"/>
        <v/>
      </c>
    </row>
    <row r="614" spans="1:1" x14ac:dyDescent="0.25">
      <c r="A614" t="str">
        <f t="shared" si="339"/>
        <v/>
      </c>
    </row>
    <row r="615" spans="1:1" x14ac:dyDescent="0.25">
      <c r="A615" t="str">
        <f t="shared" si="339"/>
        <v/>
      </c>
    </row>
    <row r="616" spans="1:1" x14ac:dyDescent="0.25">
      <c r="A616" t="str">
        <f t="shared" si="339"/>
        <v/>
      </c>
    </row>
    <row r="617" spans="1:1" x14ac:dyDescent="0.25">
      <c r="A617" t="str">
        <f t="shared" si="339"/>
        <v/>
      </c>
    </row>
    <row r="618" spans="1:1" x14ac:dyDescent="0.25">
      <c r="A618" t="str">
        <f t="shared" si="339"/>
        <v/>
      </c>
    </row>
    <row r="619" spans="1:1" x14ac:dyDescent="0.25">
      <c r="A619" t="str">
        <f t="shared" si="339"/>
        <v/>
      </c>
    </row>
    <row r="620" spans="1:1" x14ac:dyDescent="0.25">
      <c r="A620" t="str">
        <f t="shared" si="339"/>
        <v/>
      </c>
    </row>
    <row r="621" spans="1:1" x14ac:dyDescent="0.25">
      <c r="A621" t="str">
        <f t="shared" si="339"/>
        <v/>
      </c>
    </row>
    <row r="622" spans="1:1" x14ac:dyDescent="0.25">
      <c r="A622" t="str">
        <f t="shared" si="339"/>
        <v/>
      </c>
    </row>
    <row r="623" spans="1:1" x14ac:dyDescent="0.25">
      <c r="A623" t="str">
        <f t="shared" si="339"/>
        <v/>
      </c>
    </row>
    <row r="624" spans="1:1" x14ac:dyDescent="0.25">
      <c r="A624" t="str">
        <f t="shared" si="339"/>
        <v/>
      </c>
    </row>
    <row r="625" spans="1:1" x14ac:dyDescent="0.25">
      <c r="A625" t="str">
        <f t="shared" si="339"/>
        <v/>
      </c>
    </row>
    <row r="626" spans="1:1" x14ac:dyDescent="0.25">
      <c r="A626" t="str">
        <f t="shared" si="339"/>
        <v/>
      </c>
    </row>
    <row r="627" spans="1:1" x14ac:dyDescent="0.25">
      <c r="A627" t="str">
        <f t="shared" si="339"/>
        <v/>
      </c>
    </row>
    <row r="628" spans="1:1" x14ac:dyDescent="0.25">
      <c r="A628" t="str">
        <f t="shared" si="339"/>
        <v/>
      </c>
    </row>
    <row r="629" spans="1:1" x14ac:dyDescent="0.25">
      <c r="A629" t="str">
        <f t="shared" si="339"/>
        <v/>
      </c>
    </row>
    <row r="630" spans="1:1" x14ac:dyDescent="0.25">
      <c r="A630" t="str">
        <f t="shared" si="339"/>
        <v/>
      </c>
    </row>
    <row r="631" spans="1:1" x14ac:dyDescent="0.25">
      <c r="A631" t="str">
        <f t="shared" si="339"/>
        <v/>
      </c>
    </row>
    <row r="632" spans="1:1" x14ac:dyDescent="0.25">
      <c r="A632" t="str">
        <f t="shared" si="339"/>
        <v/>
      </c>
    </row>
    <row r="633" spans="1:1" x14ac:dyDescent="0.25">
      <c r="A633" t="str">
        <f t="shared" si="339"/>
        <v/>
      </c>
    </row>
    <row r="634" spans="1:1" x14ac:dyDescent="0.25">
      <c r="A634" t="str">
        <f t="shared" si="339"/>
        <v/>
      </c>
    </row>
    <row r="635" spans="1:1" x14ac:dyDescent="0.25">
      <c r="A635" t="str">
        <f t="shared" si="339"/>
        <v/>
      </c>
    </row>
    <row r="636" spans="1:1" x14ac:dyDescent="0.25">
      <c r="A636" t="str">
        <f t="shared" si="339"/>
        <v/>
      </c>
    </row>
    <row r="637" spans="1:1" x14ac:dyDescent="0.25">
      <c r="A637" t="str">
        <f t="shared" si="339"/>
        <v/>
      </c>
    </row>
    <row r="638" spans="1:1" x14ac:dyDescent="0.25">
      <c r="A638" t="str">
        <f t="shared" si="339"/>
        <v/>
      </c>
    </row>
    <row r="639" spans="1:1" x14ac:dyDescent="0.25">
      <c r="A639" t="str">
        <f t="shared" si="339"/>
        <v/>
      </c>
    </row>
    <row r="640" spans="1:1" x14ac:dyDescent="0.25">
      <c r="A640" t="str">
        <f t="shared" si="339"/>
        <v/>
      </c>
    </row>
    <row r="641" spans="1:1" x14ac:dyDescent="0.25">
      <c r="A641" t="str">
        <f t="shared" si="339"/>
        <v/>
      </c>
    </row>
    <row r="642" spans="1:1" x14ac:dyDescent="0.25">
      <c r="A642" t="str">
        <f t="shared" si="339"/>
        <v/>
      </c>
    </row>
    <row r="643" spans="1:1" x14ac:dyDescent="0.25">
      <c r="A643" t="str">
        <f t="shared" si="339"/>
        <v/>
      </c>
    </row>
    <row r="644" spans="1:1" x14ac:dyDescent="0.25">
      <c r="A644" t="str">
        <f t="shared" si="339"/>
        <v/>
      </c>
    </row>
    <row r="645" spans="1:1" x14ac:dyDescent="0.25">
      <c r="A645" t="str">
        <f t="shared" si="339"/>
        <v/>
      </c>
    </row>
    <row r="646" spans="1:1" x14ac:dyDescent="0.25">
      <c r="A646" t="str">
        <f t="shared" si="339"/>
        <v/>
      </c>
    </row>
    <row r="647" spans="1:1" x14ac:dyDescent="0.25">
      <c r="A647" t="str">
        <f t="shared" ref="A647:A673" si="340">IF(B647&lt;&gt;"",A646+1,"")</f>
        <v/>
      </c>
    </row>
    <row r="648" spans="1:1" x14ac:dyDescent="0.25">
      <c r="A648" t="str">
        <f t="shared" si="340"/>
        <v/>
      </c>
    </row>
    <row r="649" spans="1:1" x14ac:dyDescent="0.25">
      <c r="A649" t="str">
        <f t="shared" si="340"/>
        <v/>
      </c>
    </row>
    <row r="650" spans="1:1" x14ac:dyDescent="0.25">
      <c r="A650" t="str">
        <f t="shared" si="340"/>
        <v/>
      </c>
    </row>
    <row r="651" spans="1:1" x14ac:dyDescent="0.25">
      <c r="A651" t="str">
        <f t="shared" si="340"/>
        <v/>
      </c>
    </row>
    <row r="652" spans="1:1" x14ac:dyDescent="0.25">
      <c r="A652" t="str">
        <f t="shared" si="340"/>
        <v/>
      </c>
    </row>
    <row r="653" spans="1:1" x14ac:dyDescent="0.25">
      <c r="A653" t="str">
        <f t="shared" si="340"/>
        <v/>
      </c>
    </row>
    <row r="654" spans="1:1" x14ac:dyDescent="0.25">
      <c r="A654" t="str">
        <f t="shared" si="340"/>
        <v/>
      </c>
    </row>
    <row r="655" spans="1:1" x14ac:dyDescent="0.25">
      <c r="A655" t="str">
        <f t="shared" si="340"/>
        <v/>
      </c>
    </row>
    <row r="656" spans="1:1" x14ac:dyDescent="0.25">
      <c r="A656" t="str">
        <f t="shared" si="340"/>
        <v/>
      </c>
    </row>
    <row r="657" spans="1:1" x14ac:dyDescent="0.25">
      <c r="A657" t="str">
        <f t="shared" si="340"/>
        <v/>
      </c>
    </row>
    <row r="658" spans="1:1" x14ac:dyDescent="0.25">
      <c r="A658" t="str">
        <f t="shared" si="340"/>
        <v/>
      </c>
    </row>
    <row r="659" spans="1:1" x14ac:dyDescent="0.25">
      <c r="A659" t="str">
        <f t="shared" si="340"/>
        <v/>
      </c>
    </row>
    <row r="660" spans="1:1" x14ac:dyDescent="0.25">
      <c r="A660" t="str">
        <f t="shared" si="340"/>
        <v/>
      </c>
    </row>
    <row r="661" spans="1:1" x14ac:dyDescent="0.25">
      <c r="A661" t="str">
        <f t="shared" si="340"/>
        <v/>
      </c>
    </row>
    <row r="662" spans="1:1" x14ac:dyDescent="0.25">
      <c r="A662" t="str">
        <f t="shared" si="340"/>
        <v/>
      </c>
    </row>
    <row r="663" spans="1:1" x14ac:dyDescent="0.25">
      <c r="A663" t="str">
        <f t="shared" si="340"/>
        <v/>
      </c>
    </row>
    <row r="664" spans="1:1" x14ac:dyDescent="0.25">
      <c r="A664" t="str">
        <f t="shared" si="340"/>
        <v/>
      </c>
    </row>
    <row r="665" spans="1:1" x14ac:dyDescent="0.25">
      <c r="A665" t="str">
        <f t="shared" si="340"/>
        <v/>
      </c>
    </row>
    <row r="666" spans="1:1" x14ac:dyDescent="0.25">
      <c r="A666" t="str">
        <f t="shared" si="340"/>
        <v/>
      </c>
    </row>
    <row r="667" spans="1:1" x14ac:dyDescent="0.25">
      <c r="A667" t="str">
        <f t="shared" si="340"/>
        <v/>
      </c>
    </row>
    <row r="668" spans="1:1" x14ac:dyDescent="0.25">
      <c r="A668" t="str">
        <f t="shared" si="340"/>
        <v/>
      </c>
    </row>
    <row r="669" spans="1:1" x14ac:dyDescent="0.25">
      <c r="A669" t="str">
        <f t="shared" si="340"/>
        <v/>
      </c>
    </row>
    <row r="670" spans="1:1" x14ac:dyDescent="0.25">
      <c r="A670" t="str">
        <f t="shared" si="340"/>
        <v/>
      </c>
    </row>
    <row r="671" spans="1:1" x14ac:dyDescent="0.25">
      <c r="A671" t="str">
        <f t="shared" si="340"/>
        <v/>
      </c>
    </row>
    <row r="672" spans="1:1" x14ac:dyDescent="0.25">
      <c r="A672" t="str">
        <f t="shared" si="340"/>
        <v/>
      </c>
    </row>
    <row r="673" spans="1:1" x14ac:dyDescent="0.25">
      <c r="A673" t="str">
        <f t="shared" si="340"/>
        <v/>
      </c>
    </row>
  </sheetData>
  <mergeCells count="20">
    <mergeCell ref="DC2:DC3"/>
    <mergeCell ref="R2:AD2"/>
    <mergeCell ref="BX2:CB2"/>
    <mergeCell ref="CC2:CC3"/>
    <mergeCell ref="CD2:CH2"/>
    <mergeCell ref="CI2:CI3"/>
    <mergeCell ref="CK2:CO2"/>
    <mergeCell ref="CP2:CP3"/>
    <mergeCell ref="CQ2:CU2"/>
    <mergeCell ref="CV2:CV3"/>
    <mergeCell ref="CW2:CW3"/>
    <mergeCell ref="CX2:DB2"/>
    <mergeCell ref="DV2:DV3"/>
    <mergeCell ref="DW2:DW3"/>
    <mergeCell ref="DD2:DG2"/>
    <mergeCell ref="DI2:DI3"/>
    <mergeCell ref="DJ2:DJ3"/>
    <mergeCell ref="DK2:DO2"/>
    <mergeCell ref="DP2:DP3"/>
    <mergeCell ref="DQ2:DU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X972"/>
  <sheetViews>
    <sheetView tabSelected="1" topLeftCell="F3" workbookViewId="0">
      <selection activeCell="J20" sqref="J20"/>
    </sheetView>
  </sheetViews>
  <sheetFormatPr defaultRowHeight="15" x14ac:dyDescent="0.25"/>
  <cols>
    <col min="1" max="1" width="9.7109375" hidden="1" customWidth="1"/>
    <col min="2" max="2" width="4.5703125" hidden="1" customWidth="1"/>
    <col min="3" max="5" width="5" hidden="1" customWidth="1"/>
    <col min="6" max="6" width="14" bestFit="1" customWidth="1"/>
    <col min="7" max="7" width="47.85546875" bestFit="1" customWidth="1"/>
    <col min="8" max="8" width="13.140625" bestFit="1" customWidth="1"/>
    <col min="9" max="9" width="8.5703125" bestFit="1" customWidth="1"/>
    <col min="10" max="10" width="13.28515625" bestFit="1" customWidth="1"/>
    <col min="11" max="11" width="9.7109375" bestFit="1" customWidth="1"/>
    <col min="12" max="12" width="13.7109375" bestFit="1" customWidth="1"/>
    <col min="13" max="13" width="17.42578125" bestFit="1" customWidth="1"/>
    <col min="16" max="16" width="9.28515625" customWidth="1"/>
  </cols>
  <sheetData>
    <row r="1" spans="1:362" hidden="1" x14ac:dyDescent="0.25">
      <c r="H1">
        <v>1</v>
      </c>
      <c r="I1">
        <f>IF(Sheet2!BY1&lt;&gt;Sheet2!BX1,Sheet2!BY1,"")</f>
        <v>2</v>
      </c>
      <c r="J1">
        <f>IF(Sheet2!BZ1&lt;&gt;Sheet2!BY1,Sheet2!BZ1,"")</f>
        <v>3</v>
      </c>
      <c r="K1">
        <f>IF(Sheet2!CA1&lt;&gt;Sheet2!BZ1,Sheet2!CA1,"")</f>
        <v>4</v>
      </c>
      <c r="L1">
        <f>IF(Sheet2!CB1&lt;&gt;Sheet2!CA1,Sheet2!CB1,"")</f>
        <v>5</v>
      </c>
      <c r="M1" t="str">
        <f>IF(Sheet2!CC1&lt;&gt;Sheet2!CB1,Sheet2!CC1,"")</f>
        <v/>
      </c>
      <c r="N1">
        <f>IF(Sheet2!CD1&lt;&gt;Sheet2!CC1,Sheet2!CD1,"")</f>
        <v>6</v>
      </c>
      <c r="O1">
        <f>IF(Sheet2!CE1&lt;&gt;Sheet2!CD1,Sheet2!CE1,"")</f>
        <v>7</v>
      </c>
      <c r="P1">
        <f>IF(Sheet2!CF1&lt;&gt;Sheet2!CE1,Sheet2!CF1,"")</f>
        <v>8</v>
      </c>
      <c r="Q1">
        <f>IF(Sheet2!CG1&lt;&gt;Sheet2!CF1,Sheet2!CG1,"")</f>
        <v>9</v>
      </c>
      <c r="R1">
        <f>IF(Sheet2!CH1&lt;&gt;Sheet2!CG1,Sheet2!CH1,"")</f>
        <v>10</v>
      </c>
      <c r="S1" t="str">
        <f>IF(Sheet2!CI1&lt;&gt;Sheet2!CH1,Sheet2!CI1,"")</f>
        <v/>
      </c>
      <c r="T1" t="str">
        <f>IF(Sheet2!CJ1&lt;&gt;Sheet2!CI1,Sheet2!CJ1,"")</f>
        <v/>
      </c>
      <c r="U1">
        <f>IF(Sheet2!CK1&lt;&gt;Sheet2!CJ1,Sheet2!CK1,"")</f>
        <v>11</v>
      </c>
      <c r="V1">
        <f>IF(Sheet2!CL1&lt;&gt;Sheet2!CK1,Sheet2!CL1,"")</f>
        <v>12</v>
      </c>
      <c r="W1">
        <f>IF(Sheet2!CM1&lt;&gt;Sheet2!CL1,Sheet2!CM1,"")</f>
        <v>13</v>
      </c>
      <c r="X1">
        <f>IF(Sheet2!CN1&lt;&gt;Sheet2!CM1,Sheet2!CN1,"")</f>
        <v>14</v>
      </c>
      <c r="Y1">
        <f>IF(Sheet2!CO1&lt;&gt;Sheet2!CN1,Sheet2!CO1,"")</f>
        <v>15</v>
      </c>
      <c r="Z1" t="str">
        <f>IF(Sheet2!CP1&lt;&gt;Sheet2!CO1,Sheet2!CP1,"")</f>
        <v/>
      </c>
      <c r="AA1">
        <f>IF(Sheet2!CQ1&lt;&gt;Sheet2!CP1,Sheet2!CQ1,"")</f>
        <v>16</v>
      </c>
      <c r="AB1">
        <f>IF(Sheet2!CR1&lt;&gt;Sheet2!CQ1,Sheet2!CR1,"")</f>
        <v>17</v>
      </c>
      <c r="AC1">
        <f>IF(Sheet2!CS1&lt;&gt;Sheet2!CR1,Sheet2!CS1,"")</f>
        <v>18</v>
      </c>
      <c r="AD1">
        <f>IF(Sheet2!CT1&lt;&gt;Sheet2!CS1,Sheet2!CT1,"")</f>
        <v>19</v>
      </c>
      <c r="AE1">
        <f>IF(Sheet2!CU1&lt;&gt;Sheet2!CT1,Sheet2!CU1,"")</f>
        <v>20</v>
      </c>
      <c r="AF1" t="str">
        <f>IF(Sheet2!CV1&lt;&gt;Sheet2!CU1,Sheet2!CV1,"")</f>
        <v/>
      </c>
      <c r="AG1" t="str">
        <f>IF(Sheet2!CW1&lt;&gt;Sheet2!CV1,Sheet2!CW1,"")</f>
        <v/>
      </c>
      <c r="AH1">
        <f>IF(Sheet2!CX1&lt;&gt;Sheet2!CW1,Sheet2!CX1,"")</f>
        <v>21</v>
      </c>
      <c r="AI1">
        <f>IF(Sheet2!CY1&lt;&gt;Sheet2!CX1,Sheet2!CY1,"")</f>
        <v>22</v>
      </c>
      <c r="AJ1">
        <f>IF(Sheet2!CZ1&lt;&gt;Sheet2!CY1,Sheet2!CZ1,"")</f>
        <v>23</v>
      </c>
      <c r="AK1">
        <f>IF(Sheet2!DA1&lt;&gt;Sheet2!CZ1,Sheet2!DA1,"")</f>
        <v>24</v>
      </c>
      <c r="AL1">
        <f>IF(Sheet2!DB1&lt;&gt;Sheet2!DA1,Sheet2!DB1,"")</f>
        <v>25</v>
      </c>
      <c r="AM1" t="str">
        <f>IF(Sheet2!DC1&lt;&gt;Sheet2!DB1,Sheet2!DC1,"")</f>
        <v/>
      </c>
      <c r="AN1">
        <f>IF(Sheet2!DD1&lt;&gt;Sheet2!DC1,Sheet2!DD1,"")</f>
        <v>26</v>
      </c>
      <c r="AO1">
        <f>IF(Sheet2!DE1&lt;&gt;Sheet2!DD1,Sheet2!DE1,"")</f>
        <v>27</v>
      </c>
      <c r="AP1">
        <f>IF(Sheet2!DF1&lt;&gt;Sheet2!DE1,Sheet2!DF1,"")</f>
        <v>28</v>
      </c>
      <c r="AQ1">
        <f>IF(Sheet2!DG1&lt;&gt;Sheet2!DF1,Sheet2!DG1,"")</f>
        <v>29</v>
      </c>
      <c r="AR1">
        <f>IF(Sheet2!DH1&lt;&gt;Sheet2!DG1,Sheet2!DH1,"")</f>
        <v>30</v>
      </c>
      <c r="AS1" t="str">
        <f>IF(Sheet2!DI1&lt;&gt;Sheet2!DH1,Sheet2!DI1,"")</f>
        <v/>
      </c>
      <c r="AT1" t="str">
        <f>IF(Sheet2!DJ1&lt;&gt;Sheet2!DI1,Sheet2!DJ1,"")</f>
        <v/>
      </c>
      <c r="AU1">
        <f>IF(Sheet2!DK1&lt;&gt;Sheet2!DJ1,Sheet2!DK1,"")</f>
        <v>31</v>
      </c>
      <c r="AV1">
        <f>IF(Sheet2!DL1&lt;&gt;Sheet2!DK1,Sheet2!DL1,"")</f>
        <v>32</v>
      </c>
      <c r="AW1">
        <f>IF(Sheet2!DM1&lt;&gt;Sheet2!DL1,Sheet2!DM1,"")</f>
        <v>33</v>
      </c>
      <c r="AX1">
        <f>IF(Sheet2!DN1&lt;&gt;Sheet2!DM1,Sheet2!DN1,"")</f>
        <v>34</v>
      </c>
      <c r="AY1">
        <f>IF(Sheet2!DO1&lt;&gt;Sheet2!DN1,Sheet2!DO1,"")</f>
        <v>35</v>
      </c>
      <c r="AZ1" t="str">
        <f>IF(Sheet2!DP1&lt;&gt;Sheet2!DO1,Sheet2!DP1,"")</f>
        <v/>
      </c>
      <c r="BA1">
        <f>IF(Sheet2!DQ1&lt;&gt;Sheet2!DP1,Sheet2!DQ1,"")</f>
        <v>36</v>
      </c>
      <c r="BB1">
        <f>IF(Sheet2!DR1&lt;&gt;Sheet2!DQ1,Sheet2!DR1,"")</f>
        <v>37</v>
      </c>
      <c r="BC1">
        <f>IF(Sheet2!DS1&lt;&gt;Sheet2!DR1,Sheet2!DS1,"")</f>
        <v>38</v>
      </c>
      <c r="BD1">
        <f>IF(Sheet2!DT1&lt;&gt;Sheet2!DS1,Sheet2!DT1,"")</f>
        <v>39</v>
      </c>
      <c r="BE1">
        <f>IF(Sheet2!DU1&lt;&gt;Sheet2!DT1,Sheet2!DU1,"")</f>
        <v>40</v>
      </c>
      <c r="BF1" t="str">
        <f>IF(Sheet2!DV1&lt;&gt;Sheet2!DU1,Sheet2!DV1,"")</f>
        <v/>
      </c>
      <c r="BG1" t="str">
        <f>IF(Sheet2!DW1&lt;&gt;Sheet2!DV1,Sheet2!DW1,"")</f>
        <v/>
      </c>
      <c r="BH1" t="str">
        <f>IF(Sheet2!DX1&lt;&gt;Sheet2!DW1,Sheet2!DX1,"")</f>
        <v/>
      </c>
      <c r="BI1" t="str">
        <f>IF(Sheet2!DY1&lt;&gt;Sheet2!DX1,Sheet2!DY1,"")</f>
        <v/>
      </c>
      <c r="BJ1" t="str">
        <f>IF(Sheet2!DZ1&lt;&gt;Sheet2!DY1,Sheet2!DZ1,"")</f>
        <v/>
      </c>
      <c r="BK1" t="str">
        <f>IF(Sheet2!EA1&lt;&gt;Sheet2!DZ1,Sheet2!EA1,"")</f>
        <v/>
      </c>
      <c r="BL1" t="str">
        <f>IF(Sheet2!EB1&lt;&gt;Sheet2!EA1,Sheet2!EB1,"")</f>
        <v/>
      </c>
      <c r="BM1" t="str">
        <f>IF(Sheet2!EC1&lt;&gt;Sheet2!EB1,Sheet2!EC1,"")</f>
        <v/>
      </c>
      <c r="BN1" t="str">
        <f>IF(Sheet2!ED1&lt;&gt;Sheet2!EC1,Sheet2!ED1,"")</f>
        <v/>
      </c>
      <c r="BO1" t="str">
        <f>IF(Sheet2!EE1&lt;&gt;Sheet2!ED1,Sheet2!EE1,"")</f>
        <v/>
      </c>
      <c r="BP1" t="str">
        <f>IF(Sheet2!EF1&lt;&gt;Sheet2!EE1,Sheet2!EF1,"")</f>
        <v/>
      </c>
      <c r="BQ1" t="str">
        <f>IF(Sheet2!EG1&lt;&gt;Sheet2!EF1,Sheet2!EG1,"")</f>
        <v/>
      </c>
      <c r="BR1" t="str">
        <f>IF(Sheet2!EH1&lt;&gt;Sheet2!EG1,Sheet2!EH1,"")</f>
        <v/>
      </c>
      <c r="BS1" t="str">
        <f>IF(Sheet2!EI1&lt;&gt;Sheet2!EH1,Sheet2!EI1,"")</f>
        <v/>
      </c>
      <c r="BT1" t="str">
        <f>IF(Sheet2!EJ1&lt;&gt;Sheet2!EI1,Sheet2!EJ1,"")</f>
        <v/>
      </c>
      <c r="BU1" t="str">
        <f>IF(Sheet2!EK1&lt;&gt;Sheet2!EJ1,Sheet2!EK1,"")</f>
        <v/>
      </c>
      <c r="BV1" t="str">
        <f>IF(Sheet2!EL1&lt;&gt;Sheet2!EK1,Sheet2!EL1,"")</f>
        <v/>
      </c>
      <c r="BW1" t="str">
        <f>IF(Sheet2!EM1&lt;&gt;Sheet2!EL1,Sheet2!EM1,"")</f>
        <v/>
      </c>
      <c r="BX1" t="str">
        <f>IF(Sheet2!EN1&lt;&gt;Sheet2!EM1,Sheet2!EN1,"")</f>
        <v/>
      </c>
      <c r="BY1" t="str">
        <f>IF(Sheet2!EO1&lt;&gt;Sheet2!EN1,Sheet2!EO1,"")</f>
        <v/>
      </c>
      <c r="BZ1" t="str">
        <f>IF(Sheet2!EP1&lt;&gt;Sheet2!EO1,Sheet2!EP1,"")</f>
        <v/>
      </c>
      <c r="CA1" t="str">
        <f>IF(Sheet2!EQ1&lt;&gt;Sheet2!EP1,Sheet2!EQ1,"")</f>
        <v/>
      </c>
      <c r="CB1" t="str">
        <f>IF(Sheet2!ER1&lt;&gt;Sheet2!EQ1,Sheet2!ER1,"")</f>
        <v/>
      </c>
      <c r="CC1" t="str">
        <f>IF(Sheet2!ES1&lt;&gt;Sheet2!ER1,Sheet2!ES1,"")</f>
        <v/>
      </c>
      <c r="CD1" t="str">
        <f>IF(Sheet2!ET1&lt;&gt;Sheet2!ES1,Sheet2!ET1,"")</f>
        <v/>
      </c>
      <c r="CE1" t="str">
        <f>IF(Sheet2!EU1&lt;&gt;Sheet2!ET1,Sheet2!EU1,"")</f>
        <v/>
      </c>
      <c r="CF1" t="str">
        <f>IF(Sheet2!EV1&lt;&gt;Sheet2!EU1,Sheet2!EV1,"")</f>
        <v/>
      </c>
      <c r="CG1" t="str">
        <f>IF(Sheet2!EW1&lt;&gt;Sheet2!EV1,Sheet2!EW1,"")</f>
        <v/>
      </c>
      <c r="CH1" t="str">
        <f>IF(Sheet2!EX1&lt;&gt;Sheet2!EW1,Sheet2!EX1,"")</f>
        <v/>
      </c>
      <c r="CI1" t="str">
        <f>IF(Sheet2!EY1&lt;&gt;Sheet2!EX1,Sheet2!EY1,"")</f>
        <v/>
      </c>
      <c r="CJ1" t="str">
        <f>IF(Sheet2!EZ1&lt;&gt;Sheet2!EY1,Sheet2!EZ1,"")</f>
        <v/>
      </c>
      <c r="CK1" t="str">
        <f>IF(Sheet2!FA1&lt;&gt;Sheet2!EZ1,Sheet2!FA1,"")</f>
        <v/>
      </c>
      <c r="CL1" t="str">
        <f>IF(Sheet2!FB1&lt;&gt;Sheet2!FA1,Sheet2!FB1,"")</f>
        <v/>
      </c>
      <c r="CM1" t="str">
        <f>IF(Sheet2!FC1&lt;&gt;Sheet2!FB1,Sheet2!FC1,"")</f>
        <v/>
      </c>
      <c r="CN1" t="str">
        <f>IF(Sheet2!FD1&lt;&gt;Sheet2!FC1,Sheet2!FD1,"")</f>
        <v/>
      </c>
      <c r="CO1" t="str">
        <f>IF(Sheet2!FE1&lt;&gt;Sheet2!FD1,Sheet2!FE1,"")</f>
        <v/>
      </c>
      <c r="CP1" t="str">
        <f>IF(Sheet2!FF1&lt;&gt;Sheet2!FE1,Sheet2!FF1,"")</f>
        <v/>
      </c>
      <c r="CQ1" t="str">
        <f>IF(Sheet2!FG1&lt;&gt;Sheet2!FF1,Sheet2!FG1,"")</f>
        <v/>
      </c>
      <c r="CR1" t="str">
        <f>IF(Sheet2!FH1&lt;&gt;Sheet2!FG1,Sheet2!FH1,"")</f>
        <v/>
      </c>
      <c r="CS1" t="str">
        <f>IF(Sheet2!FI1&lt;&gt;Sheet2!FH1,Sheet2!FI1,"")</f>
        <v/>
      </c>
      <c r="CT1" t="str">
        <f>IF(Sheet2!FJ1&lt;&gt;Sheet2!FI1,Sheet2!FJ1,"")</f>
        <v/>
      </c>
      <c r="CU1" t="str">
        <f>IF(Sheet2!FK1&lt;&gt;Sheet2!FJ1,Sheet2!FK1,"")</f>
        <v/>
      </c>
      <c r="CV1" t="str">
        <f>IF(Sheet2!FL1&lt;&gt;Sheet2!FK1,Sheet2!FL1,"")</f>
        <v/>
      </c>
      <c r="CW1" t="str">
        <f>IF(Sheet2!FM1&lt;&gt;Sheet2!FL1,Sheet2!FM1,"")</f>
        <v/>
      </c>
      <c r="CX1" t="str">
        <f>IF(Sheet2!FN1&lt;&gt;Sheet2!FM1,Sheet2!FN1,"")</f>
        <v/>
      </c>
      <c r="CY1" t="str">
        <f>IF(Sheet2!FO1&lt;&gt;Sheet2!FN1,Sheet2!FO1,"")</f>
        <v/>
      </c>
      <c r="CZ1" t="str">
        <f>IF(Sheet2!FP1&lt;&gt;Sheet2!FO1,Sheet2!FP1,"")</f>
        <v/>
      </c>
      <c r="DA1" t="str">
        <f>IF(Sheet2!FQ1&lt;&gt;Sheet2!FP1,Sheet2!FQ1,"")</f>
        <v/>
      </c>
      <c r="DB1" t="str">
        <f>IF(Sheet2!FR1&lt;&gt;Sheet2!FQ1,Sheet2!FR1,"")</f>
        <v/>
      </c>
      <c r="DC1" t="str">
        <f>IF(Sheet2!FS1&lt;&gt;Sheet2!FR1,Sheet2!FS1,"")</f>
        <v/>
      </c>
      <c r="DD1" t="str">
        <f>IF(Sheet2!FT1&lt;&gt;Sheet2!FS1,Sheet2!FT1,"")</f>
        <v/>
      </c>
      <c r="DE1" t="str">
        <f>IF(Sheet2!FU1&lt;&gt;Sheet2!FT1,Sheet2!FU1,"")</f>
        <v/>
      </c>
      <c r="DF1" t="str">
        <f>IF(Sheet2!FV1&lt;&gt;Sheet2!FU1,Sheet2!FV1,"")</f>
        <v/>
      </c>
      <c r="DG1" t="str">
        <f>IF(Sheet2!FW1&lt;&gt;Sheet2!FV1,Sheet2!FW1,"")</f>
        <v/>
      </c>
      <c r="DH1" t="str">
        <f>IF(Sheet2!FX1&lt;&gt;Sheet2!FW1,Sheet2!FX1,"")</f>
        <v/>
      </c>
      <c r="DI1" t="str">
        <f>IF(Sheet2!FY1&lt;&gt;Sheet2!FX1,Sheet2!FY1,"")</f>
        <v/>
      </c>
      <c r="DJ1" t="str">
        <f>IF(Sheet2!FZ1&lt;&gt;Sheet2!FY1,Sheet2!FZ1,"")</f>
        <v/>
      </c>
      <c r="DK1" t="str">
        <f>IF(Sheet2!GA1&lt;&gt;Sheet2!FZ1,Sheet2!GA1,"")</f>
        <v/>
      </c>
      <c r="DL1" t="str">
        <f>IF(Sheet2!GB1&lt;&gt;Sheet2!GA1,Sheet2!GB1,"")</f>
        <v/>
      </c>
      <c r="DM1" t="str">
        <f>IF(Sheet2!GC1&lt;&gt;Sheet2!GB1,Sheet2!GC1,"")</f>
        <v/>
      </c>
      <c r="DN1" t="str">
        <f>IF(Sheet2!GD1&lt;&gt;Sheet2!GC1,Sheet2!GD1,"")</f>
        <v/>
      </c>
      <c r="DO1" t="str">
        <f>IF(Sheet2!GE1&lt;&gt;Sheet2!GD1,Sheet2!GE1,"")</f>
        <v/>
      </c>
      <c r="DP1" t="str">
        <f>IF(Sheet2!GF1&lt;&gt;Sheet2!GE1,Sheet2!GF1,"")</f>
        <v/>
      </c>
      <c r="DQ1" t="str">
        <f>IF(Sheet2!GG1&lt;&gt;Sheet2!GF1,Sheet2!GG1,"")</f>
        <v/>
      </c>
      <c r="DR1" t="str">
        <f>IF(Sheet2!GH1&lt;&gt;Sheet2!GG1,Sheet2!GH1,"")</f>
        <v/>
      </c>
      <c r="DS1" t="str">
        <f>IF(Sheet2!GI1&lt;&gt;Sheet2!GH1,Sheet2!GI1,"")</f>
        <v/>
      </c>
      <c r="DT1" t="str">
        <f>IF(Sheet2!GJ1&lt;&gt;Sheet2!GI1,Sheet2!GJ1,"")</f>
        <v/>
      </c>
      <c r="DU1" t="str">
        <f>IF(Sheet2!GK1&lt;&gt;Sheet2!GJ1,Sheet2!GK1,"")</f>
        <v/>
      </c>
      <c r="DV1" t="str">
        <f>IF(Sheet2!GL1&lt;&gt;Sheet2!GK1,Sheet2!GL1,"")</f>
        <v/>
      </c>
      <c r="DW1" t="str">
        <f>IF(Sheet2!GM1&lt;&gt;Sheet2!GL1,Sheet2!GM1,"")</f>
        <v/>
      </c>
      <c r="DX1" t="str">
        <f>IF(Sheet2!GN1&lt;&gt;Sheet2!GM1,Sheet2!GN1,"")</f>
        <v/>
      </c>
      <c r="DY1" t="str">
        <f>IF(Sheet2!GO1&lt;&gt;Sheet2!GN1,Sheet2!GO1,"")</f>
        <v/>
      </c>
      <c r="DZ1" t="str">
        <f>IF(Sheet2!GP1&lt;&gt;Sheet2!GO1,Sheet2!GP1,"")</f>
        <v/>
      </c>
      <c r="EA1" t="str">
        <f>IF(Sheet2!GQ1&lt;&gt;Sheet2!GP1,Sheet2!GQ1,"")</f>
        <v/>
      </c>
      <c r="EB1" t="str">
        <f>IF(Sheet2!GR1&lt;&gt;Sheet2!GQ1,Sheet2!GR1,"")</f>
        <v/>
      </c>
      <c r="EC1" t="str">
        <f>IF(Sheet2!GS1&lt;&gt;Sheet2!GR1,Sheet2!GS1,"")</f>
        <v/>
      </c>
      <c r="ED1" t="str">
        <f>IF(Sheet2!GT1&lt;&gt;Sheet2!GS1,Sheet2!GT1,"")</f>
        <v/>
      </c>
      <c r="EE1" t="str">
        <f>IF(Sheet2!GU1&lt;&gt;Sheet2!GT1,Sheet2!GU1,"")</f>
        <v/>
      </c>
      <c r="EF1" t="str">
        <f>IF(Sheet2!GV1&lt;&gt;Sheet2!GU1,Sheet2!GV1,"")</f>
        <v/>
      </c>
      <c r="EG1" t="str">
        <f>IF(Sheet2!GW1&lt;&gt;Sheet2!GV1,Sheet2!GW1,"")</f>
        <v/>
      </c>
      <c r="EH1" t="str">
        <f>IF(Sheet2!GX1&lt;&gt;Sheet2!GW1,Sheet2!GX1,"")</f>
        <v/>
      </c>
      <c r="EI1" t="str">
        <f>IF(Sheet2!GY1&lt;&gt;Sheet2!GX1,Sheet2!GY1,"")</f>
        <v/>
      </c>
      <c r="EJ1" t="str">
        <f>IF(Sheet2!GZ1&lt;&gt;Sheet2!GY1,Sheet2!GZ1,"")</f>
        <v/>
      </c>
      <c r="EK1" t="str">
        <f>IF(Sheet2!HA1&lt;&gt;Sheet2!GZ1,Sheet2!HA1,"")</f>
        <v/>
      </c>
      <c r="EL1" t="str">
        <f>IF(Sheet2!HB1&lt;&gt;Sheet2!HA1,Sheet2!HB1,"")</f>
        <v/>
      </c>
      <c r="EM1" t="str">
        <f>IF(Sheet2!HC1&lt;&gt;Sheet2!HB1,Sheet2!HC1,"")</f>
        <v/>
      </c>
      <c r="EN1" t="str">
        <f>IF(Sheet2!HD1&lt;&gt;Sheet2!HC1,Sheet2!HD1,"")</f>
        <v/>
      </c>
      <c r="EO1" t="str">
        <f>IF(Sheet2!HE1&lt;&gt;Sheet2!HD1,Sheet2!HE1,"")</f>
        <v/>
      </c>
      <c r="EP1" t="str">
        <f>IF(Sheet2!HF1&lt;&gt;Sheet2!HE1,Sheet2!HF1,"")</f>
        <v/>
      </c>
      <c r="EQ1" t="str">
        <f>IF(Sheet2!HG1&lt;&gt;Sheet2!HF1,Sheet2!HG1,"")</f>
        <v/>
      </c>
      <c r="ER1" t="str">
        <f>IF(Sheet2!HH1&lt;&gt;Sheet2!HG1,Sheet2!HH1,"")</f>
        <v/>
      </c>
      <c r="ES1" t="str">
        <f>IF(Sheet2!HI1&lt;&gt;Sheet2!HH1,Sheet2!HI1,"")</f>
        <v/>
      </c>
      <c r="ET1" t="str">
        <f>IF(Sheet2!HJ1&lt;&gt;Sheet2!HI1,Sheet2!HJ1,"")</f>
        <v/>
      </c>
      <c r="EU1" t="str">
        <f>IF(Sheet2!HK1&lt;&gt;Sheet2!HJ1,Sheet2!HK1,"")</f>
        <v/>
      </c>
      <c r="EV1" t="str">
        <f>IF(Sheet2!HL1&lt;&gt;Sheet2!HK1,Sheet2!HL1,"")</f>
        <v/>
      </c>
      <c r="EW1" t="str">
        <f>IF(Sheet2!HM1&lt;&gt;Sheet2!HL1,Sheet2!HM1,"")</f>
        <v/>
      </c>
      <c r="EX1" t="str">
        <f>IF(Sheet2!HN1&lt;&gt;Sheet2!HM1,Sheet2!HN1,"")</f>
        <v/>
      </c>
      <c r="EY1" t="str">
        <f>IF(Sheet2!HO1&lt;&gt;Sheet2!HN1,Sheet2!HO1,"")</f>
        <v/>
      </c>
      <c r="EZ1" t="str">
        <f>IF(Sheet2!HP1&lt;&gt;Sheet2!HO1,Sheet2!HP1,"")</f>
        <v/>
      </c>
      <c r="FA1" t="str">
        <f>IF(Sheet2!HQ1&lt;&gt;Sheet2!HP1,Sheet2!HQ1,"")</f>
        <v/>
      </c>
      <c r="FB1" t="str">
        <f>IF(Sheet2!HR1&lt;&gt;Sheet2!HQ1,Sheet2!HR1,"")</f>
        <v/>
      </c>
      <c r="FC1" t="str">
        <f>IF(Sheet2!HS1&lt;&gt;Sheet2!HR1,Sheet2!HS1,"")</f>
        <v/>
      </c>
      <c r="FD1" t="str">
        <f>IF(Sheet2!HT1&lt;&gt;Sheet2!HS1,Sheet2!HT1,"")</f>
        <v/>
      </c>
      <c r="FE1" t="str">
        <f>IF(Sheet2!HU1&lt;&gt;Sheet2!HT1,Sheet2!HU1,"")</f>
        <v/>
      </c>
      <c r="FF1" t="str">
        <f>IF(Sheet2!HV1&lt;&gt;Sheet2!HU1,Sheet2!HV1,"")</f>
        <v/>
      </c>
      <c r="FG1" t="str">
        <f>IF(Sheet2!HW1&lt;&gt;Sheet2!HV1,Sheet2!HW1,"")</f>
        <v/>
      </c>
      <c r="FH1" t="str">
        <f>IF(Sheet2!HX1&lt;&gt;Sheet2!HW1,Sheet2!HX1,"")</f>
        <v/>
      </c>
      <c r="FI1" t="str">
        <f>IF(Sheet2!HY1&lt;&gt;Sheet2!HX1,Sheet2!HY1,"")</f>
        <v/>
      </c>
      <c r="FJ1" t="str">
        <f>IF(Sheet2!HZ1&lt;&gt;Sheet2!HY1,Sheet2!HZ1,"")</f>
        <v/>
      </c>
      <c r="FK1" t="str">
        <f>IF(Sheet2!IA1&lt;&gt;Sheet2!HZ1,Sheet2!IA1,"")</f>
        <v/>
      </c>
      <c r="FL1" t="str">
        <f>IF(Sheet2!IB1&lt;&gt;Sheet2!IA1,Sheet2!IB1,"")</f>
        <v/>
      </c>
      <c r="FM1" t="str">
        <f>IF(Sheet2!IC1&lt;&gt;Sheet2!IB1,Sheet2!IC1,"")</f>
        <v/>
      </c>
      <c r="FN1" t="str">
        <f>IF(Sheet2!ID1&lt;&gt;Sheet2!IC1,Sheet2!ID1,"")</f>
        <v/>
      </c>
      <c r="FO1" t="str">
        <f>IF(Sheet2!IE1&lt;&gt;Sheet2!ID1,Sheet2!IE1,"")</f>
        <v/>
      </c>
      <c r="FP1" t="str">
        <f>IF(Sheet2!IF1&lt;&gt;Sheet2!IE1,Sheet2!IF1,"")</f>
        <v/>
      </c>
      <c r="FQ1" t="str">
        <f>IF(Sheet2!IG1&lt;&gt;Sheet2!IF1,Sheet2!IG1,"")</f>
        <v/>
      </c>
      <c r="FR1" t="str">
        <f>IF(Sheet2!IH1&lt;&gt;Sheet2!IG1,Sheet2!IH1,"")</f>
        <v/>
      </c>
      <c r="FS1" t="str">
        <f>IF(Sheet2!II1&lt;&gt;Sheet2!IH1,Sheet2!II1,"")</f>
        <v/>
      </c>
      <c r="FT1" t="str">
        <f>IF(Sheet2!IJ1&lt;&gt;Sheet2!II1,Sheet2!IJ1,"")</f>
        <v/>
      </c>
      <c r="FU1" t="str">
        <f>IF(Sheet2!IK1&lt;&gt;Sheet2!IJ1,Sheet2!IK1,"")</f>
        <v/>
      </c>
      <c r="FV1" t="str">
        <f>IF(Sheet2!IL1&lt;&gt;Sheet2!IK1,Sheet2!IL1,"")</f>
        <v/>
      </c>
      <c r="FW1" t="str">
        <f>IF(Sheet2!IM1&lt;&gt;Sheet2!IL1,Sheet2!IM1,"")</f>
        <v/>
      </c>
      <c r="FX1" t="str">
        <f>IF(Sheet2!IN1&lt;&gt;Sheet2!IM1,Sheet2!IN1,"")</f>
        <v/>
      </c>
      <c r="FY1" t="str">
        <f>IF(Sheet2!IO1&lt;&gt;Sheet2!IN1,Sheet2!IO1,"")</f>
        <v/>
      </c>
      <c r="FZ1" t="str">
        <f>IF(Sheet2!IP1&lt;&gt;Sheet2!IO1,Sheet2!IP1,"")</f>
        <v/>
      </c>
      <c r="GA1" t="str">
        <f>IF(Sheet2!IQ1&lt;&gt;Sheet2!IP1,Sheet2!IQ1,"")</f>
        <v/>
      </c>
      <c r="GB1" t="str">
        <f>IF(Sheet2!IR1&lt;&gt;Sheet2!IQ1,Sheet2!IR1,"")</f>
        <v/>
      </c>
      <c r="GC1" t="str">
        <f>IF(Sheet2!IS1&lt;&gt;Sheet2!IR1,Sheet2!IS1,"")</f>
        <v/>
      </c>
      <c r="GD1" t="str">
        <f>IF(Sheet2!IT1&lt;&gt;Sheet2!IS1,Sheet2!IT1,"")</f>
        <v/>
      </c>
      <c r="GE1" t="str">
        <f>IF(Sheet2!IU1&lt;&gt;Sheet2!IT1,Sheet2!IU1,"")</f>
        <v/>
      </c>
      <c r="GF1" t="str">
        <f>IF(Sheet2!IV1&lt;&gt;Sheet2!IU1,Sheet2!IV1,"")</f>
        <v/>
      </c>
      <c r="GG1" t="str">
        <f>IF(Sheet2!IW1&lt;&gt;Sheet2!IV1,Sheet2!IW1,"")</f>
        <v/>
      </c>
      <c r="GH1" t="str">
        <f>IF(Sheet2!IX1&lt;&gt;Sheet2!IW1,Sheet2!IX1,"")</f>
        <v/>
      </c>
      <c r="GI1" t="str">
        <f>IF(Sheet2!IY1&lt;&gt;Sheet2!IX1,Sheet2!IY1,"")</f>
        <v/>
      </c>
      <c r="GJ1" t="str">
        <f>IF(Sheet2!IZ1&lt;&gt;Sheet2!IY1,Sheet2!IZ1,"")</f>
        <v/>
      </c>
      <c r="GK1" t="str">
        <f>IF(Sheet2!JA1&lt;&gt;Sheet2!IZ1,Sheet2!JA1,"")</f>
        <v/>
      </c>
      <c r="GL1" t="str">
        <f>IF(Sheet2!JB1&lt;&gt;Sheet2!JA1,Sheet2!JB1,"")</f>
        <v/>
      </c>
      <c r="GM1" t="str">
        <f>IF(Sheet2!JC1&lt;&gt;Sheet2!JB1,Sheet2!JC1,"")</f>
        <v/>
      </c>
      <c r="GN1" t="str">
        <f>IF(Sheet2!JD1&lt;&gt;Sheet2!JC1,Sheet2!JD1,"")</f>
        <v/>
      </c>
      <c r="GO1" t="str">
        <f>IF(Sheet2!JE1&lt;&gt;Sheet2!JD1,Sheet2!JE1,"")</f>
        <v/>
      </c>
      <c r="GP1" t="str">
        <f>IF(Sheet2!JF1&lt;&gt;Sheet2!JE1,Sheet2!JF1,"")</f>
        <v/>
      </c>
      <c r="GQ1" t="str">
        <f>IF(Sheet2!JG1&lt;&gt;Sheet2!JF1,Sheet2!JG1,"")</f>
        <v/>
      </c>
      <c r="GR1" t="str">
        <f>IF(Sheet2!JH1&lt;&gt;Sheet2!JG1,Sheet2!JH1,"")</f>
        <v/>
      </c>
      <c r="GS1" t="str">
        <f>IF(Sheet2!JI1&lt;&gt;Sheet2!JH1,Sheet2!JI1,"")</f>
        <v/>
      </c>
      <c r="GT1" t="str">
        <f>IF(Sheet2!JJ1&lt;&gt;Sheet2!JI1,Sheet2!JJ1,"")</f>
        <v/>
      </c>
      <c r="GU1" t="str">
        <f>IF(Sheet2!JK1&lt;&gt;Sheet2!JJ1,Sheet2!JK1,"")</f>
        <v/>
      </c>
      <c r="GV1" t="str">
        <f>IF(Sheet2!JL1&lt;&gt;Sheet2!JK1,Sheet2!JL1,"")</f>
        <v/>
      </c>
      <c r="GW1" t="str">
        <f>IF(Sheet2!JM1&lt;&gt;Sheet2!JL1,Sheet2!JM1,"")</f>
        <v/>
      </c>
      <c r="GX1" t="str">
        <f>IF(Sheet2!JN1&lt;&gt;Sheet2!JM1,Sheet2!JN1,"")</f>
        <v/>
      </c>
      <c r="GY1" t="str">
        <f>IF(Sheet2!JO1&lt;&gt;Sheet2!JN1,Sheet2!JO1,"")</f>
        <v/>
      </c>
      <c r="GZ1" t="str">
        <f>IF(Sheet2!JP1&lt;&gt;Sheet2!JO1,Sheet2!JP1,"")</f>
        <v/>
      </c>
      <c r="HA1" t="str">
        <f>IF(Sheet2!JQ1&lt;&gt;Sheet2!JP1,Sheet2!JQ1,"")</f>
        <v/>
      </c>
      <c r="HB1" t="str">
        <f>IF(Sheet2!JR1&lt;&gt;Sheet2!JQ1,Sheet2!JR1,"")</f>
        <v/>
      </c>
      <c r="HC1" t="str">
        <f>IF(Sheet2!JS1&lt;&gt;Sheet2!JR1,Sheet2!JS1,"")</f>
        <v/>
      </c>
      <c r="HD1" t="str">
        <f>IF(Sheet2!JT1&lt;&gt;Sheet2!JS1,Sheet2!JT1,"")</f>
        <v/>
      </c>
      <c r="HE1" t="str">
        <f>IF(Sheet2!JU1&lt;&gt;Sheet2!JT1,Sheet2!JU1,"")</f>
        <v/>
      </c>
      <c r="HF1" t="str">
        <f>IF(Sheet2!JV1&lt;&gt;Sheet2!JU1,Sheet2!JV1,"")</f>
        <v/>
      </c>
      <c r="HG1" t="str">
        <f>IF(Sheet2!JW1&lt;&gt;Sheet2!JV1,Sheet2!JW1,"")</f>
        <v/>
      </c>
      <c r="HH1" t="str">
        <f>IF(Sheet2!JX1&lt;&gt;Sheet2!JW1,Sheet2!JX1,"")</f>
        <v/>
      </c>
      <c r="HI1" t="str">
        <f>IF(Sheet2!JY1&lt;&gt;Sheet2!JX1,Sheet2!JY1,"")</f>
        <v/>
      </c>
      <c r="HJ1" t="str">
        <f>IF(Sheet2!JZ1&lt;&gt;Sheet2!JY1,Sheet2!JZ1,"")</f>
        <v/>
      </c>
      <c r="HK1" t="str">
        <f>IF(Sheet2!KA1&lt;&gt;Sheet2!JZ1,Sheet2!KA1,"")</f>
        <v/>
      </c>
      <c r="HL1" t="str">
        <f>IF(Sheet2!KB1&lt;&gt;Sheet2!KA1,Sheet2!KB1,"")</f>
        <v/>
      </c>
      <c r="HM1" t="str">
        <f>IF(Sheet2!KC1&lt;&gt;Sheet2!KB1,Sheet2!KC1,"")</f>
        <v/>
      </c>
      <c r="HN1" t="str">
        <f>IF(Sheet2!KD1&lt;&gt;Sheet2!KC1,Sheet2!KD1,"")</f>
        <v/>
      </c>
      <c r="HO1" t="str">
        <f>IF(Sheet2!KE1&lt;&gt;Sheet2!KD1,Sheet2!KE1,"")</f>
        <v/>
      </c>
      <c r="HP1" t="str">
        <f>IF(Sheet2!KF1&lt;&gt;Sheet2!KE1,Sheet2!KF1,"")</f>
        <v/>
      </c>
      <c r="HQ1" t="str">
        <f>IF(Sheet2!KG1&lt;&gt;Sheet2!KF1,Sheet2!KG1,"")</f>
        <v/>
      </c>
      <c r="HR1" t="str">
        <f>IF(Sheet2!KH1&lt;&gt;Sheet2!KG1,Sheet2!KH1,"")</f>
        <v/>
      </c>
      <c r="HS1" t="str">
        <f>IF(Sheet2!KI1&lt;&gt;Sheet2!KH1,Sheet2!KI1,"")</f>
        <v/>
      </c>
      <c r="HT1" t="str">
        <f>IF(Sheet2!KJ1&lt;&gt;Sheet2!KI1,Sheet2!KJ1,"")</f>
        <v/>
      </c>
      <c r="HU1" t="str">
        <f>IF(Sheet2!KK1&lt;&gt;Sheet2!KJ1,Sheet2!KK1,"")</f>
        <v/>
      </c>
      <c r="HV1" t="str">
        <f>IF(Sheet2!KL1&lt;&gt;Sheet2!KK1,Sheet2!KL1,"")</f>
        <v/>
      </c>
      <c r="HW1" t="str">
        <f>IF(Sheet2!KM1&lt;&gt;Sheet2!KL1,Sheet2!KM1,"")</f>
        <v/>
      </c>
      <c r="HX1" t="str">
        <f>IF(Sheet2!KN1&lt;&gt;Sheet2!KM1,Sheet2!KN1,"")</f>
        <v/>
      </c>
      <c r="HY1" t="str">
        <f>IF(Sheet2!KO1&lt;&gt;Sheet2!KN1,Sheet2!KO1,"")</f>
        <v/>
      </c>
      <c r="HZ1" t="str">
        <f>IF(Sheet2!KP1&lt;&gt;Sheet2!KO1,Sheet2!KP1,"")</f>
        <v/>
      </c>
      <c r="IA1" t="str">
        <f>IF(Sheet2!KQ1&lt;&gt;Sheet2!KP1,Sheet2!KQ1,"")</f>
        <v/>
      </c>
      <c r="IB1" t="str">
        <f>IF(Sheet2!KR1&lt;&gt;Sheet2!KQ1,Sheet2!KR1,"")</f>
        <v/>
      </c>
      <c r="IC1" t="str">
        <f>IF(Sheet2!KS1&lt;&gt;Sheet2!KR1,Sheet2!KS1,"")</f>
        <v/>
      </c>
      <c r="ID1" t="str">
        <f>IF(Sheet2!KT1&lt;&gt;Sheet2!KS1,Sheet2!KT1,"")</f>
        <v/>
      </c>
      <c r="IE1" t="str">
        <f>IF(Sheet2!KU1&lt;&gt;Sheet2!KT1,Sheet2!KU1,"")</f>
        <v/>
      </c>
      <c r="IF1" t="str">
        <f>IF(Sheet2!KV1&lt;&gt;Sheet2!KU1,Sheet2!KV1,"")</f>
        <v/>
      </c>
      <c r="IG1" t="str">
        <f>IF(Sheet2!KW1&lt;&gt;Sheet2!KV1,Sheet2!KW1,"")</f>
        <v/>
      </c>
      <c r="IH1" t="str">
        <f>IF(Sheet2!KX1&lt;&gt;Sheet2!KW1,Sheet2!KX1,"")</f>
        <v/>
      </c>
      <c r="II1" t="str">
        <f>IF(Sheet2!KY1&lt;&gt;Sheet2!KX1,Sheet2!KY1,"")</f>
        <v/>
      </c>
      <c r="IJ1" t="str">
        <f>IF(Sheet2!KZ1&lt;&gt;Sheet2!KY1,Sheet2!KZ1,"")</f>
        <v/>
      </c>
      <c r="IK1" t="str">
        <f>IF(Sheet2!LA1&lt;&gt;Sheet2!KZ1,Sheet2!LA1,"")</f>
        <v/>
      </c>
      <c r="IL1" t="str">
        <f>IF(Sheet2!LB1&lt;&gt;Sheet2!LA1,Sheet2!LB1,"")</f>
        <v/>
      </c>
      <c r="IM1" t="str">
        <f>IF(Sheet2!LC1&lt;&gt;Sheet2!LB1,Sheet2!LC1,"")</f>
        <v/>
      </c>
      <c r="IN1" t="str">
        <f>IF(Sheet2!LD1&lt;&gt;Sheet2!LC1,Sheet2!LD1,"")</f>
        <v/>
      </c>
      <c r="IO1" t="str">
        <f>IF(Sheet2!LE1&lt;&gt;Sheet2!LD1,Sheet2!LE1,"")</f>
        <v/>
      </c>
      <c r="IP1" t="str">
        <f>IF(Sheet2!LF1&lt;&gt;Sheet2!LE1,Sheet2!LF1,"")</f>
        <v/>
      </c>
      <c r="IQ1" t="str">
        <f>IF(Sheet2!LG1&lt;&gt;Sheet2!LF1,Sheet2!LG1,"")</f>
        <v/>
      </c>
      <c r="IR1" t="str">
        <f>IF(Sheet2!LH1&lt;&gt;Sheet2!LG1,Sheet2!LH1,"")</f>
        <v/>
      </c>
      <c r="IS1" t="str">
        <f>IF(Sheet2!LI1&lt;&gt;Sheet2!LH1,Sheet2!LI1,"")</f>
        <v/>
      </c>
      <c r="IT1" t="str">
        <f>IF(Sheet2!LJ1&lt;&gt;Sheet2!LI1,Sheet2!LJ1,"")</f>
        <v/>
      </c>
      <c r="IU1" t="str">
        <f>IF(Sheet2!LK1&lt;&gt;Sheet2!LJ1,Sheet2!LK1,"")</f>
        <v/>
      </c>
      <c r="IV1" t="str">
        <f>IF(Sheet2!LL1&lt;&gt;Sheet2!LK1,Sheet2!LL1,"")</f>
        <v/>
      </c>
      <c r="IW1" t="str">
        <f>IF(Sheet2!LM1&lt;&gt;Sheet2!LL1,Sheet2!LM1,"")</f>
        <v/>
      </c>
      <c r="IX1" t="str">
        <f>IF(Sheet2!LN1&lt;&gt;Sheet2!LM1,Sheet2!LN1,"")</f>
        <v/>
      </c>
      <c r="IY1" t="str">
        <f>IF(Sheet2!LO1&lt;&gt;Sheet2!LN1,Sheet2!LO1,"")</f>
        <v/>
      </c>
      <c r="IZ1" t="str">
        <f>IF(Sheet2!LP1&lt;&gt;Sheet2!LO1,Sheet2!LP1,"")</f>
        <v/>
      </c>
      <c r="JA1" t="str">
        <f>IF(Sheet2!LQ1&lt;&gt;Sheet2!LP1,Sheet2!LQ1,"")</f>
        <v/>
      </c>
      <c r="JB1" t="str">
        <f>IF(Sheet2!LR1&lt;&gt;Sheet2!LQ1,Sheet2!LR1,"")</f>
        <v/>
      </c>
      <c r="JC1" t="str">
        <f>IF(Sheet2!LS1&lt;&gt;Sheet2!LR1,Sheet2!LS1,"")</f>
        <v/>
      </c>
      <c r="JD1" t="str">
        <f>IF(Sheet2!LT1&lt;&gt;Sheet2!LS1,Sheet2!LT1,"")</f>
        <v/>
      </c>
      <c r="JE1" t="str">
        <f>IF(Sheet2!LU1&lt;&gt;Sheet2!LT1,Sheet2!LU1,"")</f>
        <v/>
      </c>
      <c r="JF1" t="str">
        <f>IF(Sheet2!LV1&lt;&gt;Sheet2!LU1,Sheet2!LV1,"")</f>
        <v/>
      </c>
      <c r="JG1" t="str">
        <f>IF(Sheet2!LW1&lt;&gt;Sheet2!LV1,Sheet2!LW1,"")</f>
        <v/>
      </c>
      <c r="JH1" t="str">
        <f>IF(Sheet2!LX1&lt;&gt;Sheet2!LW1,Sheet2!LX1,"")</f>
        <v/>
      </c>
      <c r="JI1" t="str">
        <f>IF(Sheet2!LY1&lt;&gt;Sheet2!LX1,Sheet2!LY1,"")</f>
        <v/>
      </c>
      <c r="JJ1" t="str">
        <f>IF(Sheet2!LZ1&lt;&gt;Sheet2!LY1,Sheet2!LZ1,"")</f>
        <v/>
      </c>
      <c r="JK1" t="str">
        <f>IF(Sheet2!MA1&lt;&gt;Sheet2!LZ1,Sheet2!MA1,"")</f>
        <v/>
      </c>
      <c r="JL1" t="str">
        <f>IF(Sheet2!MB1&lt;&gt;Sheet2!MA1,Sheet2!MB1,"")</f>
        <v/>
      </c>
      <c r="JM1" t="str">
        <f>IF(Sheet2!MC1&lt;&gt;Sheet2!MB1,Sheet2!MC1,"")</f>
        <v/>
      </c>
      <c r="JN1" t="str">
        <f>IF(Sheet2!MD1&lt;&gt;Sheet2!MC1,Sheet2!MD1,"")</f>
        <v/>
      </c>
      <c r="JO1" t="str">
        <f>IF(Sheet2!ME1&lt;&gt;Sheet2!MD1,Sheet2!ME1,"")</f>
        <v/>
      </c>
      <c r="JP1" t="str">
        <f>IF(Sheet2!MF1&lt;&gt;Sheet2!ME1,Sheet2!MF1,"")</f>
        <v/>
      </c>
      <c r="JQ1" t="str">
        <f>IF(Sheet2!MG1&lt;&gt;Sheet2!MF1,Sheet2!MG1,"")</f>
        <v/>
      </c>
      <c r="JR1" t="str">
        <f>IF(Sheet2!MH1&lt;&gt;Sheet2!MG1,Sheet2!MH1,"")</f>
        <v/>
      </c>
      <c r="JS1" t="str">
        <f>IF(Sheet2!MI1&lt;&gt;Sheet2!MH1,Sheet2!MI1,"")</f>
        <v/>
      </c>
      <c r="JT1" t="str">
        <f>IF(Sheet2!MJ1&lt;&gt;Sheet2!MI1,Sheet2!MJ1,"")</f>
        <v/>
      </c>
      <c r="JU1" t="str">
        <f>IF(Sheet2!MK1&lt;&gt;Sheet2!MJ1,Sheet2!MK1,"")</f>
        <v/>
      </c>
      <c r="JV1" t="str">
        <f>IF(Sheet2!ML1&lt;&gt;Sheet2!MK1,Sheet2!ML1,"")</f>
        <v/>
      </c>
      <c r="JW1" t="str">
        <f>IF(Sheet2!MM1&lt;&gt;Sheet2!ML1,Sheet2!MM1,"")</f>
        <v/>
      </c>
      <c r="JX1" t="str">
        <f>IF(Sheet2!MN1&lt;&gt;Sheet2!MM1,Sheet2!MN1,"")</f>
        <v/>
      </c>
      <c r="JY1" t="str">
        <f>IF(Sheet2!MO1&lt;&gt;Sheet2!MN1,Sheet2!MO1,"")</f>
        <v/>
      </c>
      <c r="JZ1" t="str">
        <f>IF(Sheet2!MP1&lt;&gt;Sheet2!MO1,Sheet2!MP1,"")</f>
        <v/>
      </c>
      <c r="KA1" t="str">
        <f>IF(Sheet2!MQ1&lt;&gt;Sheet2!MP1,Sheet2!MQ1,"")</f>
        <v/>
      </c>
      <c r="KB1" t="str">
        <f>IF(Sheet2!MR1&lt;&gt;Sheet2!MQ1,Sheet2!MR1,"")</f>
        <v/>
      </c>
      <c r="KC1" t="str">
        <f>IF(Sheet2!MS1&lt;&gt;Sheet2!MR1,Sheet2!MS1,"")</f>
        <v/>
      </c>
      <c r="KD1" t="str">
        <f>IF(Sheet2!MT1&lt;&gt;Sheet2!MS1,Sheet2!MT1,"")</f>
        <v/>
      </c>
      <c r="KE1" t="str">
        <f>IF(Sheet2!MU1&lt;&gt;Sheet2!MT1,Sheet2!MU1,"")</f>
        <v/>
      </c>
      <c r="KF1" t="str">
        <f>IF(Sheet2!MV1&lt;&gt;Sheet2!MU1,Sheet2!MV1,"")</f>
        <v/>
      </c>
      <c r="KG1" t="str">
        <f>IF(Sheet2!MW1&lt;&gt;Sheet2!MV1,Sheet2!MW1,"")</f>
        <v/>
      </c>
      <c r="KH1" t="str">
        <f>IF(Sheet2!MX1&lt;&gt;Sheet2!MW1,Sheet2!MX1,"")</f>
        <v/>
      </c>
      <c r="KI1" t="str">
        <f>IF(Sheet2!MY1&lt;&gt;Sheet2!MX1,Sheet2!MY1,"")</f>
        <v/>
      </c>
      <c r="KJ1" t="str">
        <f>IF(Sheet2!MZ1&lt;&gt;Sheet2!MY1,Sheet2!MZ1,"")</f>
        <v/>
      </c>
      <c r="KK1" t="str">
        <f>IF(Sheet2!NA1&lt;&gt;Sheet2!MZ1,Sheet2!NA1,"")</f>
        <v/>
      </c>
      <c r="KL1" t="str">
        <f>IF(Sheet2!NB1&lt;&gt;Sheet2!NA1,Sheet2!NB1,"")</f>
        <v/>
      </c>
      <c r="KM1" t="str">
        <f>IF(Sheet2!NC1&lt;&gt;Sheet2!NB1,Sheet2!NC1,"")</f>
        <v/>
      </c>
      <c r="KN1" t="str">
        <f>IF(Sheet2!ND1&lt;&gt;Sheet2!NC1,Sheet2!ND1,"")</f>
        <v/>
      </c>
      <c r="KO1" t="str">
        <f>IF(Sheet2!NE1&lt;&gt;Sheet2!ND1,Sheet2!NE1,"")</f>
        <v/>
      </c>
      <c r="KP1" t="str">
        <f>IF(Sheet2!NF1&lt;&gt;Sheet2!NE1,Sheet2!NF1,"")</f>
        <v/>
      </c>
      <c r="KQ1" t="str">
        <f>IF(Sheet2!NG1&lt;&gt;Sheet2!NF1,Sheet2!NG1,"")</f>
        <v/>
      </c>
      <c r="KR1" t="str">
        <f>IF(Sheet2!NH1&lt;&gt;Sheet2!NG1,Sheet2!NH1,"")</f>
        <v/>
      </c>
      <c r="KS1" t="str">
        <f>IF(Sheet2!NI1&lt;&gt;Sheet2!NH1,Sheet2!NI1,"")</f>
        <v/>
      </c>
      <c r="KT1" t="str">
        <f>IF(Sheet2!NJ1&lt;&gt;Sheet2!NI1,Sheet2!NJ1,"")</f>
        <v/>
      </c>
      <c r="KU1" t="str">
        <f>IF(Sheet2!NK1&lt;&gt;Sheet2!NJ1,Sheet2!NK1,"")</f>
        <v/>
      </c>
      <c r="KV1" t="str">
        <f>IF(Sheet2!NL1&lt;&gt;Sheet2!NK1,Sheet2!NL1,"")</f>
        <v/>
      </c>
      <c r="KW1" t="str">
        <f>IF(Sheet2!NM1&lt;&gt;Sheet2!NL1,Sheet2!NM1,"")</f>
        <v/>
      </c>
      <c r="KX1" t="str">
        <f>IF(Sheet2!NN1&lt;&gt;Sheet2!NM1,Sheet2!NN1,"")</f>
        <v/>
      </c>
      <c r="KY1" t="str">
        <f>IF(Sheet2!NO1&lt;&gt;Sheet2!NN1,Sheet2!NO1,"")</f>
        <v/>
      </c>
      <c r="KZ1" t="str">
        <f>IF(Sheet2!NP1&lt;&gt;Sheet2!NO1,Sheet2!NP1,"")</f>
        <v/>
      </c>
      <c r="LA1" t="str">
        <f>IF(Sheet2!NQ1&lt;&gt;Sheet2!NP1,Sheet2!NQ1,"")</f>
        <v/>
      </c>
      <c r="LB1" t="str">
        <f>IF(Sheet2!NR1&lt;&gt;Sheet2!NQ1,Sheet2!NR1,"")</f>
        <v/>
      </c>
      <c r="LC1" t="str">
        <f>IF(Sheet2!NS1&lt;&gt;Sheet2!NR1,Sheet2!NS1,"")</f>
        <v/>
      </c>
      <c r="LD1" t="str">
        <f>IF(Sheet2!NT1&lt;&gt;Sheet2!NS1,Sheet2!NT1,"")</f>
        <v/>
      </c>
      <c r="LE1" t="str">
        <f>IF(Sheet2!NU1&lt;&gt;Sheet2!NT1,Sheet2!NU1,"")</f>
        <v/>
      </c>
      <c r="LF1" t="str">
        <f>IF(Sheet2!NV1&lt;&gt;Sheet2!NU1,Sheet2!NV1,"")</f>
        <v/>
      </c>
      <c r="LG1" t="str">
        <f>IF(Sheet2!NW1&lt;&gt;Sheet2!NV1,Sheet2!NW1,"")</f>
        <v/>
      </c>
      <c r="LH1" t="str">
        <f>IF(Sheet2!NX1&lt;&gt;Sheet2!NW1,Sheet2!NX1,"")</f>
        <v/>
      </c>
      <c r="LI1" t="str">
        <f>IF(Sheet2!NY1&lt;&gt;Sheet2!NX1,Sheet2!NY1,"")</f>
        <v/>
      </c>
      <c r="LJ1" t="str">
        <f>IF(Sheet2!NZ1&lt;&gt;Sheet2!NY1,Sheet2!NZ1,"")</f>
        <v/>
      </c>
      <c r="LK1" t="str">
        <f>IF(Sheet2!OA1&lt;&gt;Sheet2!NZ1,Sheet2!OA1,"")</f>
        <v/>
      </c>
      <c r="LL1" t="str">
        <f>IF(Sheet2!OB1&lt;&gt;Sheet2!OA1,Sheet2!OB1,"")</f>
        <v/>
      </c>
      <c r="LM1" t="str">
        <f>IF(Sheet2!OC1&lt;&gt;Sheet2!OB1,Sheet2!OC1,"")</f>
        <v/>
      </c>
      <c r="LN1" t="str">
        <f>IF(Sheet2!OD1&lt;&gt;Sheet2!OC1,Sheet2!OD1,"")</f>
        <v/>
      </c>
      <c r="LO1" t="str">
        <f>IF(Sheet2!OE1&lt;&gt;Sheet2!OD1,Sheet2!OE1,"")</f>
        <v/>
      </c>
      <c r="LP1" t="str">
        <f>IF(Sheet2!OF1&lt;&gt;Sheet2!OE1,Sheet2!OF1,"")</f>
        <v/>
      </c>
      <c r="LQ1" t="str">
        <f>IF(Sheet2!OG1&lt;&gt;Sheet2!OF1,Sheet2!OG1,"")</f>
        <v/>
      </c>
      <c r="LR1" t="str">
        <f>IF(Sheet2!OH1&lt;&gt;Sheet2!OG1,Sheet2!OH1,"")</f>
        <v/>
      </c>
      <c r="LS1" t="str">
        <f>IF(Sheet2!OI1&lt;&gt;Sheet2!OH1,Sheet2!OI1,"")</f>
        <v/>
      </c>
      <c r="LT1" t="str">
        <f>IF(Sheet2!OJ1&lt;&gt;Sheet2!OI1,Sheet2!OJ1,"")</f>
        <v/>
      </c>
      <c r="LU1" t="str">
        <f>IF(Sheet2!OK1&lt;&gt;Sheet2!OJ1,Sheet2!OK1,"")</f>
        <v/>
      </c>
      <c r="LV1" t="str">
        <f>IF(Sheet2!OL1&lt;&gt;Sheet2!OK1,Sheet2!OL1,"")</f>
        <v/>
      </c>
      <c r="LW1" t="str">
        <f>IF(Sheet2!OM1&lt;&gt;Sheet2!OL1,Sheet2!OM1,"")</f>
        <v/>
      </c>
      <c r="LX1" t="str">
        <f>IF(Sheet2!ON1&lt;&gt;Sheet2!OM1,Sheet2!ON1,"")</f>
        <v/>
      </c>
      <c r="LY1" t="str">
        <f>IF(Sheet2!OO1&lt;&gt;Sheet2!ON1,Sheet2!OO1,"")</f>
        <v/>
      </c>
      <c r="LZ1" t="str">
        <f>IF(Sheet2!OP1&lt;&gt;Sheet2!OO1,Sheet2!OP1,"")</f>
        <v/>
      </c>
      <c r="MA1" t="str">
        <f>IF(Sheet2!OQ1&lt;&gt;Sheet2!OP1,Sheet2!OQ1,"")</f>
        <v/>
      </c>
      <c r="MB1" t="str">
        <f>IF(Sheet2!OR1&lt;&gt;Sheet2!OQ1,Sheet2!OR1,"")</f>
        <v/>
      </c>
      <c r="MC1" t="str">
        <f>IF(Sheet2!OS1&lt;&gt;Sheet2!OR1,Sheet2!OS1,"")</f>
        <v/>
      </c>
      <c r="MD1" t="str">
        <f>IF(Sheet2!OT1&lt;&gt;Sheet2!OS1,Sheet2!OT1,"")</f>
        <v/>
      </c>
      <c r="ME1" t="str">
        <f>IF(Sheet2!OU1&lt;&gt;Sheet2!OT1,Sheet2!OU1,"")</f>
        <v/>
      </c>
      <c r="MF1" t="str">
        <f>IF(Sheet2!OV1&lt;&gt;Sheet2!OU1,Sheet2!OV1,"")</f>
        <v/>
      </c>
      <c r="MG1" t="str">
        <f>IF(Sheet2!OW1&lt;&gt;Sheet2!OV1,Sheet2!OW1,"")</f>
        <v/>
      </c>
      <c r="MH1" t="str">
        <f>IF(Sheet2!OX1&lt;&gt;Sheet2!OW1,Sheet2!OX1,"")</f>
        <v/>
      </c>
      <c r="MI1" t="str">
        <f>IF(Sheet2!OY1&lt;&gt;Sheet2!OX1,Sheet2!OY1,"")</f>
        <v/>
      </c>
      <c r="MJ1" t="str">
        <f>IF(Sheet2!OZ1&lt;&gt;Sheet2!OY1,Sheet2!OZ1,"")</f>
        <v/>
      </c>
      <c r="MK1" t="str">
        <f>IF(Sheet2!PA1&lt;&gt;Sheet2!OZ1,Sheet2!PA1,"")</f>
        <v/>
      </c>
      <c r="ML1" t="str">
        <f>IF(Sheet2!PB1&lt;&gt;Sheet2!PA1,Sheet2!PB1,"")</f>
        <v/>
      </c>
      <c r="MM1" t="str">
        <f>IF(Sheet2!PC1&lt;&gt;Sheet2!PB1,Sheet2!PC1,"")</f>
        <v/>
      </c>
      <c r="MN1" t="str">
        <f>IF(Sheet2!PD1&lt;&gt;Sheet2!PC1,Sheet2!PD1,"")</f>
        <v/>
      </c>
      <c r="MO1" t="str">
        <f>IF(Sheet2!PE1&lt;&gt;Sheet2!PD1,Sheet2!PE1,"")</f>
        <v/>
      </c>
      <c r="MP1" t="str">
        <f>IF(Sheet2!PF1&lt;&gt;Sheet2!PE1,Sheet2!PF1,"")</f>
        <v/>
      </c>
      <c r="MQ1" t="str">
        <f>IF(Sheet2!PG1&lt;&gt;Sheet2!PF1,Sheet2!PG1,"")</f>
        <v/>
      </c>
      <c r="MR1" t="str">
        <f>IF(Sheet2!PH1&lt;&gt;Sheet2!PG1,Sheet2!PH1,"")</f>
        <v/>
      </c>
      <c r="MS1" t="str">
        <f>IF(Sheet2!PI1&lt;&gt;Sheet2!PH1,Sheet2!PI1,"")</f>
        <v/>
      </c>
      <c r="MT1" t="str">
        <f>IF(Sheet2!PJ1&lt;&gt;Sheet2!PI1,Sheet2!PJ1,"")</f>
        <v/>
      </c>
      <c r="MU1" t="str">
        <f>IF(Sheet2!PK1&lt;&gt;Sheet2!PJ1,Sheet2!PK1,"")</f>
        <v/>
      </c>
      <c r="MV1" t="str">
        <f>IF(Sheet2!PL1&lt;&gt;Sheet2!PK1,Sheet2!PL1,"")</f>
        <v/>
      </c>
      <c r="MW1" t="str">
        <f>IF(Sheet2!PM1&lt;&gt;Sheet2!PL1,Sheet2!PM1,"")</f>
        <v/>
      </c>
      <c r="MX1" t="str">
        <f>IF(Sheet2!PN1&lt;&gt;Sheet2!PM1,Sheet2!PN1,"")</f>
        <v/>
      </c>
    </row>
    <row r="2" spans="1:362" hidden="1" x14ac:dyDescent="0.25">
      <c r="C2" s="69">
        <f>COUNT(1:1)</f>
        <v>40</v>
      </c>
      <c r="D2" s="69"/>
      <c r="E2" s="69"/>
      <c r="I2">
        <v>1</v>
      </c>
      <c r="J2">
        <v>2</v>
      </c>
      <c r="K2">
        <v>3</v>
      </c>
      <c r="L2">
        <v>4</v>
      </c>
      <c r="M2">
        <v>5</v>
      </c>
    </row>
    <row r="3" spans="1:362" x14ac:dyDescent="0.25">
      <c r="A3" t="s">
        <v>282</v>
      </c>
      <c r="B3" t="s">
        <v>281</v>
      </c>
      <c r="C3" s="69">
        <f>C2/5</f>
        <v>8</v>
      </c>
      <c r="D3" s="69"/>
      <c r="E3" s="69"/>
      <c r="F3" s="85" t="s">
        <v>0</v>
      </c>
      <c r="G3" s="86" t="s">
        <v>284</v>
      </c>
      <c r="H3" s="21" t="s">
        <v>283</v>
      </c>
      <c r="I3" s="13" t="s">
        <v>45</v>
      </c>
      <c r="J3" s="13" t="s">
        <v>46</v>
      </c>
      <c r="K3" s="13" t="s">
        <v>47</v>
      </c>
      <c r="L3" s="13" t="s">
        <v>48</v>
      </c>
      <c r="M3" s="13" t="s">
        <v>49</v>
      </c>
    </row>
    <row r="4" spans="1:362" x14ac:dyDescent="0.25">
      <c r="A4" s="68">
        <v>0</v>
      </c>
      <c r="B4" s="68">
        <v>5</v>
      </c>
      <c r="C4" s="68">
        <v>1</v>
      </c>
      <c r="D4" s="68">
        <v>1</v>
      </c>
      <c r="E4" s="68">
        <v>1</v>
      </c>
      <c r="F4" s="84" t="str">
        <f>VLOOKUP(D4,Sheet2!A:B,2)</f>
        <v>J19-1228</v>
      </c>
      <c r="G4" s="68" t="str">
        <f>VLOOKUP(F4,Sheet2!B:C,2,0)</f>
        <v>KPN</v>
      </c>
      <c r="H4" s="68" t="str">
        <f>HLOOKUP(I$2+$A4,Sheet2!BX:NB,2,0)</f>
        <v>1-15 Jan 21</v>
      </c>
      <c r="I4" t="str">
        <f>IF(OR(HLOOKUP(I$2+$A4,Sheet2!BX:NB,$B4,0),HLOOKUP(I$2+$A4,Sheet2!BX:NB,$B4,0)&lt;&gt;""),HLOOKUP(I$2+$A4,Sheet2!BX:NB,$B4,0),"")</f>
        <v/>
      </c>
      <c r="J4" t="str">
        <f>IF(OR(HLOOKUP(J$2+$A4,Sheet2!BY:NC,$B4,0),HLOOKUP(J$2+$A4,Sheet2!BY:NC,$B4,0)&lt;&gt;""),HLOOKUP(J$2+$A4,Sheet2!BY:NC,$B4,0),"")</f>
        <v/>
      </c>
      <c r="K4" t="str">
        <f>IF(OR(HLOOKUP(K$2+$A4,Sheet2!BZ:ND,$B4,0),HLOOKUP(K$2+$A4,Sheet2!BZ:ND,$B4,0)&lt;&gt;""),HLOOKUP(K$2+$A4,Sheet2!BZ:ND,$B4,0),"")</f>
        <v/>
      </c>
      <c r="L4">
        <f>IF(OR(HLOOKUP(L$2+$A4,Sheet2!CA:NE,$B4,0),HLOOKUP(L$2+$A4,Sheet2!CA:NE,$B4,0)&lt;&gt;""),HLOOKUP(L$2+$A4,Sheet2!CA:NE,$B4,0),"")</f>
        <v>20900</v>
      </c>
      <c r="M4" t="str">
        <f>IF(OR(HLOOKUP(M$2+$A4,Sheet2!CB:NF,$B4,0),HLOOKUP(M$2+$A4,Sheet2!CB:NF,$B4,0)&lt;&gt;""),HLOOKUP(M$2+$A4,Sheet2!CB:NF,$B4,0),"")</f>
        <v/>
      </c>
    </row>
    <row r="5" spans="1:362" x14ac:dyDescent="0.25">
      <c r="A5" s="68">
        <f>IF(C5&lt;&gt;1,A4+5,0)</f>
        <v>5</v>
      </c>
      <c r="B5" s="68">
        <f>IF(C5&lt;&gt;1,B4,B4+1)</f>
        <v>5</v>
      </c>
      <c r="C5" s="68">
        <f>IF($C$3-C4=0,1,C4+1)</f>
        <v>2</v>
      </c>
      <c r="D5" s="68">
        <f>IF(C5=1,D4+1,D4)</f>
        <v>1</v>
      </c>
      <c r="E5" s="68">
        <f>IF(D5&lt;&gt;D4,E4+5,E4)</f>
        <v>1</v>
      </c>
      <c r="F5" s="21" t="str">
        <f>VLOOKUP(D5,Sheet2!A:B,2)</f>
        <v>J19-1228</v>
      </c>
      <c r="G5" s="68" t="str">
        <f>VLOOKUP(F5,Sheet2!B:C,2,0)</f>
        <v>KPN</v>
      </c>
      <c r="H5" s="68" t="str">
        <f>HLOOKUP(I$2+$A5,Sheet2!BX:NB,2,0)</f>
        <v>16-31 Jan 21</v>
      </c>
      <c r="I5">
        <f>IF(OR(HLOOKUP(I$2+$A5,Sheet2!BX:NB,$B5,0),HLOOKUP(I$2+$A5,Sheet2!BX:NB,$B5,0)&lt;&gt;""),HLOOKUP(I$2+$A5,Sheet2!BX:NB,$B5,0),"")</f>
        <v>9999</v>
      </c>
      <c r="J5" t="str">
        <f>IF(OR(HLOOKUP(J$2+$A5,Sheet2!BY:NC,$B5,0),HLOOKUP(J$2+$A5,Sheet2!BY:NC,$B5,0)&lt;&gt;""),HLOOKUP(J$2+$A5,Sheet2!BY:NC,$B5,0),"")</f>
        <v/>
      </c>
      <c r="K5" t="str">
        <f>IF(OR(HLOOKUP(K$2+$A5,Sheet2!BZ:ND,$B5,0),HLOOKUP(K$2+$A5,Sheet2!BZ:ND,$B5,0)&lt;&gt;""),HLOOKUP(K$2+$A5,Sheet2!BZ:ND,$B5,0),"")</f>
        <v/>
      </c>
      <c r="L5" t="str">
        <f>IF(OR(HLOOKUP(L$2+$A5,Sheet2!CA:NE,$B5,0),HLOOKUP(L$2+$A5,Sheet2!CA:NE,$B5,0)&lt;&gt;""),HLOOKUP(L$2+$A5,Sheet2!CA:NE,$B5,0),"")</f>
        <v/>
      </c>
      <c r="M5" t="str">
        <f>IF(OR(HLOOKUP(M$2+$A5,Sheet2!CB:NF,$B5,0),HLOOKUP(M$2+$A5,Sheet2!CB:NF,$B5,0)&lt;&gt;""),HLOOKUP(M$2+$A5,Sheet2!CB:NF,$B5,0),"")</f>
        <v/>
      </c>
    </row>
    <row r="6" spans="1:362" x14ac:dyDescent="0.25">
      <c r="A6" s="68">
        <f>IF(C6&lt;&gt;1,A5+5,0)</f>
        <v>10</v>
      </c>
      <c r="B6" s="68">
        <f>IF(C6&lt;&gt;1,B5,B5+1)</f>
        <v>5</v>
      </c>
      <c r="C6" s="68">
        <f t="shared" ref="C6:C8" si="0">IF($C$3-C5=0,1,C5+1)</f>
        <v>3</v>
      </c>
      <c r="D6" s="68">
        <f t="shared" ref="D6:D11" si="1">IF(C6=1,D5+1,D5)</f>
        <v>1</v>
      </c>
      <c r="E6" s="68">
        <f t="shared" ref="E6:E11" si="2">IF(D6&lt;&gt;D5,E5+5,E5)</f>
        <v>1</v>
      </c>
      <c r="F6" s="21" t="str">
        <f>VLOOKUP(D6,Sheet2!A:B,2)</f>
        <v>J19-1228</v>
      </c>
      <c r="G6" s="68" t="str">
        <f>VLOOKUP(F6,Sheet2!B:C,2,0)</f>
        <v>KPN</v>
      </c>
      <c r="H6" s="68" t="str">
        <f>HLOOKUP(I$2+$A6,Sheet2!BX:NB,2,0)</f>
        <v>1-15 Feb 21</v>
      </c>
      <c r="I6" t="str">
        <f>IF(OR(HLOOKUP(I$2+$A6,Sheet2!BX:NB,$B6,0),HLOOKUP(I$2+$A6,Sheet2!BX:NB,$B6,0)&lt;&gt;""),HLOOKUP(I$2+$A6,Sheet2!BX:NB,$B6,0),"")</f>
        <v/>
      </c>
      <c r="J6" t="str">
        <f>IF(OR(HLOOKUP(J$2+$A6,Sheet2!BY:NC,$B6,0),HLOOKUP(J$2+$A6,Sheet2!BY:NC,$B6,0)&lt;&gt;""),HLOOKUP(J$2+$A6,Sheet2!BY:NC,$B6,0),"")</f>
        <v/>
      </c>
      <c r="K6" t="str">
        <f>IF(OR(HLOOKUP(K$2+$A6,Sheet2!BZ:ND,$B6,0),HLOOKUP(K$2+$A6,Sheet2!BZ:ND,$B6,0)&lt;&gt;""),HLOOKUP(K$2+$A6,Sheet2!BZ:ND,$B6,0),"")</f>
        <v/>
      </c>
      <c r="L6" t="str">
        <f>IF(OR(HLOOKUP(L$2+$A6,Sheet2!CA:NE,$B6,0),HLOOKUP(L$2+$A6,Sheet2!CA:NE,$B6,0)&lt;&gt;""),HLOOKUP(L$2+$A6,Sheet2!CA:NE,$B6,0),"")</f>
        <v/>
      </c>
      <c r="M6" t="str">
        <f>IF(OR(HLOOKUP(M$2+$A6,Sheet2!CB:NF,$B6,0),HLOOKUP(M$2+$A6,Sheet2!CB:NF,$B6,0)&lt;&gt;""),HLOOKUP(M$2+$A6,Sheet2!CB:NF,$B6,0),"")</f>
        <v/>
      </c>
    </row>
    <row r="7" spans="1:362" x14ac:dyDescent="0.25">
      <c r="A7" s="68">
        <f t="shared" ref="A7:A19" si="3">IF(C7&lt;&gt;1,A6+5,0)</f>
        <v>15</v>
      </c>
      <c r="B7" s="68">
        <f>IF(C7&lt;&gt;1,B6,B6+1)</f>
        <v>5</v>
      </c>
      <c r="C7" s="68">
        <f t="shared" si="0"/>
        <v>4</v>
      </c>
      <c r="D7" s="68">
        <f t="shared" si="1"/>
        <v>1</v>
      </c>
      <c r="E7" s="68">
        <f t="shared" si="2"/>
        <v>1</v>
      </c>
      <c r="F7" s="21" t="str">
        <f>VLOOKUP(D7,Sheet2!A:B,2)</f>
        <v>J19-1228</v>
      </c>
      <c r="G7" s="68" t="str">
        <f>VLOOKUP(F7,Sheet2!B:C,2,0)</f>
        <v>KPN</v>
      </c>
      <c r="H7" s="68" t="str">
        <f>HLOOKUP(I$2+$A7,Sheet2!BX:NB,2,0)</f>
        <v>16-28 Feb 21</v>
      </c>
      <c r="I7" t="str">
        <f>IF(OR(HLOOKUP(I$2+$A7,Sheet2!BX:NB,$B7,0),HLOOKUP(I$2+$A7,Sheet2!BX:NB,$B7,0)&lt;&gt;""),HLOOKUP(I$2+$A7,Sheet2!BX:NB,$B7,0),"")</f>
        <v/>
      </c>
      <c r="J7" t="str">
        <f>IF(OR(HLOOKUP(J$2+$A7,Sheet2!BY:NC,$B7,0),HLOOKUP(J$2+$A7,Sheet2!BY:NC,$B7,0)&lt;&gt;""),HLOOKUP(J$2+$A7,Sheet2!BY:NC,$B7,0),"")</f>
        <v/>
      </c>
      <c r="K7" t="str">
        <f>IF(OR(HLOOKUP(K$2+$A7,Sheet2!BZ:ND,$B7,0),HLOOKUP(K$2+$A7,Sheet2!BZ:ND,$B7,0)&lt;&gt;""),HLOOKUP(K$2+$A7,Sheet2!BZ:ND,$B7,0),"")</f>
        <v/>
      </c>
      <c r="L7" t="str">
        <f>IF(OR(HLOOKUP(L$2+$A7,Sheet2!CA:NE,$B7,0),HLOOKUP(L$2+$A7,Sheet2!CA:NE,$B7,0)&lt;&gt;""),HLOOKUP(L$2+$A7,Sheet2!CA:NE,$B7,0),"")</f>
        <v/>
      </c>
      <c r="M7" t="str">
        <f>IF(OR(HLOOKUP(M$2+$A7,Sheet2!CB:NF,$B7,0),HLOOKUP(M$2+$A7,Sheet2!CB:NF,$B7,0)&lt;&gt;""),HLOOKUP(M$2+$A7,Sheet2!CB:NF,$B7,0),"")</f>
        <v/>
      </c>
    </row>
    <row r="8" spans="1:362" x14ac:dyDescent="0.25">
      <c r="A8" s="68">
        <f t="shared" si="3"/>
        <v>20</v>
      </c>
      <c r="B8" s="68">
        <f>IF(C8&lt;&gt;1,B7,B7+1)</f>
        <v>5</v>
      </c>
      <c r="C8" s="68">
        <f t="shared" si="0"/>
        <v>5</v>
      </c>
      <c r="D8" s="68">
        <f t="shared" si="1"/>
        <v>1</v>
      </c>
      <c r="E8" s="68">
        <f t="shared" si="2"/>
        <v>1</v>
      </c>
      <c r="F8" s="21" t="str">
        <f>VLOOKUP(D8,Sheet2!A:B,2)</f>
        <v>J19-1228</v>
      </c>
      <c r="G8" s="68" t="str">
        <f>VLOOKUP(F8,Sheet2!B:C,2,0)</f>
        <v>KPN</v>
      </c>
      <c r="H8" s="68" t="str">
        <f>HLOOKUP(I$2+$A8,Sheet2!BX:NB,2,0)</f>
        <v>1-15 Mar 2021</v>
      </c>
      <c r="I8" t="str">
        <f>IF(OR(HLOOKUP(I$2+$A8,Sheet2!BX:NB,$B8,0),HLOOKUP(I$2+$A8,Sheet2!BX:NB,$B8,0)&lt;&gt;""),HLOOKUP(I$2+$A8,Sheet2!BX:NB,$B8,0),"")</f>
        <v/>
      </c>
      <c r="J8" t="str">
        <f>IF(OR(HLOOKUP(J$2+$A8,Sheet2!BY:NC,$B8,0),HLOOKUP(J$2+$A8,Sheet2!BY:NC,$B8,0)&lt;&gt;""),HLOOKUP(J$2+$A8,Sheet2!BY:NC,$B8,0),"")</f>
        <v/>
      </c>
      <c r="K8" t="str">
        <f>IF(OR(HLOOKUP(K$2+$A8,Sheet2!BZ:ND,$B8,0),HLOOKUP(K$2+$A8,Sheet2!BZ:ND,$B8,0)&lt;&gt;""),HLOOKUP(K$2+$A8,Sheet2!BZ:ND,$B8,0),"")</f>
        <v/>
      </c>
      <c r="L8" t="str">
        <f>IF(OR(HLOOKUP(L$2+$A8,Sheet2!CA:NE,$B8,0),HLOOKUP(L$2+$A8,Sheet2!CA:NE,$B8,0)&lt;&gt;""),HLOOKUP(L$2+$A8,Sheet2!CA:NE,$B8,0),"")</f>
        <v/>
      </c>
      <c r="M8" t="str">
        <f>IF(OR(HLOOKUP(M$2+$A8,Sheet2!CB:NF,$B8,0),HLOOKUP(M$2+$A8,Sheet2!CB:NF,$B8,0)&lt;&gt;""),HLOOKUP(M$2+$A8,Sheet2!CB:NF,$B8,0),"")</f>
        <v/>
      </c>
    </row>
    <row r="9" spans="1:362" x14ac:dyDescent="0.25">
      <c r="A9" s="68">
        <f t="shared" si="3"/>
        <v>25</v>
      </c>
      <c r="B9" s="68">
        <f t="shared" ref="B9:B19" si="4">IF(C9&lt;&gt;1,B8,B8+1)</f>
        <v>5</v>
      </c>
      <c r="C9" s="68">
        <f t="shared" ref="C9:C73" si="5">IF($C$3-C8=0,1,C8+1)</f>
        <v>6</v>
      </c>
      <c r="D9" s="68">
        <f t="shared" si="1"/>
        <v>1</v>
      </c>
      <c r="E9" s="68">
        <f t="shared" si="2"/>
        <v>1</v>
      </c>
      <c r="F9" s="21" t="str">
        <f>VLOOKUP(D9,Sheet2!A:B,2)</f>
        <v>J19-1228</v>
      </c>
      <c r="G9" s="68" t="str">
        <f>VLOOKUP(F9,Sheet2!B:C,2,0)</f>
        <v>KPN</v>
      </c>
      <c r="H9" s="68" t="str">
        <f>HLOOKUP(I$2+$A9,Sheet2!BX:NB,2,0)</f>
        <v>16-31 Mar 21</v>
      </c>
      <c r="I9" t="str">
        <f>IF(OR(HLOOKUP(I$2+$A9,Sheet2!BX:NB,$B9,0),HLOOKUP(I$2+$A9,Sheet2!BX:NB,$B9,0)&lt;&gt;""),HLOOKUP(I$2+$A9,Sheet2!BX:NB,$B9,0),"")</f>
        <v/>
      </c>
      <c r="J9" t="str">
        <f>IF(OR(HLOOKUP(J$2+$A9,Sheet2!BY:NC,$B9,0),HLOOKUP(J$2+$A9,Sheet2!BY:NC,$B9,0)&lt;&gt;""),HLOOKUP(J$2+$A9,Sheet2!BY:NC,$B9,0),"")</f>
        <v/>
      </c>
      <c r="K9" t="str">
        <f>IF(OR(HLOOKUP(K$2+$A9,Sheet2!BZ:ND,$B9,0),HLOOKUP(K$2+$A9,Sheet2!BZ:ND,$B9,0)&lt;&gt;""),HLOOKUP(K$2+$A9,Sheet2!BZ:ND,$B9,0),"")</f>
        <v/>
      </c>
      <c r="L9" t="str">
        <f>IF(OR(HLOOKUP(L$2+$A9,Sheet2!CA:NE,$B9,0),HLOOKUP(L$2+$A9,Sheet2!CA:NE,$B9,0)&lt;&gt;""),HLOOKUP(L$2+$A9,Sheet2!CA:NE,$B9,0),"")</f>
        <v/>
      </c>
      <c r="M9" t="str">
        <f>IF(OR(HLOOKUP(M$2+$A9,Sheet2!CB:NF,$B9,0),HLOOKUP(M$2+$A9,Sheet2!CB:NF,$B9,0)&lt;&gt;""),HLOOKUP(M$2+$A9,Sheet2!CB:NF,$B9,0),"")</f>
        <v/>
      </c>
    </row>
    <row r="10" spans="1:362" x14ac:dyDescent="0.25">
      <c r="A10" s="68">
        <f t="shared" si="3"/>
        <v>30</v>
      </c>
      <c r="B10" s="68">
        <f t="shared" si="4"/>
        <v>5</v>
      </c>
      <c r="C10" s="68">
        <f t="shared" si="5"/>
        <v>7</v>
      </c>
      <c r="D10" s="68">
        <f t="shared" si="1"/>
        <v>1</v>
      </c>
      <c r="E10" s="68">
        <f t="shared" si="2"/>
        <v>1</v>
      </c>
      <c r="F10" s="21" t="str">
        <f>VLOOKUP(D10,Sheet2!A:B,2)</f>
        <v>J19-1228</v>
      </c>
      <c r="G10" s="68" t="str">
        <f>VLOOKUP(F10,Sheet2!B:C,2,0)</f>
        <v>KPN</v>
      </c>
      <c r="H10" s="68" t="str">
        <f>HLOOKUP(I$2+$A10,Sheet2!BX:NB,2,0)</f>
        <v>1-15 April 21</v>
      </c>
      <c r="I10" t="str">
        <f>IF(OR(HLOOKUP(I$2+$A10,Sheet2!BX:NB,$B10,0),HLOOKUP(I$2+$A10,Sheet2!BX:NB,$B10,0)&lt;&gt;""),HLOOKUP(I$2+$A10,Sheet2!BX:NB,$B10,0),"")</f>
        <v/>
      </c>
      <c r="J10" t="str">
        <f>IF(OR(HLOOKUP(J$2+$A10,Sheet2!BY:NC,$B10,0),HLOOKUP(J$2+$A10,Sheet2!BY:NC,$B10,0)&lt;&gt;""),HLOOKUP(J$2+$A10,Sheet2!BY:NC,$B10,0),"")</f>
        <v/>
      </c>
      <c r="K10" t="str">
        <f>IF(OR(HLOOKUP(K$2+$A10,Sheet2!BZ:ND,$B10,0),HLOOKUP(K$2+$A10,Sheet2!BZ:ND,$B10,0)&lt;&gt;""),HLOOKUP(K$2+$A10,Sheet2!BZ:ND,$B10,0),"")</f>
        <v/>
      </c>
      <c r="L10" t="str">
        <f>IF(OR(HLOOKUP(L$2+$A10,Sheet2!CA:NE,$B10,0),HLOOKUP(L$2+$A10,Sheet2!CA:NE,$B10,0)&lt;&gt;""),HLOOKUP(L$2+$A10,Sheet2!CA:NE,$B10,0),"")</f>
        <v/>
      </c>
      <c r="M10" t="str">
        <f>IF(OR(HLOOKUP(M$2+$A10,Sheet2!CB:NF,$B10,0),HLOOKUP(M$2+$A10,Sheet2!CB:NF,$B10,0)&lt;&gt;""),HLOOKUP(M$2+$A10,Sheet2!CB:NF,$B10,0),"")</f>
        <v/>
      </c>
    </row>
    <row r="11" spans="1:362" x14ac:dyDescent="0.25">
      <c r="A11" s="68">
        <f t="shared" si="3"/>
        <v>35</v>
      </c>
      <c r="B11" s="68">
        <f t="shared" si="4"/>
        <v>5</v>
      </c>
      <c r="C11" s="68">
        <f t="shared" si="5"/>
        <v>8</v>
      </c>
      <c r="D11" s="68">
        <f t="shared" si="1"/>
        <v>1</v>
      </c>
      <c r="E11" s="68">
        <f t="shared" si="2"/>
        <v>1</v>
      </c>
      <c r="F11" s="21" t="str">
        <f>VLOOKUP(D11,Sheet2!A:B,2)</f>
        <v>J19-1228</v>
      </c>
      <c r="G11" s="68" t="str">
        <f>VLOOKUP(F11,Sheet2!B:C,2,0)</f>
        <v>KPN</v>
      </c>
      <c r="H11" s="68" t="str">
        <f>HLOOKUP(I$2+$A11,Sheet2!BX:NB,2,0)</f>
        <v>16-30 April 21</v>
      </c>
      <c r="I11" t="str">
        <f>IF(OR(HLOOKUP(I$2+$A11,Sheet2!BX:NB,$B11,0),HLOOKUP(I$2+$A11,Sheet2!BX:NB,$B11,0)&lt;&gt;""),HLOOKUP(I$2+$A11,Sheet2!BX:NB,$B11,0),"")</f>
        <v/>
      </c>
      <c r="J11" t="str">
        <f>IF(OR(HLOOKUP(J$2+$A11,Sheet2!BY:NC,$B11,0),HLOOKUP(J$2+$A11,Sheet2!BY:NC,$B11,0)&lt;&gt;""),HLOOKUP(J$2+$A11,Sheet2!BY:NC,$B11,0),"")</f>
        <v/>
      </c>
      <c r="K11" t="str">
        <f>IF(OR(HLOOKUP(K$2+$A11,Sheet2!BZ:ND,$B11,0),HLOOKUP(K$2+$A11,Sheet2!BZ:ND,$B11,0)&lt;&gt;""),HLOOKUP(K$2+$A11,Sheet2!BZ:ND,$B11,0),"")</f>
        <v/>
      </c>
      <c r="L11" t="str">
        <f>IF(OR(HLOOKUP(L$2+$A11,Sheet2!CA:NE,$B11,0),HLOOKUP(L$2+$A11,Sheet2!CA:NE,$B11,0)&lt;&gt;""),HLOOKUP(L$2+$A11,Sheet2!CA:NE,$B11,0),"")</f>
        <v/>
      </c>
      <c r="M11" t="str">
        <f>IF(OR(HLOOKUP(M$2+$A11,Sheet2!CB:NF,$B11,0),HLOOKUP(M$2+$A11,Sheet2!CB:NF,$B11,0)&lt;&gt;""),HLOOKUP(M$2+$A11,Sheet2!CB:NF,$B11,0),"")</f>
        <v/>
      </c>
    </row>
    <row r="12" spans="1:362" x14ac:dyDescent="0.25">
      <c r="A12" s="68">
        <f t="shared" si="3"/>
        <v>0</v>
      </c>
      <c r="B12" s="68">
        <f t="shared" si="4"/>
        <v>6</v>
      </c>
      <c r="C12" s="68">
        <f t="shared" si="5"/>
        <v>1</v>
      </c>
      <c r="D12" s="68">
        <f>IF(C12=1,D11+1,D11)</f>
        <v>2</v>
      </c>
      <c r="E12" s="68">
        <f>IF(D12&lt;&gt;D11,E11+5,E11)</f>
        <v>6</v>
      </c>
      <c r="F12" s="21" t="str">
        <f>VLOOKUP(D12,Sheet2!A:B,2)</f>
        <v>J19-0192</v>
      </c>
      <c r="G12" s="68" t="str">
        <f>VLOOKUP(F12,Sheet2!B:C,2,0)</f>
        <v>MOCD 192</v>
      </c>
      <c r="H12" s="68" t="str">
        <f>HLOOKUP(I$2+$A12,Sheet2!BX:NB,2,0)</f>
        <v>1-15 Jan 21</v>
      </c>
      <c r="I12">
        <f>IF(OR(HLOOKUP(I$2+$A12,Sheet2!BX:NB,$B12,0),HLOOKUP(I$2+$A12,Sheet2!BX:NB,$B12,0)&lt;&gt;""),HLOOKUP(I$2+$A12,Sheet2!BX:NB,$B12,0),"")</f>
        <v>905471</v>
      </c>
      <c r="J12">
        <f>IF(OR(HLOOKUP(J$2+$A12,Sheet2!BY:NC,$B12,0),HLOOKUP(J$2+$A12,Sheet2!BY:NC,$B12,0)&lt;&gt;""),HLOOKUP(J$2+$A12,Sheet2!BY:NC,$B12,0),"")</f>
        <v>103549</v>
      </c>
      <c r="K12">
        <f>IF(OR(HLOOKUP(K$2+$A12,Sheet2!BZ:ND,$B12,0),HLOOKUP(K$2+$A12,Sheet2!BZ:ND,$B12,0)&lt;&gt;""),HLOOKUP(K$2+$A12,Sheet2!BZ:ND,$B12,0),"")</f>
        <v>8700</v>
      </c>
      <c r="L12">
        <f>IF(OR(HLOOKUP(L$2+$A12,Sheet2!CA:NE,$B12,0),HLOOKUP(L$2+$A12,Sheet2!CA:NE,$B12,0)&lt;&gt;""),HLOOKUP(L$2+$A12,Sheet2!CA:NE,$B12,0),"")</f>
        <v>431680</v>
      </c>
      <c r="M12">
        <f>IF(OR(HLOOKUP(M$2+$A12,Sheet2!CB:NF,$B12,0),HLOOKUP(M$2+$A12,Sheet2!CB:NF,$B12,0)&lt;&gt;""),HLOOKUP(M$2+$A12,Sheet2!CB:NF,$B12,0),"")</f>
        <v>136</v>
      </c>
    </row>
    <row r="13" spans="1:362" x14ac:dyDescent="0.25">
      <c r="A13" s="68">
        <f t="shared" si="3"/>
        <v>5</v>
      </c>
      <c r="B13" s="68">
        <f t="shared" si="4"/>
        <v>6</v>
      </c>
      <c r="C13" s="68">
        <f t="shared" si="5"/>
        <v>2</v>
      </c>
      <c r="D13" s="68">
        <f>IF(C13=1,D12+1,D12)</f>
        <v>2</v>
      </c>
      <c r="E13" s="68">
        <f>IF(D13&lt;&gt;D12,E12+5,E12)</f>
        <v>6</v>
      </c>
      <c r="F13" s="21" t="str">
        <f>VLOOKUP(D13,Sheet2!A:B,2)</f>
        <v>J19-0192</v>
      </c>
      <c r="G13" s="68" t="str">
        <f>VLOOKUP(F13,Sheet2!B:C,2,0)</f>
        <v>MOCD 192</v>
      </c>
      <c r="H13" s="68" t="str">
        <f>HLOOKUP(I$2+$A13,Sheet2!BX:NB,2,0)</f>
        <v>16-31 Jan 21</v>
      </c>
      <c r="I13">
        <f>IF(OR(HLOOKUP(I$2+$A13,Sheet2!BX:NB,$B13,0),HLOOKUP(I$2+$A13,Sheet2!BX:NB,$B13,0)&lt;&gt;""),HLOOKUP(I$2+$A13,Sheet2!BX:NB,$B13,0),"")</f>
        <v>709006</v>
      </c>
      <c r="J13">
        <f>IF(OR(HLOOKUP(J$2+$A13,Sheet2!BY:NC,$B13,0),HLOOKUP(J$2+$A13,Sheet2!BY:NC,$B13,0)&lt;&gt;""),HLOOKUP(J$2+$A13,Sheet2!BY:NC,$B13,0),"")</f>
        <v>260902</v>
      </c>
      <c r="K13">
        <f>IF(OR(HLOOKUP(K$2+$A13,Sheet2!BZ:ND,$B13,0),HLOOKUP(K$2+$A13,Sheet2!BZ:ND,$B13,0)&lt;&gt;""),HLOOKUP(K$2+$A13,Sheet2!BZ:ND,$B13,0),"")</f>
        <v>10100</v>
      </c>
      <c r="L13">
        <f>IF(OR(HLOOKUP(L$2+$A13,Sheet2!CA:NE,$B13,0),HLOOKUP(L$2+$A13,Sheet2!CA:NE,$B13,0)&lt;&gt;""),HLOOKUP(L$2+$A13,Sheet2!CA:NE,$B13,0),"")</f>
        <v>284150</v>
      </c>
      <c r="M13">
        <f>IF(OR(HLOOKUP(M$2+$A13,Sheet2!CB:NF,$B13,0),HLOOKUP(M$2+$A13,Sheet2!CB:NF,$B13,0)&lt;&gt;""),HLOOKUP(M$2+$A13,Sheet2!CB:NF,$B13,0),"")</f>
        <v>108</v>
      </c>
    </row>
    <row r="14" spans="1:362" x14ac:dyDescent="0.25">
      <c r="A14" s="68">
        <f t="shared" si="3"/>
        <v>10</v>
      </c>
      <c r="B14" s="68">
        <f t="shared" si="4"/>
        <v>6</v>
      </c>
      <c r="C14" s="68">
        <f t="shared" si="5"/>
        <v>3</v>
      </c>
      <c r="D14" s="68">
        <f t="shared" ref="D14:D19" si="6">IF(C14=1,D13+1,D13)</f>
        <v>2</v>
      </c>
      <c r="E14" s="68">
        <f t="shared" ref="E14:E19" si="7">IF(D14&lt;&gt;D13,E13+5,E13)</f>
        <v>6</v>
      </c>
      <c r="F14" s="21" t="str">
        <f>VLOOKUP(D14,Sheet2!A:B,2)</f>
        <v>J19-0192</v>
      </c>
      <c r="G14" s="68" t="str">
        <f>VLOOKUP(F14,Sheet2!B:C,2,0)</f>
        <v>MOCD 192</v>
      </c>
      <c r="H14" s="68" t="str">
        <f>HLOOKUP(I$2+$A14,Sheet2!BX:NB,2,0)</f>
        <v>1-15 Feb 21</v>
      </c>
      <c r="I14">
        <f>IF(OR(HLOOKUP(I$2+$A14,Sheet2!BX:NB,$B14,0),HLOOKUP(I$2+$A14,Sheet2!BX:NB,$B14,0)&lt;&gt;""),HLOOKUP(I$2+$A14,Sheet2!BX:NB,$B14,0),"")</f>
        <v>374002</v>
      </c>
      <c r="J14">
        <f>IF(OR(HLOOKUP(J$2+$A14,Sheet2!BY:NC,$B14,0),HLOOKUP(J$2+$A14,Sheet2!BY:NC,$B14,0)&lt;&gt;""),HLOOKUP(J$2+$A14,Sheet2!BY:NC,$B14,0),"")</f>
        <v>48339</v>
      </c>
      <c r="K14">
        <f>IF(OR(HLOOKUP(K$2+$A14,Sheet2!BZ:ND,$B14,0),HLOOKUP(K$2+$A14,Sheet2!BZ:ND,$B14,0)&lt;&gt;""),HLOOKUP(K$2+$A14,Sheet2!BZ:ND,$B14,0),"")</f>
        <v>7350</v>
      </c>
      <c r="L14">
        <f>IF(OR(HLOOKUP(L$2+$A14,Sheet2!CA:NE,$B14,0),HLOOKUP(L$2+$A14,Sheet2!CA:NE,$B14,0)&lt;&gt;""),HLOOKUP(L$2+$A14,Sheet2!CA:NE,$B14,0),"")</f>
        <v>3600</v>
      </c>
      <c r="M14">
        <f>IF(OR(HLOOKUP(M$2+$A14,Sheet2!CB:NF,$B14,0),HLOOKUP(M$2+$A14,Sheet2!CB:NF,$B14,0)&lt;&gt;""),HLOOKUP(M$2+$A14,Sheet2!CB:NF,$B14,0),"")</f>
        <v>82</v>
      </c>
    </row>
    <row r="15" spans="1:362" x14ac:dyDescent="0.25">
      <c r="A15" s="68">
        <f t="shared" si="3"/>
        <v>15</v>
      </c>
      <c r="B15" s="68">
        <f t="shared" si="4"/>
        <v>6</v>
      </c>
      <c r="C15" s="68">
        <f t="shared" si="5"/>
        <v>4</v>
      </c>
      <c r="D15" s="68">
        <f t="shared" si="6"/>
        <v>2</v>
      </c>
      <c r="E15" s="68">
        <f t="shared" si="7"/>
        <v>6</v>
      </c>
      <c r="F15" s="21" t="str">
        <f>VLOOKUP(D15,Sheet2!A:B,2)</f>
        <v>J19-0192</v>
      </c>
      <c r="G15" s="68" t="str">
        <f>VLOOKUP(F15,Sheet2!B:C,2,0)</f>
        <v>MOCD 192</v>
      </c>
      <c r="H15" s="68" t="str">
        <f>HLOOKUP(I$2+$A15,Sheet2!BX:NB,2,0)</f>
        <v>16-28 Feb 21</v>
      </c>
      <c r="I15">
        <f>IF(OR(HLOOKUP(I$2+$A15,Sheet2!BX:NB,$B15,0),HLOOKUP(I$2+$A15,Sheet2!BX:NB,$B15,0)&lt;&gt;""),HLOOKUP(I$2+$A15,Sheet2!BX:NB,$B15,0),"")</f>
        <v>373196</v>
      </c>
      <c r="J15">
        <f>IF(OR(HLOOKUP(J$2+$A15,Sheet2!BY:NC,$B15,0),HLOOKUP(J$2+$A15,Sheet2!BY:NC,$B15,0)&lt;&gt;""),HLOOKUP(J$2+$A15,Sheet2!BY:NC,$B15,0),"")</f>
        <v>69263</v>
      </c>
      <c r="K15">
        <f>IF(OR(HLOOKUP(K$2+$A15,Sheet2!BZ:ND,$B15,0),HLOOKUP(K$2+$A15,Sheet2!BZ:ND,$B15,0)&lt;&gt;""),HLOOKUP(K$2+$A15,Sheet2!BZ:ND,$B15,0),"")</f>
        <v>7500</v>
      </c>
      <c r="L15">
        <f>IF(OR(HLOOKUP(L$2+$A15,Sheet2!CA:NE,$B15,0),HLOOKUP(L$2+$A15,Sheet2!CA:NE,$B15,0)&lt;&gt;""),HLOOKUP(L$2+$A15,Sheet2!CA:NE,$B15,0),"")</f>
        <v>811450</v>
      </c>
      <c r="M15">
        <f>IF(OR(HLOOKUP(M$2+$A15,Sheet2!CB:NF,$B15,0),HLOOKUP(M$2+$A15,Sheet2!CB:NF,$B15,0)&lt;&gt;""),HLOOKUP(M$2+$A15,Sheet2!CB:NF,$B15,0),"")</f>
        <v>76</v>
      </c>
    </row>
    <row r="16" spans="1:362" x14ac:dyDescent="0.25">
      <c r="A16" s="68">
        <f t="shared" si="3"/>
        <v>20</v>
      </c>
      <c r="B16" s="68">
        <f t="shared" si="4"/>
        <v>6</v>
      </c>
      <c r="C16" s="68">
        <f t="shared" si="5"/>
        <v>5</v>
      </c>
      <c r="D16" s="68">
        <f t="shared" si="6"/>
        <v>2</v>
      </c>
      <c r="E16" s="68">
        <f t="shared" si="7"/>
        <v>6</v>
      </c>
      <c r="F16" s="21" t="str">
        <f>VLOOKUP(D16,Sheet2!A:B,2)</f>
        <v>J19-0192</v>
      </c>
      <c r="G16" s="68" t="str">
        <f>VLOOKUP(F16,Sheet2!B:C,2,0)</f>
        <v>MOCD 192</v>
      </c>
      <c r="H16" s="68" t="str">
        <f>HLOOKUP(I$2+$A16,Sheet2!BX:NB,2,0)</f>
        <v>1-15 Mar 2021</v>
      </c>
      <c r="I16">
        <f>IF(OR(HLOOKUP(I$2+$A16,Sheet2!BX:NB,$B16,0),HLOOKUP(I$2+$A16,Sheet2!BX:NB,$B16,0)&lt;&gt;""),HLOOKUP(I$2+$A16,Sheet2!BX:NB,$B16,0),"")</f>
        <v>209141</v>
      </c>
      <c r="J16">
        <f>IF(OR(HLOOKUP(J$2+$A16,Sheet2!BY:NC,$B16,0),HLOOKUP(J$2+$A16,Sheet2!BY:NC,$B16,0)&lt;&gt;""),HLOOKUP(J$2+$A16,Sheet2!BY:NC,$B16,0),"")</f>
        <v>5488</v>
      </c>
      <c r="K16">
        <f>IF(OR(HLOOKUP(K$2+$A16,Sheet2!BZ:ND,$B16,0),HLOOKUP(K$2+$A16,Sheet2!BZ:ND,$B16,0)&lt;&gt;""),HLOOKUP(K$2+$A16,Sheet2!BZ:ND,$B16,0),"")</f>
        <v>5000</v>
      </c>
      <c r="L16">
        <f>IF(OR(HLOOKUP(L$2+$A16,Sheet2!CA:NE,$B16,0),HLOOKUP(L$2+$A16,Sheet2!CA:NE,$B16,0)&lt;&gt;""),HLOOKUP(L$2+$A16,Sheet2!CA:NE,$B16,0),"")</f>
        <v>18900</v>
      </c>
      <c r="M16">
        <f>IF(OR(HLOOKUP(M$2+$A16,Sheet2!CB:NF,$B16,0),HLOOKUP(M$2+$A16,Sheet2!CB:NF,$B16,0)&lt;&gt;""),HLOOKUP(M$2+$A16,Sheet2!CB:NF,$B16,0),"")</f>
        <v>31</v>
      </c>
    </row>
    <row r="17" spans="1:13" x14ac:dyDescent="0.25">
      <c r="A17" s="68">
        <f t="shared" si="3"/>
        <v>25</v>
      </c>
      <c r="B17" s="68">
        <f t="shared" si="4"/>
        <v>6</v>
      </c>
      <c r="C17" s="68">
        <f t="shared" si="5"/>
        <v>6</v>
      </c>
      <c r="D17" s="68">
        <f t="shared" si="6"/>
        <v>2</v>
      </c>
      <c r="E17" s="68">
        <f t="shared" si="7"/>
        <v>6</v>
      </c>
      <c r="F17" s="21" t="str">
        <f>VLOOKUP(D17,Sheet2!A:B,2)</f>
        <v>J19-0192</v>
      </c>
      <c r="G17" s="68" t="str">
        <f>VLOOKUP(F17,Sheet2!B:C,2,0)</f>
        <v>MOCD 192</v>
      </c>
      <c r="H17" s="68" t="str">
        <f>HLOOKUP(I$2+$A17,Sheet2!BX:NB,2,0)</f>
        <v>16-31 Mar 21</v>
      </c>
      <c r="I17">
        <f>IF(OR(HLOOKUP(I$2+$A17,Sheet2!BX:NB,$B17,0),HLOOKUP(I$2+$A17,Sheet2!BX:NB,$B17,0)&lt;&gt;""),HLOOKUP(I$2+$A17,Sheet2!BX:NB,$B17,0),"")</f>
        <v>204254</v>
      </c>
      <c r="J17" t="str">
        <f>IF(OR(HLOOKUP(J$2+$A17,Sheet2!BY:NC,$B17,0),HLOOKUP(J$2+$A17,Sheet2!BY:NC,$B17,0)&lt;&gt;""),HLOOKUP(J$2+$A17,Sheet2!BY:NC,$B17,0),"")</f>
        <v/>
      </c>
      <c r="K17">
        <f>IF(OR(HLOOKUP(K$2+$A17,Sheet2!BZ:ND,$B17,0),HLOOKUP(K$2+$A17,Sheet2!BZ:ND,$B17,0)&lt;&gt;""),HLOOKUP(K$2+$A17,Sheet2!BZ:ND,$B17,0),"")</f>
        <v>5900</v>
      </c>
      <c r="L17" t="str">
        <f>IF(OR(HLOOKUP(L$2+$A17,Sheet2!CA:NE,$B17,0),HLOOKUP(L$2+$A17,Sheet2!CA:NE,$B17,0)&lt;&gt;""),HLOOKUP(L$2+$A17,Sheet2!CA:NE,$B17,0),"")</f>
        <v/>
      </c>
      <c r="M17">
        <f>IF(OR(HLOOKUP(M$2+$A17,Sheet2!CB:NF,$B17,0),HLOOKUP(M$2+$A17,Sheet2!CB:NF,$B17,0)&lt;&gt;""),HLOOKUP(M$2+$A17,Sheet2!CB:NF,$B17,0),"")</f>
        <v>27</v>
      </c>
    </row>
    <row r="18" spans="1:13" x14ac:dyDescent="0.25">
      <c r="A18" s="68">
        <f t="shared" si="3"/>
        <v>30</v>
      </c>
      <c r="B18" s="68">
        <f t="shared" si="4"/>
        <v>6</v>
      </c>
      <c r="C18" s="68">
        <f t="shared" si="5"/>
        <v>7</v>
      </c>
      <c r="D18" s="68">
        <f t="shared" si="6"/>
        <v>2</v>
      </c>
      <c r="E18" s="68">
        <f t="shared" si="7"/>
        <v>6</v>
      </c>
      <c r="F18" s="21" t="str">
        <f>VLOOKUP(D18,Sheet2!A:B,2)</f>
        <v>J19-0192</v>
      </c>
      <c r="G18" s="68" t="str">
        <f>VLOOKUP(F18,Sheet2!B:C,2,0)</f>
        <v>MOCD 192</v>
      </c>
      <c r="H18" s="68" t="str">
        <f>HLOOKUP(I$2+$A18,Sheet2!BX:NB,2,0)</f>
        <v>1-15 April 21</v>
      </c>
      <c r="I18">
        <f>IF(OR(HLOOKUP(I$2+$A18,Sheet2!BX:NB,$B18,0),HLOOKUP(I$2+$A18,Sheet2!BX:NB,$B18,0)&lt;&gt;""),HLOOKUP(I$2+$A18,Sheet2!BX:NB,$B18,0),"")</f>
        <v>31460</v>
      </c>
      <c r="J18" t="str">
        <f>IF(OR(HLOOKUP(J$2+$A18,Sheet2!BY:NC,$B18,0),HLOOKUP(J$2+$A18,Sheet2!BY:NC,$B18,0)&lt;&gt;""),HLOOKUP(J$2+$A18,Sheet2!BY:NC,$B18,0),"")</f>
        <v/>
      </c>
      <c r="K18" t="str">
        <f>IF(OR(HLOOKUP(K$2+$A18,Sheet2!BZ:ND,$B18,0),HLOOKUP(K$2+$A18,Sheet2!BZ:ND,$B18,0)&lt;&gt;""),HLOOKUP(K$2+$A18,Sheet2!BZ:ND,$B18,0),"")</f>
        <v/>
      </c>
      <c r="L18" t="str">
        <f>IF(OR(HLOOKUP(L$2+$A18,Sheet2!CA:NE,$B18,0),HLOOKUP(L$2+$A18,Sheet2!CA:NE,$B18,0)&lt;&gt;""),HLOOKUP(L$2+$A18,Sheet2!CA:NE,$B18,0),"")</f>
        <v/>
      </c>
      <c r="M18">
        <f>IF(OR(HLOOKUP(M$2+$A18,Sheet2!CB:NF,$B18,0),HLOOKUP(M$2+$A18,Sheet2!CB:NF,$B18,0)&lt;&gt;""),HLOOKUP(M$2+$A18,Sheet2!CB:NF,$B18,0),"")</f>
        <v>4</v>
      </c>
    </row>
    <row r="19" spans="1:13" x14ac:dyDescent="0.25">
      <c r="A19" s="68">
        <f t="shared" si="3"/>
        <v>35</v>
      </c>
      <c r="B19" s="68">
        <f t="shared" si="4"/>
        <v>6</v>
      </c>
      <c r="C19" s="68">
        <f t="shared" si="5"/>
        <v>8</v>
      </c>
      <c r="D19" s="68">
        <f t="shared" si="6"/>
        <v>2</v>
      </c>
      <c r="E19" s="68">
        <f t="shared" si="7"/>
        <v>6</v>
      </c>
      <c r="F19" s="21" t="str">
        <f>VLOOKUP(D19,Sheet2!A:B,2)</f>
        <v>J19-0192</v>
      </c>
      <c r="G19" s="68" t="str">
        <f>VLOOKUP(F19,Sheet2!B:C,2,0)</f>
        <v>MOCD 192</v>
      </c>
      <c r="H19" s="68" t="str">
        <f>HLOOKUP(I$2+$A19,Sheet2!BX:NB,2,0)</f>
        <v>16-30 April 21</v>
      </c>
      <c r="I19" t="str">
        <f>IF(OR(HLOOKUP(I$2+$A19,Sheet2!BX:NB,$B19,0),HLOOKUP(I$2+$A19,Sheet2!BX:NB,$B19,0)&lt;&gt;""),HLOOKUP(I$2+$A19,Sheet2!BX:NB,$B19,0),"")</f>
        <v/>
      </c>
      <c r="J19" t="str">
        <f>IF(OR(HLOOKUP(J$2+$A19,Sheet2!BY:NC,$B19,0),HLOOKUP(J$2+$A19,Sheet2!BY:NC,$B19,0)&lt;&gt;""),HLOOKUP(J$2+$A19,Sheet2!BY:NC,$B19,0),"")</f>
        <v/>
      </c>
      <c r="K19" t="str">
        <f>IF(OR(HLOOKUP(K$2+$A19,Sheet2!BZ:ND,$B19,0),HLOOKUP(K$2+$A19,Sheet2!BZ:ND,$B19,0)&lt;&gt;""),HLOOKUP(K$2+$A19,Sheet2!BZ:ND,$B19,0),"")</f>
        <v/>
      </c>
      <c r="L19" t="str">
        <f>IF(OR(HLOOKUP(L$2+$A19,Sheet2!CA:NE,$B19,0),HLOOKUP(L$2+$A19,Sheet2!CA:NE,$B19,0)&lt;&gt;""),HLOOKUP(L$2+$A19,Sheet2!CA:NE,$B19,0),"")</f>
        <v/>
      </c>
      <c r="M19" t="str">
        <f>IF(OR(HLOOKUP(M$2+$A19,Sheet2!CB:NF,$B19,0),HLOOKUP(M$2+$A19,Sheet2!CB:NF,$B19,0)&lt;&gt;""),HLOOKUP(M$2+$A19,Sheet2!CB:NF,$B19,0),"")</f>
        <v/>
      </c>
    </row>
    <row r="20" spans="1:13" x14ac:dyDescent="0.25">
      <c r="A20" s="68">
        <f t="shared" ref="A20:A38" si="8">IF(C20&lt;&gt;1,A19+5,0)</f>
        <v>0</v>
      </c>
      <c r="B20" s="68">
        <f t="shared" ref="B20:B38" si="9">IF(C20&lt;&gt;1,B19,B19+1)</f>
        <v>7</v>
      </c>
      <c r="C20" s="68">
        <f t="shared" si="5"/>
        <v>1</v>
      </c>
      <c r="D20" s="68">
        <f>IF(C20=1,D19+1,D19)</f>
        <v>3</v>
      </c>
      <c r="E20" s="68">
        <f>IF(D20&lt;&gt;D19,E19+5,E19)</f>
        <v>11</v>
      </c>
      <c r="F20" s="21" t="str">
        <f>VLOOKUP(D20,Sheet2!A:B,2)</f>
        <v>J19-0169</v>
      </c>
      <c r="G20" s="68" t="str">
        <f>VLOOKUP(F20,Sheet2!B:C,2,0)</f>
        <v>TTCL</v>
      </c>
      <c r="H20" s="68" t="str">
        <f>HLOOKUP(I$2+$A20,Sheet2!BX:NB,2,0)</f>
        <v>1-15 Jan 21</v>
      </c>
      <c r="I20">
        <f>IF(OR(HLOOKUP(I$2+$A20,Sheet2!BX:NB,$B20,0),HLOOKUP(I$2+$A20,Sheet2!BX:NB,$B20,0)&lt;&gt;""),HLOOKUP(I$2+$A20,Sheet2!BX:NB,$B20,0),"")</f>
        <v>358057</v>
      </c>
      <c r="J20">
        <f>IF(OR(HLOOKUP(J$2+$A20,Sheet2!BY:NC,$B20,0),HLOOKUP(J$2+$A20,Sheet2!BY:NC,$B20,0)&lt;&gt;""),HLOOKUP(J$2+$A20,Sheet2!BY:NC,$B20,0),"")</f>
        <v>108705</v>
      </c>
      <c r="K20">
        <f>IF(OR(HLOOKUP(K$2+$A20,Sheet2!BZ:ND,$B20,0),HLOOKUP(K$2+$A20,Sheet2!BZ:ND,$B20,0)&lt;&gt;""),HLOOKUP(K$2+$A20,Sheet2!BZ:ND,$B20,0),"")</f>
        <v>7100</v>
      </c>
      <c r="L20" t="str">
        <f>IF(OR(HLOOKUP(L$2+$A20,Sheet2!CA:NE,$B20,0),HLOOKUP(L$2+$A20,Sheet2!CA:NE,$B20,0)&lt;&gt;""),HLOOKUP(L$2+$A20,Sheet2!CA:NE,$B20,0),"")</f>
        <v/>
      </c>
      <c r="M20">
        <f>IF(OR(HLOOKUP(M$2+$A20,Sheet2!CB:NF,$B20,0),HLOOKUP(M$2+$A20,Sheet2!CB:NF,$B20,0)&lt;&gt;""),HLOOKUP(M$2+$A20,Sheet2!CB:NF,$B20,0),"")</f>
        <v>51</v>
      </c>
    </row>
    <row r="21" spans="1:13" x14ac:dyDescent="0.25">
      <c r="A21" s="68">
        <f t="shared" si="8"/>
        <v>5</v>
      </c>
      <c r="B21" s="68">
        <f t="shared" si="9"/>
        <v>7</v>
      </c>
      <c r="C21" s="68">
        <f t="shared" si="5"/>
        <v>2</v>
      </c>
      <c r="D21" s="68">
        <f t="shared" ref="D21:D84" si="10">IF(C21=1,D20+1,D20)</f>
        <v>3</v>
      </c>
      <c r="E21" s="68">
        <f t="shared" ref="E21:E84" si="11">IF(D21&lt;&gt;D20,E20+5,E20)</f>
        <v>11</v>
      </c>
      <c r="F21" s="21" t="str">
        <f>VLOOKUP(D21,Sheet2!A:B,2)</f>
        <v>J19-0169</v>
      </c>
      <c r="G21" s="68" t="str">
        <f>VLOOKUP(F21,Sheet2!B:C,2,0)</f>
        <v>TTCL</v>
      </c>
      <c r="H21" s="68" t="str">
        <f>HLOOKUP(I$2+$A21,Sheet2!BX:NB,2,0)</f>
        <v>16-31 Jan 21</v>
      </c>
      <c r="I21">
        <f>IF(OR(HLOOKUP(I$2+$A21,Sheet2!BX:NB,$B21,0),HLOOKUP(I$2+$A21,Sheet2!BX:NB,$B21,0)&lt;&gt;""),HLOOKUP(I$2+$A21,Sheet2!BX:NB,$B21,0),"")</f>
        <v>380447</v>
      </c>
      <c r="J21">
        <f>IF(OR(HLOOKUP(J$2+$A21,Sheet2!BY:NC,$B21,0),HLOOKUP(J$2+$A21,Sheet2!BY:NC,$B21,0)&lt;&gt;""),HLOOKUP(J$2+$A21,Sheet2!BY:NC,$B21,0),"")</f>
        <v>18856</v>
      </c>
      <c r="K21">
        <f>IF(OR(HLOOKUP(K$2+$A21,Sheet2!BZ:ND,$B21,0),HLOOKUP(K$2+$A21,Sheet2!BZ:ND,$B21,0)&lt;&gt;""),HLOOKUP(K$2+$A21,Sheet2!BZ:ND,$B21,0),"")</f>
        <v>9300</v>
      </c>
      <c r="L21">
        <f>IF(OR(HLOOKUP(L$2+$A21,Sheet2!CA:NE,$B21,0),HLOOKUP(L$2+$A21,Sheet2!CA:NE,$B21,0)&lt;&gt;""),HLOOKUP(L$2+$A21,Sheet2!CA:NE,$B21,0),"")</f>
        <v>237670</v>
      </c>
      <c r="M21">
        <f>IF(OR(HLOOKUP(M$2+$A21,Sheet2!CB:NF,$B21,0),HLOOKUP(M$2+$A21,Sheet2!CB:NF,$B21,0)&lt;&gt;""),HLOOKUP(M$2+$A21,Sheet2!CB:NF,$B21,0),"")</f>
        <v>51</v>
      </c>
    </row>
    <row r="22" spans="1:13" x14ac:dyDescent="0.25">
      <c r="A22" s="68">
        <f t="shared" si="8"/>
        <v>10</v>
      </c>
      <c r="B22" s="68">
        <f t="shared" si="9"/>
        <v>7</v>
      </c>
      <c r="C22" s="68">
        <f t="shared" si="5"/>
        <v>3</v>
      </c>
      <c r="D22" s="68">
        <f t="shared" si="10"/>
        <v>3</v>
      </c>
      <c r="E22" s="68">
        <f t="shared" si="11"/>
        <v>11</v>
      </c>
      <c r="F22" s="21" t="str">
        <f>VLOOKUP(D22,Sheet2!A:B,2)</f>
        <v>J19-0169</v>
      </c>
      <c r="G22" s="68" t="str">
        <f>VLOOKUP(F22,Sheet2!B:C,2,0)</f>
        <v>TTCL</v>
      </c>
      <c r="H22" s="68" t="str">
        <f>HLOOKUP(I$2+$A22,Sheet2!BX:NB,2,0)</f>
        <v>1-15 Feb 21</v>
      </c>
      <c r="I22">
        <f>IF(OR(HLOOKUP(I$2+$A22,Sheet2!BX:NB,$B22,0),HLOOKUP(I$2+$A22,Sheet2!BX:NB,$B22,0)&lt;&gt;""),HLOOKUP(I$2+$A22,Sheet2!BX:NB,$B22,0),"")</f>
        <v>138642</v>
      </c>
      <c r="J22">
        <f>IF(OR(HLOOKUP(J$2+$A22,Sheet2!BY:NC,$B22,0),HLOOKUP(J$2+$A22,Sheet2!BY:NC,$B22,0)&lt;&gt;""),HLOOKUP(J$2+$A22,Sheet2!BY:NC,$B22,0),"")</f>
        <v>10966</v>
      </c>
      <c r="K22">
        <f>IF(OR(HLOOKUP(K$2+$A22,Sheet2!BZ:ND,$B22,0),HLOOKUP(K$2+$A22,Sheet2!BZ:ND,$B22,0)&lt;&gt;""),HLOOKUP(K$2+$A22,Sheet2!BZ:ND,$B22,0),"")</f>
        <v>6800</v>
      </c>
      <c r="L22">
        <f>IF(OR(HLOOKUP(L$2+$A22,Sheet2!CA:NE,$B22,0),HLOOKUP(L$2+$A22,Sheet2!CA:NE,$B22,0)&lt;&gt;""),HLOOKUP(L$2+$A22,Sheet2!CA:NE,$B22,0),"")</f>
        <v>90900</v>
      </c>
      <c r="M22">
        <f>IF(OR(HLOOKUP(M$2+$A22,Sheet2!CB:NF,$B22,0),HLOOKUP(M$2+$A22,Sheet2!CB:NF,$B22,0)&lt;&gt;""),HLOOKUP(M$2+$A22,Sheet2!CB:NF,$B22,0),"")</f>
        <v>15</v>
      </c>
    </row>
    <row r="23" spans="1:13" x14ac:dyDescent="0.25">
      <c r="A23" s="68">
        <f t="shared" si="8"/>
        <v>15</v>
      </c>
      <c r="B23" s="68">
        <f t="shared" si="9"/>
        <v>7</v>
      </c>
      <c r="C23" s="68">
        <f t="shared" si="5"/>
        <v>4</v>
      </c>
      <c r="D23" s="68">
        <f t="shared" si="10"/>
        <v>3</v>
      </c>
      <c r="E23" s="68">
        <f t="shared" si="11"/>
        <v>11</v>
      </c>
      <c r="F23" s="21" t="str">
        <f>VLOOKUP(D23,Sheet2!A:B,2)</f>
        <v>J19-0169</v>
      </c>
      <c r="G23" s="68" t="str">
        <f>VLOOKUP(F23,Sheet2!B:C,2,0)</f>
        <v>TTCL</v>
      </c>
      <c r="H23" s="68" t="str">
        <f>HLOOKUP(I$2+$A23,Sheet2!BX:NB,2,0)</f>
        <v>16-28 Feb 21</v>
      </c>
      <c r="I23">
        <f>IF(OR(HLOOKUP(I$2+$A23,Sheet2!BX:NB,$B23,0),HLOOKUP(I$2+$A23,Sheet2!BX:NB,$B23,0)&lt;&gt;""),HLOOKUP(I$2+$A23,Sheet2!BX:NB,$B23,0),"")</f>
        <v>63904</v>
      </c>
      <c r="J23">
        <f>IF(OR(HLOOKUP(J$2+$A23,Sheet2!BY:NC,$B23,0),HLOOKUP(J$2+$A23,Sheet2!BY:NC,$B23,0)&lt;&gt;""),HLOOKUP(J$2+$A23,Sheet2!BY:NC,$B23,0),"")</f>
        <v>1148</v>
      </c>
      <c r="K23">
        <f>IF(OR(HLOOKUP(K$2+$A23,Sheet2!BZ:ND,$B23,0),HLOOKUP(K$2+$A23,Sheet2!BZ:ND,$B23,0)&lt;&gt;""),HLOOKUP(K$2+$A23,Sheet2!BZ:ND,$B23,0),"")</f>
        <v>3650</v>
      </c>
      <c r="L23">
        <f>IF(OR(HLOOKUP(L$2+$A23,Sheet2!CA:NE,$B23,0),HLOOKUP(L$2+$A23,Sheet2!CA:NE,$B23,0)&lt;&gt;""),HLOOKUP(L$2+$A23,Sheet2!CA:NE,$B23,0),"")</f>
        <v>65100</v>
      </c>
      <c r="M23">
        <f>IF(OR(HLOOKUP(M$2+$A23,Sheet2!CB:NF,$B23,0),HLOOKUP(M$2+$A23,Sheet2!CB:NF,$B23,0)&lt;&gt;""),HLOOKUP(M$2+$A23,Sheet2!CB:NF,$B23,0),"")</f>
        <v>10</v>
      </c>
    </row>
    <row r="24" spans="1:13" x14ac:dyDescent="0.25">
      <c r="A24" s="68">
        <f t="shared" si="8"/>
        <v>20</v>
      </c>
      <c r="B24" s="68">
        <f t="shared" si="9"/>
        <v>7</v>
      </c>
      <c r="C24" s="68">
        <f t="shared" si="5"/>
        <v>5</v>
      </c>
      <c r="D24" s="68">
        <f t="shared" si="10"/>
        <v>3</v>
      </c>
      <c r="E24" s="68">
        <f t="shared" si="11"/>
        <v>11</v>
      </c>
      <c r="F24" s="21" t="str">
        <f>VLOOKUP(D24,Sheet2!A:B,2)</f>
        <v>J19-0169</v>
      </c>
      <c r="G24" s="68" t="str">
        <f>VLOOKUP(F24,Sheet2!B:C,2,0)</f>
        <v>TTCL</v>
      </c>
      <c r="H24" s="68" t="str">
        <f>HLOOKUP(I$2+$A24,Sheet2!BX:NB,2,0)</f>
        <v>1-15 Mar 2021</v>
      </c>
      <c r="I24">
        <f>IF(OR(HLOOKUP(I$2+$A24,Sheet2!BX:NB,$B24,0),HLOOKUP(I$2+$A24,Sheet2!BX:NB,$B24,0)&lt;&gt;""),HLOOKUP(I$2+$A24,Sheet2!BX:NB,$B24,0),"")</f>
        <v>46180</v>
      </c>
      <c r="J24" t="str">
        <f>IF(OR(HLOOKUP(J$2+$A24,Sheet2!BY:NC,$B24,0),HLOOKUP(J$2+$A24,Sheet2!BY:NC,$B24,0)&lt;&gt;""),HLOOKUP(J$2+$A24,Sheet2!BY:NC,$B24,0),"")</f>
        <v/>
      </c>
      <c r="K24">
        <f>IF(OR(HLOOKUP(K$2+$A24,Sheet2!BZ:ND,$B24,0),HLOOKUP(K$2+$A24,Sheet2!BZ:ND,$B24,0)&lt;&gt;""),HLOOKUP(K$2+$A24,Sheet2!BZ:ND,$B24,0),"")</f>
        <v>3750</v>
      </c>
      <c r="L24" t="str">
        <f>IF(OR(HLOOKUP(L$2+$A24,Sheet2!CA:NE,$B24,0),HLOOKUP(L$2+$A24,Sheet2!CA:NE,$B24,0)&lt;&gt;""),HLOOKUP(L$2+$A24,Sheet2!CA:NE,$B24,0),"")</f>
        <v/>
      </c>
      <c r="M24">
        <f>IF(OR(HLOOKUP(M$2+$A24,Sheet2!CB:NF,$B24,0),HLOOKUP(M$2+$A24,Sheet2!CB:NF,$B24,0)&lt;&gt;""),HLOOKUP(M$2+$A24,Sheet2!CB:NF,$B24,0),"")</f>
        <v>6</v>
      </c>
    </row>
    <row r="25" spans="1:13" x14ac:dyDescent="0.25">
      <c r="A25" s="68">
        <f t="shared" si="8"/>
        <v>25</v>
      </c>
      <c r="B25" s="68">
        <f t="shared" si="9"/>
        <v>7</v>
      </c>
      <c r="C25" s="68">
        <f t="shared" si="5"/>
        <v>6</v>
      </c>
      <c r="D25" s="68">
        <f t="shared" si="10"/>
        <v>3</v>
      </c>
      <c r="E25" s="68">
        <f t="shared" si="11"/>
        <v>11</v>
      </c>
      <c r="F25" s="21" t="str">
        <f>VLOOKUP(D25,Sheet2!A:B,2)</f>
        <v>J19-0169</v>
      </c>
      <c r="G25" s="68" t="str">
        <f>VLOOKUP(F25,Sheet2!B:C,2,0)</f>
        <v>TTCL</v>
      </c>
      <c r="H25" s="68" t="str">
        <f>HLOOKUP(I$2+$A25,Sheet2!BX:NB,2,0)</f>
        <v>16-31 Mar 21</v>
      </c>
      <c r="I25">
        <f>IF(OR(HLOOKUP(I$2+$A25,Sheet2!BX:NB,$B25,0),HLOOKUP(I$2+$A25,Sheet2!BX:NB,$B25,0)&lt;&gt;""),HLOOKUP(I$2+$A25,Sheet2!BX:NB,$B25,0),"")</f>
        <v>49700</v>
      </c>
      <c r="J25">
        <f>IF(OR(HLOOKUP(J$2+$A25,Sheet2!BY:NC,$B25,0),HLOOKUP(J$2+$A25,Sheet2!BY:NC,$B25,0)&lt;&gt;""),HLOOKUP(J$2+$A25,Sheet2!BY:NC,$B25,0),"")</f>
        <v>94</v>
      </c>
      <c r="K25" t="str">
        <f>IF(OR(HLOOKUP(K$2+$A25,Sheet2!BZ:ND,$B25,0),HLOOKUP(K$2+$A25,Sheet2!BZ:ND,$B25,0)&lt;&gt;""),HLOOKUP(K$2+$A25,Sheet2!BZ:ND,$B25,0),"")</f>
        <v/>
      </c>
      <c r="L25">
        <f>IF(OR(HLOOKUP(L$2+$A25,Sheet2!CA:NE,$B25,0),HLOOKUP(L$2+$A25,Sheet2!CA:NE,$B25,0)&lt;&gt;""),HLOOKUP(L$2+$A25,Sheet2!CA:NE,$B25,0),"")</f>
        <v>57900</v>
      </c>
      <c r="M25">
        <f>IF(OR(HLOOKUP(M$2+$A25,Sheet2!CB:NF,$B25,0),HLOOKUP(M$2+$A25,Sheet2!CB:NF,$B25,0)&lt;&gt;""),HLOOKUP(M$2+$A25,Sheet2!CB:NF,$B25,0),"")</f>
        <v>6</v>
      </c>
    </row>
    <row r="26" spans="1:13" x14ac:dyDescent="0.25">
      <c r="A26" s="68">
        <f t="shared" si="8"/>
        <v>30</v>
      </c>
      <c r="B26" s="68">
        <f t="shared" si="9"/>
        <v>7</v>
      </c>
      <c r="C26" s="68">
        <f t="shared" si="5"/>
        <v>7</v>
      </c>
      <c r="D26" s="68">
        <f t="shared" si="10"/>
        <v>3</v>
      </c>
      <c r="E26" s="68">
        <f t="shared" si="11"/>
        <v>11</v>
      </c>
      <c r="F26" s="21" t="str">
        <f>VLOOKUP(D26,Sheet2!A:B,2)</f>
        <v>J19-0169</v>
      </c>
      <c r="G26" s="68" t="str">
        <f>VLOOKUP(F26,Sheet2!B:C,2,0)</f>
        <v>TTCL</v>
      </c>
      <c r="H26" s="68" t="str">
        <f>HLOOKUP(I$2+$A26,Sheet2!BX:NB,2,0)</f>
        <v>1-15 April 21</v>
      </c>
      <c r="I26" t="str">
        <f>IF(OR(HLOOKUP(I$2+$A26,Sheet2!BX:NB,$B26,0),HLOOKUP(I$2+$A26,Sheet2!BX:NB,$B26,0)&lt;&gt;""),HLOOKUP(I$2+$A26,Sheet2!BX:NB,$B26,0),"")</f>
        <v/>
      </c>
      <c r="J26" t="str">
        <f>IF(OR(HLOOKUP(J$2+$A26,Sheet2!BY:NC,$B26,0),HLOOKUP(J$2+$A26,Sheet2!BY:NC,$B26,0)&lt;&gt;""),HLOOKUP(J$2+$A26,Sheet2!BY:NC,$B26,0),"")</f>
        <v/>
      </c>
      <c r="K26" t="str">
        <f>IF(OR(HLOOKUP(K$2+$A26,Sheet2!BZ:ND,$B26,0),HLOOKUP(K$2+$A26,Sheet2!BZ:ND,$B26,0)&lt;&gt;""),HLOOKUP(K$2+$A26,Sheet2!BZ:ND,$B26,0),"")</f>
        <v/>
      </c>
      <c r="L26" t="str">
        <f>IF(OR(HLOOKUP(L$2+$A26,Sheet2!CA:NE,$B26,0),HLOOKUP(L$2+$A26,Sheet2!CA:NE,$B26,0)&lt;&gt;""),HLOOKUP(L$2+$A26,Sheet2!CA:NE,$B26,0),"")</f>
        <v/>
      </c>
      <c r="M26" t="str">
        <f>IF(OR(HLOOKUP(M$2+$A26,Sheet2!CB:NF,$B26,0),HLOOKUP(M$2+$A26,Sheet2!CB:NF,$B26,0)&lt;&gt;""),HLOOKUP(M$2+$A26,Sheet2!CB:NF,$B26,0),"")</f>
        <v/>
      </c>
    </row>
    <row r="27" spans="1:13" x14ac:dyDescent="0.25">
      <c r="A27" s="68">
        <f t="shared" si="8"/>
        <v>35</v>
      </c>
      <c r="B27" s="68">
        <f t="shared" si="9"/>
        <v>7</v>
      </c>
      <c r="C27" s="68">
        <f t="shared" si="5"/>
        <v>8</v>
      </c>
      <c r="D27" s="68">
        <f t="shared" si="10"/>
        <v>3</v>
      </c>
      <c r="E27" s="68">
        <f t="shared" si="11"/>
        <v>11</v>
      </c>
      <c r="F27" s="21" t="str">
        <f>VLOOKUP(D27,Sheet2!A:B,2)</f>
        <v>J19-0169</v>
      </c>
      <c r="G27" s="68" t="str">
        <f>VLOOKUP(F27,Sheet2!B:C,2,0)</f>
        <v>TTCL</v>
      </c>
      <c r="H27" s="68" t="str">
        <f>HLOOKUP(I$2+$A27,Sheet2!BX:NB,2,0)</f>
        <v>16-30 April 21</v>
      </c>
      <c r="I27" t="str">
        <f>IF(OR(HLOOKUP(I$2+$A27,Sheet2!BX:NB,$B27,0),HLOOKUP(I$2+$A27,Sheet2!BX:NB,$B27,0)&lt;&gt;""),HLOOKUP(I$2+$A27,Sheet2!BX:NB,$B27,0),"")</f>
        <v/>
      </c>
      <c r="J27" t="str">
        <f>IF(OR(HLOOKUP(J$2+$A27,Sheet2!BY:NC,$B27,0),HLOOKUP(J$2+$A27,Sheet2!BY:NC,$B27,0)&lt;&gt;""),HLOOKUP(J$2+$A27,Sheet2!BY:NC,$B27,0),"")</f>
        <v/>
      </c>
      <c r="K27" t="str">
        <f>IF(OR(HLOOKUP(K$2+$A27,Sheet2!BZ:ND,$B27,0),HLOOKUP(K$2+$A27,Sheet2!BZ:ND,$B27,0)&lt;&gt;""),HLOOKUP(K$2+$A27,Sheet2!BZ:ND,$B27,0),"")</f>
        <v/>
      </c>
      <c r="L27" t="str">
        <f>IF(OR(HLOOKUP(L$2+$A27,Sheet2!CA:NE,$B27,0),HLOOKUP(L$2+$A27,Sheet2!CA:NE,$B27,0)&lt;&gt;""),HLOOKUP(L$2+$A27,Sheet2!CA:NE,$B27,0),"")</f>
        <v/>
      </c>
      <c r="M27" t="str">
        <f>IF(OR(HLOOKUP(M$2+$A27,Sheet2!CB:NF,$B27,0),HLOOKUP(M$2+$A27,Sheet2!CB:NF,$B27,0)&lt;&gt;""),HLOOKUP(M$2+$A27,Sheet2!CB:NF,$B27,0),"")</f>
        <v/>
      </c>
    </row>
    <row r="28" spans="1:13" x14ac:dyDescent="0.25">
      <c r="A28" s="68">
        <f t="shared" si="8"/>
        <v>0</v>
      </c>
      <c r="B28" s="68">
        <f t="shared" si="9"/>
        <v>8</v>
      </c>
      <c r="C28" s="68">
        <f t="shared" si="5"/>
        <v>1</v>
      </c>
      <c r="D28" s="68">
        <f t="shared" si="10"/>
        <v>4</v>
      </c>
      <c r="E28" s="68">
        <f t="shared" si="11"/>
        <v>16</v>
      </c>
      <c r="F28" s="21" t="str">
        <f>VLOOKUP(D28,Sheet2!A:B,2)</f>
        <v>J19-1055</v>
      </c>
      <c r="G28" s="68" t="str">
        <f>VLOOKUP(F28,Sheet2!B:C,2,0)</f>
        <v>SITE Ansell</v>
      </c>
      <c r="H28" s="68" t="str">
        <f>HLOOKUP(I$2+$A28,Sheet2!BX:NB,2,0)</f>
        <v>1-15 Jan 21</v>
      </c>
      <c r="I28">
        <f>IF(OR(HLOOKUP(I$2+$A28,Sheet2!BX:NB,$B28,0),HLOOKUP(I$2+$A28,Sheet2!BX:NB,$B28,0)&lt;&gt;""),HLOOKUP(I$2+$A28,Sheet2!BX:NB,$B28,0),"")</f>
        <v>189210</v>
      </c>
      <c r="J28">
        <f>IF(OR(HLOOKUP(J$2+$A28,Sheet2!BY:NC,$B28,0),HLOOKUP(J$2+$A28,Sheet2!BY:NC,$B28,0)&lt;&gt;""),HLOOKUP(J$2+$A28,Sheet2!BY:NC,$B28,0),"")</f>
        <v>81636</v>
      </c>
      <c r="K28">
        <f>IF(OR(HLOOKUP(K$2+$A28,Sheet2!BZ:ND,$B28,0),HLOOKUP(K$2+$A28,Sheet2!BZ:ND,$B28,0)&lt;&gt;""),HLOOKUP(K$2+$A28,Sheet2!BZ:ND,$B28,0),"")</f>
        <v>14335</v>
      </c>
      <c r="L28">
        <f>IF(OR(HLOOKUP(L$2+$A28,Sheet2!CA:NE,$B28,0),HLOOKUP(L$2+$A28,Sheet2!CA:NE,$B28,0)&lt;&gt;""),HLOOKUP(L$2+$A28,Sheet2!CA:NE,$B28,0),"")</f>
        <v>46600</v>
      </c>
      <c r="M28">
        <f>IF(OR(HLOOKUP(M$2+$A28,Sheet2!CB:NF,$B28,0),HLOOKUP(M$2+$A28,Sheet2!CB:NF,$B28,0)&lt;&gt;""),HLOOKUP(M$2+$A28,Sheet2!CB:NF,$B28,0),"")</f>
        <v>30</v>
      </c>
    </row>
    <row r="29" spans="1:13" x14ac:dyDescent="0.25">
      <c r="A29" s="68">
        <f t="shared" si="8"/>
        <v>5</v>
      </c>
      <c r="B29" s="68">
        <f t="shared" si="9"/>
        <v>8</v>
      </c>
      <c r="C29" s="68">
        <f t="shared" si="5"/>
        <v>2</v>
      </c>
      <c r="D29" s="68">
        <f t="shared" si="10"/>
        <v>4</v>
      </c>
      <c r="E29" s="68">
        <f t="shared" si="11"/>
        <v>16</v>
      </c>
      <c r="F29" s="21" t="str">
        <f>VLOOKUP(D29,Sheet2!A:B,2)</f>
        <v>J19-1055</v>
      </c>
      <c r="G29" s="68" t="str">
        <f>VLOOKUP(F29,Sheet2!B:C,2,0)</f>
        <v>SITE Ansell</v>
      </c>
      <c r="H29" s="68" t="str">
        <f>HLOOKUP(I$2+$A29,Sheet2!BX:NB,2,0)</f>
        <v>16-31 Jan 21</v>
      </c>
      <c r="I29">
        <f>IF(OR(HLOOKUP(I$2+$A29,Sheet2!BX:NB,$B29,0),HLOOKUP(I$2+$A29,Sheet2!BX:NB,$B29,0)&lt;&gt;""),HLOOKUP(I$2+$A29,Sheet2!BX:NB,$B29,0),"")</f>
        <v>204005</v>
      </c>
      <c r="J29">
        <f>IF(OR(HLOOKUP(J$2+$A29,Sheet2!BY:NC,$B29,0),HLOOKUP(J$2+$A29,Sheet2!BY:NC,$B29,0)&lt;&gt;""),HLOOKUP(J$2+$A29,Sheet2!BY:NC,$B29,0),"")</f>
        <v>96636</v>
      </c>
      <c r="K29">
        <f>IF(OR(HLOOKUP(K$2+$A29,Sheet2!BZ:ND,$B29,0),HLOOKUP(K$2+$A29,Sheet2!BZ:ND,$B29,0)&lt;&gt;""),HLOOKUP(K$2+$A29,Sheet2!BZ:ND,$B29,0),"")</f>
        <v>16027</v>
      </c>
      <c r="L29" t="str">
        <f>IF(OR(HLOOKUP(L$2+$A29,Sheet2!CA:NE,$B29,0),HLOOKUP(L$2+$A29,Sheet2!CA:NE,$B29,0)&lt;&gt;""),HLOOKUP(L$2+$A29,Sheet2!CA:NE,$B29,0),"")</f>
        <v/>
      </c>
      <c r="M29">
        <f>IF(OR(HLOOKUP(M$2+$A29,Sheet2!CB:NF,$B29,0),HLOOKUP(M$2+$A29,Sheet2!CB:NF,$B29,0)&lt;&gt;""),HLOOKUP(M$2+$A29,Sheet2!CB:NF,$B29,0),"")</f>
        <v>31</v>
      </c>
    </row>
    <row r="30" spans="1:13" x14ac:dyDescent="0.25">
      <c r="A30" s="68">
        <f t="shared" si="8"/>
        <v>10</v>
      </c>
      <c r="B30" s="68">
        <f t="shared" si="9"/>
        <v>8</v>
      </c>
      <c r="C30" s="68">
        <f t="shared" si="5"/>
        <v>3</v>
      </c>
      <c r="D30" s="68">
        <f t="shared" si="10"/>
        <v>4</v>
      </c>
      <c r="E30" s="68">
        <f t="shared" si="11"/>
        <v>16</v>
      </c>
      <c r="F30" s="21" t="str">
        <f>VLOOKUP(D30,Sheet2!A:B,2)</f>
        <v>J19-1055</v>
      </c>
      <c r="G30" s="68" t="str">
        <f>VLOOKUP(F30,Sheet2!B:C,2,0)</f>
        <v>SITE Ansell</v>
      </c>
      <c r="H30" s="68" t="str">
        <f>HLOOKUP(I$2+$A30,Sheet2!BX:NB,2,0)</f>
        <v>1-15 Feb 21</v>
      </c>
      <c r="I30">
        <f>IF(OR(HLOOKUP(I$2+$A30,Sheet2!BX:NB,$B30,0),HLOOKUP(I$2+$A30,Sheet2!BX:NB,$B30,0)&lt;&gt;""),HLOOKUP(I$2+$A30,Sheet2!BX:NB,$B30,0),"")</f>
        <v>153245</v>
      </c>
      <c r="J30">
        <f>IF(OR(HLOOKUP(J$2+$A30,Sheet2!BY:NC,$B30,0),HLOOKUP(J$2+$A30,Sheet2!BY:NC,$B30,0)&lt;&gt;""),HLOOKUP(J$2+$A30,Sheet2!BY:NC,$B30,0),"")</f>
        <v>37202</v>
      </c>
      <c r="K30">
        <f>IF(OR(HLOOKUP(K$2+$A30,Sheet2!BZ:ND,$B30,0),HLOOKUP(K$2+$A30,Sheet2!BZ:ND,$B30,0)&lt;&gt;""),HLOOKUP(K$2+$A30,Sheet2!BZ:ND,$B30,0),"")</f>
        <v>16262</v>
      </c>
      <c r="L30" t="str">
        <f>IF(OR(HLOOKUP(L$2+$A30,Sheet2!CA:NE,$B30,0),HLOOKUP(L$2+$A30,Sheet2!CA:NE,$B30,0)&lt;&gt;""),HLOOKUP(L$2+$A30,Sheet2!CA:NE,$B30,0),"")</f>
        <v/>
      </c>
      <c r="M30">
        <f>IF(OR(HLOOKUP(M$2+$A30,Sheet2!CB:NF,$B30,0),HLOOKUP(M$2+$A30,Sheet2!CB:NF,$B30,0)&lt;&gt;""),HLOOKUP(M$2+$A30,Sheet2!CB:NF,$B30,0),"")</f>
        <v>33</v>
      </c>
    </row>
    <row r="31" spans="1:13" x14ac:dyDescent="0.25">
      <c r="A31" s="68">
        <f t="shared" si="8"/>
        <v>15</v>
      </c>
      <c r="B31" s="68">
        <f t="shared" si="9"/>
        <v>8</v>
      </c>
      <c r="C31" s="68">
        <f t="shared" si="5"/>
        <v>4</v>
      </c>
      <c r="D31" s="68">
        <f t="shared" si="10"/>
        <v>4</v>
      </c>
      <c r="E31" s="68">
        <f t="shared" si="11"/>
        <v>16</v>
      </c>
      <c r="F31" s="21" t="str">
        <f>VLOOKUP(D31,Sheet2!A:B,2)</f>
        <v>J19-1055</v>
      </c>
      <c r="G31" s="68" t="str">
        <f>VLOOKUP(F31,Sheet2!B:C,2,0)</f>
        <v>SITE Ansell</v>
      </c>
      <c r="H31" s="68" t="str">
        <f>HLOOKUP(I$2+$A31,Sheet2!BX:NB,2,0)</f>
        <v>16-28 Feb 21</v>
      </c>
      <c r="I31" t="str">
        <f>IF(OR(HLOOKUP(I$2+$A31,Sheet2!BX:NB,$B31,0),HLOOKUP(I$2+$A31,Sheet2!BX:NB,$B31,0)&lt;&gt;""),HLOOKUP(I$2+$A31,Sheet2!BX:NB,$B31,0),"")</f>
        <v/>
      </c>
      <c r="J31" t="str">
        <f>IF(OR(HLOOKUP(J$2+$A31,Sheet2!BY:NC,$B31,0),HLOOKUP(J$2+$A31,Sheet2!BY:NC,$B31,0)&lt;&gt;""),HLOOKUP(J$2+$A31,Sheet2!BY:NC,$B31,0),"")</f>
        <v/>
      </c>
      <c r="K31" t="str">
        <f>IF(OR(HLOOKUP(K$2+$A31,Sheet2!BZ:ND,$B31,0),HLOOKUP(K$2+$A31,Sheet2!BZ:ND,$B31,0)&lt;&gt;""),HLOOKUP(K$2+$A31,Sheet2!BZ:ND,$B31,0),"")</f>
        <v/>
      </c>
      <c r="L31" t="str">
        <f>IF(OR(HLOOKUP(L$2+$A31,Sheet2!CA:NE,$B31,0),HLOOKUP(L$2+$A31,Sheet2!CA:NE,$B31,0)&lt;&gt;""),HLOOKUP(L$2+$A31,Sheet2!CA:NE,$B31,0),"")</f>
        <v/>
      </c>
      <c r="M31" t="str">
        <f>IF(OR(HLOOKUP(M$2+$A31,Sheet2!CB:NF,$B31,0),HLOOKUP(M$2+$A31,Sheet2!CB:NF,$B31,0)&lt;&gt;""),HLOOKUP(M$2+$A31,Sheet2!CB:NF,$B31,0),"")</f>
        <v/>
      </c>
    </row>
    <row r="32" spans="1:13" x14ac:dyDescent="0.25">
      <c r="A32" s="68">
        <f t="shared" si="8"/>
        <v>20</v>
      </c>
      <c r="B32" s="68">
        <f t="shared" si="9"/>
        <v>8</v>
      </c>
      <c r="C32" s="68">
        <f t="shared" si="5"/>
        <v>5</v>
      </c>
      <c r="D32" s="68">
        <f t="shared" si="10"/>
        <v>4</v>
      </c>
      <c r="E32" s="68">
        <f t="shared" si="11"/>
        <v>16</v>
      </c>
      <c r="F32" s="21" t="str">
        <f>VLOOKUP(D32,Sheet2!A:B,2)</f>
        <v>J19-1055</v>
      </c>
      <c r="G32" s="68" t="str">
        <f>VLOOKUP(F32,Sheet2!B:C,2,0)</f>
        <v>SITE Ansell</v>
      </c>
      <c r="H32" s="68" t="str">
        <f>HLOOKUP(I$2+$A32,Sheet2!BX:NB,2,0)</f>
        <v>1-15 Mar 2021</v>
      </c>
      <c r="I32" t="str">
        <f>IF(OR(HLOOKUP(I$2+$A32,Sheet2!BX:NB,$B32,0),HLOOKUP(I$2+$A32,Sheet2!BX:NB,$B32,0)&lt;&gt;""),HLOOKUP(I$2+$A32,Sheet2!BX:NB,$B32,0),"")</f>
        <v/>
      </c>
      <c r="J32" t="str">
        <f>IF(OR(HLOOKUP(J$2+$A32,Sheet2!BY:NC,$B32,0),HLOOKUP(J$2+$A32,Sheet2!BY:NC,$B32,0)&lt;&gt;""),HLOOKUP(J$2+$A32,Sheet2!BY:NC,$B32,0),"")</f>
        <v/>
      </c>
      <c r="K32" t="str">
        <f>IF(OR(HLOOKUP(K$2+$A32,Sheet2!BZ:ND,$B32,0),HLOOKUP(K$2+$A32,Sheet2!BZ:ND,$B32,0)&lt;&gt;""),HLOOKUP(K$2+$A32,Sheet2!BZ:ND,$B32,0),"")</f>
        <v/>
      </c>
      <c r="L32">
        <f>IF(OR(HLOOKUP(L$2+$A32,Sheet2!CA:NE,$B32,0),HLOOKUP(L$2+$A32,Sheet2!CA:NE,$B32,0)&lt;&gt;""),HLOOKUP(L$2+$A32,Sheet2!CA:NE,$B32,0),"")</f>
        <v>40900</v>
      </c>
      <c r="M32" t="str">
        <f>IF(OR(HLOOKUP(M$2+$A32,Sheet2!CB:NF,$B32,0),HLOOKUP(M$2+$A32,Sheet2!CB:NF,$B32,0)&lt;&gt;""),HLOOKUP(M$2+$A32,Sheet2!CB:NF,$B32,0),"")</f>
        <v/>
      </c>
    </row>
    <row r="33" spans="1:13" x14ac:dyDescent="0.25">
      <c r="A33" s="68">
        <f t="shared" si="8"/>
        <v>25</v>
      </c>
      <c r="B33" s="68">
        <f t="shared" si="9"/>
        <v>8</v>
      </c>
      <c r="C33" s="68">
        <f t="shared" si="5"/>
        <v>6</v>
      </c>
      <c r="D33" s="68">
        <f t="shared" si="10"/>
        <v>4</v>
      </c>
      <c r="E33" s="68">
        <f t="shared" si="11"/>
        <v>16</v>
      </c>
      <c r="F33" s="21" t="str">
        <f>VLOOKUP(D33,Sheet2!A:B,2)</f>
        <v>J19-1055</v>
      </c>
      <c r="G33" s="68" t="str">
        <f>VLOOKUP(F33,Sheet2!B:C,2,0)</f>
        <v>SITE Ansell</v>
      </c>
      <c r="H33" s="68" t="str">
        <f>HLOOKUP(I$2+$A33,Sheet2!BX:NB,2,0)</f>
        <v>16-31 Mar 21</v>
      </c>
      <c r="I33" t="str">
        <f>IF(OR(HLOOKUP(I$2+$A33,Sheet2!BX:NB,$B33,0),HLOOKUP(I$2+$A33,Sheet2!BX:NB,$B33,0)&lt;&gt;""),HLOOKUP(I$2+$A33,Sheet2!BX:NB,$B33,0),"")</f>
        <v/>
      </c>
      <c r="J33" t="str">
        <f>IF(OR(HLOOKUP(J$2+$A33,Sheet2!BY:NC,$B33,0),HLOOKUP(J$2+$A33,Sheet2!BY:NC,$B33,0)&lt;&gt;""),HLOOKUP(J$2+$A33,Sheet2!BY:NC,$B33,0),"")</f>
        <v/>
      </c>
      <c r="K33" t="str">
        <f>IF(OR(HLOOKUP(K$2+$A33,Sheet2!BZ:ND,$B33,0),HLOOKUP(K$2+$A33,Sheet2!BZ:ND,$B33,0)&lt;&gt;""),HLOOKUP(K$2+$A33,Sheet2!BZ:ND,$B33,0),"")</f>
        <v/>
      </c>
      <c r="L33" t="str">
        <f>IF(OR(HLOOKUP(L$2+$A33,Sheet2!CA:NE,$B33,0),HLOOKUP(L$2+$A33,Sheet2!CA:NE,$B33,0)&lt;&gt;""),HLOOKUP(L$2+$A33,Sheet2!CA:NE,$B33,0),"")</f>
        <v/>
      </c>
      <c r="M33" t="str">
        <f>IF(OR(HLOOKUP(M$2+$A33,Sheet2!CB:NF,$B33,0),HLOOKUP(M$2+$A33,Sheet2!CB:NF,$B33,0)&lt;&gt;""),HLOOKUP(M$2+$A33,Sheet2!CB:NF,$B33,0),"")</f>
        <v/>
      </c>
    </row>
    <row r="34" spans="1:13" x14ac:dyDescent="0.25">
      <c r="A34" s="68">
        <f t="shared" si="8"/>
        <v>30</v>
      </c>
      <c r="B34" s="68">
        <f t="shared" si="9"/>
        <v>8</v>
      </c>
      <c r="C34" s="68">
        <f t="shared" si="5"/>
        <v>7</v>
      </c>
      <c r="D34" s="68">
        <f t="shared" si="10"/>
        <v>4</v>
      </c>
      <c r="E34" s="68">
        <f t="shared" si="11"/>
        <v>16</v>
      </c>
      <c r="F34" s="21" t="str">
        <f>VLOOKUP(D34,Sheet2!A:B,2)</f>
        <v>J19-1055</v>
      </c>
      <c r="G34" s="68" t="str">
        <f>VLOOKUP(F34,Sheet2!B:C,2,0)</f>
        <v>SITE Ansell</v>
      </c>
      <c r="H34" s="68" t="str">
        <f>HLOOKUP(I$2+$A34,Sheet2!BX:NB,2,0)</f>
        <v>1-15 April 21</v>
      </c>
      <c r="I34" t="str">
        <f>IF(OR(HLOOKUP(I$2+$A34,Sheet2!BX:NB,$B34,0),HLOOKUP(I$2+$A34,Sheet2!BX:NB,$B34,0)&lt;&gt;""),HLOOKUP(I$2+$A34,Sheet2!BX:NB,$B34,0),"")</f>
        <v/>
      </c>
      <c r="J34" t="str">
        <f>IF(OR(HLOOKUP(J$2+$A34,Sheet2!BY:NC,$B34,0),HLOOKUP(J$2+$A34,Sheet2!BY:NC,$B34,0)&lt;&gt;""),HLOOKUP(J$2+$A34,Sheet2!BY:NC,$B34,0),"")</f>
        <v/>
      </c>
      <c r="K34" t="str">
        <f>IF(OR(HLOOKUP(K$2+$A34,Sheet2!BZ:ND,$B34,0),HLOOKUP(K$2+$A34,Sheet2!BZ:ND,$B34,0)&lt;&gt;""),HLOOKUP(K$2+$A34,Sheet2!BZ:ND,$B34,0),"")</f>
        <v/>
      </c>
      <c r="L34" t="str">
        <f>IF(OR(HLOOKUP(L$2+$A34,Sheet2!CA:NE,$B34,0),HLOOKUP(L$2+$A34,Sheet2!CA:NE,$B34,0)&lt;&gt;""),HLOOKUP(L$2+$A34,Sheet2!CA:NE,$B34,0),"")</f>
        <v/>
      </c>
      <c r="M34" t="str">
        <f>IF(OR(HLOOKUP(M$2+$A34,Sheet2!CB:NF,$B34,0),HLOOKUP(M$2+$A34,Sheet2!CB:NF,$B34,0)&lt;&gt;""),HLOOKUP(M$2+$A34,Sheet2!CB:NF,$B34,0),"")</f>
        <v/>
      </c>
    </row>
    <row r="35" spans="1:13" x14ac:dyDescent="0.25">
      <c r="A35" s="68">
        <f t="shared" si="8"/>
        <v>35</v>
      </c>
      <c r="B35" s="68">
        <f t="shared" si="9"/>
        <v>8</v>
      </c>
      <c r="C35" s="68">
        <f t="shared" si="5"/>
        <v>8</v>
      </c>
      <c r="D35" s="68">
        <f t="shared" si="10"/>
        <v>4</v>
      </c>
      <c r="E35" s="68">
        <f t="shared" si="11"/>
        <v>16</v>
      </c>
      <c r="F35" s="21" t="str">
        <f>VLOOKUP(D35,Sheet2!A:B,2)</f>
        <v>J19-1055</v>
      </c>
      <c r="G35" s="68" t="str">
        <f>VLOOKUP(F35,Sheet2!B:C,2,0)</f>
        <v>SITE Ansell</v>
      </c>
      <c r="H35" s="68" t="str">
        <f>HLOOKUP(I$2+$A35,Sheet2!BX:NB,2,0)</f>
        <v>16-30 April 21</v>
      </c>
      <c r="I35" t="str">
        <f>IF(OR(HLOOKUP(I$2+$A35,Sheet2!BX:NB,$B35,0),HLOOKUP(I$2+$A35,Sheet2!BX:NB,$B35,0)&lt;&gt;""),HLOOKUP(I$2+$A35,Sheet2!BX:NB,$B35,0),"")</f>
        <v/>
      </c>
      <c r="J35" t="str">
        <f>IF(OR(HLOOKUP(J$2+$A35,Sheet2!BY:NC,$B35,0),HLOOKUP(J$2+$A35,Sheet2!BY:NC,$B35,0)&lt;&gt;""),HLOOKUP(J$2+$A35,Sheet2!BY:NC,$B35,0),"")</f>
        <v/>
      </c>
      <c r="K35" t="str">
        <f>IF(OR(HLOOKUP(K$2+$A35,Sheet2!BZ:ND,$B35,0),HLOOKUP(K$2+$A35,Sheet2!BZ:ND,$B35,0)&lt;&gt;""),HLOOKUP(K$2+$A35,Sheet2!BZ:ND,$B35,0),"")</f>
        <v/>
      </c>
      <c r="L35" t="str">
        <f>IF(OR(HLOOKUP(L$2+$A35,Sheet2!CA:NE,$B35,0),HLOOKUP(L$2+$A35,Sheet2!CA:NE,$B35,0)&lt;&gt;""),HLOOKUP(L$2+$A35,Sheet2!CA:NE,$B35,0),"")</f>
        <v/>
      </c>
      <c r="M35" t="str">
        <f>IF(OR(HLOOKUP(M$2+$A35,Sheet2!CB:NF,$B35,0),HLOOKUP(M$2+$A35,Sheet2!CB:NF,$B35,0)&lt;&gt;""),HLOOKUP(M$2+$A35,Sheet2!CB:NF,$B35,0),"")</f>
        <v/>
      </c>
    </row>
    <row r="36" spans="1:13" x14ac:dyDescent="0.25">
      <c r="A36" s="68">
        <f t="shared" si="8"/>
        <v>0</v>
      </c>
      <c r="B36" s="68">
        <f t="shared" si="9"/>
        <v>9</v>
      </c>
      <c r="C36" s="68">
        <f t="shared" si="5"/>
        <v>1</v>
      </c>
      <c r="D36" s="68">
        <f t="shared" si="10"/>
        <v>5</v>
      </c>
      <c r="E36" s="68">
        <f t="shared" si="11"/>
        <v>21</v>
      </c>
      <c r="F36" s="21" t="str">
        <f>VLOOKUP(D36,Sheet2!A:B,2)</f>
        <v>J20-0462</v>
      </c>
      <c r="G36" s="68" t="str">
        <f>VLOOKUP(F36,Sheet2!B:C,2,0)</f>
        <v xml:space="preserve">New Main Gate, Firefighting &amp; Security, Driver Off </v>
      </c>
      <c r="H36" s="68" t="str">
        <f>HLOOKUP(I$2+$A36,Sheet2!BX:NB,2,0)</f>
        <v>1-15 Jan 21</v>
      </c>
      <c r="I36">
        <f>IF(OR(HLOOKUP(I$2+$A36,Sheet2!BX:NB,$B36,0),HLOOKUP(I$2+$A36,Sheet2!BX:NB,$B36,0)&lt;&gt;""),HLOOKUP(I$2+$A36,Sheet2!BX:NB,$B36,0),"")</f>
        <v>268303</v>
      </c>
      <c r="J36">
        <f>IF(OR(HLOOKUP(J$2+$A36,Sheet2!BY:NC,$B36,0),HLOOKUP(J$2+$A36,Sheet2!BY:NC,$B36,0)&lt;&gt;""),HLOOKUP(J$2+$A36,Sheet2!BY:NC,$B36,0),"")</f>
        <v>150206</v>
      </c>
      <c r="K36" t="str">
        <f>IF(OR(HLOOKUP(K$2+$A36,Sheet2!BZ:ND,$B36,0),HLOOKUP(K$2+$A36,Sheet2!BZ:ND,$B36,0)&lt;&gt;""),HLOOKUP(K$2+$A36,Sheet2!BZ:ND,$B36,0),"")</f>
        <v/>
      </c>
      <c r="L36" t="str">
        <f>IF(OR(HLOOKUP(L$2+$A36,Sheet2!CA:NE,$B36,0),HLOOKUP(L$2+$A36,Sheet2!CA:NE,$B36,0)&lt;&gt;""),HLOOKUP(L$2+$A36,Sheet2!CA:NE,$B36,0),"")</f>
        <v/>
      </c>
      <c r="M36">
        <f>IF(OR(HLOOKUP(M$2+$A36,Sheet2!CB:NF,$B36,0),HLOOKUP(M$2+$A36,Sheet2!CB:NF,$B36,0)&lt;&gt;""),HLOOKUP(M$2+$A36,Sheet2!CB:NF,$B36,0),"")</f>
        <v>44</v>
      </c>
    </row>
    <row r="37" spans="1:13" x14ac:dyDescent="0.25">
      <c r="A37" s="68">
        <f t="shared" si="8"/>
        <v>5</v>
      </c>
      <c r="B37" s="68">
        <f t="shared" si="9"/>
        <v>9</v>
      </c>
      <c r="C37" s="68">
        <f t="shared" si="5"/>
        <v>2</v>
      </c>
      <c r="D37" s="68">
        <f t="shared" si="10"/>
        <v>5</v>
      </c>
      <c r="E37" s="68">
        <f t="shared" si="11"/>
        <v>21</v>
      </c>
      <c r="F37" s="21" t="str">
        <f>VLOOKUP(D37,Sheet2!A:B,2)</f>
        <v>J20-0462</v>
      </c>
      <c r="G37" s="68" t="str">
        <f>VLOOKUP(F37,Sheet2!B:C,2,0)</f>
        <v xml:space="preserve">New Main Gate, Firefighting &amp; Security, Driver Off </v>
      </c>
      <c r="H37" s="68" t="str">
        <f>HLOOKUP(I$2+$A37,Sheet2!BX:NB,2,0)</f>
        <v>16-31 Jan 21</v>
      </c>
      <c r="I37">
        <f>IF(OR(HLOOKUP(I$2+$A37,Sheet2!BX:NB,$B37,0),HLOOKUP(I$2+$A37,Sheet2!BX:NB,$B37,0)&lt;&gt;""),HLOOKUP(I$2+$A37,Sheet2!BX:NB,$B37,0),"")</f>
        <v>313964</v>
      </c>
      <c r="J37">
        <f>IF(OR(HLOOKUP(J$2+$A37,Sheet2!BY:NC,$B37,0),HLOOKUP(J$2+$A37,Sheet2!BY:NC,$B37,0)&lt;&gt;""),HLOOKUP(J$2+$A37,Sheet2!BY:NC,$B37,0),"")</f>
        <v>245201</v>
      </c>
      <c r="K37" t="str">
        <f>IF(OR(HLOOKUP(K$2+$A37,Sheet2!BZ:ND,$B37,0),HLOOKUP(K$2+$A37,Sheet2!BZ:ND,$B37,0)&lt;&gt;""),HLOOKUP(K$2+$A37,Sheet2!BZ:ND,$B37,0),"")</f>
        <v/>
      </c>
      <c r="L37">
        <f>IF(OR(HLOOKUP(L$2+$A37,Sheet2!CA:NE,$B37,0),HLOOKUP(L$2+$A37,Sheet2!CA:NE,$B37,0)&lt;&gt;""),HLOOKUP(L$2+$A37,Sheet2!CA:NE,$B37,0),"")</f>
        <v>13200</v>
      </c>
      <c r="M37">
        <f>IF(OR(HLOOKUP(M$2+$A37,Sheet2!CB:NF,$B37,0),HLOOKUP(M$2+$A37,Sheet2!CB:NF,$B37,0)&lt;&gt;""),HLOOKUP(M$2+$A37,Sheet2!CB:NF,$B37,0),"")</f>
        <v>39</v>
      </c>
    </row>
    <row r="38" spans="1:13" x14ac:dyDescent="0.25">
      <c r="A38" s="68">
        <f t="shared" si="8"/>
        <v>10</v>
      </c>
      <c r="B38" s="68">
        <f t="shared" si="9"/>
        <v>9</v>
      </c>
      <c r="C38" s="68">
        <f t="shared" si="5"/>
        <v>3</v>
      </c>
      <c r="D38" s="68">
        <f t="shared" si="10"/>
        <v>5</v>
      </c>
      <c r="E38" s="68">
        <f t="shared" si="11"/>
        <v>21</v>
      </c>
      <c r="F38" s="21" t="str">
        <f>VLOOKUP(D38,Sheet2!A:B,2)</f>
        <v>J20-0462</v>
      </c>
      <c r="G38" s="68" t="str">
        <f>VLOOKUP(F38,Sheet2!B:C,2,0)</f>
        <v xml:space="preserve">New Main Gate, Firefighting &amp; Security, Driver Off </v>
      </c>
      <c r="H38" s="68" t="str">
        <f>HLOOKUP(I$2+$A38,Sheet2!BX:NB,2,0)</f>
        <v>1-15 Feb 21</v>
      </c>
      <c r="I38">
        <f>IF(OR(HLOOKUP(I$2+$A38,Sheet2!BX:NB,$B38,0),HLOOKUP(I$2+$A38,Sheet2!BX:NB,$B38,0)&lt;&gt;""),HLOOKUP(I$2+$A38,Sheet2!BX:NB,$B38,0),"")</f>
        <v>252840</v>
      </c>
      <c r="J38">
        <f>IF(OR(HLOOKUP(J$2+$A38,Sheet2!BY:NC,$B38,0),HLOOKUP(J$2+$A38,Sheet2!BY:NC,$B38,0)&lt;&gt;""),HLOOKUP(J$2+$A38,Sheet2!BY:NC,$B38,0),"")</f>
        <v>76393</v>
      </c>
      <c r="K38" t="str">
        <f>IF(OR(HLOOKUP(K$2+$A38,Sheet2!BZ:ND,$B38,0),HLOOKUP(K$2+$A38,Sheet2!BZ:ND,$B38,0)&lt;&gt;""),HLOOKUP(K$2+$A38,Sheet2!BZ:ND,$B38,0),"")</f>
        <v/>
      </c>
      <c r="L38" t="str">
        <f>IF(OR(HLOOKUP(L$2+$A38,Sheet2!CA:NE,$B38,0),HLOOKUP(L$2+$A38,Sheet2!CA:NE,$B38,0)&lt;&gt;""),HLOOKUP(L$2+$A38,Sheet2!CA:NE,$B38,0),"")</f>
        <v/>
      </c>
      <c r="M38">
        <f>IF(OR(HLOOKUP(M$2+$A38,Sheet2!CB:NF,$B38,0),HLOOKUP(M$2+$A38,Sheet2!CB:NF,$B38,0)&lt;&gt;""),HLOOKUP(M$2+$A38,Sheet2!CB:NF,$B38,0),"")</f>
        <v>37</v>
      </c>
    </row>
    <row r="39" spans="1:13" x14ac:dyDescent="0.25">
      <c r="A39" s="68">
        <f t="shared" ref="A39:A57" si="12">IF(C39&lt;&gt;1,A38+5,0)</f>
        <v>15</v>
      </c>
      <c r="B39" s="68">
        <f t="shared" ref="B39:B57" si="13">IF(C39&lt;&gt;1,B38,B38+1)</f>
        <v>9</v>
      </c>
      <c r="C39" s="68">
        <f t="shared" si="5"/>
        <v>4</v>
      </c>
      <c r="D39" s="68">
        <f t="shared" si="10"/>
        <v>5</v>
      </c>
      <c r="E39" s="68">
        <f t="shared" si="11"/>
        <v>21</v>
      </c>
      <c r="F39" s="21" t="str">
        <f>VLOOKUP(D39,Sheet2!A:B,2)</f>
        <v>J20-0462</v>
      </c>
      <c r="G39" s="68" t="str">
        <f>VLOOKUP(F39,Sheet2!B:C,2,0)</f>
        <v xml:space="preserve">New Main Gate, Firefighting &amp; Security, Driver Off </v>
      </c>
      <c r="H39" s="68" t="str">
        <f>HLOOKUP(I$2+$A39,Sheet2!BX:NB,2,0)</f>
        <v>16-28 Feb 21</v>
      </c>
      <c r="I39">
        <f>IF(OR(HLOOKUP(I$2+$A39,Sheet2!BX:NB,$B39,0),HLOOKUP(I$2+$A39,Sheet2!BX:NB,$B39,0)&lt;&gt;""),HLOOKUP(I$2+$A39,Sheet2!BX:NB,$B39,0),"")</f>
        <v>142350</v>
      </c>
      <c r="J39">
        <f>IF(OR(HLOOKUP(J$2+$A39,Sheet2!BY:NC,$B39,0),HLOOKUP(J$2+$A39,Sheet2!BY:NC,$B39,0)&lt;&gt;""),HLOOKUP(J$2+$A39,Sheet2!BY:NC,$B39,0),"")</f>
        <v>20181</v>
      </c>
      <c r="K39" t="str">
        <f>IF(OR(HLOOKUP(K$2+$A39,Sheet2!BZ:ND,$B39,0),HLOOKUP(K$2+$A39,Sheet2!BZ:ND,$B39,0)&lt;&gt;""),HLOOKUP(K$2+$A39,Sheet2!BZ:ND,$B39,0),"")</f>
        <v/>
      </c>
      <c r="L39">
        <f>IF(OR(HLOOKUP(L$2+$A39,Sheet2!CA:NE,$B39,0),HLOOKUP(L$2+$A39,Sheet2!CA:NE,$B39,0)&lt;&gt;""),HLOOKUP(L$2+$A39,Sheet2!CA:NE,$B39,0),"")</f>
        <v>332170</v>
      </c>
      <c r="M39">
        <f>IF(OR(HLOOKUP(M$2+$A39,Sheet2!CB:NF,$B39,0),HLOOKUP(M$2+$A39,Sheet2!CB:NF,$B39,0)&lt;&gt;""),HLOOKUP(M$2+$A39,Sheet2!CB:NF,$B39,0),"")</f>
        <v>37</v>
      </c>
    </row>
    <row r="40" spans="1:13" x14ac:dyDescent="0.25">
      <c r="A40" s="68">
        <f t="shared" si="12"/>
        <v>20</v>
      </c>
      <c r="B40" s="68">
        <f t="shared" si="13"/>
        <v>9</v>
      </c>
      <c r="C40" s="68">
        <f t="shared" si="5"/>
        <v>5</v>
      </c>
      <c r="D40" s="68">
        <f t="shared" si="10"/>
        <v>5</v>
      </c>
      <c r="E40" s="68">
        <f t="shared" si="11"/>
        <v>21</v>
      </c>
      <c r="F40" s="21" t="str">
        <f>VLOOKUP(D40,Sheet2!A:B,2)</f>
        <v>J20-0462</v>
      </c>
      <c r="G40" s="68" t="str">
        <f>VLOOKUP(F40,Sheet2!B:C,2,0)</f>
        <v xml:space="preserve">New Main Gate, Firefighting &amp; Security, Driver Off </v>
      </c>
      <c r="H40" s="68" t="str">
        <f>HLOOKUP(I$2+$A40,Sheet2!BX:NB,2,0)</f>
        <v>1-15 Mar 2021</v>
      </c>
      <c r="I40">
        <f>IF(OR(HLOOKUP(I$2+$A40,Sheet2!BX:NB,$B40,0),HLOOKUP(I$2+$A40,Sheet2!BX:NB,$B40,0)&lt;&gt;""),HLOOKUP(I$2+$A40,Sheet2!BX:NB,$B40,0),"")</f>
        <v>82400</v>
      </c>
      <c r="J40">
        <f>IF(OR(HLOOKUP(J$2+$A40,Sheet2!BY:NC,$B40,0),HLOOKUP(J$2+$A40,Sheet2!BY:NC,$B40,0)&lt;&gt;""),HLOOKUP(J$2+$A40,Sheet2!BY:NC,$B40,0),"")</f>
        <v>1422</v>
      </c>
      <c r="K40" t="str">
        <f>IF(OR(HLOOKUP(K$2+$A40,Sheet2!BZ:ND,$B40,0),HLOOKUP(K$2+$A40,Sheet2!BZ:ND,$B40,0)&lt;&gt;""),HLOOKUP(K$2+$A40,Sheet2!BZ:ND,$B40,0),"")</f>
        <v/>
      </c>
      <c r="L40">
        <f>IF(OR(HLOOKUP(L$2+$A40,Sheet2!CA:NE,$B40,0),HLOOKUP(L$2+$A40,Sheet2!CA:NE,$B40,0)&lt;&gt;""),HLOOKUP(L$2+$A40,Sheet2!CA:NE,$B40,0),"")</f>
        <v>24900</v>
      </c>
      <c r="M40">
        <f>IF(OR(HLOOKUP(M$2+$A40,Sheet2!CB:NF,$B40,0),HLOOKUP(M$2+$A40,Sheet2!CB:NF,$B40,0)&lt;&gt;""),HLOOKUP(M$2+$A40,Sheet2!CB:NF,$B40,0),"")</f>
        <v>10</v>
      </c>
    </row>
    <row r="41" spans="1:13" x14ac:dyDescent="0.25">
      <c r="A41" s="68">
        <f t="shared" si="12"/>
        <v>25</v>
      </c>
      <c r="B41" s="68">
        <f t="shared" si="13"/>
        <v>9</v>
      </c>
      <c r="C41" s="68">
        <f t="shared" si="5"/>
        <v>6</v>
      </c>
      <c r="D41" s="68">
        <f t="shared" si="10"/>
        <v>5</v>
      </c>
      <c r="E41" s="68">
        <f t="shared" si="11"/>
        <v>21</v>
      </c>
      <c r="F41" s="21" t="str">
        <f>VLOOKUP(D41,Sheet2!A:B,2)</f>
        <v>J20-0462</v>
      </c>
      <c r="G41" s="68" t="str">
        <f>VLOOKUP(F41,Sheet2!B:C,2,0)</f>
        <v xml:space="preserve">New Main Gate, Firefighting &amp; Security, Driver Off </v>
      </c>
      <c r="H41" s="68" t="str">
        <f>HLOOKUP(I$2+$A41,Sheet2!BX:NB,2,0)</f>
        <v>16-31 Mar 21</v>
      </c>
      <c r="I41">
        <f>IF(OR(HLOOKUP(I$2+$A41,Sheet2!BX:NB,$B41,0),HLOOKUP(I$2+$A41,Sheet2!BX:NB,$B41,0)&lt;&gt;""),HLOOKUP(I$2+$A41,Sheet2!BX:NB,$B41,0),"")</f>
        <v>76517</v>
      </c>
      <c r="J41">
        <f>IF(OR(HLOOKUP(J$2+$A41,Sheet2!BY:NC,$B41,0),HLOOKUP(J$2+$A41,Sheet2!BY:NC,$B41,0)&lt;&gt;""),HLOOKUP(J$2+$A41,Sheet2!BY:NC,$B41,0),"")</f>
        <v>1365</v>
      </c>
      <c r="K41">
        <f>IF(OR(HLOOKUP(K$2+$A41,Sheet2!BZ:ND,$B41,0),HLOOKUP(K$2+$A41,Sheet2!BZ:ND,$B41,0)&lt;&gt;""),HLOOKUP(K$2+$A41,Sheet2!BZ:ND,$B41,0),"")</f>
        <v>6000</v>
      </c>
      <c r="L41" t="str">
        <f>IF(OR(HLOOKUP(L$2+$A41,Sheet2!CA:NE,$B41,0),HLOOKUP(L$2+$A41,Sheet2!CA:NE,$B41,0)&lt;&gt;""),HLOOKUP(L$2+$A41,Sheet2!CA:NE,$B41,0),"")</f>
        <v/>
      </c>
      <c r="M41">
        <f>IF(OR(HLOOKUP(M$2+$A41,Sheet2!CB:NF,$B41,0),HLOOKUP(M$2+$A41,Sheet2!CB:NF,$B41,0)&lt;&gt;""),HLOOKUP(M$2+$A41,Sheet2!CB:NF,$B41,0),"")</f>
        <v>9</v>
      </c>
    </row>
    <row r="42" spans="1:13" x14ac:dyDescent="0.25">
      <c r="A42" s="68">
        <f t="shared" si="12"/>
        <v>30</v>
      </c>
      <c r="B42" s="68">
        <f t="shared" si="13"/>
        <v>9</v>
      </c>
      <c r="C42" s="68">
        <f t="shared" si="5"/>
        <v>7</v>
      </c>
      <c r="D42" s="68">
        <f t="shared" si="10"/>
        <v>5</v>
      </c>
      <c r="E42" s="68">
        <f t="shared" si="11"/>
        <v>21</v>
      </c>
      <c r="F42" s="21" t="str">
        <f>VLOOKUP(D42,Sheet2!A:B,2)</f>
        <v>J20-0462</v>
      </c>
      <c r="G42" s="68" t="str">
        <f>VLOOKUP(F42,Sheet2!B:C,2,0)</f>
        <v xml:space="preserve">New Main Gate, Firefighting &amp; Security, Driver Off </v>
      </c>
      <c r="H42" s="68" t="str">
        <f>HLOOKUP(I$2+$A42,Sheet2!BX:NB,2,0)</f>
        <v>1-15 April 21</v>
      </c>
      <c r="I42">
        <f>IF(OR(HLOOKUP(I$2+$A42,Sheet2!BX:NB,$B42,0),HLOOKUP(I$2+$A42,Sheet2!BX:NB,$B42,0)&lt;&gt;""),HLOOKUP(I$2+$A42,Sheet2!BX:NB,$B42,0),"")</f>
        <v>33997</v>
      </c>
      <c r="J42">
        <f>IF(OR(HLOOKUP(J$2+$A42,Sheet2!BY:NC,$B42,0),HLOOKUP(J$2+$A42,Sheet2!BY:NC,$B42,0)&lt;&gt;""),HLOOKUP(J$2+$A42,Sheet2!BY:NC,$B42,0),"")</f>
        <v>473</v>
      </c>
      <c r="K42" t="str">
        <f>IF(OR(HLOOKUP(K$2+$A42,Sheet2!BZ:ND,$B42,0),HLOOKUP(K$2+$A42,Sheet2!BZ:ND,$B42,0)&lt;&gt;""),HLOOKUP(K$2+$A42,Sheet2!BZ:ND,$B42,0),"")</f>
        <v/>
      </c>
      <c r="L42">
        <f>IF(OR(HLOOKUP(L$2+$A42,Sheet2!CA:NE,$B42,0),HLOOKUP(L$2+$A42,Sheet2!CA:NE,$B42,0)&lt;&gt;""),HLOOKUP(L$2+$A42,Sheet2!CA:NE,$B42,0),"")</f>
        <v>169500</v>
      </c>
      <c r="M42">
        <f>IF(OR(HLOOKUP(M$2+$A42,Sheet2!CB:NF,$B42,0),HLOOKUP(M$2+$A42,Sheet2!CB:NF,$B42,0)&lt;&gt;""),HLOOKUP(M$2+$A42,Sheet2!CB:NF,$B42,0),"")</f>
        <v>9</v>
      </c>
    </row>
    <row r="43" spans="1:13" x14ac:dyDescent="0.25">
      <c r="A43" s="68">
        <f t="shared" si="12"/>
        <v>35</v>
      </c>
      <c r="B43" s="68">
        <f t="shared" si="13"/>
        <v>9</v>
      </c>
      <c r="C43" s="68">
        <f t="shared" si="5"/>
        <v>8</v>
      </c>
      <c r="D43" s="68">
        <f t="shared" si="10"/>
        <v>5</v>
      </c>
      <c r="E43" s="68">
        <f t="shared" si="11"/>
        <v>21</v>
      </c>
      <c r="F43" s="21" t="str">
        <f>VLOOKUP(D43,Sheet2!A:B,2)</f>
        <v>J20-0462</v>
      </c>
      <c r="G43" s="68" t="str">
        <f>VLOOKUP(F43,Sheet2!B:C,2,0)</f>
        <v xml:space="preserve">New Main Gate, Firefighting &amp; Security, Driver Off </v>
      </c>
      <c r="H43" s="68" t="str">
        <f>HLOOKUP(I$2+$A43,Sheet2!BX:NB,2,0)</f>
        <v>16-30 April 21</v>
      </c>
      <c r="I43" t="str">
        <f>IF(OR(HLOOKUP(I$2+$A43,Sheet2!BX:NB,$B43,0),HLOOKUP(I$2+$A43,Sheet2!BX:NB,$B43,0)&lt;&gt;""),HLOOKUP(I$2+$A43,Sheet2!BX:NB,$B43,0),"")</f>
        <v/>
      </c>
      <c r="J43" t="str">
        <f>IF(OR(HLOOKUP(J$2+$A43,Sheet2!BY:NC,$B43,0),HLOOKUP(J$2+$A43,Sheet2!BY:NC,$B43,0)&lt;&gt;""),HLOOKUP(J$2+$A43,Sheet2!BY:NC,$B43,0),"")</f>
        <v/>
      </c>
      <c r="K43" t="str">
        <f>IF(OR(HLOOKUP(K$2+$A43,Sheet2!BZ:ND,$B43,0),HLOOKUP(K$2+$A43,Sheet2!BZ:ND,$B43,0)&lt;&gt;""),HLOOKUP(K$2+$A43,Sheet2!BZ:ND,$B43,0),"")</f>
        <v/>
      </c>
      <c r="L43" t="str">
        <f>IF(OR(HLOOKUP(L$2+$A43,Sheet2!CA:NE,$B43,0),HLOOKUP(L$2+$A43,Sheet2!CA:NE,$B43,0)&lt;&gt;""),HLOOKUP(L$2+$A43,Sheet2!CA:NE,$B43,0),"")</f>
        <v/>
      </c>
      <c r="M43" t="str">
        <f>IF(OR(HLOOKUP(M$2+$A43,Sheet2!CB:NF,$B43,0),HLOOKUP(M$2+$A43,Sheet2!CB:NF,$B43,0)&lt;&gt;""),HLOOKUP(M$2+$A43,Sheet2!CB:NF,$B43,0),"")</f>
        <v/>
      </c>
    </row>
    <row r="44" spans="1:13" x14ac:dyDescent="0.25">
      <c r="A44" s="68">
        <f t="shared" si="12"/>
        <v>0</v>
      </c>
      <c r="B44" s="68">
        <f t="shared" si="13"/>
        <v>10</v>
      </c>
      <c r="C44" s="68">
        <f t="shared" si="5"/>
        <v>1</v>
      </c>
      <c r="D44" s="68">
        <f t="shared" si="10"/>
        <v>6</v>
      </c>
      <c r="E44" s="68">
        <f t="shared" si="11"/>
        <v>26</v>
      </c>
      <c r="F44" s="21" t="str">
        <f>VLOOKUP(D44,Sheet2!A:B,2)</f>
        <v>J20-0721</v>
      </c>
      <c r="G44" s="68" t="str">
        <f>VLOOKUP(F44,Sheet2!B:C,2,0)</f>
        <v xml:space="preserve">HD2IPC_work Package Phase 2,3 Project  </v>
      </c>
      <c r="H44" s="68" t="str">
        <f>HLOOKUP(I$2+$A44,Sheet2!BX:NB,2,0)</f>
        <v>1-15 Jan 21</v>
      </c>
      <c r="I44">
        <f>IF(OR(HLOOKUP(I$2+$A44,Sheet2!BX:NB,$B44,0),HLOOKUP(I$2+$A44,Sheet2!BX:NB,$B44,0)&lt;&gt;""),HLOOKUP(I$2+$A44,Sheet2!BX:NB,$B44,0),"")</f>
        <v>279480</v>
      </c>
      <c r="J44" t="str">
        <f>IF(OR(HLOOKUP(J$2+$A44,Sheet2!BY:NC,$B44,0),HLOOKUP(J$2+$A44,Sheet2!BY:NC,$B44,0)&lt;&gt;""),HLOOKUP(J$2+$A44,Sheet2!BY:NC,$B44,0),"")</f>
        <v/>
      </c>
      <c r="K44" t="str">
        <f>IF(OR(HLOOKUP(K$2+$A44,Sheet2!BZ:ND,$B44,0),HLOOKUP(K$2+$A44,Sheet2!BZ:ND,$B44,0)&lt;&gt;""),HLOOKUP(K$2+$A44,Sheet2!BZ:ND,$B44,0),"")</f>
        <v/>
      </c>
      <c r="L44" t="str">
        <f>IF(OR(HLOOKUP(L$2+$A44,Sheet2!CA:NE,$B44,0),HLOOKUP(L$2+$A44,Sheet2!CA:NE,$B44,0)&lt;&gt;""),HLOOKUP(L$2+$A44,Sheet2!CA:NE,$B44,0),"")</f>
        <v/>
      </c>
      <c r="M44">
        <f>IF(OR(HLOOKUP(M$2+$A44,Sheet2!CB:NF,$B44,0),HLOOKUP(M$2+$A44,Sheet2!CB:NF,$B44,0)&lt;&gt;""),HLOOKUP(M$2+$A44,Sheet2!CB:NF,$B44,0),"")</f>
        <v>54</v>
      </c>
    </row>
    <row r="45" spans="1:13" x14ac:dyDescent="0.25">
      <c r="A45" s="68">
        <f t="shared" si="12"/>
        <v>5</v>
      </c>
      <c r="B45" s="68">
        <f t="shared" si="13"/>
        <v>10</v>
      </c>
      <c r="C45" s="68">
        <f t="shared" si="5"/>
        <v>2</v>
      </c>
      <c r="D45" s="68">
        <f t="shared" si="10"/>
        <v>6</v>
      </c>
      <c r="E45" s="68">
        <f t="shared" si="11"/>
        <v>26</v>
      </c>
      <c r="F45" s="21" t="str">
        <f>VLOOKUP(D45,Sheet2!A:B,2)</f>
        <v>J20-0721</v>
      </c>
      <c r="G45" s="68" t="str">
        <f>VLOOKUP(F45,Sheet2!B:C,2,0)</f>
        <v xml:space="preserve">HD2IPC_work Package Phase 2,3 Project  </v>
      </c>
      <c r="H45" s="68" t="str">
        <f>HLOOKUP(I$2+$A45,Sheet2!BX:NB,2,0)</f>
        <v>16-31 Jan 21</v>
      </c>
      <c r="I45">
        <f>IF(OR(HLOOKUP(I$2+$A45,Sheet2!BX:NB,$B45,0),HLOOKUP(I$2+$A45,Sheet2!BX:NB,$B45,0)&lt;&gt;""),HLOOKUP(I$2+$A45,Sheet2!BX:NB,$B45,0),"")</f>
        <v>263103</v>
      </c>
      <c r="J45">
        <f>IF(OR(HLOOKUP(J$2+$A45,Sheet2!BY:NC,$B45,0),HLOOKUP(J$2+$A45,Sheet2!BY:NC,$B45,0)&lt;&gt;""),HLOOKUP(J$2+$A45,Sheet2!BY:NC,$B45,0),"")</f>
        <v>32839</v>
      </c>
      <c r="K45" t="str">
        <f>IF(OR(HLOOKUP(K$2+$A45,Sheet2!BZ:ND,$B45,0),HLOOKUP(K$2+$A45,Sheet2!BZ:ND,$B45,0)&lt;&gt;""),HLOOKUP(K$2+$A45,Sheet2!BZ:ND,$B45,0),"")</f>
        <v/>
      </c>
      <c r="L45">
        <f>IF(OR(HLOOKUP(L$2+$A45,Sheet2!CA:NE,$B45,0),HLOOKUP(L$2+$A45,Sheet2!CA:NE,$B45,0)&lt;&gt;""),HLOOKUP(L$2+$A45,Sheet2!CA:NE,$B45,0),"")</f>
        <v>66620</v>
      </c>
      <c r="M45">
        <f>IF(OR(HLOOKUP(M$2+$A45,Sheet2!CB:NF,$B45,0),HLOOKUP(M$2+$A45,Sheet2!CB:NF,$B45,0)&lt;&gt;""),HLOOKUP(M$2+$A45,Sheet2!CB:NF,$B45,0),"")</f>
        <v>53</v>
      </c>
    </row>
    <row r="46" spans="1:13" x14ac:dyDescent="0.25">
      <c r="A46" s="68">
        <f t="shared" si="12"/>
        <v>10</v>
      </c>
      <c r="B46" s="68">
        <f t="shared" si="13"/>
        <v>10</v>
      </c>
      <c r="C46" s="68">
        <f t="shared" si="5"/>
        <v>3</v>
      </c>
      <c r="D46" s="68">
        <f t="shared" si="10"/>
        <v>6</v>
      </c>
      <c r="E46" s="68">
        <f t="shared" si="11"/>
        <v>26</v>
      </c>
      <c r="F46" s="21" t="str">
        <f>VLOOKUP(D46,Sheet2!A:B,2)</f>
        <v>J20-0721</v>
      </c>
      <c r="G46" s="68" t="str">
        <f>VLOOKUP(F46,Sheet2!B:C,2,0)</f>
        <v xml:space="preserve">HD2IPC_work Package Phase 2,3 Project  </v>
      </c>
      <c r="H46" s="68" t="str">
        <f>HLOOKUP(I$2+$A46,Sheet2!BX:NB,2,0)</f>
        <v>1-15 Feb 21</v>
      </c>
      <c r="I46">
        <f>IF(OR(HLOOKUP(I$2+$A46,Sheet2!BX:NB,$B46,0),HLOOKUP(I$2+$A46,Sheet2!BX:NB,$B46,0)&lt;&gt;""),HLOOKUP(I$2+$A46,Sheet2!BX:NB,$B46,0),"")</f>
        <v>180028</v>
      </c>
      <c r="J46">
        <f>IF(OR(HLOOKUP(J$2+$A46,Sheet2!BY:NC,$B46,0),HLOOKUP(J$2+$A46,Sheet2!BY:NC,$B46,0)&lt;&gt;""),HLOOKUP(J$2+$A46,Sheet2!BY:NC,$B46,0),"")</f>
        <v>79091</v>
      </c>
      <c r="K46" t="str">
        <f>IF(OR(HLOOKUP(K$2+$A46,Sheet2!BZ:ND,$B46,0),HLOOKUP(K$2+$A46,Sheet2!BZ:ND,$B46,0)&lt;&gt;""),HLOOKUP(K$2+$A46,Sheet2!BZ:ND,$B46,0),"")</f>
        <v/>
      </c>
      <c r="L46">
        <f>IF(OR(HLOOKUP(L$2+$A46,Sheet2!CA:NE,$B46,0),HLOOKUP(L$2+$A46,Sheet2!CA:NE,$B46,0)&lt;&gt;""),HLOOKUP(L$2+$A46,Sheet2!CA:NE,$B46,0),"")</f>
        <v>44630</v>
      </c>
      <c r="M46">
        <f>IF(OR(HLOOKUP(M$2+$A46,Sheet2!CB:NF,$B46,0),HLOOKUP(M$2+$A46,Sheet2!CB:NF,$B46,0)&lt;&gt;""),HLOOKUP(M$2+$A46,Sheet2!CB:NF,$B46,0),"")</f>
        <v>29</v>
      </c>
    </row>
    <row r="47" spans="1:13" x14ac:dyDescent="0.25">
      <c r="A47" s="68">
        <f t="shared" si="12"/>
        <v>15</v>
      </c>
      <c r="B47" s="68">
        <f t="shared" si="13"/>
        <v>10</v>
      </c>
      <c r="C47" s="68">
        <f t="shared" si="5"/>
        <v>4</v>
      </c>
      <c r="D47" s="68">
        <f t="shared" si="10"/>
        <v>6</v>
      </c>
      <c r="E47" s="68">
        <f t="shared" si="11"/>
        <v>26</v>
      </c>
      <c r="F47" s="21" t="str">
        <f>VLOOKUP(D47,Sheet2!A:B,2)</f>
        <v>J20-0721</v>
      </c>
      <c r="G47" s="68" t="str">
        <f>VLOOKUP(F47,Sheet2!B:C,2,0)</f>
        <v xml:space="preserve">HD2IPC_work Package Phase 2,3 Project  </v>
      </c>
      <c r="H47" s="68" t="str">
        <f>HLOOKUP(I$2+$A47,Sheet2!BX:NB,2,0)</f>
        <v>16-28 Feb 21</v>
      </c>
      <c r="I47">
        <f>IF(OR(HLOOKUP(I$2+$A47,Sheet2!BX:NB,$B47,0),HLOOKUP(I$2+$A47,Sheet2!BX:NB,$B47,0)&lt;&gt;""),HLOOKUP(I$2+$A47,Sheet2!BX:NB,$B47,0),"")</f>
        <v>158565</v>
      </c>
      <c r="J47">
        <f>IF(OR(HLOOKUP(J$2+$A47,Sheet2!BY:NC,$B47,0),HLOOKUP(J$2+$A47,Sheet2!BY:NC,$B47,0)&lt;&gt;""),HLOOKUP(J$2+$A47,Sheet2!BY:NC,$B47,0),"")</f>
        <v>37335</v>
      </c>
      <c r="K47" t="str">
        <f>IF(OR(HLOOKUP(K$2+$A47,Sheet2!BZ:ND,$B47,0),HLOOKUP(K$2+$A47,Sheet2!BZ:ND,$B47,0)&lt;&gt;""),HLOOKUP(K$2+$A47,Sheet2!BZ:ND,$B47,0),"")</f>
        <v/>
      </c>
      <c r="L47">
        <f>IF(OR(HLOOKUP(L$2+$A47,Sheet2!CA:NE,$B47,0),HLOOKUP(L$2+$A47,Sheet2!CA:NE,$B47,0)&lt;&gt;""),HLOOKUP(L$2+$A47,Sheet2!CA:NE,$B47,0),"")</f>
        <v>320180</v>
      </c>
      <c r="M47">
        <f>IF(OR(HLOOKUP(M$2+$A47,Sheet2!CB:NF,$B47,0),HLOOKUP(M$2+$A47,Sheet2!CB:NF,$B47,0)&lt;&gt;""),HLOOKUP(M$2+$A47,Sheet2!CB:NF,$B47,0),"")</f>
        <v>21</v>
      </c>
    </row>
    <row r="48" spans="1:13" x14ac:dyDescent="0.25">
      <c r="A48" s="68">
        <f t="shared" si="12"/>
        <v>20</v>
      </c>
      <c r="B48" s="68">
        <f t="shared" si="13"/>
        <v>10</v>
      </c>
      <c r="C48" s="68">
        <f t="shared" si="5"/>
        <v>5</v>
      </c>
      <c r="D48" s="68">
        <f t="shared" si="10"/>
        <v>6</v>
      </c>
      <c r="E48" s="68">
        <f t="shared" si="11"/>
        <v>26</v>
      </c>
      <c r="F48" s="21" t="str">
        <f>VLOOKUP(D48,Sheet2!A:B,2)</f>
        <v>J20-0721</v>
      </c>
      <c r="G48" s="68" t="str">
        <f>VLOOKUP(F48,Sheet2!B:C,2,0)</f>
        <v xml:space="preserve">HD2IPC_work Package Phase 2,3 Project  </v>
      </c>
      <c r="H48" s="68" t="str">
        <f>HLOOKUP(I$2+$A48,Sheet2!BX:NB,2,0)</f>
        <v>1-15 Mar 2021</v>
      </c>
      <c r="I48" t="str">
        <f>IF(OR(HLOOKUP(I$2+$A48,Sheet2!BX:NB,$B48,0),HLOOKUP(I$2+$A48,Sheet2!BX:NB,$B48,0)&lt;&gt;""),HLOOKUP(I$2+$A48,Sheet2!BX:NB,$B48,0),"")</f>
        <v/>
      </c>
      <c r="J48" t="str">
        <f>IF(OR(HLOOKUP(J$2+$A48,Sheet2!BY:NC,$B48,0),HLOOKUP(J$2+$A48,Sheet2!BY:NC,$B48,0)&lt;&gt;""),HLOOKUP(J$2+$A48,Sheet2!BY:NC,$B48,0),"")</f>
        <v/>
      </c>
      <c r="K48" t="str">
        <f>IF(OR(HLOOKUP(K$2+$A48,Sheet2!BZ:ND,$B48,0),HLOOKUP(K$2+$A48,Sheet2!BZ:ND,$B48,0)&lt;&gt;""),HLOOKUP(K$2+$A48,Sheet2!BZ:ND,$B48,0),"")</f>
        <v/>
      </c>
      <c r="L48" t="str">
        <f>IF(OR(HLOOKUP(L$2+$A48,Sheet2!CA:NE,$B48,0),HLOOKUP(L$2+$A48,Sheet2!CA:NE,$B48,0)&lt;&gt;""),HLOOKUP(L$2+$A48,Sheet2!CA:NE,$B48,0),"")</f>
        <v/>
      </c>
      <c r="M48" t="str">
        <f>IF(OR(HLOOKUP(M$2+$A48,Sheet2!CB:NF,$B48,0),HLOOKUP(M$2+$A48,Sheet2!CB:NF,$B48,0)&lt;&gt;""),HLOOKUP(M$2+$A48,Sheet2!CB:NF,$B48,0),"")</f>
        <v/>
      </c>
    </row>
    <row r="49" spans="1:13" x14ac:dyDescent="0.25">
      <c r="A49" s="68">
        <f t="shared" si="12"/>
        <v>25</v>
      </c>
      <c r="B49" s="68">
        <f t="shared" si="13"/>
        <v>10</v>
      </c>
      <c r="C49" s="68">
        <f t="shared" si="5"/>
        <v>6</v>
      </c>
      <c r="D49" s="68">
        <f t="shared" si="10"/>
        <v>6</v>
      </c>
      <c r="E49" s="68">
        <f t="shared" si="11"/>
        <v>26</v>
      </c>
      <c r="F49" s="21" t="str">
        <f>VLOOKUP(D49,Sheet2!A:B,2)</f>
        <v>J20-0721</v>
      </c>
      <c r="G49" s="68" t="str">
        <f>VLOOKUP(F49,Sheet2!B:C,2,0)</f>
        <v xml:space="preserve">HD2IPC_work Package Phase 2,3 Project  </v>
      </c>
      <c r="H49" s="68" t="str">
        <f>HLOOKUP(I$2+$A49,Sheet2!BX:NB,2,0)</f>
        <v>16-31 Mar 21</v>
      </c>
      <c r="I49" t="str">
        <f>IF(OR(HLOOKUP(I$2+$A49,Sheet2!BX:NB,$B49,0),HLOOKUP(I$2+$A49,Sheet2!BX:NB,$B49,0)&lt;&gt;""),HLOOKUP(I$2+$A49,Sheet2!BX:NB,$B49,0),"")</f>
        <v/>
      </c>
      <c r="J49" t="str">
        <f>IF(OR(HLOOKUP(J$2+$A49,Sheet2!BY:NC,$B49,0),HLOOKUP(J$2+$A49,Sheet2!BY:NC,$B49,0)&lt;&gt;""),HLOOKUP(J$2+$A49,Sheet2!BY:NC,$B49,0),"")</f>
        <v/>
      </c>
      <c r="K49" t="str">
        <f>IF(OR(HLOOKUP(K$2+$A49,Sheet2!BZ:ND,$B49,0),HLOOKUP(K$2+$A49,Sheet2!BZ:ND,$B49,0)&lt;&gt;""),HLOOKUP(K$2+$A49,Sheet2!BZ:ND,$B49,0),"")</f>
        <v/>
      </c>
      <c r="L49" t="str">
        <f>IF(OR(HLOOKUP(L$2+$A49,Sheet2!CA:NE,$B49,0),HLOOKUP(L$2+$A49,Sheet2!CA:NE,$B49,0)&lt;&gt;""),HLOOKUP(L$2+$A49,Sheet2!CA:NE,$B49,0),"")</f>
        <v/>
      </c>
      <c r="M49" t="str">
        <f>IF(OR(HLOOKUP(M$2+$A49,Sheet2!CB:NF,$B49,0),HLOOKUP(M$2+$A49,Sheet2!CB:NF,$B49,0)&lt;&gt;""),HLOOKUP(M$2+$A49,Sheet2!CB:NF,$B49,0),"")</f>
        <v/>
      </c>
    </row>
    <row r="50" spans="1:13" x14ac:dyDescent="0.25">
      <c r="A50" s="68">
        <f t="shared" si="12"/>
        <v>30</v>
      </c>
      <c r="B50" s="68">
        <f t="shared" si="13"/>
        <v>10</v>
      </c>
      <c r="C50" s="68">
        <f t="shared" si="5"/>
        <v>7</v>
      </c>
      <c r="D50" s="68">
        <f t="shared" si="10"/>
        <v>6</v>
      </c>
      <c r="E50" s="68">
        <f t="shared" si="11"/>
        <v>26</v>
      </c>
      <c r="F50" s="21" t="str">
        <f>VLOOKUP(D50,Sheet2!A:B,2)</f>
        <v>J20-0721</v>
      </c>
      <c r="G50" s="68" t="str">
        <f>VLOOKUP(F50,Sheet2!B:C,2,0)</f>
        <v xml:space="preserve">HD2IPC_work Package Phase 2,3 Project  </v>
      </c>
      <c r="H50" s="68" t="str">
        <f>HLOOKUP(I$2+$A50,Sheet2!BX:NB,2,0)</f>
        <v>1-15 April 21</v>
      </c>
      <c r="I50" t="str">
        <f>IF(OR(HLOOKUP(I$2+$A50,Sheet2!BX:NB,$B50,0),HLOOKUP(I$2+$A50,Sheet2!BX:NB,$B50,0)&lt;&gt;""),HLOOKUP(I$2+$A50,Sheet2!BX:NB,$B50,0),"")</f>
        <v/>
      </c>
      <c r="J50" t="str">
        <f>IF(OR(HLOOKUP(J$2+$A50,Sheet2!BY:NC,$B50,0),HLOOKUP(J$2+$A50,Sheet2!BY:NC,$B50,0)&lt;&gt;""),HLOOKUP(J$2+$A50,Sheet2!BY:NC,$B50,0),"")</f>
        <v/>
      </c>
      <c r="K50" t="str">
        <f>IF(OR(HLOOKUP(K$2+$A50,Sheet2!BZ:ND,$B50,0),HLOOKUP(K$2+$A50,Sheet2!BZ:ND,$B50,0)&lt;&gt;""),HLOOKUP(K$2+$A50,Sheet2!BZ:ND,$B50,0),"")</f>
        <v/>
      </c>
      <c r="L50" t="str">
        <f>IF(OR(HLOOKUP(L$2+$A50,Sheet2!CA:NE,$B50,0),HLOOKUP(L$2+$A50,Sheet2!CA:NE,$B50,0)&lt;&gt;""),HLOOKUP(L$2+$A50,Sheet2!CA:NE,$B50,0),"")</f>
        <v/>
      </c>
      <c r="M50" t="str">
        <f>IF(OR(HLOOKUP(M$2+$A50,Sheet2!CB:NF,$B50,0),HLOOKUP(M$2+$A50,Sheet2!CB:NF,$B50,0)&lt;&gt;""),HLOOKUP(M$2+$A50,Sheet2!CB:NF,$B50,0),"")</f>
        <v/>
      </c>
    </row>
    <row r="51" spans="1:13" x14ac:dyDescent="0.25">
      <c r="A51" s="68">
        <f t="shared" si="12"/>
        <v>35</v>
      </c>
      <c r="B51" s="68">
        <f t="shared" si="13"/>
        <v>10</v>
      </c>
      <c r="C51" s="68">
        <f t="shared" si="5"/>
        <v>8</v>
      </c>
      <c r="D51" s="68">
        <f t="shared" si="10"/>
        <v>6</v>
      </c>
      <c r="E51" s="68">
        <f t="shared" si="11"/>
        <v>26</v>
      </c>
      <c r="F51" s="21" t="str">
        <f>VLOOKUP(D51,Sheet2!A:B,2)</f>
        <v>J20-0721</v>
      </c>
      <c r="G51" s="68" t="str">
        <f>VLOOKUP(F51,Sheet2!B:C,2,0)</f>
        <v xml:space="preserve">HD2IPC_work Package Phase 2,3 Project  </v>
      </c>
      <c r="H51" s="68" t="str">
        <f>HLOOKUP(I$2+$A51,Sheet2!BX:NB,2,0)</f>
        <v>16-30 April 21</v>
      </c>
      <c r="I51" t="str">
        <f>IF(OR(HLOOKUP(I$2+$A51,Sheet2!BX:NB,$B51,0),HLOOKUP(I$2+$A51,Sheet2!BX:NB,$B51,0)&lt;&gt;""),HLOOKUP(I$2+$A51,Sheet2!BX:NB,$B51,0),"")</f>
        <v/>
      </c>
      <c r="J51" t="str">
        <f>IF(OR(HLOOKUP(J$2+$A51,Sheet2!BY:NC,$B51,0),HLOOKUP(J$2+$A51,Sheet2!BY:NC,$B51,0)&lt;&gt;""),HLOOKUP(J$2+$A51,Sheet2!BY:NC,$B51,0),"")</f>
        <v/>
      </c>
      <c r="K51" t="str">
        <f>IF(OR(HLOOKUP(K$2+$A51,Sheet2!BZ:ND,$B51,0),HLOOKUP(K$2+$A51,Sheet2!BZ:ND,$B51,0)&lt;&gt;""),HLOOKUP(K$2+$A51,Sheet2!BZ:ND,$B51,0),"")</f>
        <v/>
      </c>
      <c r="L51" t="str">
        <f>IF(OR(HLOOKUP(L$2+$A51,Sheet2!CA:NE,$B51,0),HLOOKUP(L$2+$A51,Sheet2!CA:NE,$B51,0)&lt;&gt;""),HLOOKUP(L$2+$A51,Sheet2!CA:NE,$B51,0),"")</f>
        <v/>
      </c>
      <c r="M51" t="str">
        <f>IF(OR(HLOOKUP(M$2+$A51,Sheet2!CB:NF,$B51,0),HLOOKUP(M$2+$A51,Sheet2!CB:NF,$B51,0)&lt;&gt;""),HLOOKUP(M$2+$A51,Sheet2!CB:NF,$B51,0),"")</f>
        <v/>
      </c>
    </row>
    <row r="52" spans="1:13" x14ac:dyDescent="0.25">
      <c r="A52" s="68">
        <f t="shared" si="12"/>
        <v>0</v>
      </c>
      <c r="B52" s="68">
        <f t="shared" si="13"/>
        <v>11</v>
      </c>
      <c r="C52" s="68">
        <f t="shared" si="5"/>
        <v>1</v>
      </c>
      <c r="D52" s="68">
        <f t="shared" si="10"/>
        <v>7</v>
      </c>
      <c r="E52" s="68">
        <f t="shared" si="11"/>
        <v>31</v>
      </c>
      <c r="F52" s="21" t="str">
        <f>VLOOKUP(D52,Sheet2!A:B,2)</f>
        <v>J20-0851</v>
      </c>
      <c r="G52" s="68" t="str">
        <f>VLOOKUP(F52,Sheet2!B:C,2,0)</f>
        <v xml:space="preserve">Install Instrument &amp; Electrical </v>
      </c>
      <c r="H52" s="68" t="str">
        <f>HLOOKUP(I$2+$A52,Sheet2!BX:NB,2,0)</f>
        <v>1-15 Jan 21</v>
      </c>
      <c r="I52">
        <f>IF(OR(HLOOKUP(I$2+$A52,Sheet2!BX:NB,$B52,0),HLOOKUP(I$2+$A52,Sheet2!BX:NB,$B52,0)&lt;&gt;""),HLOOKUP(I$2+$A52,Sheet2!BX:NB,$B52,0),"")</f>
        <v>1800</v>
      </c>
      <c r="J52" t="str">
        <f>IF(OR(HLOOKUP(J$2+$A52,Sheet2!BY:NC,$B52,0),HLOOKUP(J$2+$A52,Sheet2!BY:NC,$B52,0)&lt;&gt;""),HLOOKUP(J$2+$A52,Sheet2!BY:NC,$B52,0),"")</f>
        <v/>
      </c>
      <c r="K52" t="str">
        <f>IF(OR(HLOOKUP(K$2+$A52,Sheet2!BZ:ND,$B52,0),HLOOKUP(K$2+$A52,Sheet2!BZ:ND,$B52,0)&lt;&gt;""),HLOOKUP(K$2+$A52,Sheet2!BZ:ND,$B52,0),"")</f>
        <v/>
      </c>
      <c r="L52" t="str">
        <f>IF(OR(HLOOKUP(L$2+$A52,Sheet2!CA:NE,$B52,0),HLOOKUP(L$2+$A52,Sheet2!CA:NE,$B52,0)&lt;&gt;""),HLOOKUP(L$2+$A52,Sheet2!CA:NE,$B52,0),"")</f>
        <v/>
      </c>
      <c r="M52">
        <f>IF(OR(HLOOKUP(M$2+$A52,Sheet2!CB:NF,$B52,0),HLOOKUP(M$2+$A52,Sheet2!CB:NF,$B52,0)&lt;&gt;""),HLOOKUP(M$2+$A52,Sheet2!CB:NF,$B52,0),"")</f>
        <v>1</v>
      </c>
    </row>
    <row r="53" spans="1:13" x14ac:dyDescent="0.25">
      <c r="A53" s="68">
        <f t="shared" si="12"/>
        <v>5</v>
      </c>
      <c r="B53" s="68">
        <f t="shared" si="13"/>
        <v>11</v>
      </c>
      <c r="C53" s="68">
        <f t="shared" si="5"/>
        <v>2</v>
      </c>
      <c r="D53" s="68">
        <f t="shared" si="10"/>
        <v>7</v>
      </c>
      <c r="E53" s="68">
        <f t="shared" si="11"/>
        <v>31</v>
      </c>
      <c r="F53" s="21" t="str">
        <f>VLOOKUP(D53,Sheet2!A:B,2)</f>
        <v>J20-0851</v>
      </c>
      <c r="G53" s="68" t="str">
        <f>VLOOKUP(F53,Sheet2!B:C,2,0)</f>
        <v xml:space="preserve">Install Instrument &amp; Electrical </v>
      </c>
      <c r="H53" s="68" t="str">
        <f>HLOOKUP(I$2+$A53,Sheet2!BX:NB,2,0)</f>
        <v>16-31 Jan 21</v>
      </c>
      <c r="I53">
        <f>IF(OR(HLOOKUP(I$2+$A53,Sheet2!BX:NB,$B53,0),HLOOKUP(I$2+$A53,Sheet2!BX:NB,$B53,0)&lt;&gt;""),HLOOKUP(I$2+$A53,Sheet2!BX:NB,$B53,0),"")</f>
        <v>4500</v>
      </c>
      <c r="J53" t="str">
        <f>IF(OR(HLOOKUP(J$2+$A53,Sheet2!BY:NC,$B53,0),HLOOKUP(J$2+$A53,Sheet2!BY:NC,$B53,0)&lt;&gt;""),HLOOKUP(J$2+$A53,Sheet2!BY:NC,$B53,0),"")</f>
        <v/>
      </c>
      <c r="K53" t="str">
        <f>IF(OR(HLOOKUP(K$2+$A53,Sheet2!BZ:ND,$B53,0),HLOOKUP(K$2+$A53,Sheet2!BZ:ND,$B53,0)&lt;&gt;""),HLOOKUP(K$2+$A53,Sheet2!BZ:ND,$B53,0),"")</f>
        <v/>
      </c>
      <c r="L53" t="str">
        <f>IF(OR(HLOOKUP(L$2+$A53,Sheet2!CA:NE,$B53,0),HLOOKUP(L$2+$A53,Sheet2!CA:NE,$B53,0)&lt;&gt;""),HLOOKUP(L$2+$A53,Sheet2!CA:NE,$B53,0),"")</f>
        <v/>
      </c>
      <c r="M53" t="str">
        <f>IF(OR(HLOOKUP(M$2+$A53,Sheet2!CB:NF,$B53,0),HLOOKUP(M$2+$A53,Sheet2!CB:NF,$B53,0)&lt;&gt;""),HLOOKUP(M$2+$A53,Sheet2!CB:NF,$B53,0),"")</f>
        <v/>
      </c>
    </row>
    <row r="54" spans="1:13" x14ac:dyDescent="0.25">
      <c r="A54" s="68">
        <f t="shared" si="12"/>
        <v>10</v>
      </c>
      <c r="B54" s="68">
        <f t="shared" si="13"/>
        <v>11</v>
      </c>
      <c r="C54" s="68">
        <f t="shared" si="5"/>
        <v>3</v>
      </c>
      <c r="D54" s="68">
        <f t="shared" si="10"/>
        <v>7</v>
      </c>
      <c r="E54" s="68">
        <f t="shared" si="11"/>
        <v>31</v>
      </c>
      <c r="F54" s="21" t="str">
        <f>VLOOKUP(D54,Sheet2!A:B,2)</f>
        <v>J20-0851</v>
      </c>
      <c r="G54" s="68" t="str">
        <f>VLOOKUP(F54,Sheet2!B:C,2,0)</f>
        <v xml:space="preserve">Install Instrument &amp; Electrical </v>
      </c>
      <c r="H54" s="68" t="str">
        <f>HLOOKUP(I$2+$A54,Sheet2!BX:NB,2,0)</f>
        <v>1-15 Feb 21</v>
      </c>
      <c r="I54">
        <f>IF(OR(HLOOKUP(I$2+$A54,Sheet2!BX:NB,$B54,0),HLOOKUP(I$2+$A54,Sheet2!BX:NB,$B54,0)&lt;&gt;""),HLOOKUP(I$2+$A54,Sheet2!BX:NB,$B54,0),"")</f>
        <v>51756</v>
      </c>
      <c r="J54">
        <f>IF(OR(HLOOKUP(J$2+$A54,Sheet2!BY:NC,$B54,0),HLOOKUP(J$2+$A54,Sheet2!BY:NC,$B54,0)&lt;&gt;""),HLOOKUP(J$2+$A54,Sheet2!BY:NC,$B54,0),"")</f>
        <v>231</v>
      </c>
      <c r="K54" t="str">
        <f>IF(OR(HLOOKUP(K$2+$A54,Sheet2!BZ:ND,$B54,0),HLOOKUP(K$2+$A54,Sheet2!BZ:ND,$B54,0)&lt;&gt;""),HLOOKUP(K$2+$A54,Sheet2!BZ:ND,$B54,0),"")</f>
        <v/>
      </c>
      <c r="L54" t="str">
        <f>IF(OR(HLOOKUP(L$2+$A54,Sheet2!CA:NE,$B54,0),HLOOKUP(L$2+$A54,Sheet2!CA:NE,$B54,0)&lt;&gt;""),HLOOKUP(L$2+$A54,Sheet2!CA:NE,$B54,0),"")</f>
        <v/>
      </c>
      <c r="M54" t="str">
        <f>IF(OR(HLOOKUP(M$2+$A54,Sheet2!CB:NF,$B54,0),HLOOKUP(M$2+$A54,Sheet2!CB:NF,$B54,0)&lt;&gt;""),HLOOKUP(M$2+$A54,Sheet2!CB:NF,$B54,0),"")</f>
        <v/>
      </c>
    </row>
    <row r="55" spans="1:13" x14ac:dyDescent="0.25">
      <c r="A55" s="68">
        <f t="shared" si="12"/>
        <v>15</v>
      </c>
      <c r="B55" s="68">
        <f t="shared" si="13"/>
        <v>11</v>
      </c>
      <c r="C55" s="68">
        <f t="shared" si="5"/>
        <v>4</v>
      </c>
      <c r="D55" s="68">
        <f t="shared" si="10"/>
        <v>7</v>
      </c>
      <c r="E55" s="68">
        <f t="shared" si="11"/>
        <v>31</v>
      </c>
      <c r="F55" s="21" t="str">
        <f>VLOOKUP(D55,Sheet2!A:B,2)</f>
        <v>J20-0851</v>
      </c>
      <c r="G55" s="68" t="str">
        <f>VLOOKUP(F55,Sheet2!B:C,2,0)</f>
        <v xml:space="preserve">Install Instrument &amp; Electrical </v>
      </c>
      <c r="H55" s="68" t="str">
        <f>HLOOKUP(I$2+$A55,Sheet2!BX:NB,2,0)</f>
        <v>16-28 Feb 21</v>
      </c>
      <c r="I55">
        <f>IF(OR(HLOOKUP(I$2+$A55,Sheet2!BX:NB,$B55,0),HLOOKUP(I$2+$A55,Sheet2!BX:NB,$B55,0)&lt;&gt;""),HLOOKUP(I$2+$A55,Sheet2!BX:NB,$B55,0),"")</f>
        <v>38096</v>
      </c>
      <c r="J55" t="str">
        <f>IF(OR(HLOOKUP(J$2+$A55,Sheet2!BY:NC,$B55,0),HLOOKUP(J$2+$A55,Sheet2!BY:NC,$B55,0)&lt;&gt;""),HLOOKUP(J$2+$A55,Sheet2!BY:NC,$B55,0),"")</f>
        <v/>
      </c>
      <c r="K55" t="str">
        <f>IF(OR(HLOOKUP(K$2+$A55,Sheet2!BZ:ND,$B55,0),HLOOKUP(K$2+$A55,Sheet2!BZ:ND,$B55,0)&lt;&gt;""),HLOOKUP(K$2+$A55,Sheet2!BZ:ND,$B55,0),"")</f>
        <v/>
      </c>
      <c r="L55" t="str">
        <f>IF(OR(HLOOKUP(L$2+$A55,Sheet2!CA:NE,$B55,0),HLOOKUP(L$2+$A55,Sheet2!CA:NE,$B55,0)&lt;&gt;""),HLOOKUP(L$2+$A55,Sheet2!CA:NE,$B55,0),"")</f>
        <v/>
      </c>
      <c r="M55">
        <f>IF(OR(HLOOKUP(M$2+$A55,Sheet2!CB:NF,$B55,0),HLOOKUP(M$2+$A55,Sheet2!CB:NF,$B55,0)&lt;&gt;""),HLOOKUP(M$2+$A55,Sheet2!CB:NF,$B55,0),"")</f>
        <v>6</v>
      </c>
    </row>
    <row r="56" spans="1:13" x14ac:dyDescent="0.25">
      <c r="A56" s="68">
        <f t="shared" si="12"/>
        <v>20</v>
      </c>
      <c r="B56" s="68">
        <f t="shared" si="13"/>
        <v>11</v>
      </c>
      <c r="C56" s="68">
        <f t="shared" si="5"/>
        <v>5</v>
      </c>
      <c r="D56" s="68">
        <f t="shared" si="10"/>
        <v>7</v>
      </c>
      <c r="E56" s="68">
        <f t="shared" si="11"/>
        <v>31</v>
      </c>
      <c r="F56" s="21" t="str">
        <f>VLOOKUP(D56,Sheet2!A:B,2)</f>
        <v>J20-0851</v>
      </c>
      <c r="G56" s="68" t="str">
        <f>VLOOKUP(F56,Sheet2!B:C,2,0)</f>
        <v xml:space="preserve">Install Instrument &amp; Electrical </v>
      </c>
      <c r="H56" s="68" t="str">
        <f>HLOOKUP(I$2+$A56,Sheet2!BX:NB,2,0)</f>
        <v>1-15 Mar 2021</v>
      </c>
      <c r="I56">
        <f>IF(OR(HLOOKUP(I$2+$A56,Sheet2!BX:NB,$B56,0),HLOOKUP(I$2+$A56,Sheet2!BX:NB,$B56,0)&lt;&gt;""),HLOOKUP(I$2+$A56,Sheet2!BX:NB,$B56,0),"")</f>
        <v>87940</v>
      </c>
      <c r="J56" t="str">
        <f>IF(OR(HLOOKUP(J$2+$A56,Sheet2!BY:NC,$B56,0),HLOOKUP(J$2+$A56,Sheet2!BY:NC,$B56,0)&lt;&gt;""),HLOOKUP(J$2+$A56,Sheet2!BY:NC,$B56,0),"")</f>
        <v/>
      </c>
      <c r="K56" t="str">
        <f>IF(OR(HLOOKUP(K$2+$A56,Sheet2!BZ:ND,$B56,0),HLOOKUP(K$2+$A56,Sheet2!BZ:ND,$B56,0)&lt;&gt;""),HLOOKUP(K$2+$A56,Sheet2!BZ:ND,$B56,0),"")</f>
        <v/>
      </c>
      <c r="L56" t="str">
        <f>IF(OR(HLOOKUP(L$2+$A56,Sheet2!CA:NE,$B56,0),HLOOKUP(L$2+$A56,Sheet2!CA:NE,$B56,0)&lt;&gt;""),HLOOKUP(L$2+$A56,Sheet2!CA:NE,$B56,0),"")</f>
        <v/>
      </c>
      <c r="M56">
        <f>IF(OR(HLOOKUP(M$2+$A56,Sheet2!CB:NF,$B56,0),HLOOKUP(M$2+$A56,Sheet2!CB:NF,$B56,0)&lt;&gt;""),HLOOKUP(M$2+$A56,Sheet2!CB:NF,$B56,0),"")</f>
        <v>6</v>
      </c>
    </row>
    <row r="57" spans="1:13" x14ac:dyDescent="0.25">
      <c r="A57" s="68">
        <f t="shared" si="12"/>
        <v>25</v>
      </c>
      <c r="B57" s="68">
        <f t="shared" si="13"/>
        <v>11</v>
      </c>
      <c r="C57" s="68">
        <f t="shared" si="5"/>
        <v>6</v>
      </c>
      <c r="D57" s="68">
        <f t="shared" si="10"/>
        <v>7</v>
      </c>
      <c r="E57" s="68">
        <f t="shared" si="11"/>
        <v>31</v>
      </c>
      <c r="F57" s="21" t="str">
        <f>VLOOKUP(D57,Sheet2!A:B,2)</f>
        <v>J20-0851</v>
      </c>
      <c r="G57" s="68" t="str">
        <f>VLOOKUP(F57,Sheet2!B:C,2,0)</f>
        <v xml:space="preserve">Install Instrument &amp; Electrical </v>
      </c>
      <c r="H57" s="68" t="str">
        <f>HLOOKUP(I$2+$A57,Sheet2!BX:NB,2,0)</f>
        <v>16-31 Mar 21</v>
      </c>
      <c r="I57">
        <f>IF(OR(HLOOKUP(I$2+$A57,Sheet2!BX:NB,$B57,0),HLOOKUP(I$2+$A57,Sheet2!BX:NB,$B57,0)&lt;&gt;""),HLOOKUP(I$2+$A57,Sheet2!BX:NB,$B57,0),"")</f>
        <v>72308</v>
      </c>
      <c r="J57">
        <f>IF(OR(HLOOKUP(J$2+$A57,Sheet2!BY:NC,$B57,0),HLOOKUP(J$2+$A57,Sheet2!BY:NC,$B57,0)&lt;&gt;""),HLOOKUP(J$2+$A57,Sheet2!BY:NC,$B57,0),"")</f>
        <v>529</v>
      </c>
      <c r="K57" t="str">
        <f>IF(OR(HLOOKUP(K$2+$A57,Sheet2!BZ:ND,$B57,0),HLOOKUP(K$2+$A57,Sheet2!BZ:ND,$B57,0)&lt;&gt;""),HLOOKUP(K$2+$A57,Sheet2!BZ:ND,$B57,0),"")</f>
        <v/>
      </c>
      <c r="L57" t="str">
        <f>IF(OR(HLOOKUP(L$2+$A57,Sheet2!CA:NE,$B57,0),HLOOKUP(L$2+$A57,Sheet2!CA:NE,$B57,0)&lt;&gt;""),HLOOKUP(L$2+$A57,Sheet2!CA:NE,$B57,0),"")</f>
        <v/>
      </c>
      <c r="M57">
        <f>IF(OR(HLOOKUP(M$2+$A57,Sheet2!CB:NF,$B57,0),HLOOKUP(M$2+$A57,Sheet2!CB:NF,$B57,0)&lt;&gt;""),HLOOKUP(M$2+$A57,Sheet2!CB:NF,$B57,0),"")</f>
        <v>6</v>
      </c>
    </row>
    <row r="58" spans="1:13" x14ac:dyDescent="0.25">
      <c r="A58" s="68">
        <f t="shared" ref="A58:A102" si="14">IF(C58&lt;&gt;1,A57+5,0)</f>
        <v>30</v>
      </c>
      <c r="B58" s="68">
        <f t="shared" ref="B58:B102" si="15">IF(C58&lt;&gt;1,B57,B57+1)</f>
        <v>11</v>
      </c>
      <c r="C58" s="68">
        <f t="shared" si="5"/>
        <v>7</v>
      </c>
      <c r="D58" s="68">
        <f t="shared" si="10"/>
        <v>7</v>
      </c>
      <c r="E58" s="68">
        <f t="shared" si="11"/>
        <v>31</v>
      </c>
      <c r="F58" s="21" t="str">
        <f>VLOOKUP(D58,Sheet2!A:B,2)</f>
        <v>J20-0851</v>
      </c>
      <c r="G58" s="68" t="str">
        <f>VLOOKUP(F58,Sheet2!B:C,2,0)</f>
        <v xml:space="preserve">Install Instrument &amp; Electrical </v>
      </c>
      <c r="H58" s="68" t="str">
        <f>HLOOKUP(I$2+$A58,Sheet2!BX:NB,2,0)</f>
        <v>1-15 April 21</v>
      </c>
      <c r="I58">
        <f>IF(OR(HLOOKUP(I$2+$A58,Sheet2!BX:NB,$B58,0),HLOOKUP(I$2+$A58,Sheet2!BX:NB,$B58,0)&lt;&gt;""),HLOOKUP(I$2+$A58,Sheet2!BX:NB,$B58,0),"")</f>
        <v>31040</v>
      </c>
      <c r="J58">
        <f>IF(OR(HLOOKUP(J$2+$A58,Sheet2!BY:NC,$B58,0),HLOOKUP(J$2+$A58,Sheet2!BY:NC,$B58,0)&lt;&gt;""),HLOOKUP(J$2+$A58,Sheet2!BY:NC,$B58,0),"")</f>
        <v>11525</v>
      </c>
      <c r="K58" t="str">
        <f>IF(OR(HLOOKUP(K$2+$A58,Sheet2!BZ:ND,$B58,0),HLOOKUP(K$2+$A58,Sheet2!BZ:ND,$B58,0)&lt;&gt;""),HLOOKUP(K$2+$A58,Sheet2!BZ:ND,$B58,0),"")</f>
        <v/>
      </c>
      <c r="L58">
        <f>IF(OR(HLOOKUP(L$2+$A58,Sheet2!CA:NE,$B58,0),HLOOKUP(L$2+$A58,Sheet2!CA:NE,$B58,0)&lt;&gt;""),HLOOKUP(L$2+$A58,Sheet2!CA:NE,$B58,0),"")</f>
        <v>56250</v>
      </c>
      <c r="M58">
        <f>IF(OR(HLOOKUP(M$2+$A58,Sheet2!CB:NF,$B58,0),HLOOKUP(M$2+$A58,Sheet2!CB:NF,$B58,0)&lt;&gt;""),HLOOKUP(M$2+$A58,Sheet2!CB:NF,$B58,0),"")</f>
        <v>6</v>
      </c>
    </row>
    <row r="59" spans="1:13" x14ac:dyDescent="0.25">
      <c r="A59" s="68">
        <f t="shared" si="14"/>
        <v>35</v>
      </c>
      <c r="B59" s="68">
        <f t="shared" si="15"/>
        <v>11</v>
      </c>
      <c r="C59" s="68">
        <f t="shared" si="5"/>
        <v>8</v>
      </c>
      <c r="D59" s="68">
        <f t="shared" si="10"/>
        <v>7</v>
      </c>
      <c r="E59" s="68">
        <f t="shared" si="11"/>
        <v>31</v>
      </c>
      <c r="F59" s="21" t="str">
        <f>VLOOKUP(D59,Sheet2!A:B,2)</f>
        <v>J20-0851</v>
      </c>
      <c r="G59" s="68" t="str">
        <f>VLOOKUP(F59,Sheet2!B:C,2,0)</f>
        <v xml:space="preserve">Install Instrument &amp; Electrical </v>
      </c>
      <c r="H59" s="68" t="str">
        <f>HLOOKUP(I$2+$A59,Sheet2!BX:NB,2,0)</f>
        <v>16-30 April 21</v>
      </c>
      <c r="I59" t="str">
        <f>IF(OR(HLOOKUP(I$2+$A59,Sheet2!BX:NB,$B59,0),HLOOKUP(I$2+$A59,Sheet2!BX:NB,$B59,0)&lt;&gt;""),HLOOKUP(I$2+$A59,Sheet2!BX:NB,$B59,0),"")</f>
        <v/>
      </c>
      <c r="J59" t="str">
        <f>IF(OR(HLOOKUP(J$2+$A59,Sheet2!BY:NC,$B59,0),HLOOKUP(J$2+$A59,Sheet2!BY:NC,$B59,0)&lt;&gt;""),HLOOKUP(J$2+$A59,Sheet2!BY:NC,$B59,0),"")</f>
        <v/>
      </c>
      <c r="K59" t="str">
        <f>IF(OR(HLOOKUP(K$2+$A59,Sheet2!BZ:ND,$B59,0),HLOOKUP(K$2+$A59,Sheet2!BZ:ND,$B59,0)&lt;&gt;""),HLOOKUP(K$2+$A59,Sheet2!BZ:ND,$B59,0),"")</f>
        <v/>
      </c>
      <c r="L59" t="str">
        <f>IF(OR(HLOOKUP(L$2+$A59,Sheet2!CA:NE,$B59,0),HLOOKUP(L$2+$A59,Sheet2!CA:NE,$B59,0)&lt;&gt;""),HLOOKUP(L$2+$A59,Sheet2!CA:NE,$B59,0),"")</f>
        <v/>
      </c>
      <c r="M59" t="str">
        <f>IF(OR(HLOOKUP(M$2+$A59,Sheet2!CB:NF,$B59,0),HLOOKUP(M$2+$A59,Sheet2!CB:NF,$B59,0)&lt;&gt;""),HLOOKUP(M$2+$A59,Sheet2!CB:NF,$B59,0),"")</f>
        <v/>
      </c>
    </row>
    <row r="60" spans="1:13" x14ac:dyDescent="0.25">
      <c r="A60" s="68">
        <f t="shared" si="14"/>
        <v>0</v>
      </c>
      <c r="B60" s="68">
        <f t="shared" si="15"/>
        <v>12</v>
      </c>
      <c r="C60" s="68">
        <f t="shared" si="5"/>
        <v>1</v>
      </c>
      <c r="D60" s="68">
        <f t="shared" si="10"/>
        <v>8</v>
      </c>
      <c r="E60" s="68">
        <f t="shared" si="11"/>
        <v>36</v>
      </c>
      <c r="F60" s="21" t="str">
        <f>VLOOKUP(D60,Sheet2!A:B,2)</f>
        <v>J20-0864 OR 17</v>
      </c>
      <c r="G60" s="68" t="str">
        <f>VLOOKUP(F60,Sheet2!B:C,2,0)</f>
        <v>The MRT Orange Line (East Section)Station 17</v>
      </c>
      <c r="H60" s="68" t="str">
        <f>HLOOKUP(I$2+$A60,Sheet2!BX:NB,2,0)</f>
        <v>1-15 Jan 21</v>
      </c>
      <c r="I60">
        <f>IF(OR(HLOOKUP(I$2+$A60,Sheet2!BX:NB,$B60,0),HLOOKUP(I$2+$A60,Sheet2!BX:NB,$B60,0)&lt;&gt;""),HLOOKUP(I$2+$A60,Sheet2!BX:NB,$B60,0),"")</f>
        <v>241350</v>
      </c>
      <c r="J60">
        <f>IF(OR(HLOOKUP(J$2+$A60,Sheet2!BY:NC,$B60,0),HLOOKUP(J$2+$A60,Sheet2!BY:NC,$B60,0)&lt;&gt;""),HLOOKUP(J$2+$A60,Sheet2!BY:NC,$B60,0),"")</f>
        <v>94725</v>
      </c>
      <c r="K60">
        <f>IF(OR(HLOOKUP(K$2+$A60,Sheet2!BZ:ND,$B60,0),HLOOKUP(K$2+$A60,Sheet2!BZ:ND,$B60,0)&lt;&gt;""),HLOOKUP(K$2+$A60,Sheet2!BZ:ND,$B60,0),"")</f>
        <v>29680</v>
      </c>
      <c r="L60" t="str">
        <f>IF(OR(HLOOKUP(L$2+$A60,Sheet2!CA:NE,$B60,0),HLOOKUP(L$2+$A60,Sheet2!CA:NE,$B60,0)&lt;&gt;""),HLOOKUP(L$2+$A60,Sheet2!CA:NE,$B60,0),"")</f>
        <v/>
      </c>
      <c r="M60">
        <f>IF(OR(HLOOKUP(M$2+$A60,Sheet2!CB:NF,$B60,0),HLOOKUP(M$2+$A60,Sheet2!CB:NF,$B60,0)&lt;&gt;""),HLOOKUP(M$2+$A60,Sheet2!CB:NF,$B60,0),"")</f>
        <v>40</v>
      </c>
    </row>
    <row r="61" spans="1:13" x14ac:dyDescent="0.25">
      <c r="A61" s="68">
        <f t="shared" si="14"/>
        <v>5</v>
      </c>
      <c r="B61" s="68">
        <f t="shared" si="15"/>
        <v>12</v>
      </c>
      <c r="C61" s="68">
        <f t="shared" si="5"/>
        <v>2</v>
      </c>
      <c r="D61" s="68">
        <f t="shared" si="10"/>
        <v>8</v>
      </c>
      <c r="E61" s="68">
        <f t="shared" si="11"/>
        <v>36</v>
      </c>
      <c r="F61" s="21" t="str">
        <f>VLOOKUP(D61,Sheet2!A:B,2)</f>
        <v>J20-0864 OR 17</v>
      </c>
      <c r="G61" s="68" t="str">
        <f>VLOOKUP(F61,Sheet2!B:C,2,0)</f>
        <v>The MRT Orange Line (East Section)Station 17</v>
      </c>
      <c r="H61" s="68" t="str">
        <f>HLOOKUP(I$2+$A61,Sheet2!BX:NB,2,0)</f>
        <v>16-31 Jan 21</v>
      </c>
      <c r="I61">
        <f>IF(OR(HLOOKUP(I$2+$A61,Sheet2!BX:NB,$B61,0),HLOOKUP(I$2+$A61,Sheet2!BX:NB,$B61,0)&lt;&gt;""),HLOOKUP(I$2+$A61,Sheet2!BX:NB,$B61,0),"")</f>
        <v>332150</v>
      </c>
      <c r="J61">
        <f>IF(OR(HLOOKUP(J$2+$A61,Sheet2!BY:NC,$B61,0),HLOOKUP(J$2+$A61,Sheet2!BY:NC,$B61,0)&lt;&gt;""),HLOOKUP(J$2+$A61,Sheet2!BY:NC,$B61,0),"")</f>
        <v>228205</v>
      </c>
      <c r="K61">
        <f>IF(OR(HLOOKUP(K$2+$A61,Sheet2!BZ:ND,$B61,0),HLOOKUP(K$2+$A61,Sheet2!BZ:ND,$B61,0)&lt;&gt;""),HLOOKUP(K$2+$A61,Sheet2!BZ:ND,$B61,0),"")</f>
        <v>46100</v>
      </c>
      <c r="L61" t="str">
        <f>IF(OR(HLOOKUP(L$2+$A61,Sheet2!CA:NE,$B61,0),HLOOKUP(L$2+$A61,Sheet2!CA:NE,$B61,0)&lt;&gt;""),HLOOKUP(L$2+$A61,Sheet2!CA:NE,$B61,0),"")</f>
        <v/>
      </c>
      <c r="M61">
        <f>IF(OR(HLOOKUP(M$2+$A61,Sheet2!CB:NF,$B61,0),HLOOKUP(M$2+$A61,Sheet2!CB:NF,$B61,0)&lt;&gt;""),HLOOKUP(M$2+$A61,Sheet2!CB:NF,$B61,0),"")</f>
        <v>40</v>
      </c>
    </row>
    <row r="62" spans="1:13" x14ac:dyDescent="0.25">
      <c r="A62" s="68">
        <f t="shared" si="14"/>
        <v>10</v>
      </c>
      <c r="B62" s="68">
        <f t="shared" si="15"/>
        <v>12</v>
      </c>
      <c r="C62" s="68">
        <f t="shared" si="5"/>
        <v>3</v>
      </c>
      <c r="D62" s="68">
        <f t="shared" si="10"/>
        <v>8</v>
      </c>
      <c r="E62" s="68">
        <f t="shared" si="11"/>
        <v>36</v>
      </c>
      <c r="F62" s="21" t="str">
        <f>VLOOKUP(D62,Sheet2!A:B,2)</f>
        <v>J20-0864 OR 17</v>
      </c>
      <c r="G62" s="68" t="str">
        <f>VLOOKUP(F62,Sheet2!B:C,2,0)</f>
        <v>The MRT Orange Line (East Section)Station 17</v>
      </c>
      <c r="H62" s="68" t="str">
        <f>HLOOKUP(I$2+$A62,Sheet2!BX:NB,2,0)</f>
        <v>1-15 Feb 21</v>
      </c>
      <c r="I62">
        <f>IF(OR(HLOOKUP(I$2+$A62,Sheet2!BX:NB,$B62,0),HLOOKUP(I$2+$A62,Sheet2!BX:NB,$B62,0)&lt;&gt;""),HLOOKUP(I$2+$A62,Sheet2!BX:NB,$B62,0),"")</f>
        <v>314057</v>
      </c>
      <c r="J62">
        <f>IF(OR(HLOOKUP(J$2+$A62,Sheet2!BY:NC,$B62,0),HLOOKUP(J$2+$A62,Sheet2!BY:NC,$B62,0)&lt;&gt;""),HLOOKUP(J$2+$A62,Sheet2!BY:NC,$B62,0),"")</f>
        <v>167369</v>
      </c>
      <c r="K62">
        <f>IF(OR(HLOOKUP(K$2+$A62,Sheet2!BZ:ND,$B62,0),HLOOKUP(K$2+$A62,Sheet2!BZ:ND,$B62,0)&lt;&gt;""),HLOOKUP(K$2+$A62,Sheet2!BZ:ND,$B62,0),"")</f>
        <v>42490</v>
      </c>
      <c r="L62" t="str">
        <f>IF(OR(HLOOKUP(L$2+$A62,Sheet2!CA:NE,$B62,0),HLOOKUP(L$2+$A62,Sheet2!CA:NE,$B62,0)&lt;&gt;""),HLOOKUP(L$2+$A62,Sheet2!CA:NE,$B62,0),"")</f>
        <v/>
      </c>
      <c r="M62">
        <f>IF(OR(HLOOKUP(M$2+$A62,Sheet2!CB:NF,$B62,0),HLOOKUP(M$2+$A62,Sheet2!CB:NF,$B62,0)&lt;&gt;""),HLOOKUP(M$2+$A62,Sheet2!CB:NF,$B62,0),"")</f>
        <v>50</v>
      </c>
    </row>
    <row r="63" spans="1:13" x14ac:dyDescent="0.25">
      <c r="A63" s="68">
        <f t="shared" si="14"/>
        <v>15</v>
      </c>
      <c r="B63" s="68">
        <f t="shared" si="15"/>
        <v>12</v>
      </c>
      <c r="C63" s="68">
        <f t="shared" si="5"/>
        <v>4</v>
      </c>
      <c r="D63" s="68">
        <f t="shared" si="10"/>
        <v>8</v>
      </c>
      <c r="E63" s="68">
        <f t="shared" si="11"/>
        <v>36</v>
      </c>
      <c r="F63" s="21" t="str">
        <f>VLOOKUP(D63,Sheet2!A:B,2)</f>
        <v>J20-0864 OR 17</v>
      </c>
      <c r="G63" s="68" t="str">
        <f>VLOOKUP(F63,Sheet2!B:C,2,0)</f>
        <v>The MRT Orange Line (East Section)Station 17</v>
      </c>
      <c r="H63" s="68" t="str">
        <f>HLOOKUP(I$2+$A63,Sheet2!BX:NB,2,0)</f>
        <v>16-28 Feb 21</v>
      </c>
      <c r="I63">
        <f>IF(OR(HLOOKUP(I$2+$A63,Sheet2!BX:NB,$B63,0),HLOOKUP(I$2+$A63,Sheet2!BX:NB,$B63,0)&lt;&gt;""),HLOOKUP(I$2+$A63,Sheet2!BX:NB,$B63,0),"")</f>
        <v>358917</v>
      </c>
      <c r="J63">
        <f>IF(OR(HLOOKUP(J$2+$A63,Sheet2!BY:NC,$B63,0),HLOOKUP(J$2+$A63,Sheet2!BY:NC,$B63,0)&lt;&gt;""),HLOOKUP(J$2+$A63,Sheet2!BY:NC,$B63,0),"")</f>
        <v>208034</v>
      </c>
      <c r="K63">
        <f>IF(OR(HLOOKUP(K$2+$A63,Sheet2!BZ:ND,$B63,0),HLOOKUP(K$2+$A63,Sheet2!BZ:ND,$B63,0)&lt;&gt;""),HLOOKUP(K$2+$A63,Sheet2!BZ:ND,$B63,0),"")</f>
        <v>47080</v>
      </c>
      <c r="L63" t="str">
        <f>IF(OR(HLOOKUP(L$2+$A63,Sheet2!CA:NE,$B63,0),HLOOKUP(L$2+$A63,Sheet2!CA:NE,$B63,0)&lt;&gt;""),HLOOKUP(L$2+$A63,Sheet2!CA:NE,$B63,0),"")</f>
        <v/>
      </c>
      <c r="M63">
        <f>IF(OR(HLOOKUP(M$2+$A63,Sheet2!CB:NF,$B63,0),HLOOKUP(M$2+$A63,Sheet2!CB:NF,$B63,0)&lt;&gt;""),HLOOKUP(M$2+$A63,Sheet2!CB:NF,$B63,0),"")</f>
        <v>52</v>
      </c>
    </row>
    <row r="64" spans="1:13" x14ac:dyDescent="0.25">
      <c r="A64" s="68">
        <f t="shared" si="14"/>
        <v>20</v>
      </c>
      <c r="B64" s="68">
        <f t="shared" si="15"/>
        <v>12</v>
      </c>
      <c r="C64" s="68">
        <f t="shared" si="5"/>
        <v>5</v>
      </c>
      <c r="D64" s="68">
        <f t="shared" si="10"/>
        <v>8</v>
      </c>
      <c r="E64" s="68">
        <f t="shared" si="11"/>
        <v>36</v>
      </c>
      <c r="F64" s="21" t="str">
        <f>VLOOKUP(D64,Sheet2!A:B,2)</f>
        <v>J20-0864 OR 17</v>
      </c>
      <c r="G64" s="68" t="str">
        <f>VLOOKUP(F64,Sheet2!B:C,2,0)</f>
        <v>The MRT Orange Line (East Section)Station 17</v>
      </c>
      <c r="H64" s="68" t="str">
        <f>HLOOKUP(I$2+$A64,Sheet2!BX:NB,2,0)</f>
        <v>1-15 Mar 2021</v>
      </c>
      <c r="I64">
        <f>IF(OR(HLOOKUP(I$2+$A64,Sheet2!BX:NB,$B64,0),HLOOKUP(I$2+$A64,Sheet2!BX:NB,$B64,0)&lt;&gt;""),HLOOKUP(I$2+$A64,Sheet2!BX:NB,$B64,0),"")</f>
        <v>392128</v>
      </c>
      <c r="J64">
        <f>IF(OR(HLOOKUP(J$2+$A64,Sheet2!BY:NC,$B64,0),HLOOKUP(J$2+$A64,Sheet2!BY:NC,$B64,0)&lt;&gt;""),HLOOKUP(J$2+$A64,Sheet2!BY:NC,$B64,0),"")</f>
        <v>251809</v>
      </c>
      <c r="K64">
        <f>IF(OR(HLOOKUP(K$2+$A64,Sheet2!BZ:ND,$B64,0),HLOOKUP(K$2+$A64,Sheet2!BZ:ND,$B64,0)&lt;&gt;""),HLOOKUP(K$2+$A64,Sheet2!BZ:ND,$B64,0),"")</f>
        <v>54810</v>
      </c>
      <c r="L64">
        <f>IF(OR(HLOOKUP(L$2+$A64,Sheet2!CA:NE,$B64,0),HLOOKUP(L$2+$A64,Sheet2!CA:NE,$B64,0)&lt;&gt;""),HLOOKUP(L$2+$A64,Sheet2!CA:NE,$B64,0),"")</f>
        <v>17600</v>
      </c>
      <c r="M64">
        <f>IF(OR(HLOOKUP(M$2+$A64,Sheet2!CB:NF,$B64,0),HLOOKUP(M$2+$A64,Sheet2!CB:NF,$B64,0)&lt;&gt;""),HLOOKUP(M$2+$A64,Sheet2!CB:NF,$B64,0),"")</f>
        <v>61</v>
      </c>
    </row>
    <row r="65" spans="1:13" x14ac:dyDescent="0.25">
      <c r="A65" s="68">
        <f t="shared" si="14"/>
        <v>25</v>
      </c>
      <c r="B65" s="68">
        <f t="shared" si="15"/>
        <v>12</v>
      </c>
      <c r="C65" s="68">
        <f t="shared" si="5"/>
        <v>6</v>
      </c>
      <c r="D65" s="68">
        <f t="shared" si="10"/>
        <v>8</v>
      </c>
      <c r="E65" s="68">
        <f t="shared" si="11"/>
        <v>36</v>
      </c>
      <c r="F65" s="21" t="str">
        <f>VLOOKUP(D65,Sheet2!A:B,2)</f>
        <v>J20-0864 OR 17</v>
      </c>
      <c r="G65" s="68" t="str">
        <f>VLOOKUP(F65,Sheet2!B:C,2,0)</f>
        <v>The MRT Orange Line (East Section)Station 17</v>
      </c>
      <c r="H65" s="68" t="str">
        <f>HLOOKUP(I$2+$A65,Sheet2!BX:NB,2,0)</f>
        <v>16-31 Mar 21</v>
      </c>
      <c r="I65">
        <f>IF(OR(HLOOKUP(I$2+$A65,Sheet2!BX:NB,$B65,0),HLOOKUP(I$2+$A65,Sheet2!BX:NB,$B65,0)&lt;&gt;""),HLOOKUP(I$2+$A65,Sheet2!BX:NB,$B65,0),"")</f>
        <v>511169</v>
      </c>
      <c r="J65">
        <f>IF(OR(HLOOKUP(J$2+$A65,Sheet2!BY:NC,$B65,0),HLOOKUP(J$2+$A65,Sheet2!BY:NC,$B65,0)&lt;&gt;""),HLOOKUP(J$2+$A65,Sheet2!BY:NC,$B65,0),"")</f>
        <v>236115</v>
      </c>
      <c r="K65">
        <f>IF(OR(HLOOKUP(K$2+$A65,Sheet2!BZ:ND,$B65,0),HLOOKUP(K$2+$A65,Sheet2!BZ:ND,$B65,0)&lt;&gt;""),HLOOKUP(K$2+$A65,Sheet2!BZ:ND,$B65,0),"")</f>
        <v>69760</v>
      </c>
      <c r="L65" t="str">
        <f>IF(OR(HLOOKUP(L$2+$A65,Sheet2!CA:NE,$B65,0),HLOOKUP(L$2+$A65,Sheet2!CA:NE,$B65,0)&lt;&gt;""),HLOOKUP(L$2+$A65,Sheet2!CA:NE,$B65,0),"")</f>
        <v/>
      </c>
      <c r="M65">
        <f>IF(OR(HLOOKUP(M$2+$A65,Sheet2!CB:NF,$B65,0),HLOOKUP(M$2+$A65,Sheet2!CB:NF,$B65,0)&lt;&gt;""),HLOOKUP(M$2+$A65,Sheet2!CB:NF,$B65,0),"")</f>
        <v>63</v>
      </c>
    </row>
    <row r="66" spans="1:13" x14ac:dyDescent="0.25">
      <c r="A66" s="68">
        <f t="shared" si="14"/>
        <v>30</v>
      </c>
      <c r="B66" s="68">
        <f t="shared" si="15"/>
        <v>12</v>
      </c>
      <c r="C66" s="68">
        <f t="shared" si="5"/>
        <v>7</v>
      </c>
      <c r="D66" s="68">
        <f t="shared" si="10"/>
        <v>8</v>
      </c>
      <c r="E66" s="68">
        <f t="shared" si="11"/>
        <v>36</v>
      </c>
      <c r="F66" s="21" t="str">
        <f>VLOOKUP(D66,Sheet2!A:B,2)</f>
        <v>J20-0864 OR 17</v>
      </c>
      <c r="G66" s="68" t="str">
        <f>VLOOKUP(F66,Sheet2!B:C,2,0)</f>
        <v>The MRT Orange Line (East Section)Station 17</v>
      </c>
      <c r="H66" s="68" t="str">
        <f>HLOOKUP(I$2+$A66,Sheet2!BX:NB,2,0)</f>
        <v>1-15 April 21</v>
      </c>
      <c r="I66">
        <f>IF(OR(HLOOKUP(I$2+$A66,Sheet2!BX:NB,$B66,0),HLOOKUP(I$2+$A66,Sheet2!BX:NB,$B66,0)&lt;&gt;""),HLOOKUP(I$2+$A66,Sheet2!BX:NB,$B66,0),"")</f>
        <v>451768</v>
      </c>
      <c r="J66">
        <f>IF(OR(HLOOKUP(J$2+$A66,Sheet2!BY:NC,$B66,0),HLOOKUP(J$2+$A66,Sheet2!BY:NC,$B66,0)&lt;&gt;""),HLOOKUP(J$2+$A66,Sheet2!BY:NC,$B66,0),"")</f>
        <v>69756</v>
      </c>
      <c r="K66">
        <f>IF(OR(HLOOKUP(K$2+$A66,Sheet2!BZ:ND,$B66,0),HLOOKUP(K$2+$A66,Sheet2!BZ:ND,$B66,0)&lt;&gt;""),HLOOKUP(K$2+$A66,Sheet2!BZ:ND,$B66,0),"")</f>
        <v>62370</v>
      </c>
      <c r="L66" t="str">
        <f>IF(OR(HLOOKUP(L$2+$A66,Sheet2!CA:NE,$B66,0),HLOOKUP(L$2+$A66,Sheet2!CA:NE,$B66,0)&lt;&gt;""),HLOOKUP(L$2+$A66,Sheet2!CA:NE,$B66,0),"")</f>
        <v/>
      </c>
      <c r="M66">
        <f>IF(OR(HLOOKUP(M$2+$A66,Sheet2!CB:NF,$B66,0),HLOOKUP(M$2+$A66,Sheet2!CB:NF,$B66,0)&lt;&gt;""),HLOOKUP(M$2+$A66,Sheet2!CB:NF,$B66,0),"")</f>
        <v>63</v>
      </c>
    </row>
    <row r="67" spans="1:13" x14ac:dyDescent="0.25">
      <c r="A67" s="68">
        <f t="shared" si="14"/>
        <v>35</v>
      </c>
      <c r="B67" s="68">
        <f t="shared" si="15"/>
        <v>12</v>
      </c>
      <c r="C67" s="68">
        <f t="shared" si="5"/>
        <v>8</v>
      </c>
      <c r="D67" s="68">
        <f t="shared" si="10"/>
        <v>8</v>
      </c>
      <c r="E67" s="68">
        <f t="shared" si="11"/>
        <v>36</v>
      </c>
      <c r="F67" s="21" t="str">
        <f>VLOOKUP(D67,Sheet2!A:B,2)</f>
        <v>J20-0864 OR 17</v>
      </c>
      <c r="G67" s="68" t="str">
        <f>VLOOKUP(F67,Sheet2!B:C,2,0)</f>
        <v>The MRT Orange Line (East Section)Station 17</v>
      </c>
      <c r="H67" s="68" t="str">
        <f>HLOOKUP(I$2+$A67,Sheet2!BX:NB,2,0)</f>
        <v>16-30 April 21</v>
      </c>
      <c r="I67" t="str">
        <f>IF(OR(HLOOKUP(I$2+$A67,Sheet2!BX:NB,$B67,0),HLOOKUP(I$2+$A67,Sheet2!BX:NB,$B67,0)&lt;&gt;""),HLOOKUP(I$2+$A67,Sheet2!BX:NB,$B67,0),"")</f>
        <v/>
      </c>
      <c r="J67" t="str">
        <f>IF(OR(HLOOKUP(J$2+$A67,Sheet2!BY:NC,$B67,0),HLOOKUP(J$2+$A67,Sheet2!BY:NC,$B67,0)&lt;&gt;""),HLOOKUP(J$2+$A67,Sheet2!BY:NC,$B67,0),"")</f>
        <v/>
      </c>
      <c r="K67" t="str">
        <f>IF(OR(HLOOKUP(K$2+$A67,Sheet2!BZ:ND,$B67,0),HLOOKUP(K$2+$A67,Sheet2!BZ:ND,$B67,0)&lt;&gt;""),HLOOKUP(K$2+$A67,Sheet2!BZ:ND,$B67,0),"")</f>
        <v/>
      </c>
      <c r="L67" t="str">
        <f>IF(OR(HLOOKUP(L$2+$A67,Sheet2!CA:NE,$B67,0),HLOOKUP(L$2+$A67,Sheet2!CA:NE,$B67,0)&lt;&gt;""),HLOOKUP(L$2+$A67,Sheet2!CA:NE,$B67,0),"")</f>
        <v/>
      </c>
      <c r="M67" t="str">
        <f>IF(OR(HLOOKUP(M$2+$A67,Sheet2!CB:NF,$B67,0),HLOOKUP(M$2+$A67,Sheet2!CB:NF,$B67,0)&lt;&gt;""),HLOOKUP(M$2+$A67,Sheet2!CB:NF,$B67,0),"")</f>
        <v/>
      </c>
    </row>
    <row r="68" spans="1:13" x14ac:dyDescent="0.25">
      <c r="A68" s="68">
        <f t="shared" si="14"/>
        <v>0</v>
      </c>
      <c r="B68" s="68">
        <f t="shared" si="15"/>
        <v>13</v>
      </c>
      <c r="C68" s="68">
        <f t="shared" si="5"/>
        <v>1</v>
      </c>
      <c r="D68" s="68">
        <f t="shared" si="10"/>
        <v>9</v>
      </c>
      <c r="E68" s="68">
        <f t="shared" si="11"/>
        <v>41</v>
      </c>
      <c r="F68" s="21" t="str">
        <f>VLOOKUP(D68,Sheet2!A:B,2)</f>
        <v>J20-0864 OR 18</v>
      </c>
      <c r="G68" s="68" t="str">
        <f>VLOOKUP(F68,Sheet2!B:C,2,0)</f>
        <v>The MRT Orange Line (East Section)Station 18</v>
      </c>
      <c r="H68" s="68" t="str">
        <f>HLOOKUP(I$2+$A68,Sheet2!BX:NB,2,0)</f>
        <v>1-15 Jan 21</v>
      </c>
      <c r="I68">
        <f>IF(OR(HLOOKUP(I$2+$A68,Sheet2!BX:NB,$B68,0),HLOOKUP(I$2+$A68,Sheet2!BX:NB,$B68,0)&lt;&gt;""),HLOOKUP(I$2+$A68,Sheet2!BX:NB,$B68,0),"")</f>
        <v>269772</v>
      </c>
      <c r="J68">
        <f>IF(OR(HLOOKUP(J$2+$A68,Sheet2!BY:NC,$B68,0),HLOOKUP(J$2+$A68,Sheet2!BY:NC,$B68,0)&lt;&gt;""),HLOOKUP(J$2+$A68,Sheet2!BY:NC,$B68,0),"")</f>
        <v>133194</v>
      </c>
      <c r="K68">
        <f>IF(OR(HLOOKUP(K$2+$A68,Sheet2!BZ:ND,$B68,0),HLOOKUP(K$2+$A68,Sheet2!BZ:ND,$B68,0)&lt;&gt;""),HLOOKUP(K$2+$A68,Sheet2!BZ:ND,$B68,0),"")</f>
        <v>49560</v>
      </c>
      <c r="L68" t="str">
        <f>IF(OR(HLOOKUP(L$2+$A68,Sheet2!CA:NE,$B68,0),HLOOKUP(L$2+$A68,Sheet2!CA:NE,$B68,0)&lt;&gt;""),HLOOKUP(L$2+$A68,Sheet2!CA:NE,$B68,0),"")</f>
        <v/>
      </c>
      <c r="M68">
        <f>IF(OR(HLOOKUP(M$2+$A68,Sheet2!CB:NF,$B68,0),HLOOKUP(M$2+$A68,Sheet2!CB:NF,$B68,0)&lt;&gt;""),HLOOKUP(M$2+$A68,Sheet2!CB:NF,$B68,0),"")</f>
        <v>55</v>
      </c>
    </row>
    <row r="69" spans="1:13" x14ac:dyDescent="0.25">
      <c r="A69" s="68">
        <f t="shared" si="14"/>
        <v>5</v>
      </c>
      <c r="B69" s="68">
        <f t="shared" si="15"/>
        <v>13</v>
      </c>
      <c r="C69" s="68">
        <f t="shared" si="5"/>
        <v>2</v>
      </c>
      <c r="D69" s="68">
        <f t="shared" si="10"/>
        <v>9</v>
      </c>
      <c r="E69" s="68">
        <f t="shared" si="11"/>
        <v>41</v>
      </c>
      <c r="F69" s="21" t="str">
        <f>VLOOKUP(D69,Sheet2!A:B,2)</f>
        <v>J20-0864 OR 18</v>
      </c>
      <c r="G69" s="68" t="str">
        <f>VLOOKUP(F69,Sheet2!B:C,2,0)</f>
        <v>The MRT Orange Line (East Section)Station 18</v>
      </c>
      <c r="H69" s="68" t="str">
        <f>HLOOKUP(I$2+$A69,Sheet2!BX:NB,2,0)</f>
        <v>16-31 Jan 21</v>
      </c>
      <c r="I69">
        <f>IF(OR(HLOOKUP(I$2+$A69,Sheet2!BX:NB,$B69,0),HLOOKUP(I$2+$A69,Sheet2!BX:NB,$B69,0)&lt;&gt;""),HLOOKUP(I$2+$A69,Sheet2!BX:NB,$B69,0),"")</f>
        <v>352962</v>
      </c>
      <c r="J69">
        <f>IF(OR(HLOOKUP(J$2+$A69,Sheet2!BY:NC,$B69,0),HLOOKUP(J$2+$A69,Sheet2!BY:NC,$B69,0)&lt;&gt;""),HLOOKUP(J$2+$A69,Sheet2!BY:NC,$B69,0),"")</f>
        <v>159188</v>
      </c>
      <c r="K69">
        <f>IF(OR(HLOOKUP(K$2+$A69,Sheet2!BZ:ND,$B69,0),HLOOKUP(K$2+$A69,Sheet2!BZ:ND,$B69,0)&lt;&gt;""),HLOOKUP(K$2+$A69,Sheet2!BZ:ND,$B69,0),"")</f>
        <v>72940</v>
      </c>
      <c r="L69" t="str">
        <f>IF(OR(HLOOKUP(L$2+$A69,Sheet2!CA:NE,$B69,0),HLOOKUP(L$2+$A69,Sheet2!CA:NE,$B69,0)&lt;&gt;""),HLOOKUP(L$2+$A69,Sheet2!CA:NE,$B69,0),"")</f>
        <v/>
      </c>
      <c r="M69">
        <f>IF(OR(HLOOKUP(M$2+$A69,Sheet2!CB:NF,$B69,0),HLOOKUP(M$2+$A69,Sheet2!CB:NF,$B69,0)&lt;&gt;""),HLOOKUP(M$2+$A69,Sheet2!CB:NF,$B69,0),"")</f>
        <v>66</v>
      </c>
    </row>
    <row r="70" spans="1:13" x14ac:dyDescent="0.25">
      <c r="A70" s="68">
        <f t="shared" si="14"/>
        <v>10</v>
      </c>
      <c r="B70" s="68">
        <f t="shared" si="15"/>
        <v>13</v>
      </c>
      <c r="C70" s="68">
        <f t="shared" si="5"/>
        <v>3</v>
      </c>
      <c r="D70" s="68">
        <f t="shared" si="10"/>
        <v>9</v>
      </c>
      <c r="E70" s="68">
        <f t="shared" si="11"/>
        <v>41</v>
      </c>
      <c r="F70" s="21" t="str">
        <f>VLOOKUP(D70,Sheet2!A:B,2)</f>
        <v>J20-0864 OR 18</v>
      </c>
      <c r="G70" s="68" t="str">
        <f>VLOOKUP(F70,Sheet2!B:C,2,0)</f>
        <v>The MRT Orange Line (East Section)Station 18</v>
      </c>
      <c r="H70" s="68" t="str">
        <f>HLOOKUP(I$2+$A70,Sheet2!BX:NB,2,0)</f>
        <v>1-15 Feb 21</v>
      </c>
      <c r="I70">
        <f>IF(OR(HLOOKUP(I$2+$A70,Sheet2!BX:NB,$B70,0),HLOOKUP(I$2+$A70,Sheet2!BX:NB,$B70,0)&lt;&gt;""),HLOOKUP(I$2+$A70,Sheet2!BX:NB,$B70,0),"")</f>
        <v>366948</v>
      </c>
      <c r="J70">
        <f>IF(OR(HLOOKUP(J$2+$A70,Sheet2!BY:NC,$B70,0),HLOOKUP(J$2+$A70,Sheet2!BY:NC,$B70,0)&lt;&gt;""),HLOOKUP(J$2+$A70,Sheet2!BY:NC,$B70,0),"")</f>
        <v>193859</v>
      </c>
      <c r="K70">
        <f>IF(OR(HLOOKUP(K$2+$A70,Sheet2!BZ:ND,$B70,0),HLOOKUP(K$2+$A70,Sheet2!BZ:ND,$B70,0)&lt;&gt;""),HLOOKUP(K$2+$A70,Sheet2!BZ:ND,$B70,0),"")</f>
        <v>66430</v>
      </c>
      <c r="L70" t="str">
        <f>IF(OR(HLOOKUP(L$2+$A70,Sheet2!CA:NE,$B70,0),HLOOKUP(L$2+$A70,Sheet2!CA:NE,$B70,0)&lt;&gt;""),HLOOKUP(L$2+$A70,Sheet2!CA:NE,$B70,0),"")</f>
        <v/>
      </c>
      <c r="M70">
        <f>IF(OR(HLOOKUP(M$2+$A70,Sheet2!CB:NF,$B70,0),HLOOKUP(M$2+$A70,Sheet2!CB:NF,$B70,0)&lt;&gt;""),HLOOKUP(M$2+$A70,Sheet2!CB:NF,$B70,0),"")</f>
        <v>63</v>
      </c>
    </row>
    <row r="71" spans="1:13" x14ac:dyDescent="0.25">
      <c r="A71" s="68">
        <f t="shared" si="14"/>
        <v>15</v>
      </c>
      <c r="B71" s="68">
        <f t="shared" si="15"/>
        <v>13</v>
      </c>
      <c r="C71" s="68">
        <f t="shared" si="5"/>
        <v>4</v>
      </c>
      <c r="D71" s="68">
        <f t="shared" si="10"/>
        <v>9</v>
      </c>
      <c r="E71" s="68">
        <f t="shared" si="11"/>
        <v>41</v>
      </c>
      <c r="F71" s="21" t="str">
        <f>VLOOKUP(D71,Sheet2!A:B,2)</f>
        <v>J20-0864 OR 18</v>
      </c>
      <c r="G71" s="68" t="str">
        <f>VLOOKUP(F71,Sheet2!B:C,2,0)</f>
        <v>The MRT Orange Line (East Section)Station 18</v>
      </c>
      <c r="H71" s="68" t="str">
        <f>HLOOKUP(I$2+$A71,Sheet2!BX:NB,2,0)</f>
        <v>16-28 Feb 21</v>
      </c>
      <c r="I71">
        <f>IF(OR(HLOOKUP(I$2+$A71,Sheet2!BX:NB,$B71,0),HLOOKUP(I$2+$A71,Sheet2!BX:NB,$B71,0)&lt;&gt;""),HLOOKUP(I$2+$A71,Sheet2!BX:NB,$B71,0),"")</f>
        <v>353842</v>
      </c>
      <c r="J71">
        <f>IF(OR(HLOOKUP(J$2+$A71,Sheet2!BY:NC,$B71,0),HLOOKUP(J$2+$A71,Sheet2!BY:NC,$B71,0)&lt;&gt;""),HLOOKUP(J$2+$A71,Sheet2!BY:NC,$B71,0),"")</f>
        <v>167007</v>
      </c>
      <c r="K71">
        <f>IF(OR(HLOOKUP(K$2+$A71,Sheet2!BZ:ND,$B71,0),HLOOKUP(K$2+$A71,Sheet2!BZ:ND,$B71,0)&lt;&gt;""),HLOOKUP(K$2+$A71,Sheet2!BZ:ND,$B71,0),"")</f>
        <v>58450</v>
      </c>
      <c r="L71" t="str">
        <f>IF(OR(HLOOKUP(L$2+$A71,Sheet2!CA:NE,$B71,0),HLOOKUP(L$2+$A71,Sheet2!CA:NE,$B71,0)&lt;&gt;""),HLOOKUP(L$2+$A71,Sheet2!CA:NE,$B71,0),"")</f>
        <v/>
      </c>
      <c r="M71">
        <f>IF(OR(HLOOKUP(M$2+$A71,Sheet2!CB:NF,$B71,0),HLOOKUP(M$2+$A71,Sheet2!CB:NF,$B71,0)&lt;&gt;""),HLOOKUP(M$2+$A71,Sheet2!CB:NF,$B71,0),"")</f>
        <v>62</v>
      </c>
    </row>
    <row r="72" spans="1:13" x14ac:dyDescent="0.25">
      <c r="A72" s="68">
        <f t="shared" si="14"/>
        <v>20</v>
      </c>
      <c r="B72" s="68">
        <f t="shared" si="15"/>
        <v>13</v>
      </c>
      <c r="C72" s="68">
        <f t="shared" si="5"/>
        <v>5</v>
      </c>
      <c r="D72" s="68">
        <f t="shared" si="10"/>
        <v>9</v>
      </c>
      <c r="E72" s="68">
        <f t="shared" si="11"/>
        <v>41</v>
      </c>
      <c r="F72" s="21" t="str">
        <f>VLOOKUP(D72,Sheet2!A:B,2)</f>
        <v>J20-0864 OR 18</v>
      </c>
      <c r="G72" s="68" t="str">
        <f>VLOOKUP(F72,Sheet2!B:C,2,0)</f>
        <v>The MRT Orange Line (East Section)Station 18</v>
      </c>
      <c r="H72" s="68" t="str">
        <f>HLOOKUP(I$2+$A72,Sheet2!BX:NB,2,0)</f>
        <v>1-15 Mar 2021</v>
      </c>
      <c r="I72">
        <f>IF(OR(HLOOKUP(I$2+$A72,Sheet2!BX:NB,$B72,0),HLOOKUP(I$2+$A72,Sheet2!BX:NB,$B72,0)&lt;&gt;""),HLOOKUP(I$2+$A72,Sheet2!BX:NB,$B72,0),"")</f>
        <v>497342</v>
      </c>
      <c r="J72">
        <f>IF(OR(HLOOKUP(J$2+$A72,Sheet2!BY:NC,$B72,0),HLOOKUP(J$2+$A72,Sheet2!BY:NC,$B72,0)&lt;&gt;""),HLOOKUP(J$2+$A72,Sheet2!BY:NC,$B72,0),"")</f>
        <v>247439</v>
      </c>
      <c r="K72">
        <f>IF(OR(HLOOKUP(K$2+$A72,Sheet2!BZ:ND,$B72,0),HLOOKUP(K$2+$A72,Sheet2!BZ:ND,$B72,0)&lt;&gt;""),HLOOKUP(K$2+$A72,Sheet2!BZ:ND,$B72,0),"")</f>
        <v>71120</v>
      </c>
      <c r="L72" t="str">
        <f>IF(OR(HLOOKUP(L$2+$A72,Sheet2!CA:NE,$B72,0),HLOOKUP(L$2+$A72,Sheet2!CA:NE,$B72,0)&lt;&gt;""),HLOOKUP(L$2+$A72,Sheet2!CA:NE,$B72,0),"")</f>
        <v/>
      </c>
      <c r="M72">
        <f>IF(OR(HLOOKUP(M$2+$A72,Sheet2!CB:NF,$B72,0),HLOOKUP(M$2+$A72,Sheet2!CB:NF,$B72,0)&lt;&gt;""),HLOOKUP(M$2+$A72,Sheet2!CB:NF,$B72,0),"")</f>
        <v>75</v>
      </c>
    </row>
    <row r="73" spans="1:13" x14ac:dyDescent="0.25">
      <c r="A73" s="68">
        <f t="shared" si="14"/>
        <v>25</v>
      </c>
      <c r="B73" s="68">
        <f t="shared" si="15"/>
        <v>13</v>
      </c>
      <c r="C73" s="68">
        <f t="shared" si="5"/>
        <v>6</v>
      </c>
      <c r="D73" s="68">
        <f t="shared" si="10"/>
        <v>9</v>
      </c>
      <c r="E73" s="68">
        <f t="shared" si="11"/>
        <v>41</v>
      </c>
      <c r="F73" s="21" t="str">
        <f>VLOOKUP(D73,Sheet2!A:B,2)</f>
        <v>J20-0864 OR 18</v>
      </c>
      <c r="G73" s="68" t="str">
        <f>VLOOKUP(F73,Sheet2!B:C,2,0)</f>
        <v>The MRT Orange Line (East Section)Station 18</v>
      </c>
      <c r="H73" s="68" t="str">
        <f>HLOOKUP(I$2+$A73,Sheet2!BX:NB,2,0)</f>
        <v>16-31 Mar 21</v>
      </c>
      <c r="I73">
        <f>IF(OR(HLOOKUP(I$2+$A73,Sheet2!BX:NB,$B73,0),HLOOKUP(I$2+$A73,Sheet2!BX:NB,$B73,0)&lt;&gt;""),HLOOKUP(I$2+$A73,Sheet2!BX:NB,$B73,0),"")</f>
        <v>595069</v>
      </c>
      <c r="J73">
        <f>IF(OR(HLOOKUP(J$2+$A73,Sheet2!BY:NC,$B73,0),HLOOKUP(J$2+$A73,Sheet2!BY:NC,$B73,0)&lt;&gt;""),HLOOKUP(J$2+$A73,Sheet2!BY:NC,$B73,0),"")</f>
        <v>210166</v>
      </c>
      <c r="K73">
        <f>IF(OR(HLOOKUP(K$2+$A73,Sheet2!BZ:ND,$B73,0),HLOOKUP(K$2+$A73,Sheet2!BZ:ND,$B73,0)&lt;&gt;""),HLOOKUP(K$2+$A73,Sheet2!BZ:ND,$B73,0),"")</f>
        <v>82600</v>
      </c>
      <c r="L73" t="str">
        <f>IF(OR(HLOOKUP(L$2+$A73,Sheet2!CA:NE,$B73,0),HLOOKUP(L$2+$A73,Sheet2!CA:NE,$B73,0)&lt;&gt;""),HLOOKUP(L$2+$A73,Sheet2!CA:NE,$B73,0),"")</f>
        <v/>
      </c>
      <c r="M73">
        <f>IF(OR(HLOOKUP(M$2+$A73,Sheet2!CB:NF,$B73,0),HLOOKUP(M$2+$A73,Sheet2!CB:NF,$B73,0)&lt;&gt;""),HLOOKUP(M$2+$A73,Sheet2!CB:NF,$B73,0),"")</f>
        <v>78</v>
      </c>
    </row>
    <row r="74" spans="1:13" x14ac:dyDescent="0.25">
      <c r="A74" s="68">
        <f t="shared" si="14"/>
        <v>30</v>
      </c>
      <c r="B74" s="68">
        <f t="shared" si="15"/>
        <v>13</v>
      </c>
      <c r="C74" s="68">
        <f t="shared" ref="C74:C140" si="16">IF($C$3-C73=0,1,C73+1)</f>
        <v>7</v>
      </c>
      <c r="D74" s="68">
        <f t="shared" si="10"/>
        <v>9</v>
      </c>
      <c r="E74" s="68">
        <f t="shared" si="11"/>
        <v>41</v>
      </c>
      <c r="F74" s="21" t="str">
        <f>VLOOKUP(D74,Sheet2!A:B,2)</f>
        <v>J20-0864 OR 18</v>
      </c>
      <c r="G74" s="68" t="str">
        <f>VLOOKUP(F74,Sheet2!B:C,2,0)</f>
        <v>The MRT Orange Line (East Section)Station 18</v>
      </c>
      <c r="H74" s="68" t="str">
        <f>HLOOKUP(I$2+$A74,Sheet2!BX:NB,2,0)</f>
        <v>1-15 April 21</v>
      </c>
      <c r="I74">
        <f>IF(OR(HLOOKUP(I$2+$A74,Sheet2!BX:NB,$B74,0),HLOOKUP(I$2+$A74,Sheet2!BX:NB,$B74,0)&lt;&gt;""),HLOOKUP(I$2+$A74,Sheet2!BX:NB,$B74,0),"")</f>
        <v>628796</v>
      </c>
      <c r="J74">
        <f>IF(OR(HLOOKUP(J$2+$A74,Sheet2!BY:NC,$B74,0),HLOOKUP(J$2+$A74,Sheet2!BY:NC,$B74,0)&lt;&gt;""),HLOOKUP(J$2+$A74,Sheet2!BY:NC,$B74,0),"")</f>
        <v>57443</v>
      </c>
      <c r="K74">
        <f>IF(OR(HLOOKUP(K$2+$A74,Sheet2!BZ:ND,$B74,0),HLOOKUP(K$2+$A74,Sheet2!BZ:ND,$B74,0)&lt;&gt;""),HLOOKUP(K$2+$A74,Sheet2!BZ:ND,$B74,0),"")</f>
        <v>81410</v>
      </c>
      <c r="L74">
        <f>IF(OR(HLOOKUP(L$2+$A74,Sheet2!CA:NE,$B74,0),HLOOKUP(L$2+$A74,Sheet2!CA:NE,$B74,0)&lt;&gt;""),HLOOKUP(L$2+$A74,Sheet2!CA:NE,$B74,0),"")</f>
        <v>16500</v>
      </c>
      <c r="M74">
        <f>IF(OR(HLOOKUP(M$2+$A74,Sheet2!CB:NF,$B74,0),HLOOKUP(M$2+$A74,Sheet2!CB:NF,$B74,0)&lt;&gt;""),HLOOKUP(M$2+$A74,Sheet2!CB:NF,$B74,0),"")</f>
        <v>82</v>
      </c>
    </row>
    <row r="75" spans="1:13" x14ac:dyDescent="0.25">
      <c r="A75" s="68">
        <f t="shared" si="14"/>
        <v>35</v>
      </c>
      <c r="B75" s="68">
        <f t="shared" si="15"/>
        <v>13</v>
      </c>
      <c r="C75" s="68">
        <f t="shared" si="16"/>
        <v>8</v>
      </c>
      <c r="D75" s="68">
        <f t="shared" si="10"/>
        <v>9</v>
      </c>
      <c r="E75" s="68">
        <f t="shared" si="11"/>
        <v>41</v>
      </c>
      <c r="F75" s="21" t="str">
        <f>VLOOKUP(D75,Sheet2!A:B,2)</f>
        <v>J20-0864 OR 18</v>
      </c>
      <c r="G75" s="68" t="str">
        <f>VLOOKUP(F75,Sheet2!B:C,2,0)</f>
        <v>The MRT Orange Line (East Section)Station 18</v>
      </c>
      <c r="H75" s="68" t="str">
        <f>HLOOKUP(I$2+$A75,Sheet2!BX:NB,2,0)</f>
        <v>16-30 April 21</v>
      </c>
      <c r="I75" t="str">
        <f>IF(OR(HLOOKUP(I$2+$A75,Sheet2!BX:NB,$B75,0),HLOOKUP(I$2+$A75,Sheet2!BX:NB,$B75,0)&lt;&gt;""),HLOOKUP(I$2+$A75,Sheet2!BX:NB,$B75,0),"")</f>
        <v/>
      </c>
      <c r="J75" t="str">
        <f>IF(OR(HLOOKUP(J$2+$A75,Sheet2!BY:NC,$B75,0),HLOOKUP(J$2+$A75,Sheet2!BY:NC,$B75,0)&lt;&gt;""),HLOOKUP(J$2+$A75,Sheet2!BY:NC,$B75,0),"")</f>
        <v/>
      </c>
      <c r="K75" t="str">
        <f>IF(OR(HLOOKUP(K$2+$A75,Sheet2!BZ:ND,$B75,0),HLOOKUP(K$2+$A75,Sheet2!BZ:ND,$B75,0)&lt;&gt;""),HLOOKUP(K$2+$A75,Sheet2!BZ:ND,$B75,0),"")</f>
        <v/>
      </c>
      <c r="L75" t="str">
        <f>IF(OR(HLOOKUP(L$2+$A75,Sheet2!CA:NE,$B75,0),HLOOKUP(L$2+$A75,Sheet2!CA:NE,$B75,0)&lt;&gt;""),HLOOKUP(L$2+$A75,Sheet2!CA:NE,$B75,0),"")</f>
        <v/>
      </c>
      <c r="M75" t="str">
        <f>IF(OR(HLOOKUP(M$2+$A75,Sheet2!CB:NF,$B75,0),HLOOKUP(M$2+$A75,Sheet2!CB:NF,$B75,0)&lt;&gt;""),HLOOKUP(M$2+$A75,Sheet2!CB:NF,$B75,0),"")</f>
        <v/>
      </c>
    </row>
    <row r="76" spans="1:13" x14ac:dyDescent="0.25">
      <c r="A76" s="68">
        <f t="shared" si="14"/>
        <v>0</v>
      </c>
      <c r="B76" s="68">
        <f t="shared" si="15"/>
        <v>14</v>
      </c>
      <c r="C76" s="68">
        <f t="shared" si="16"/>
        <v>1</v>
      </c>
      <c r="D76" s="68">
        <f t="shared" si="10"/>
        <v>10</v>
      </c>
      <c r="E76" s="68">
        <f t="shared" si="11"/>
        <v>46</v>
      </c>
      <c r="F76" s="21" t="str">
        <f>VLOOKUP(D76,Sheet2!A:B,2)</f>
        <v>J20-0962</v>
      </c>
      <c r="G76" s="68" t="str">
        <f>VLOOKUP(F76,Sheet2!B:C,2,0)</f>
        <v>FIT-2020KZ1</v>
      </c>
      <c r="H76" s="68" t="str">
        <f>HLOOKUP(I$2+$A76,Sheet2!BX:NB,2,0)</f>
        <v>1-15 Jan 21</v>
      </c>
      <c r="I76">
        <f>IF(OR(HLOOKUP(I$2+$A76,Sheet2!BX:NB,$B76,0),HLOOKUP(I$2+$A76,Sheet2!BX:NB,$B76,0)&lt;&gt;""),HLOOKUP(I$2+$A76,Sheet2!BX:NB,$B76,0),"")</f>
        <v>4800</v>
      </c>
      <c r="J76" t="str">
        <f>IF(OR(HLOOKUP(J$2+$A76,Sheet2!BY:NC,$B76,0),HLOOKUP(J$2+$A76,Sheet2!BY:NC,$B76,0)&lt;&gt;""),HLOOKUP(J$2+$A76,Sheet2!BY:NC,$B76,0),"")</f>
        <v/>
      </c>
      <c r="K76" t="str">
        <f>IF(OR(HLOOKUP(K$2+$A76,Sheet2!BZ:ND,$B76,0),HLOOKUP(K$2+$A76,Sheet2!BZ:ND,$B76,0)&lt;&gt;""),HLOOKUP(K$2+$A76,Sheet2!BZ:ND,$B76,0),"")</f>
        <v/>
      </c>
      <c r="L76" t="str">
        <f>IF(OR(HLOOKUP(L$2+$A76,Sheet2!CA:NE,$B76,0),HLOOKUP(L$2+$A76,Sheet2!CA:NE,$B76,0)&lt;&gt;""),HLOOKUP(L$2+$A76,Sheet2!CA:NE,$B76,0),"")</f>
        <v/>
      </c>
      <c r="M76">
        <f>IF(OR(HLOOKUP(M$2+$A76,Sheet2!CB:NF,$B76,0),HLOOKUP(M$2+$A76,Sheet2!CB:NF,$B76,0)&lt;&gt;""),HLOOKUP(M$2+$A76,Sheet2!CB:NF,$B76,0),"")</f>
        <v>1</v>
      </c>
    </row>
    <row r="77" spans="1:13" x14ac:dyDescent="0.25">
      <c r="A77" s="68">
        <f t="shared" si="14"/>
        <v>5</v>
      </c>
      <c r="B77" s="68">
        <f t="shared" si="15"/>
        <v>14</v>
      </c>
      <c r="C77" s="68">
        <f t="shared" si="16"/>
        <v>2</v>
      </c>
      <c r="D77" s="68">
        <f t="shared" si="10"/>
        <v>10</v>
      </c>
      <c r="E77" s="68">
        <f t="shared" si="11"/>
        <v>46</v>
      </c>
      <c r="F77" s="21" t="str">
        <f>VLOOKUP(D77,Sheet2!A:B,2)</f>
        <v>J20-0962</v>
      </c>
      <c r="G77" s="68" t="str">
        <f>VLOOKUP(F77,Sheet2!B:C,2,0)</f>
        <v>FIT-2020KZ1</v>
      </c>
      <c r="H77" s="68" t="str">
        <f>HLOOKUP(I$2+$A77,Sheet2!BX:NB,2,0)</f>
        <v>16-31 Jan 21</v>
      </c>
      <c r="I77" t="str">
        <f>IF(OR(HLOOKUP(I$2+$A77,Sheet2!BX:NB,$B77,0),HLOOKUP(I$2+$A77,Sheet2!BX:NB,$B77,0)&lt;&gt;""),HLOOKUP(I$2+$A77,Sheet2!BX:NB,$B77,0),"")</f>
        <v/>
      </c>
      <c r="J77" t="str">
        <f>IF(OR(HLOOKUP(J$2+$A77,Sheet2!BY:NC,$B77,0),HLOOKUP(J$2+$A77,Sheet2!BY:NC,$B77,0)&lt;&gt;""),HLOOKUP(J$2+$A77,Sheet2!BY:NC,$B77,0),"")</f>
        <v/>
      </c>
      <c r="K77" t="str">
        <f>IF(OR(HLOOKUP(K$2+$A77,Sheet2!BZ:ND,$B77,0),HLOOKUP(K$2+$A77,Sheet2!BZ:ND,$B77,0)&lt;&gt;""),HLOOKUP(K$2+$A77,Sheet2!BZ:ND,$B77,0),"")</f>
        <v/>
      </c>
      <c r="L77" t="str">
        <f>IF(OR(HLOOKUP(L$2+$A77,Sheet2!CA:NE,$B77,0),HLOOKUP(L$2+$A77,Sheet2!CA:NE,$B77,0)&lt;&gt;""),HLOOKUP(L$2+$A77,Sheet2!CA:NE,$B77,0),"")</f>
        <v/>
      </c>
      <c r="M77" t="str">
        <f>IF(OR(HLOOKUP(M$2+$A77,Sheet2!CB:NF,$B77,0),HLOOKUP(M$2+$A77,Sheet2!CB:NF,$B77,0)&lt;&gt;""),HLOOKUP(M$2+$A77,Sheet2!CB:NF,$B77,0),"")</f>
        <v/>
      </c>
    </row>
    <row r="78" spans="1:13" x14ac:dyDescent="0.25">
      <c r="A78" s="68">
        <f t="shared" si="14"/>
        <v>10</v>
      </c>
      <c r="B78" s="68">
        <f t="shared" si="15"/>
        <v>14</v>
      </c>
      <c r="C78" s="68">
        <f t="shared" si="16"/>
        <v>3</v>
      </c>
      <c r="D78" s="68">
        <f t="shared" si="10"/>
        <v>10</v>
      </c>
      <c r="E78" s="68">
        <f t="shared" si="11"/>
        <v>46</v>
      </c>
      <c r="F78" s="21" t="str">
        <f>VLOOKUP(D78,Sheet2!A:B,2)</f>
        <v>J20-0962</v>
      </c>
      <c r="G78" s="68" t="str">
        <f>VLOOKUP(F78,Sheet2!B:C,2,0)</f>
        <v>FIT-2020KZ1</v>
      </c>
      <c r="H78" s="68" t="str">
        <f>HLOOKUP(I$2+$A78,Sheet2!BX:NB,2,0)</f>
        <v>1-15 Feb 21</v>
      </c>
      <c r="I78" t="str">
        <f>IF(OR(HLOOKUP(I$2+$A78,Sheet2!BX:NB,$B78,0),HLOOKUP(I$2+$A78,Sheet2!BX:NB,$B78,0)&lt;&gt;""),HLOOKUP(I$2+$A78,Sheet2!BX:NB,$B78,0),"")</f>
        <v/>
      </c>
      <c r="J78" t="str">
        <f>IF(OR(HLOOKUP(J$2+$A78,Sheet2!BY:NC,$B78,0),HLOOKUP(J$2+$A78,Sheet2!BY:NC,$B78,0)&lt;&gt;""),HLOOKUP(J$2+$A78,Sheet2!BY:NC,$B78,0),"")</f>
        <v/>
      </c>
      <c r="K78" t="str">
        <f>IF(OR(HLOOKUP(K$2+$A78,Sheet2!BZ:ND,$B78,0),HLOOKUP(K$2+$A78,Sheet2!BZ:ND,$B78,0)&lt;&gt;""),HLOOKUP(K$2+$A78,Sheet2!BZ:ND,$B78,0),"")</f>
        <v/>
      </c>
      <c r="L78" t="str">
        <f>IF(OR(HLOOKUP(L$2+$A78,Sheet2!CA:NE,$B78,0),HLOOKUP(L$2+$A78,Sheet2!CA:NE,$B78,0)&lt;&gt;""),HLOOKUP(L$2+$A78,Sheet2!CA:NE,$B78,0),"")</f>
        <v/>
      </c>
      <c r="M78" t="str">
        <f>IF(OR(HLOOKUP(M$2+$A78,Sheet2!CB:NF,$B78,0),HLOOKUP(M$2+$A78,Sheet2!CB:NF,$B78,0)&lt;&gt;""),HLOOKUP(M$2+$A78,Sheet2!CB:NF,$B78,0),"")</f>
        <v/>
      </c>
    </row>
    <row r="79" spans="1:13" x14ac:dyDescent="0.25">
      <c r="A79" s="68">
        <f t="shared" si="14"/>
        <v>15</v>
      </c>
      <c r="B79" s="68">
        <f t="shared" si="15"/>
        <v>14</v>
      </c>
      <c r="C79" s="68">
        <f t="shared" si="16"/>
        <v>4</v>
      </c>
      <c r="D79" s="68">
        <f t="shared" si="10"/>
        <v>10</v>
      </c>
      <c r="E79" s="68">
        <f t="shared" si="11"/>
        <v>46</v>
      </c>
      <c r="F79" s="21" t="str">
        <f>VLOOKUP(D79,Sheet2!A:B,2)</f>
        <v>J20-0962</v>
      </c>
      <c r="G79" s="68" t="str">
        <f>VLOOKUP(F79,Sheet2!B:C,2,0)</f>
        <v>FIT-2020KZ1</v>
      </c>
      <c r="H79" s="68" t="str">
        <f>HLOOKUP(I$2+$A79,Sheet2!BX:NB,2,0)</f>
        <v>16-28 Feb 21</v>
      </c>
      <c r="I79" t="str">
        <f>IF(OR(HLOOKUP(I$2+$A79,Sheet2!BX:NB,$B79,0),HLOOKUP(I$2+$A79,Sheet2!BX:NB,$B79,0)&lt;&gt;""),HLOOKUP(I$2+$A79,Sheet2!BX:NB,$B79,0),"")</f>
        <v/>
      </c>
      <c r="J79" t="str">
        <f>IF(OR(HLOOKUP(J$2+$A79,Sheet2!BY:NC,$B79,0),HLOOKUP(J$2+$A79,Sheet2!BY:NC,$B79,0)&lt;&gt;""),HLOOKUP(J$2+$A79,Sheet2!BY:NC,$B79,0),"")</f>
        <v/>
      </c>
      <c r="K79" t="str">
        <f>IF(OR(HLOOKUP(K$2+$A79,Sheet2!BZ:ND,$B79,0),HLOOKUP(K$2+$A79,Sheet2!BZ:ND,$B79,0)&lt;&gt;""),HLOOKUP(K$2+$A79,Sheet2!BZ:ND,$B79,0),"")</f>
        <v/>
      </c>
      <c r="L79" t="str">
        <f>IF(OR(HLOOKUP(L$2+$A79,Sheet2!CA:NE,$B79,0),HLOOKUP(L$2+$A79,Sheet2!CA:NE,$B79,0)&lt;&gt;""),HLOOKUP(L$2+$A79,Sheet2!CA:NE,$B79,0),"")</f>
        <v/>
      </c>
      <c r="M79" t="str">
        <f>IF(OR(HLOOKUP(M$2+$A79,Sheet2!CB:NF,$B79,0),HLOOKUP(M$2+$A79,Sheet2!CB:NF,$B79,0)&lt;&gt;""),HLOOKUP(M$2+$A79,Sheet2!CB:NF,$B79,0),"")</f>
        <v/>
      </c>
    </row>
    <row r="80" spans="1:13" x14ac:dyDescent="0.25">
      <c r="A80" s="68">
        <f t="shared" si="14"/>
        <v>20</v>
      </c>
      <c r="B80" s="68">
        <f t="shared" si="15"/>
        <v>14</v>
      </c>
      <c r="C80" s="68">
        <f t="shared" si="16"/>
        <v>5</v>
      </c>
      <c r="D80" s="68">
        <f t="shared" si="10"/>
        <v>10</v>
      </c>
      <c r="E80" s="68">
        <f t="shared" si="11"/>
        <v>46</v>
      </c>
      <c r="F80" s="21" t="str">
        <f>VLOOKUP(D80,Sheet2!A:B,2)</f>
        <v>J20-0962</v>
      </c>
      <c r="G80" s="68" t="str">
        <f>VLOOKUP(F80,Sheet2!B:C,2,0)</f>
        <v>FIT-2020KZ1</v>
      </c>
      <c r="H80" s="68" t="str">
        <f>HLOOKUP(I$2+$A80,Sheet2!BX:NB,2,0)</f>
        <v>1-15 Mar 2021</v>
      </c>
      <c r="I80" t="str">
        <f>IF(OR(HLOOKUP(I$2+$A80,Sheet2!BX:NB,$B80,0),HLOOKUP(I$2+$A80,Sheet2!BX:NB,$B80,0)&lt;&gt;""),HLOOKUP(I$2+$A80,Sheet2!BX:NB,$B80,0),"")</f>
        <v/>
      </c>
      <c r="J80" t="str">
        <f>IF(OR(HLOOKUP(J$2+$A80,Sheet2!BY:NC,$B80,0),HLOOKUP(J$2+$A80,Sheet2!BY:NC,$B80,0)&lt;&gt;""),HLOOKUP(J$2+$A80,Sheet2!BY:NC,$B80,0),"")</f>
        <v/>
      </c>
      <c r="K80" t="str">
        <f>IF(OR(HLOOKUP(K$2+$A80,Sheet2!BZ:ND,$B80,0),HLOOKUP(K$2+$A80,Sheet2!BZ:ND,$B80,0)&lt;&gt;""),HLOOKUP(K$2+$A80,Sheet2!BZ:ND,$B80,0),"")</f>
        <v/>
      </c>
      <c r="L80" t="str">
        <f>IF(OR(HLOOKUP(L$2+$A80,Sheet2!CA:NE,$B80,0),HLOOKUP(L$2+$A80,Sheet2!CA:NE,$B80,0)&lt;&gt;""),HLOOKUP(L$2+$A80,Sheet2!CA:NE,$B80,0),"")</f>
        <v/>
      </c>
      <c r="M80" t="str">
        <f>IF(OR(HLOOKUP(M$2+$A80,Sheet2!CB:NF,$B80,0),HLOOKUP(M$2+$A80,Sheet2!CB:NF,$B80,0)&lt;&gt;""),HLOOKUP(M$2+$A80,Sheet2!CB:NF,$B80,0),"")</f>
        <v/>
      </c>
    </row>
    <row r="81" spans="1:13" x14ac:dyDescent="0.25">
      <c r="A81" s="68">
        <f t="shared" si="14"/>
        <v>25</v>
      </c>
      <c r="B81" s="68">
        <f t="shared" si="15"/>
        <v>14</v>
      </c>
      <c r="C81" s="68">
        <f t="shared" si="16"/>
        <v>6</v>
      </c>
      <c r="D81" s="68">
        <f t="shared" si="10"/>
        <v>10</v>
      </c>
      <c r="E81" s="68">
        <f t="shared" si="11"/>
        <v>46</v>
      </c>
      <c r="F81" s="21" t="str">
        <f>VLOOKUP(D81,Sheet2!A:B,2)</f>
        <v>J20-0962</v>
      </c>
      <c r="G81" s="68" t="str">
        <f>VLOOKUP(F81,Sheet2!B:C,2,0)</f>
        <v>FIT-2020KZ1</v>
      </c>
      <c r="H81" s="68" t="str">
        <f>HLOOKUP(I$2+$A81,Sheet2!BX:NB,2,0)</f>
        <v>16-31 Mar 21</v>
      </c>
      <c r="I81">
        <f>IF(OR(HLOOKUP(I$2+$A81,Sheet2!BX:NB,$B81,0),HLOOKUP(I$2+$A81,Sheet2!BX:NB,$B81,0)&lt;&gt;""),HLOOKUP(I$2+$A81,Sheet2!BX:NB,$B81,0),"")</f>
        <v>60798</v>
      </c>
      <c r="J81">
        <f>IF(OR(HLOOKUP(J$2+$A81,Sheet2!BY:NC,$B81,0),HLOOKUP(J$2+$A81,Sheet2!BY:NC,$B81,0)&lt;&gt;""),HLOOKUP(J$2+$A81,Sheet2!BY:NC,$B81,0),"")</f>
        <v>4878</v>
      </c>
      <c r="K81" t="str">
        <f>IF(OR(HLOOKUP(K$2+$A81,Sheet2!BZ:ND,$B81,0),HLOOKUP(K$2+$A81,Sheet2!BZ:ND,$B81,0)&lt;&gt;""),HLOOKUP(K$2+$A81,Sheet2!BZ:ND,$B81,0),"")</f>
        <v/>
      </c>
      <c r="L81">
        <f>IF(OR(HLOOKUP(L$2+$A81,Sheet2!CA:NE,$B81,0),HLOOKUP(L$2+$A81,Sheet2!CA:NE,$B81,0)&lt;&gt;""),HLOOKUP(L$2+$A81,Sheet2!CA:NE,$B81,0),"")</f>
        <v>4800</v>
      </c>
      <c r="M81" t="str">
        <f>IF(OR(HLOOKUP(M$2+$A81,Sheet2!CB:NF,$B81,0),HLOOKUP(M$2+$A81,Sheet2!CB:NF,$B81,0)&lt;&gt;""),HLOOKUP(M$2+$A81,Sheet2!CB:NF,$B81,0),"")</f>
        <v/>
      </c>
    </row>
    <row r="82" spans="1:13" x14ac:dyDescent="0.25">
      <c r="A82" s="68">
        <f t="shared" si="14"/>
        <v>30</v>
      </c>
      <c r="B82" s="68">
        <f t="shared" si="15"/>
        <v>14</v>
      </c>
      <c r="C82" s="68">
        <f t="shared" si="16"/>
        <v>7</v>
      </c>
      <c r="D82" s="68">
        <f t="shared" si="10"/>
        <v>10</v>
      </c>
      <c r="E82" s="68">
        <f t="shared" si="11"/>
        <v>46</v>
      </c>
      <c r="F82" s="21" t="str">
        <f>VLOOKUP(D82,Sheet2!A:B,2)</f>
        <v>J20-0962</v>
      </c>
      <c r="G82" s="68" t="str">
        <f>VLOOKUP(F82,Sheet2!B:C,2,0)</f>
        <v>FIT-2020KZ1</v>
      </c>
      <c r="H82" s="68" t="str">
        <f>HLOOKUP(I$2+$A82,Sheet2!BX:NB,2,0)</f>
        <v>1-15 April 21</v>
      </c>
      <c r="I82">
        <f>IF(OR(HLOOKUP(I$2+$A82,Sheet2!BX:NB,$B82,0),HLOOKUP(I$2+$A82,Sheet2!BX:NB,$B82,0)&lt;&gt;""),HLOOKUP(I$2+$A82,Sheet2!BX:NB,$B82,0),"")</f>
        <v>78532</v>
      </c>
      <c r="J82">
        <f>IF(OR(HLOOKUP(J$2+$A82,Sheet2!BY:NC,$B82,0),HLOOKUP(J$2+$A82,Sheet2!BY:NC,$B82,0)&lt;&gt;""),HLOOKUP(J$2+$A82,Sheet2!BY:NC,$B82,0),"")</f>
        <v>13688</v>
      </c>
      <c r="K82" t="str">
        <f>IF(OR(HLOOKUP(K$2+$A82,Sheet2!BZ:ND,$B82,0),HLOOKUP(K$2+$A82,Sheet2!BZ:ND,$B82,0)&lt;&gt;""),HLOOKUP(K$2+$A82,Sheet2!BZ:ND,$B82,0),"")</f>
        <v/>
      </c>
      <c r="L82" t="str">
        <f>IF(OR(HLOOKUP(L$2+$A82,Sheet2!CA:NE,$B82,0),HLOOKUP(L$2+$A82,Sheet2!CA:NE,$B82,0)&lt;&gt;""),HLOOKUP(L$2+$A82,Sheet2!CA:NE,$B82,0),"")</f>
        <v/>
      </c>
      <c r="M82" t="str">
        <f>IF(OR(HLOOKUP(M$2+$A82,Sheet2!CB:NF,$B82,0),HLOOKUP(M$2+$A82,Sheet2!CB:NF,$B82,0)&lt;&gt;""),HLOOKUP(M$2+$A82,Sheet2!CB:NF,$B82,0),"")</f>
        <v/>
      </c>
    </row>
    <row r="83" spans="1:13" x14ac:dyDescent="0.25">
      <c r="A83" s="68">
        <f t="shared" si="14"/>
        <v>35</v>
      </c>
      <c r="B83" s="68">
        <f t="shared" si="15"/>
        <v>14</v>
      </c>
      <c r="C83" s="68">
        <f t="shared" si="16"/>
        <v>8</v>
      </c>
      <c r="D83" s="68">
        <f t="shared" si="10"/>
        <v>10</v>
      </c>
      <c r="E83" s="68">
        <f t="shared" si="11"/>
        <v>46</v>
      </c>
      <c r="F83" s="21" t="str">
        <f>VLOOKUP(D83,Sheet2!A:B,2)</f>
        <v>J20-0962</v>
      </c>
      <c r="G83" s="68" t="str">
        <f>VLOOKUP(F83,Sheet2!B:C,2,0)</f>
        <v>FIT-2020KZ1</v>
      </c>
      <c r="H83" s="68" t="str">
        <f>HLOOKUP(I$2+$A83,Sheet2!BX:NB,2,0)</f>
        <v>16-30 April 21</v>
      </c>
      <c r="I83" t="str">
        <f>IF(OR(HLOOKUP(I$2+$A83,Sheet2!BX:NB,$B83,0),HLOOKUP(I$2+$A83,Sheet2!BX:NB,$B83,0)&lt;&gt;""),HLOOKUP(I$2+$A83,Sheet2!BX:NB,$B83,0),"")</f>
        <v/>
      </c>
      <c r="J83" t="str">
        <f>IF(OR(HLOOKUP(J$2+$A83,Sheet2!BY:NC,$B83,0),HLOOKUP(J$2+$A83,Sheet2!BY:NC,$B83,0)&lt;&gt;""),HLOOKUP(J$2+$A83,Sheet2!BY:NC,$B83,0),"")</f>
        <v/>
      </c>
      <c r="K83" t="str">
        <f>IF(OR(HLOOKUP(K$2+$A83,Sheet2!BZ:ND,$B83,0),HLOOKUP(K$2+$A83,Sheet2!BZ:ND,$B83,0)&lt;&gt;""),HLOOKUP(K$2+$A83,Sheet2!BZ:ND,$B83,0),"")</f>
        <v/>
      </c>
      <c r="L83" t="str">
        <f>IF(OR(HLOOKUP(L$2+$A83,Sheet2!CA:NE,$B83,0),HLOOKUP(L$2+$A83,Sheet2!CA:NE,$B83,0)&lt;&gt;""),HLOOKUP(L$2+$A83,Sheet2!CA:NE,$B83,0),"")</f>
        <v/>
      </c>
      <c r="M83" t="str">
        <f>IF(OR(HLOOKUP(M$2+$A83,Sheet2!CB:NF,$B83,0),HLOOKUP(M$2+$A83,Sheet2!CB:NF,$B83,0)&lt;&gt;""),HLOOKUP(M$2+$A83,Sheet2!CB:NF,$B83,0),"")</f>
        <v/>
      </c>
    </row>
    <row r="84" spans="1:13" x14ac:dyDescent="0.25">
      <c r="A84" s="68">
        <f t="shared" si="14"/>
        <v>0</v>
      </c>
      <c r="B84" s="68">
        <f t="shared" si="15"/>
        <v>15</v>
      </c>
      <c r="C84" s="68">
        <f t="shared" si="16"/>
        <v>1</v>
      </c>
      <c r="D84" s="68">
        <f t="shared" si="10"/>
        <v>11</v>
      </c>
      <c r="E84" s="68">
        <f t="shared" si="11"/>
        <v>51</v>
      </c>
      <c r="F84" s="21" t="str">
        <f>VLOOKUP(D84,Sheet2!A:B,2)</f>
        <v>J20-0953</v>
      </c>
      <c r="G84" s="68" t="str">
        <f>VLOOKUP(F84,Sheet2!B:C,2,0)</f>
        <v>พีทีที โกลบอล เคมิคอล</v>
      </c>
      <c r="H84" s="68" t="str">
        <f>HLOOKUP(I$2+$A84,Sheet2!BX:NB,2,0)</f>
        <v>1-15 Jan 21</v>
      </c>
      <c r="I84">
        <f>IF(OR(HLOOKUP(I$2+$A84,Sheet2!BX:NB,$B84,0),HLOOKUP(I$2+$A84,Sheet2!BX:NB,$B84,0)&lt;&gt;""),HLOOKUP(I$2+$A84,Sheet2!BX:NB,$B84,0),"")</f>
        <v>64235</v>
      </c>
      <c r="J84">
        <f>IF(OR(HLOOKUP(J$2+$A84,Sheet2!BY:NC,$B84,0),HLOOKUP(J$2+$A84,Sheet2!BY:NC,$B84,0)&lt;&gt;""),HLOOKUP(J$2+$A84,Sheet2!BY:NC,$B84,0),"")</f>
        <v>8654</v>
      </c>
      <c r="K84" t="str">
        <f>IF(OR(HLOOKUP(K$2+$A84,Sheet2!BZ:ND,$B84,0),HLOOKUP(K$2+$A84,Sheet2!BZ:ND,$B84,0)&lt;&gt;""),HLOOKUP(K$2+$A84,Sheet2!BZ:ND,$B84,0),"")</f>
        <v/>
      </c>
      <c r="L84" t="str">
        <f>IF(OR(HLOOKUP(L$2+$A84,Sheet2!CA:NE,$B84,0),HLOOKUP(L$2+$A84,Sheet2!CA:NE,$B84,0)&lt;&gt;""),HLOOKUP(L$2+$A84,Sheet2!CA:NE,$B84,0),"")</f>
        <v/>
      </c>
      <c r="M84">
        <f>IF(OR(HLOOKUP(M$2+$A84,Sheet2!CB:NF,$B84,0),HLOOKUP(M$2+$A84,Sheet2!CB:NF,$B84,0)&lt;&gt;""),HLOOKUP(M$2+$A84,Sheet2!CB:NF,$B84,0),"")</f>
        <v>8</v>
      </c>
    </row>
    <row r="85" spans="1:13" x14ac:dyDescent="0.25">
      <c r="A85" s="68">
        <f t="shared" si="14"/>
        <v>5</v>
      </c>
      <c r="B85" s="68">
        <f t="shared" si="15"/>
        <v>15</v>
      </c>
      <c r="C85" s="68">
        <f t="shared" si="16"/>
        <v>2</v>
      </c>
      <c r="D85" s="68">
        <f t="shared" ref="D85:D131" si="17">IF(C85=1,D84+1,D84)</f>
        <v>11</v>
      </c>
      <c r="E85" s="68">
        <f t="shared" ref="E85:E148" si="18">IF(D85&lt;&gt;D84,E84+5,E84)</f>
        <v>51</v>
      </c>
      <c r="F85" s="21" t="str">
        <f>VLOOKUP(D85,Sheet2!A:B,2)</f>
        <v>J20-0953</v>
      </c>
      <c r="G85" s="68" t="str">
        <f>VLOOKUP(F85,Sheet2!B:C,2,0)</f>
        <v>พีทีที โกลบอล เคมิคอล</v>
      </c>
      <c r="H85" s="68" t="str">
        <f>HLOOKUP(I$2+$A85,Sheet2!BX:NB,2,0)</f>
        <v>16-31 Jan 21</v>
      </c>
      <c r="I85">
        <f>IF(OR(HLOOKUP(I$2+$A85,Sheet2!BX:NB,$B85,0),HLOOKUP(I$2+$A85,Sheet2!BX:NB,$B85,0)&lt;&gt;""),HLOOKUP(I$2+$A85,Sheet2!BX:NB,$B85,0),"")</f>
        <v>62597</v>
      </c>
      <c r="J85">
        <f>IF(OR(HLOOKUP(J$2+$A85,Sheet2!BY:NC,$B85,0),HLOOKUP(J$2+$A85,Sheet2!BY:NC,$B85,0)&lt;&gt;""),HLOOKUP(J$2+$A85,Sheet2!BY:NC,$B85,0),"")</f>
        <v>3624</v>
      </c>
      <c r="K85" t="str">
        <f>IF(OR(HLOOKUP(K$2+$A85,Sheet2!BZ:ND,$B85,0),HLOOKUP(K$2+$A85,Sheet2!BZ:ND,$B85,0)&lt;&gt;""),HLOOKUP(K$2+$A85,Sheet2!BZ:ND,$B85,0),"")</f>
        <v/>
      </c>
      <c r="L85" t="str">
        <f>IF(OR(HLOOKUP(L$2+$A85,Sheet2!CA:NE,$B85,0),HLOOKUP(L$2+$A85,Sheet2!CA:NE,$B85,0)&lt;&gt;""),HLOOKUP(L$2+$A85,Sheet2!CA:NE,$B85,0),"")</f>
        <v/>
      </c>
      <c r="M85">
        <f>IF(OR(HLOOKUP(M$2+$A85,Sheet2!CB:NF,$B85,0),HLOOKUP(M$2+$A85,Sheet2!CB:NF,$B85,0)&lt;&gt;""),HLOOKUP(M$2+$A85,Sheet2!CB:NF,$B85,0),"")</f>
        <v>7</v>
      </c>
    </row>
    <row r="86" spans="1:13" x14ac:dyDescent="0.25">
      <c r="A86" s="68">
        <f t="shared" si="14"/>
        <v>10</v>
      </c>
      <c r="B86" s="68">
        <f t="shared" si="15"/>
        <v>15</v>
      </c>
      <c r="C86" s="68">
        <f t="shared" si="16"/>
        <v>3</v>
      </c>
      <c r="D86" s="68">
        <f t="shared" si="17"/>
        <v>11</v>
      </c>
      <c r="E86" s="68">
        <f t="shared" si="18"/>
        <v>51</v>
      </c>
      <c r="F86" s="21" t="str">
        <f>VLOOKUP(D86,Sheet2!A:B,2)</f>
        <v>J20-0953</v>
      </c>
      <c r="G86" s="68" t="str">
        <f>VLOOKUP(F86,Sheet2!B:C,2,0)</f>
        <v>พีทีที โกลบอล เคมิคอล</v>
      </c>
      <c r="H86" s="68" t="str">
        <f>HLOOKUP(I$2+$A86,Sheet2!BX:NB,2,0)</f>
        <v>1-15 Feb 21</v>
      </c>
      <c r="I86" t="str">
        <f>IF(OR(HLOOKUP(I$2+$A86,Sheet2!BX:NB,$B86,0),HLOOKUP(I$2+$A86,Sheet2!BX:NB,$B86,0)&lt;&gt;""),HLOOKUP(I$2+$A86,Sheet2!BX:NB,$B86,0),"")</f>
        <v/>
      </c>
      <c r="J86" t="str">
        <f>IF(OR(HLOOKUP(J$2+$A86,Sheet2!BY:NC,$B86,0),HLOOKUP(J$2+$A86,Sheet2!BY:NC,$B86,0)&lt;&gt;""),HLOOKUP(J$2+$A86,Sheet2!BY:NC,$B86,0),"")</f>
        <v/>
      </c>
      <c r="K86" t="str">
        <f>IF(OR(HLOOKUP(K$2+$A86,Sheet2!BZ:ND,$B86,0),HLOOKUP(K$2+$A86,Sheet2!BZ:ND,$B86,0)&lt;&gt;""),HLOOKUP(K$2+$A86,Sheet2!BZ:ND,$B86,0),"")</f>
        <v/>
      </c>
      <c r="L86" t="str">
        <f>IF(OR(HLOOKUP(L$2+$A86,Sheet2!CA:NE,$B86,0),HLOOKUP(L$2+$A86,Sheet2!CA:NE,$B86,0)&lt;&gt;""),HLOOKUP(L$2+$A86,Sheet2!CA:NE,$B86,0),"")</f>
        <v/>
      </c>
      <c r="M86" t="str">
        <f>IF(OR(HLOOKUP(M$2+$A86,Sheet2!CB:NF,$B86,0),HLOOKUP(M$2+$A86,Sheet2!CB:NF,$B86,0)&lt;&gt;""),HLOOKUP(M$2+$A86,Sheet2!CB:NF,$B86,0),"")</f>
        <v/>
      </c>
    </row>
    <row r="87" spans="1:13" x14ac:dyDescent="0.25">
      <c r="A87" s="68">
        <f t="shared" si="14"/>
        <v>15</v>
      </c>
      <c r="B87" s="68">
        <f t="shared" si="15"/>
        <v>15</v>
      </c>
      <c r="C87" s="68">
        <f t="shared" si="16"/>
        <v>4</v>
      </c>
      <c r="D87" s="68">
        <f t="shared" si="17"/>
        <v>11</v>
      </c>
      <c r="E87" s="68">
        <f t="shared" si="18"/>
        <v>51</v>
      </c>
      <c r="F87" s="21" t="str">
        <f>VLOOKUP(D87,Sheet2!A:B,2)</f>
        <v>J20-0953</v>
      </c>
      <c r="G87" s="68" t="str">
        <f>VLOOKUP(F87,Sheet2!B:C,2,0)</f>
        <v>พีทีที โกลบอล เคมิคอล</v>
      </c>
      <c r="H87" s="68" t="str">
        <f>HLOOKUP(I$2+$A87,Sheet2!BX:NB,2,0)</f>
        <v>16-28 Feb 21</v>
      </c>
      <c r="I87" t="str">
        <f>IF(OR(HLOOKUP(I$2+$A87,Sheet2!BX:NB,$B87,0),HLOOKUP(I$2+$A87,Sheet2!BX:NB,$B87,0)&lt;&gt;""),HLOOKUP(I$2+$A87,Sheet2!BX:NB,$B87,0),"")</f>
        <v/>
      </c>
      <c r="J87" t="str">
        <f>IF(OR(HLOOKUP(J$2+$A87,Sheet2!BY:NC,$B87,0),HLOOKUP(J$2+$A87,Sheet2!BY:NC,$B87,0)&lt;&gt;""),HLOOKUP(J$2+$A87,Sheet2!BY:NC,$B87,0),"")</f>
        <v/>
      </c>
      <c r="K87" t="str">
        <f>IF(OR(HLOOKUP(K$2+$A87,Sheet2!BZ:ND,$B87,0),HLOOKUP(K$2+$A87,Sheet2!BZ:ND,$B87,0)&lt;&gt;""),HLOOKUP(K$2+$A87,Sheet2!BZ:ND,$B87,0),"")</f>
        <v/>
      </c>
      <c r="L87" t="str">
        <f>IF(OR(HLOOKUP(L$2+$A87,Sheet2!CA:NE,$B87,0),HLOOKUP(L$2+$A87,Sheet2!CA:NE,$B87,0)&lt;&gt;""),HLOOKUP(L$2+$A87,Sheet2!CA:NE,$B87,0),"")</f>
        <v/>
      </c>
      <c r="M87" t="str">
        <f>IF(OR(HLOOKUP(M$2+$A87,Sheet2!CB:NF,$B87,0),HLOOKUP(M$2+$A87,Sheet2!CB:NF,$B87,0)&lt;&gt;""),HLOOKUP(M$2+$A87,Sheet2!CB:NF,$B87,0),"")</f>
        <v/>
      </c>
    </row>
    <row r="88" spans="1:13" x14ac:dyDescent="0.25">
      <c r="A88" s="68">
        <f t="shared" si="14"/>
        <v>20</v>
      </c>
      <c r="B88" s="68">
        <f t="shared" si="15"/>
        <v>15</v>
      </c>
      <c r="C88" s="68">
        <f t="shared" si="16"/>
        <v>5</v>
      </c>
      <c r="D88" s="68">
        <f t="shared" si="17"/>
        <v>11</v>
      </c>
      <c r="E88" s="68">
        <f t="shared" si="18"/>
        <v>51</v>
      </c>
      <c r="F88" s="21" t="str">
        <f>VLOOKUP(D88,Sheet2!A:B,2)</f>
        <v>J20-0953</v>
      </c>
      <c r="G88" s="68" t="str">
        <f>VLOOKUP(F88,Sheet2!B:C,2,0)</f>
        <v>พีทีที โกลบอล เคมิคอล</v>
      </c>
      <c r="H88" s="68" t="str">
        <f>HLOOKUP(I$2+$A88,Sheet2!BX:NB,2,0)</f>
        <v>1-15 Mar 2021</v>
      </c>
      <c r="I88" t="str">
        <f>IF(OR(HLOOKUP(I$2+$A88,Sheet2!BX:NB,$B88,0),HLOOKUP(I$2+$A88,Sheet2!BX:NB,$B88,0)&lt;&gt;""),HLOOKUP(I$2+$A88,Sheet2!BX:NB,$B88,0),"")</f>
        <v/>
      </c>
      <c r="J88" t="str">
        <f>IF(OR(HLOOKUP(J$2+$A88,Sheet2!BY:NC,$B88,0),HLOOKUP(J$2+$A88,Sheet2!BY:NC,$B88,0)&lt;&gt;""),HLOOKUP(J$2+$A88,Sheet2!BY:NC,$B88,0),"")</f>
        <v/>
      </c>
      <c r="K88" t="str">
        <f>IF(OR(HLOOKUP(K$2+$A88,Sheet2!BZ:ND,$B88,0),HLOOKUP(K$2+$A88,Sheet2!BZ:ND,$B88,0)&lt;&gt;""),HLOOKUP(K$2+$A88,Sheet2!BZ:ND,$B88,0),"")</f>
        <v/>
      </c>
      <c r="L88" t="str">
        <f>IF(OR(HLOOKUP(L$2+$A88,Sheet2!CA:NE,$B88,0),HLOOKUP(L$2+$A88,Sheet2!CA:NE,$B88,0)&lt;&gt;""),HLOOKUP(L$2+$A88,Sheet2!CA:NE,$B88,0),"")</f>
        <v/>
      </c>
      <c r="M88" t="str">
        <f>IF(OR(HLOOKUP(M$2+$A88,Sheet2!CB:NF,$B88,0),HLOOKUP(M$2+$A88,Sheet2!CB:NF,$B88,0)&lt;&gt;""),HLOOKUP(M$2+$A88,Sheet2!CB:NF,$B88,0),"")</f>
        <v/>
      </c>
    </row>
    <row r="89" spans="1:13" x14ac:dyDescent="0.25">
      <c r="A89" s="68">
        <f t="shared" si="14"/>
        <v>25</v>
      </c>
      <c r="B89" s="68">
        <f t="shared" si="15"/>
        <v>15</v>
      </c>
      <c r="C89" s="68">
        <f t="shared" si="16"/>
        <v>6</v>
      </c>
      <c r="D89" s="68">
        <f t="shared" si="17"/>
        <v>11</v>
      </c>
      <c r="E89" s="68">
        <f t="shared" si="18"/>
        <v>51</v>
      </c>
      <c r="F89" s="21" t="str">
        <f>VLOOKUP(D89,Sheet2!A:B,2)</f>
        <v>J20-0953</v>
      </c>
      <c r="G89" s="68" t="str">
        <f>VLOOKUP(F89,Sheet2!B:C,2,0)</f>
        <v>พีทีที โกลบอล เคมิคอล</v>
      </c>
      <c r="H89" s="68" t="str">
        <f>HLOOKUP(I$2+$A89,Sheet2!BX:NB,2,0)</f>
        <v>16-31 Mar 21</v>
      </c>
      <c r="I89" t="str">
        <f>IF(OR(HLOOKUP(I$2+$A89,Sheet2!BX:NB,$B89,0),HLOOKUP(I$2+$A89,Sheet2!BX:NB,$B89,0)&lt;&gt;""),HLOOKUP(I$2+$A89,Sheet2!BX:NB,$B89,0),"")</f>
        <v/>
      </c>
      <c r="J89" t="str">
        <f>IF(OR(HLOOKUP(J$2+$A89,Sheet2!BY:NC,$B89,0),HLOOKUP(J$2+$A89,Sheet2!BY:NC,$B89,0)&lt;&gt;""),HLOOKUP(J$2+$A89,Sheet2!BY:NC,$B89,0),"")</f>
        <v/>
      </c>
      <c r="K89" t="str">
        <f>IF(OR(HLOOKUP(K$2+$A89,Sheet2!BZ:ND,$B89,0),HLOOKUP(K$2+$A89,Sheet2!BZ:ND,$B89,0)&lt;&gt;""),HLOOKUP(K$2+$A89,Sheet2!BZ:ND,$B89,0),"")</f>
        <v/>
      </c>
      <c r="L89" t="str">
        <f>IF(OR(HLOOKUP(L$2+$A89,Sheet2!CA:NE,$B89,0),HLOOKUP(L$2+$A89,Sheet2!CA:NE,$B89,0)&lt;&gt;""),HLOOKUP(L$2+$A89,Sheet2!CA:NE,$B89,0),"")</f>
        <v/>
      </c>
      <c r="M89" t="str">
        <f>IF(OR(HLOOKUP(M$2+$A89,Sheet2!CB:NF,$B89,0),HLOOKUP(M$2+$A89,Sheet2!CB:NF,$B89,0)&lt;&gt;""),HLOOKUP(M$2+$A89,Sheet2!CB:NF,$B89,0),"")</f>
        <v/>
      </c>
    </row>
    <row r="90" spans="1:13" x14ac:dyDescent="0.25">
      <c r="A90" s="68">
        <f t="shared" si="14"/>
        <v>30</v>
      </c>
      <c r="B90" s="68">
        <f t="shared" si="15"/>
        <v>15</v>
      </c>
      <c r="C90" s="68">
        <f t="shared" si="16"/>
        <v>7</v>
      </c>
      <c r="D90" s="68">
        <f t="shared" si="17"/>
        <v>11</v>
      </c>
      <c r="E90" s="68">
        <f t="shared" si="18"/>
        <v>51</v>
      </c>
      <c r="F90" s="21" t="str">
        <f>VLOOKUP(D90,Sheet2!A:B,2)</f>
        <v>J20-0953</v>
      </c>
      <c r="G90" s="68" t="str">
        <f>VLOOKUP(F90,Sheet2!B:C,2,0)</f>
        <v>พีทีที โกลบอล เคมิคอล</v>
      </c>
      <c r="H90" s="68" t="str">
        <f>HLOOKUP(I$2+$A90,Sheet2!BX:NB,2,0)</f>
        <v>1-15 April 21</v>
      </c>
      <c r="I90" t="str">
        <f>IF(OR(HLOOKUP(I$2+$A90,Sheet2!BX:NB,$B90,0),HLOOKUP(I$2+$A90,Sheet2!BX:NB,$B90,0)&lt;&gt;""),HLOOKUP(I$2+$A90,Sheet2!BX:NB,$B90,0),"")</f>
        <v/>
      </c>
      <c r="J90" t="str">
        <f>IF(OR(HLOOKUP(J$2+$A90,Sheet2!BY:NC,$B90,0),HLOOKUP(J$2+$A90,Sheet2!BY:NC,$B90,0)&lt;&gt;""),HLOOKUP(J$2+$A90,Sheet2!BY:NC,$B90,0),"")</f>
        <v/>
      </c>
      <c r="K90" t="str">
        <f>IF(OR(HLOOKUP(K$2+$A90,Sheet2!BZ:ND,$B90,0),HLOOKUP(K$2+$A90,Sheet2!BZ:ND,$B90,0)&lt;&gt;""),HLOOKUP(K$2+$A90,Sheet2!BZ:ND,$B90,0),"")</f>
        <v/>
      </c>
      <c r="L90" t="str">
        <f>IF(OR(HLOOKUP(L$2+$A90,Sheet2!CA:NE,$B90,0),HLOOKUP(L$2+$A90,Sheet2!CA:NE,$B90,0)&lt;&gt;""),HLOOKUP(L$2+$A90,Sheet2!CA:NE,$B90,0),"")</f>
        <v/>
      </c>
      <c r="M90" t="str">
        <f>IF(OR(HLOOKUP(M$2+$A90,Sheet2!CB:NF,$B90,0),HLOOKUP(M$2+$A90,Sheet2!CB:NF,$B90,0)&lt;&gt;""),HLOOKUP(M$2+$A90,Sheet2!CB:NF,$B90,0),"")</f>
        <v/>
      </c>
    </row>
    <row r="91" spans="1:13" x14ac:dyDescent="0.25">
      <c r="A91" s="68">
        <f t="shared" si="14"/>
        <v>35</v>
      </c>
      <c r="B91" s="68">
        <f t="shared" si="15"/>
        <v>15</v>
      </c>
      <c r="C91" s="68">
        <f t="shared" si="16"/>
        <v>8</v>
      </c>
      <c r="D91" s="68">
        <f t="shared" si="17"/>
        <v>11</v>
      </c>
      <c r="E91" s="68">
        <f t="shared" si="18"/>
        <v>51</v>
      </c>
      <c r="F91" s="21" t="str">
        <f>VLOOKUP(D91,Sheet2!A:B,2)</f>
        <v>J20-0953</v>
      </c>
      <c r="G91" s="68" t="str">
        <f>VLOOKUP(F91,Sheet2!B:C,2,0)</f>
        <v>พีทีที โกลบอล เคมิคอล</v>
      </c>
      <c r="H91" s="68" t="str">
        <f>HLOOKUP(I$2+$A91,Sheet2!BX:NB,2,0)</f>
        <v>16-30 April 21</v>
      </c>
      <c r="I91" t="str">
        <f>IF(OR(HLOOKUP(I$2+$A91,Sheet2!BX:NB,$B91,0),HLOOKUP(I$2+$A91,Sheet2!BX:NB,$B91,0)&lt;&gt;""),HLOOKUP(I$2+$A91,Sheet2!BX:NB,$B91,0),"")</f>
        <v/>
      </c>
      <c r="J91" t="str">
        <f>IF(OR(HLOOKUP(J$2+$A91,Sheet2!BY:NC,$B91,0),HLOOKUP(J$2+$A91,Sheet2!BY:NC,$B91,0)&lt;&gt;""),HLOOKUP(J$2+$A91,Sheet2!BY:NC,$B91,0),"")</f>
        <v/>
      </c>
      <c r="K91" t="str">
        <f>IF(OR(HLOOKUP(K$2+$A91,Sheet2!BZ:ND,$B91,0),HLOOKUP(K$2+$A91,Sheet2!BZ:ND,$B91,0)&lt;&gt;""),HLOOKUP(K$2+$A91,Sheet2!BZ:ND,$B91,0),"")</f>
        <v/>
      </c>
      <c r="L91" t="str">
        <f>IF(OR(HLOOKUP(L$2+$A91,Sheet2!CA:NE,$B91,0),HLOOKUP(L$2+$A91,Sheet2!CA:NE,$B91,0)&lt;&gt;""),HLOOKUP(L$2+$A91,Sheet2!CA:NE,$B91,0),"")</f>
        <v/>
      </c>
      <c r="M91" t="str">
        <f>IF(OR(HLOOKUP(M$2+$A91,Sheet2!CB:NF,$B91,0),HLOOKUP(M$2+$A91,Sheet2!CB:NF,$B91,0)&lt;&gt;""),HLOOKUP(M$2+$A91,Sheet2!CB:NF,$B91,0),"")</f>
        <v/>
      </c>
    </row>
    <row r="92" spans="1:13" x14ac:dyDescent="0.25">
      <c r="A92" s="68">
        <f t="shared" si="14"/>
        <v>0</v>
      </c>
      <c r="B92" s="68">
        <f t="shared" si="15"/>
        <v>16</v>
      </c>
      <c r="C92" s="68">
        <f t="shared" si="16"/>
        <v>1</v>
      </c>
      <c r="D92" s="68">
        <f t="shared" si="17"/>
        <v>12</v>
      </c>
      <c r="E92" s="68">
        <f t="shared" si="18"/>
        <v>56</v>
      </c>
      <c r="F92" s="21" t="str">
        <f>VLOOKUP(D92,Sheet2!A:B,2)</f>
        <v>J20-1297</v>
      </c>
      <c r="G92" s="68" t="str">
        <f>VLOOKUP(F92,Sheet2!B:C,2,0)</f>
        <v xml:space="preserve">TOPAZ DIPPING MACHINE LIGHTING &amp; POWER PLUG </v>
      </c>
      <c r="H92" s="68" t="str">
        <f>HLOOKUP(I$2+$A92,Sheet2!BX:NB,2,0)</f>
        <v>1-15 Jan 21</v>
      </c>
      <c r="I92">
        <f>IF(OR(HLOOKUP(I$2+$A92,Sheet2!BX:NB,$B92,0),HLOOKUP(I$2+$A92,Sheet2!BX:NB,$B92,0)&lt;&gt;""),HLOOKUP(I$2+$A92,Sheet2!BX:NB,$B92,0),"")</f>
        <v>135680</v>
      </c>
      <c r="J92">
        <f>IF(OR(HLOOKUP(J$2+$A92,Sheet2!BY:NC,$B92,0),HLOOKUP(J$2+$A92,Sheet2!BY:NC,$B92,0)&lt;&gt;""),HLOOKUP(J$2+$A92,Sheet2!BY:NC,$B92,0),"")</f>
        <v>59804</v>
      </c>
      <c r="K92" t="str">
        <f>IF(OR(HLOOKUP(K$2+$A92,Sheet2!BZ:ND,$B92,0),HLOOKUP(K$2+$A92,Sheet2!BZ:ND,$B92,0)&lt;&gt;""),HLOOKUP(K$2+$A92,Sheet2!BZ:ND,$B92,0),"")</f>
        <v/>
      </c>
      <c r="L92" t="str">
        <f>IF(OR(HLOOKUP(L$2+$A92,Sheet2!CA:NE,$B92,0),HLOOKUP(L$2+$A92,Sheet2!CA:NE,$B92,0)&lt;&gt;""),HLOOKUP(L$2+$A92,Sheet2!CA:NE,$B92,0),"")</f>
        <v/>
      </c>
      <c r="M92" t="str">
        <f>IF(OR(HLOOKUP(M$2+$A92,Sheet2!CB:NF,$B92,0),HLOOKUP(M$2+$A92,Sheet2!CB:NF,$B92,0)&lt;&gt;""),HLOOKUP(M$2+$A92,Sheet2!CB:NF,$B92,0),"")</f>
        <v/>
      </c>
    </row>
    <row r="93" spans="1:13" x14ac:dyDescent="0.25">
      <c r="A93" s="68">
        <f t="shared" si="14"/>
        <v>5</v>
      </c>
      <c r="B93" s="68">
        <f t="shared" si="15"/>
        <v>16</v>
      </c>
      <c r="C93" s="68">
        <f t="shared" si="16"/>
        <v>2</v>
      </c>
      <c r="D93" s="68">
        <f t="shared" si="17"/>
        <v>12</v>
      </c>
      <c r="E93" s="68">
        <f t="shared" si="18"/>
        <v>56</v>
      </c>
      <c r="F93" s="21" t="str">
        <f>VLOOKUP(D93,Sheet2!A:B,2)</f>
        <v>J20-1297</v>
      </c>
      <c r="G93" s="68" t="str">
        <f>VLOOKUP(F93,Sheet2!B:C,2,0)</f>
        <v xml:space="preserve">TOPAZ DIPPING MACHINE LIGHTING &amp; POWER PLUG </v>
      </c>
      <c r="H93" s="68" t="str">
        <f>HLOOKUP(I$2+$A93,Sheet2!BX:NB,2,0)</f>
        <v>16-31 Jan 21</v>
      </c>
      <c r="I93">
        <f>IF(OR(HLOOKUP(I$2+$A93,Sheet2!BX:NB,$B93,0),HLOOKUP(I$2+$A93,Sheet2!BX:NB,$B93,0)&lt;&gt;""),HLOOKUP(I$2+$A93,Sheet2!BX:NB,$B93,0),"")</f>
        <v>117624</v>
      </c>
      <c r="J93">
        <f>IF(OR(HLOOKUP(J$2+$A93,Sheet2!BY:NC,$B93,0),HLOOKUP(J$2+$A93,Sheet2!BY:NC,$B93,0)&lt;&gt;""),HLOOKUP(J$2+$A93,Sheet2!BY:NC,$B93,0),"")</f>
        <v>50761</v>
      </c>
      <c r="K93" t="str">
        <f>IF(OR(HLOOKUP(K$2+$A93,Sheet2!BZ:ND,$B93,0),HLOOKUP(K$2+$A93,Sheet2!BZ:ND,$B93,0)&lt;&gt;""),HLOOKUP(K$2+$A93,Sheet2!BZ:ND,$B93,0),"")</f>
        <v/>
      </c>
      <c r="L93" t="str">
        <f>IF(OR(HLOOKUP(L$2+$A93,Sheet2!CA:NE,$B93,0),HLOOKUP(L$2+$A93,Sheet2!CA:NE,$B93,0)&lt;&gt;""),HLOOKUP(L$2+$A93,Sheet2!CA:NE,$B93,0),"")</f>
        <v/>
      </c>
      <c r="M93" t="str">
        <f>IF(OR(HLOOKUP(M$2+$A93,Sheet2!CB:NF,$B93,0),HLOOKUP(M$2+$A93,Sheet2!CB:NF,$B93,0)&lt;&gt;""),HLOOKUP(M$2+$A93,Sheet2!CB:NF,$B93,0),"")</f>
        <v/>
      </c>
    </row>
    <row r="94" spans="1:13" x14ac:dyDescent="0.25">
      <c r="A94" s="68">
        <f t="shared" si="14"/>
        <v>10</v>
      </c>
      <c r="B94" s="68">
        <f t="shared" si="15"/>
        <v>16</v>
      </c>
      <c r="C94" s="68">
        <f t="shared" si="16"/>
        <v>3</v>
      </c>
      <c r="D94" s="68">
        <f t="shared" si="17"/>
        <v>12</v>
      </c>
      <c r="E94" s="68">
        <f t="shared" si="18"/>
        <v>56</v>
      </c>
      <c r="F94" s="21" t="str">
        <f>VLOOKUP(D94,Sheet2!A:B,2)</f>
        <v>J20-1297</v>
      </c>
      <c r="G94" s="68" t="str">
        <f>VLOOKUP(F94,Sheet2!B:C,2,0)</f>
        <v xml:space="preserve">TOPAZ DIPPING MACHINE LIGHTING &amp; POWER PLUG </v>
      </c>
      <c r="H94" s="68" t="str">
        <f>HLOOKUP(I$2+$A94,Sheet2!BX:NB,2,0)</f>
        <v>1-15 Feb 21</v>
      </c>
      <c r="I94">
        <f>IF(OR(HLOOKUP(I$2+$A94,Sheet2!BX:NB,$B94,0),HLOOKUP(I$2+$A94,Sheet2!BX:NB,$B94,0)&lt;&gt;""),HLOOKUP(I$2+$A94,Sheet2!BX:NB,$B94,0),"")</f>
        <v>99540</v>
      </c>
      <c r="J94">
        <f>IF(OR(HLOOKUP(J$2+$A94,Sheet2!BY:NC,$B94,0),HLOOKUP(J$2+$A94,Sheet2!BY:NC,$B94,0)&lt;&gt;""),HLOOKUP(J$2+$A94,Sheet2!BY:NC,$B94,0),"")</f>
        <v>25925</v>
      </c>
      <c r="K94" t="str">
        <f>IF(OR(HLOOKUP(K$2+$A94,Sheet2!BZ:ND,$B94,0),HLOOKUP(K$2+$A94,Sheet2!BZ:ND,$B94,0)&lt;&gt;""),HLOOKUP(K$2+$A94,Sheet2!BZ:ND,$B94,0),"")</f>
        <v/>
      </c>
      <c r="L94" t="str">
        <f>IF(OR(HLOOKUP(L$2+$A94,Sheet2!CA:NE,$B94,0),HLOOKUP(L$2+$A94,Sheet2!CA:NE,$B94,0)&lt;&gt;""),HLOOKUP(L$2+$A94,Sheet2!CA:NE,$B94,0),"")</f>
        <v/>
      </c>
      <c r="M94" t="str">
        <f>IF(OR(HLOOKUP(M$2+$A94,Sheet2!CB:NF,$B94,0),HLOOKUP(M$2+$A94,Sheet2!CB:NF,$B94,0)&lt;&gt;""),HLOOKUP(M$2+$A94,Sheet2!CB:NF,$B94,0),"")</f>
        <v/>
      </c>
    </row>
    <row r="95" spans="1:13" x14ac:dyDescent="0.25">
      <c r="A95" s="68">
        <f t="shared" si="14"/>
        <v>15</v>
      </c>
      <c r="B95" s="68">
        <f t="shared" si="15"/>
        <v>16</v>
      </c>
      <c r="C95" s="68">
        <f t="shared" si="16"/>
        <v>4</v>
      </c>
      <c r="D95" s="68">
        <f t="shared" si="17"/>
        <v>12</v>
      </c>
      <c r="E95" s="68">
        <f t="shared" si="18"/>
        <v>56</v>
      </c>
      <c r="F95" s="21" t="str">
        <f>VLOOKUP(D95,Sheet2!A:B,2)</f>
        <v>J20-1297</v>
      </c>
      <c r="G95" s="68" t="str">
        <f>VLOOKUP(F95,Sheet2!B:C,2,0)</f>
        <v xml:space="preserve">TOPAZ DIPPING MACHINE LIGHTING &amp; POWER PLUG </v>
      </c>
      <c r="H95" s="68" t="str">
        <f>HLOOKUP(I$2+$A95,Sheet2!BX:NB,2,0)</f>
        <v>16-28 Feb 21</v>
      </c>
      <c r="I95">
        <f>IF(OR(HLOOKUP(I$2+$A95,Sheet2!BX:NB,$B95,0),HLOOKUP(I$2+$A95,Sheet2!BX:NB,$B95,0)&lt;&gt;""),HLOOKUP(I$2+$A95,Sheet2!BX:NB,$B95,0),"")</f>
        <v>21800</v>
      </c>
      <c r="J95" t="str">
        <f>IF(OR(HLOOKUP(J$2+$A95,Sheet2!BY:NC,$B95,0),HLOOKUP(J$2+$A95,Sheet2!BY:NC,$B95,0)&lt;&gt;""),HLOOKUP(J$2+$A95,Sheet2!BY:NC,$B95,0),"")</f>
        <v/>
      </c>
      <c r="K95" t="str">
        <f>IF(OR(HLOOKUP(K$2+$A95,Sheet2!BZ:ND,$B95,0),HLOOKUP(K$2+$A95,Sheet2!BZ:ND,$B95,0)&lt;&gt;""),HLOOKUP(K$2+$A95,Sheet2!BZ:ND,$B95,0),"")</f>
        <v/>
      </c>
      <c r="L95" t="str">
        <f>IF(OR(HLOOKUP(L$2+$A95,Sheet2!CA:NE,$B95,0),HLOOKUP(L$2+$A95,Sheet2!CA:NE,$B95,0)&lt;&gt;""),HLOOKUP(L$2+$A95,Sheet2!CA:NE,$B95,0),"")</f>
        <v/>
      </c>
      <c r="M95" t="str">
        <f>IF(OR(HLOOKUP(M$2+$A95,Sheet2!CB:NF,$B95,0),HLOOKUP(M$2+$A95,Sheet2!CB:NF,$B95,0)&lt;&gt;""),HLOOKUP(M$2+$A95,Sheet2!CB:NF,$B95,0),"")</f>
        <v/>
      </c>
    </row>
    <row r="96" spans="1:13" x14ac:dyDescent="0.25">
      <c r="A96" s="68">
        <f t="shared" si="14"/>
        <v>20</v>
      </c>
      <c r="B96" s="68">
        <f t="shared" si="15"/>
        <v>16</v>
      </c>
      <c r="C96" s="68">
        <f t="shared" si="16"/>
        <v>5</v>
      </c>
      <c r="D96" s="68">
        <f t="shared" si="17"/>
        <v>12</v>
      </c>
      <c r="E96" s="68">
        <f t="shared" si="18"/>
        <v>56</v>
      </c>
      <c r="F96" s="21" t="str">
        <f>VLOOKUP(D96,Sheet2!A:B,2)</f>
        <v>J20-1297</v>
      </c>
      <c r="G96" s="68" t="str">
        <f>VLOOKUP(F96,Sheet2!B:C,2,0)</f>
        <v xml:space="preserve">TOPAZ DIPPING MACHINE LIGHTING &amp; POWER PLUG </v>
      </c>
      <c r="H96" s="68" t="str">
        <f>HLOOKUP(I$2+$A96,Sheet2!BX:NB,2,0)</f>
        <v>1-15 Mar 2021</v>
      </c>
      <c r="I96">
        <f>IF(OR(HLOOKUP(I$2+$A96,Sheet2!BX:NB,$B96,0),HLOOKUP(I$2+$A96,Sheet2!BX:NB,$B96,0)&lt;&gt;""),HLOOKUP(I$2+$A96,Sheet2!BX:NB,$B96,0),"")</f>
        <v>14000</v>
      </c>
      <c r="J96" t="str">
        <f>IF(OR(HLOOKUP(J$2+$A96,Sheet2!BY:NC,$B96,0),HLOOKUP(J$2+$A96,Sheet2!BY:NC,$B96,0)&lt;&gt;""),HLOOKUP(J$2+$A96,Sheet2!BY:NC,$B96,0),"")</f>
        <v/>
      </c>
      <c r="K96" t="str">
        <f>IF(OR(HLOOKUP(K$2+$A96,Sheet2!BZ:ND,$B96,0),HLOOKUP(K$2+$A96,Sheet2!BZ:ND,$B96,0)&lt;&gt;""),HLOOKUP(K$2+$A96,Sheet2!BZ:ND,$B96,0),"")</f>
        <v/>
      </c>
      <c r="L96" t="str">
        <f>IF(OR(HLOOKUP(L$2+$A96,Sheet2!CA:NE,$B96,0),HLOOKUP(L$2+$A96,Sheet2!CA:NE,$B96,0)&lt;&gt;""),HLOOKUP(L$2+$A96,Sheet2!CA:NE,$B96,0),"")</f>
        <v/>
      </c>
      <c r="M96" t="str">
        <f>IF(OR(HLOOKUP(M$2+$A96,Sheet2!CB:NF,$B96,0),HLOOKUP(M$2+$A96,Sheet2!CB:NF,$B96,0)&lt;&gt;""),HLOOKUP(M$2+$A96,Sheet2!CB:NF,$B96,0),"")</f>
        <v/>
      </c>
    </row>
    <row r="97" spans="1:13" x14ac:dyDescent="0.25">
      <c r="A97" s="68">
        <f t="shared" si="14"/>
        <v>25</v>
      </c>
      <c r="B97" s="68">
        <f t="shared" si="15"/>
        <v>16</v>
      </c>
      <c r="C97" s="68">
        <f t="shared" si="16"/>
        <v>6</v>
      </c>
      <c r="D97" s="68">
        <f t="shared" si="17"/>
        <v>12</v>
      </c>
      <c r="E97" s="68">
        <f t="shared" si="18"/>
        <v>56</v>
      </c>
      <c r="F97" s="21" t="str">
        <f>VLOOKUP(D97,Sheet2!A:B,2)</f>
        <v>J20-1297</v>
      </c>
      <c r="G97" s="68" t="str">
        <f>VLOOKUP(F97,Sheet2!B:C,2,0)</f>
        <v xml:space="preserve">TOPAZ DIPPING MACHINE LIGHTING &amp; POWER PLUG </v>
      </c>
      <c r="H97" s="68" t="str">
        <f>HLOOKUP(I$2+$A97,Sheet2!BX:NB,2,0)</f>
        <v>16-31 Mar 21</v>
      </c>
      <c r="I97" t="str">
        <f>IF(OR(HLOOKUP(I$2+$A97,Sheet2!BX:NB,$B97,0),HLOOKUP(I$2+$A97,Sheet2!BX:NB,$B97,0)&lt;&gt;""),HLOOKUP(I$2+$A97,Sheet2!BX:NB,$B97,0),"")</f>
        <v/>
      </c>
      <c r="J97" t="str">
        <f>IF(OR(HLOOKUP(J$2+$A97,Sheet2!BY:NC,$B97,0),HLOOKUP(J$2+$A97,Sheet2!BY:NC,$B97,0)&lt;&gt;""),HLOOKUP(J$2+$A97,Sheet2!BY:NC,$B97,0),"")</f>
        <v/>
      </c>
      <c r="K97" t="str">
        <f>IF(OR(HLOOKUP(K$2+$A97,Sheet2!BZ:ND,$B97,0),HLOOKUP(K$2+$A97,Sheet2!BZ:ND,$B97,0)&lt;&gt;""),HLOOKUP(K$2+$A97,Sheet2!BZ:ND,$B97,0),"")</f>
        <v/>
      </c>
      <c r="L97" t="str">
        <f>IF(OR(HLOOKUP(L$2+$A97,Sheet2!CA:NE,$B97,0),HLOOKUP(L$2+$A97,Sheet2!CA:NE,$B97,0)&lt;&gt;""),HLOOKUP(L$2+$A97,Sheet2!CA:NE,$B97,0),"")</f>
        <v/>
      </c>
      <c r="M97" t="str">
        <f>IF(OR(HLOOKUP(M$2+$A97,Sheet2!CB:NF,$B97,0),HLOOKUP(M$2+$A97,Sheet2!CB:NF,$B97,0)&lt;&gt;""),HLOOKUP(M$2+$A97,Sheet2!CB:NF,$B97,0),"")</f>
        <v/>
      </c>
    </row>
    <row r="98" spans="1:13" x14ac:dyDescent="0.25">
      <c r="A98" s="68">
        <f t="shared" si="14"/>
        <v>30</v>
      </c>
      <c r="B98" s="68">
        <f t="shared" si="15"/>
        <v>16</v>
      </c>
      <c r="C98" s="68">
        <f t="shared" si="16"/>
        <v>7</v>
      </c>
      <c r="D98" s="68">
        <f t="shared" si="17"/>
        <v>12</v>
      </c>
      <c r="E98" s="68">
        <f t="shared" si="18"/>
        <v>56</v>
      </c>
      <c r="F98" s="21" t="str">
        <f>VLOOKUP(D98,Sheet2!A:B,2)</f>
        <v>J20-1297</v>
      </c>
      <c r="G98" s="68" t="str">
        <f>VLOOKUP(F98,Sheet2!B:C,2,0)</f>
        <v xml:space="preserve">TOPAZ DIPPING MACHINE LIGHTING &amp; POWER PLUG </v>
      </c>
      <c r="H98" s="68" t="str">
        <f>HLOOKUP(I$2+$A98,Sheet2!BX:NB,2,0)</f>
        <v>1-15 April 21</v>
      </c>
      <c r="I98" t="str">
        <f>IF(OR(HLOOKUP(I$2+$A98,Sheet2!BX:NB,$B98,0),HLOOKUP(I$2+$A98,Sheet2!BX:NB,$B98,0)&lt;&gt;""),HLOOKUP(I$2+$A98,Sheet2!BX:NB,$B98,0),"")</f>
        <v/>
      </c>
      <c r="J98" t="str">
        <f>IF(OR(HLOOKUP(J$2+$A98,Sheet2!BY:NC,$B98,0),HLOOKUP(J$2+$A98,Sheet2!BY:NC,$B98,0)&lt;&gt;""),HLOOKUP(J$2+$A98,Sheet2!BY:NC,$B98,0),"")</f>
        <v/>
      </c>
      <c r="K98" t="str">
        <f>IF(OR(HLOOKUP(K$2+$A98,Sheet2!BZ:ND,$B98,0),HLOOKUP(K$2+$A98,Sheet2!BZ:ND,$B98,0)&lt;&gt;""),HLOOKUP(K$2+$A98,Sheet2!BZ:ND,$B98,0),"")</f>
        <v/>
      </c>
      <c r="L98" t="str">
        <f>IF(OR(HLOOKUP(L$2+$A98,Sheet2!CA:NE,$B98,0),HLOOKUP(L$2+$A98,Sheet2!CA:NE,$B98,0)&lt;&gt;""),HLOOKUP(L$2+$A98,Sheet2!CA:NE,$B98,0),"")</f>
        <v/>
      </c>
      <c r="M98" t="str">
        <f>IF(OR(HLOOKUP(M$2+$A98,Sheet2!CB:NF,$B98,0),HLOOKUP(M$2+$A98,Sheet2!CB:NF,$B98,0)&lt;&gt;""),HLOOKUP(M$2+$A98,Sheet2!CB:NF,$B98,0),"")</f>
        <v/>
      </c>
    </row>
    <row r="99" spans="1:13" x14ac:dyDescent="0.25">
      <c r="A99" s="68">
        <f t="shared" si="14"/>
        <v>35</v>
      </c>
      <c r="B99" s="68">
        <f t="shared" si="15"/>
        <v>16</v>
      </c>
      <c r="C99" s="68">
        <f t="shared" si="16"/>
        <v>8</v>
      </c>
      <c r="D99" s="68">
        <f t="shared" si="17"/>
        <v>12</v>
      </c>
      <c r="E99" s="68">
        <f t="shared" si="18"/>
        <v>56</v>
      </c>
      <c r="F99" s="21" t="str">
        <f>VLOOKUP(D99,Sheet2!A:B,2)</f>
        <v>J20-1297</v>
      </c>
      <c r="G99" s="68" t="str">
        <f>VLOOKUP(F99,Sheet2!B:C,2,0)</f>
        <v xml:space="preserve">TOPAZ DIPPING MACHINE LIGHTING &amp; POWER PLUG </v>
      </c>
      <c r="H99" s="68" t="str">
        <f>HLOOKUP(I$2+$A99,Sheet2!BX:NB,2,0)</f>
        <v>16-30 April 21</v>
      </c>
      <c r="I99" t="str">
        <f>IF(OR(HLOOKUP(I$2+$A99,Sheet2!BX:NB,$B99,0),HLOOKUP(I$2+$A99,Sheet2!BX:NB,$B99,0)&lt;&gt;""),HLOOKUP(I$2+$A99,Sheet2!BX:NB,$B99,0),"")</f>
        <v/>
      </c>
      <c r="J99" t="str">
        <f>IF(OR(HLOOKUP(J$2+$A99,Sheet2!BY:NC,$B99,0),HLOOKUP(J$2+$A99,Sheet2!BY:NC,$B99,0)&lt;&gt;""),HLOOKUP(J$2+$A99,Sheet2!BY:NC,$B99,0),"")</f>
        <v/>
      </c>
      <c r="K99" t="str">
        <f>IF(OR(HLOOKUP(K$2+$A99,Sheet2!BZ:ND,$B99,0),HLOOKUP(K$2+$A99,Sheet2!BZ:ND,$B99,0)&lt;&gt;""),HLOOKUP(K$2+$A99,Sheet2!BZ:ND,$B99,0),"")</f>
        <v/>
      </c>
      <c r="L99" t="str">
        <f>IF(OR(HLOOKUP(L$2+$A99,Sheet2!CA:NE,$B99,0),HLOOKUP(L$2+$A99,Sheet2!CA:NE,$B99,0)&lt;&gt;""),HLOOKUP(L$2+$A99,Sheet2!CA:NE,$B99,0),"")</f>
        <v/>
      </c>
      <c r="M99" t="str">
        <f>IF(OR(HLOOKUP(M$2+$A99,Sheet2!CB:NF,$B99,0),HLOOKUP(M$2+$A99,Sheet2!CB:NF,$B99,0)&lt;&gt;""),HLOOKUP(M$2+$A99,Sheet2!CB:NF,$B99,0),"")</f>
        <v/>
      </c>
    </row>
    <row r="100" spans="1:13" x14ac:dyDescent="0.25">
      <c r="A100" s="68">
        <f t="shared" si="14"/>
        <v>0</v>
      </c>
      <c r="B100" s="68">
        <f t="shared" si="15"/>
        <v>17</v>
      </c>
      <c r="C100" s="68">
        <f t="shared" si="16"/>
        <v>1</v>
      </c>
      <c r="D100" s="68">
        <f t="shared" si="17"/>
        <v>13</v>
      </c>
      <c r="E100" s="68">
        <f t="shared" si="18"/>
        <v>61</v>
      </c>
      <c r="F100" s="21" t="str">
        <f>VLOOKUP(D100,Sheet2!A:B,2)</f>
        <v>J20-0303</v>
      </c>
      <c r="G100" s="68" t="str">
        <f>VLOOKUP(F100,Sheet2!B:C,2,0)</f>
        <v>ไทยโพลิเอททีลีน</v>
      </c>
      <c r="H100" s="68" t="str">
        <f>HLOOKUP(I$2+$A100,Sheet2!BX:NB,2,0)</f>
        <v>1-15 Jan 21</v>
      </c>
      <c r="I100" t="str">
        <f>IF(OR(HLOOKUP(I$2+$A100,Sheet2!BX:NB,$B100,0),HLOOKUP(I$2+$A100,Sheet2!BX:NB,$B100,0)&lt;&gt;""),HLOOKUP(I$2+$A100,Sheet2!BX:NB,$B100,0),"")</f>
        <v/>
      </c>
      <c r="J100" t="str">
        <f>IF(OR(HLOOKUP(J$2+$A100,Sheet2!BY:NC,$B100,0),HLOOKUP(J$2+$A100,Sheet2!BY:NC,$B100,0)&lt;&gt;""),HLOOKUP(J$2+$A100,Sheet2!BY:NC,$B100,0),"")</f>
        <v/>
      </c>
      <c r="K100" t="str">
        <f>IF(OR(HLOOKUP(K$2+$A100,Sheet2!BZ:ND,$B100,0),HLOOKUP(K$2+$A100,Sheet2!BZ:ND,$B100,0)&lt;&gt;""),HLOOKUP(K$2+$A100,Sheet2!BZ:ND,$B100,0),"")</f>
        <v/>
      </c>
      <c r="L100" t="str">
        <f>IF(OR(HLOOKUP(L$2+$A100,Sheet2!CA:NE,$B100,0),HLOOKUP(L$2+$A100,Sheet2!CA:NE,$B100,0)&lt;&gt;""),HLOOKUP(L$2+$A100,Sheet2!CA:NE,$B100,0),"")</f>
        <v/>
      </c>
      <c r="M100" t="str">
        <f>IF(OR(HLOOKUP(M$2+$A100,Sheet2!CB:NF,$B100,0),HLOOKUP(M$2+$A100,Sheet2!CB:NF,$B100,0)&lt;&gt;""),HLOOKUP(M$2+$A100,Sheet2!CB:NF,$B100,0),"")</f>
        <v/>
      </c>
    </row>
    <row r="101" spans="1:13" x14ac:dyDescent="0.25">
      <c r="A101" s="68">
        <f t="shared" si="14"/>
        <v>5</v>
      </c>
      <c r="B101" s="68">
        <f t="shared" si="15"/>
        <v>17</v>
      </c>
      <c r="C101" s="68">
        <f t="shared" si="16"/>
        <v>2</v>
      </c>
      <c r="D101" s="68">
        <f t="shared" si="17"/>
        <v>13</v>
      </c>
      <c r="E101" s="68">
        <f t="shared" si="18"/>
        <v>61</v>
      </c>
      <c r="F101" s="21" t="str">
        <f>VLOOKUP(D101,Sheet2!A:B,2)</f>
        <v>J20-0303</v>
      </c>
      <c r="G101" s="68" t="str">
        <f>VLOOKUP(F101,Sheet2!B:C,2,0)</f>
        <v>ไทยโพลิเอททีลีน</v>
      </c>
      <c r="H101" s="68" t="str">
        <f>HLOOKUP(I$2+$A101,Sheet2!BX:NB,2,0)</f>
        <v>16-31 Jan 21</v>
      </c>
      <c r="I101">
        <f>IF(OR(HLOOKUP(I$2+$A101,Sheet2!BX:NB,$B101,0),HLOOKUP(I$2+$A101,Sheet2!BX:NB,$B101,0)&lt;&gt;""),HLOOKUP(I$2+$A101,Sheet2!BX:NB,$B101,0),"")</f>
        <v>5200</v>
      </c>
      <c r="J101" t="str">
        <f>IF(OR(HLOOKUP(J$2+$A101,Sheet2!BY:NC,$B101,0),HLOOKUP(J$2+$A101,Sheet2!BY:NC,$B101,0)&lt;&gt;""),HLOOKUP(J$2+$A101,Sheet2!BY:NC,$B101,0),"")</f>
        <v/>
      </c>
      <c r="K101" t="str">
        <f>IF(OR(HLOOKUP(K$2+$A101,Sheet2!BZ:ND,$B101,0),HLOOKUP(K$2+$A101,Sheet2!BZ:ND,$B101,0)&lt;&gt;""),HLOOKUP(K$2+$A101,Sheet2!BZ:ND,$B101,0),"")</f>
        <v/>
      </c>
      <c r="L101" t="str">
        <f>IF(OR(HLOOKUP(L$2+$A101,Sheet2!CA:NE,$B101,0),HLOOKUP(L$2+$A101,Sheet2!CA:NE,$B101,0)&lt;&gt;""),HLOOKUP(L$2+$A101,Sheet2!CA:NE,$B101,0),"")</f>
        <v/>
      </c>
      <c r="M101" t="str">
        <f>IF(OR(HLOOKUP(M$2+$A101,Sheet2!CB:NF,$B101,0),HLOOKUP(M$2+$A101,Sheet2!CB:NF,$B101,0)&lt;&gt;""),HLOOKUP(M$2+$A101,Sheet2!CB:NF,$B101,0),"")</f>
        <v/>
      </c>
    </row>
    <row r="102" spans="1:13" x14ac:dyDescent="0.25">
      <c r="A102" s="68">
        <f t="shared" si="14"/>
        <v>10</v>
      </c>
      <c r="B102" s="68">
        <f t="shared" si="15"/>
        <v>17</v>
      </c>
      <c r="C102" s="68">
        <f t="shared" si="16"/>
        <v>3</v>
      </c>
      <c r="D102" s="68">
        <f t="shared" si="17"/>
        <v>13</v>
      </c>
      <c r="E102" s="68">
        <f t="shared" si="18"/>
        <v>61</v>
      </c>
      <c r="F102" s="21" t="str">
        <f>VLOOKUP(D102,Sheet2!A:B,2)</f>
        <v>J20-0303</v>
      </c>
      <c r="G102" s="68" t="str">
        <f>VLOOKUP(F102,Sheet2!B:C,2,0)</f>
        <v>ไทยโพลิเอททีลีน</v>
      </c>
      <c r="H102" s="68" t="str">
        <f>HLOOKUP(I$2+$A102,Sheet2!BX:NB,2,0)</f>
        <v>1-15 Feb 21</v>
      </c>
      <c r="I102" t="str">
        <f>IF(OR(HLOOKUP(I$2+$A102,Sheet2!BX:NB,$B102,0),HLOOKUP(I$2+$A102,Sheet2!BX:NB,$B102,0)&lt;&gt;""),HLOOKUP(I$2+$A102,Sheet2!BX:NB,$B102,0),"")</f>
        <v/>
      </c>
      <c r="J102" t="str">
        <f>IF(OR(HLOOKUP(J$2+$A102,Sheet2!BY:NC,$B102,0),HLOOKUP(J$2+$A102,Sheet2!BY:NC,$B102,0)&lt;&gt;""),HLOOKUP(J$2+$A102,Sheet2!BY:NC,$B102,0),"")</f>
        <v/>
      </c>
      <c r="K102" t="str">
        <f>IF(OR(HLOOKUP(K$2+$A102,Sheet2!BZ:ND,$B102,0),HLOOKUP(K$2+$A102,Sheet2!BZ:ND,$B102,0)&lt;&gt;""),HLOOKUP(K$2+$A102,Sheet2!BZ:ND,$B102,0),"")</f>
        <v/>
      </c>
      <c r="L102" t="str">
        <f>IF(OR(HLOOKUP(L$2+$A102,Sheet2!CA:NE,$B102,0),HLOOKUP(L$2+$A102,Sheet2!CA:NE,$B102,0)&lt;&gt;""),HLOOKUP(L$2+$A102,Sheet2!CA:NE,$B102,0),"")</f>
        <v/>
      </c>
      <c r="M102" t="str">
        <f>IF(OR(HLOOKUP(M$2+$A102,Sheet2!CB:NF,$B102,0),HLOOKUP(M$2+$A102,Sheet2!CB:NF,$B102,0)&lt;&gt;""),HLOOKUP(M$2+$A102,Sheet2!CB:NF,$B102,0),"")</f>
        <v/>
      </c>
    </row>
    <row r="103" spans="1:13" x14ac:dyDescent="0.25">
      <c r="A103" s="68">
        <f t="shared" ref="A103:A131" si="19">IF(C103&lt;&gt;1,A102+5,0)</f>
        <v>15</v>
      </c>
      <c r="B103" s="68">
        <f t="shared" ref="B103:B131" si="20">IF(C103&lt;&gt;1,B102,B102+1)</f>
        <v>17</v>
      </c>
      <c r="C103" s="68">
        <f t="shared" si="16"/>
        <v>4</v>
      </c>
      <c r="D103" s="68">
        <f t="shared" si="17"/>
        <v>13</v>
      </c>
      <c r="E103" s="68">
        <f t="shared" si="18"/>
        <v>61</v>
      </c>
      <c r="F103" s="21" t="str">
        <f>VLOOKUP(D103,Sheet2!A:B,2)</f>
        <v>J20-0303</v>
      </c>
      <c r="G103" s="68" t="str">
        <f>VLOOKUP(F103,Sheet2!B:C,2,0)</f>
        <v>ไทยโพลิเอททีลีน</v>
      </c>
      <c r="H103" s="68" t="str">
        <f>HLOOKUP(I$2+$A103,Sheet2!BX:NB,2,0)</f>
        <v>16-28 Feb 21</v>
      </c>
      <c r="I103" t="str">
        <f>IF(OR(HLOOKUP(I$2+$A103,Sheet2!BX:NB,$B103,0),HLOOKUP(I$2+$A103,Sheet2!BX:NB,$B103,0)&lt;&gt;""),HLOOKUP(I$2+$A103,Sheet2!BX:NB,$B103,0),"")</f>
        <v/>
      </c>
      <c r="J103" t="str">
        <f>IF(OR(HLOOKUP(J$2+$A103,Sheet2!BY:NC,$B103,0),HLOOKUP(J$2+$A103,Sheet2!BY:NC,$B103,0)&lt;&gt;""),HLOOKUP(J$2+$A103,Sheet2!BY:NC,$B103,0),"")</f>
        <v/>
      </c>
      <c r="K103" t="str">
        <f>IF(OR(HLOOKUP(K$2+$A103,Sheet2!BZ:ND,$B103,0),HLOOKUP(K$2+$A103,Sheet2!BZ:ND,$B103,0)&lt;&gt;""),HLOOKUP(K$2+$A103,Sheet2!BZ:ND,$B103,0),"")</f>
        <v/>
      </c>
      <c r="L103" t="str">
        <f>IF(OR(HLOOKUP(L$2+$A103,Sheet2!CA:NE,$B103,0),HLOOKUP(L$2+$A103,Sheet2!CA:NE,$B103,0)&lt;&gt;""),HLOOKUP(L$2+$A103,Sheet2!CA:NE,$B103,0),"")</f>
        <v/>
      </c>
      <c r="M103" t="str">
        <f>IF(OR(HLOOKUP(M$2+$A103,Sheet2!CB:NF,$B103,0),HLOOKUP(M$2+$A103,Sheet2!CB:NF,$B103,0)&lt;&gt;""),HLOOKUP(M$2+$A103,Sheet2!CB:NF,$B103,0),"")</f>
        <v/>
      </c>
    </row>
    <row r="104" spans="1:13" x14ac:dyDescent="0.25">
      <c r="A104" s="68">
        <f t="shared" si="19"/>
        <v>20</v>
      </c>
      <c r="B104" s="68">
        <f t="shared" si="20"/>
        <v>17</v>
      </c>
      <c r="C104" s="68">
        <f t="shared" si="16"/>
        <v>5</v>
      </c>
      <c r="D104" s="68">
        <f t="shared" si="17"/>
        <v>13</v>
      </c>
      <c r="E104" s="68">
        <f t="shared" si="18"/>
        <v>61</v>
      </c>
      <c r="F104" s="21" t="str">
        <f>VLOOKUP(D104,Sheet2!A:B,2)</f>
        <v>J20-0303</v>
      </c>
      <c r="G104" s="68" t="str">
        <f>VLOOKUP(F104,Sheet2!B:C,2,0)</f>
        <v>ไทยโพลิเอททีลีน</v>
      </c>
      <c r="H104" s="68" t="str">
        <f>HLOOKUP(I$2+$A104,Sheet2!BX:NB,2,0)</f>
        <v>1-15 Mar 2021</v>
      </c>
      <c r="I104" t="str">
        <f>IF(OR(HLOOKUP(I$2+$A104,Sheet2!BX:NB,$B104,0),HLOOKUP(I$2+$A104,Sheet2!BX:NB,$B104,0)&lt;&gt;""),HLOOKUP(I$2+$A104,Sheet2!BX:NB,$B104,0),"")</f>
        <v/>
      </c>
      <c r="J104" t="str">
        <f>IF(OR(HLOOKUP(J$2+$A104,Sheet2!BY:NC,$B104,0),HLOOKUP(J$2+$A104,Sheet2!BY:NC,$B104,0)&lt;&gt;""),HLOOKUP(J$2+$A104,Sheet2!BY:NC,$B104,0),"")</f>
        <v/>
      </c>
      <c r="K104" t="str">
        <f>IF(OR(HLOOKUP(K$2+$A104,Sheet2!BZ:ND,$B104,0),HLOOKUP(K$2+$A104,Sheet2!BZ:ND,$B104,0)&lt;&gt;""),HLOOKUP(K$2+$A104,Sheet2!BZ:ND,$B104,0),"")</f>
        <v/>
      </c>
      <c r="L104" t="str">
        <f>IF(OR(HLOOKUP(L$2+$A104,Sheet2!CA:NE,$B104,0),HLOOKUP(L$2+$A104,Sheet2!CA:NE,$B104,0)&lt;&gt;""),HLOOKUP(L$2+$A104,Sheet2!CA:NE,$B104,0),"")</f>
        <v/>
      </c>
      <c r="M104" t="str">
        <f>IF(OR(HLOOKUP(M$2+$A104,Sheet2!CB:NF,$B104,0),HLOOKUP(M$2+$A104,Sheet2!CB:NF,$B104,0)&lt;&gt;""),HLOOKUP(M$2+$A104,Sheet2!CB:NF,$B104,0),"")</f>
        <v/>
      </c>
    </row>
    <row r="105" spans="1:13" x14ac:dyDescent="0.25">
      <c r="A105" s="68">
        <f t="shared" si="19"/>
        <v>25</v>
      </c>
      <c r="B105" s="68">
        <f t="shared" si="20"/>
        <v>17</v>
      </c>
      <c r="C105" s="68">
        <f t="shared" si="16"/>
        <v>6</v>
      </c>
      <c r="D105" s="68">
        <f t="shared" si="17"/>
        <v>13</v>
      </c>
      <c r="E105" s="68">
        <f t="shared" si="18"/>
        <v>61</v>
      </c>
      <c r="F105" s="21" t="str">
        <f>VLOOKUP(D105,Sheet2!A:B,2)</f>
        <v>J20-0303</v>
      </c>
      <c r="G105" s="68" t="str">
        <f>VLOOKUP(F105,Sheet2!B:C,2,0)</f>
        <v>ไทยโพลิเอททีลีน</v>
      </c>
      <c r="H105" s="68" t="str">
        <f>HLOOKUP(I$2+$A105,Sheet2!BX:NB,2,0)</f>
        <v>16-31 Mar 21</v>
      </c>
      <c r="I105" t="str">
        <f>IF(OR(HLOOKUP(I$2+$A105,Sheet2!BX:NB,$B105,0),HLOOKUP(I$2+$A105,Sheet2!BX:NB,$B105,0)&lt;&gt;""),HLOOKUP(I$2+$A105,Sheet2!BX:NB,$B105,0),"")</f>
        <v/>
      </c>
      <c r="J105" t="str">
        <f>IF(OR(HLOOKUP(J$2+$A105,Sheet2!BY:NC,$B105,0),HLOOKUP(J$2+$A105,Sheet2!BY:NC,$B105,0)&lt;&gt;""),HLOOKUP(J$2+$A105,Sheet2!BY:NC,$B105,0),"")</f>
        <v/>
      </c>
      <c r="K105" t="str">
        <f>IF(OR(HLOOKUP(K$2+$A105,Sheet2!BZ:ND,$B105,0),HLOOKUP(K$2+$A105,Sheet2!BZ:ND,$B105,0)&lt;&gt;""),HLOOKUP(K$2+$A105,Sheet2!BZ:ND,$B105,0),"")</f>
        <v/>
      </c>
      <c r="L105" t="str">
        <f>IF(OR(HLOOKUP(L$2+$A105,Sheet2!CA:NE,$B105,0),HLOOKUP(L$2+$A105,Sheet2!CA:NE,$B105,0)&lt;&gt;""),HLOOKUP(L$2+$A105,Sheet2!CA:NE,$B105,0),"")</f>
        <v/>
      </c>
      <c r="M105" t="str">
        <f>IF(OR(HLOOKUP(M$2+$A105,Sheet2!CB:NF,$B105,0),HLOOKUP(M$2+$A105,Sheet2!CB:NF,$B105,0)&lt;&gt;""),HLOOKUP(M$2+$A105,Sheet2!CB:NF,$B105,0),"")</f>
        <v/>
      </c>
    </row>
    <row r="106" spans="1:13" x14ac:dyDescent="0.25">
      <c r="A106" s="68">
        <f t="shared" si="19"/>
        <v>30</v>
      </c>
      <c r="B106" s="68">
        <f t="shared" si="20"/>
        <v>17</v>
      </c>
      <c r="C106" s="68">
        <f t="shared" si="16"/>
        <v>7</v>
      </c>
      <c r="D106" s="68">
        <f t="shared" si="17"/>
        <v>13</v>
      </c>
      <c r="E106" s="68">
        <f t="shared" si="18"/>
        <v>61</v>
      </c>
      <c r="F106" s="21" t="str">
        <f>VLOOKUP(D106,Sheet2!A:B,2)</f>
        <v>J20-0303</v>
      </c>
      <c r="G106" s="68" t="str">
        <f>VLOOKUP(F106,Sheet2!B:C,2,0)</f>
        <v>ไทยโพลิเอททีลีน</v>
      </c>
      <c r="H106" s="68" t="str">
        <f>HLOOKUP(I$2+$A106,Sheet2!BX:NB,2,0)</f>
        <v>1-15 April 21</v>
      </c>
      <c r="I106" t="str">
        <f>IF(OR(HLOOKUP(I$2+$A106,Sheet2!BX:NB,$B106,0),HLOOKUP(I$2+$A106,Sheet2!BX:NB,$B106,0)&lt;&gt;""),HLOOKUP(I$2+$A106,Sheet2!BX:NB,$B106,0),"")</f>
        <v/>
      </c>
      <c r="J106" t="str">
        <f>IF(OR(HLOOKUP(J$2+$A106,Sheet2!BY:NC,$B106,0),HLOOKUP(J$2+$A106,Sheet2!BY:NC,$B106,0)&lt;&gt;""),HLOOKUP(J$2+$A106,Sheet2!BY:NC,$B106,0),"")</f>
        <v/>
      </c>
      <c r="K106" t="str">
        <f>IF(OR(HLOOKUP(K$2+$A106,Sheet2!BZ:ND,$B106,0),HLOOKUP(K$2+$A106,Sheet2!BZ:ND,$B106,0)&lt;&gt;""),HLOOKUP(K$2+$A106,Sheet2!BZ:ND,$B106,0),"")</f>
        <v/>
      </c>
      <c r="L106" t="str">
        <f>IF(OR(HLOOKUP(L$2+$A106,Sheet2!CA:NE,$B106,0),HLOOKUP(L$2+$A106,Sheet2!CA:NE,$B106,0)&lt;&gt;""),HLOOKUP(L$2+$A106,Sheet2!CA:NE,$B106,0),"")</f>
        <v/>
      </c>
      <c r="M106" t="str">
        <f>IF(OR(HLOOKUP(M$2+$A106,Sheet2!CB:NF,$B106,0),HLOOKUP(M$2+$A106,Sheet2!CB:NF,$B106,0)&lt;&gt;""),HLOOKUP(M$2+$A106,Sheet2!CB:NF,$B106,0),"")</f>
        <v/>
      </c>
    </row>
    <row r="107" spans="1:13" x14ac:dyDescent="0.25">
      <c r="A107" s="68">
        <f t="shared" si="19"/>
        <v>35</v>
      </c>
      <c r="B107" s="68">
        <f t="shared" si="20"/>
        <v>17</v>
      </c>
      <c r="C107" s="68">
        <f t="shared" si="16"/>
        <v>8</v>
      </c>
      <c r="D107" s="68">
        <f t="shared" si="17"/>
        <v>13</v>
      </c>
      <c r="E107" s="68">
        <f t="shared" si="18"/>
        <v>61</v>
      </c>
      <c r="F107" s="21" t="str">
        <f>VLOOKUP(D107,Sheet2!A:B,2)</f>
        <v>J20-0303</v>
      </c>
      <c r="G107" s="68" t="str">
        <f>VLOOKUP(F107,Sheet2!B:C,2,0)</f>
        <v>ไทยโพลิเอททีลีน</v>
      </c>
      <c r="H107" s="68" t="str">
        <f>HLOOKUP(I$2+$A107,Sheet2!BX:NB,2,0)</f>
        <v>16-30 April 21</v>
      </c>
      <c r="I107" t="str">
        <f>IF(OR(HLOOKUP(I$2+$A107,Sheet2!BX:NB,$B107,0),HLOOKUP(I$2+$A107,Sheet2!BX:NB,$B107,0)&lt;&gt;""),HLOOKUP(I$2+$A107,Sheet2!BX:NB,$B107,0),"")</f>
        <v/>
      </c>
      <c r="J107" t="str">
        <f>IF(OR(HLOOKUP(J$2+$A107,Sheet2!BY:NC,$B107,0),HLOOKUP(J$2+$A107,Sheet2!BY:NC,$B107,0)&lt;&gt;""),HLOOKUP(J$2+$A107,Sheet2!BY:NC,$B107,0),"")</f>
        <v/>
      </c>
      <c r="K107" t="str">
        <f>IF(OR(HLOOKUP(K$2+$A107,Sheet2!BZ:ND,$B107,0),HLOOKUP(K$2+$A107,Sheet2!BZ:ND,$B107,0)&lt;&gt;""),HLOOKUP(K$2+$A107,Sheet2!BZ:ND,$B107,0),"")</f>
        <v/>
      </c>
      <c r="L107" t="str">
        <f>IF(OR(HLOOKUP(L$2+$A107,Sheet2!CA:NE,$B107,0),HLOOKUP(L$2+$A107,Sheet2!CA:NE,$B107,0)&lt;&gt;""),HLOOKUP(L$2+$A107,Sheet2!CA:NE,$B107,0),"")</f>
        <v/>
      </c>
      <c r="M107" t="str">
        <f>IF(OR(HLOOKUP(M$2+$A107,Sheet2!CB:NF,$B107,0),HLOOKUP(M$2+$A107,Sheet2!CB:NF,$B107,0)&lt;&gt;""),HLOOKUP(M$2+$A107,Sheet2!CB:NF,$B107,0),"")</f>
        <v/>
      </c>
    </row>
    <row r="108" spans="1:13" x14ac:dyDescent="0.25">
      <c r="A108" s="68">
        <f t="shared" si="19"/>
        <v>0</v>
      </c>
      <c r="B108" s="68">
        <f t="shared" si="20"/>
        <v>18</v>
      </c>
      <c r="C108" s="68">
        <f t="shared" si="16"/>
        <v>1</v>
      </c>
      <c r="D108" s="68">
        <f t="shared" si="17"/>
        <v>14</v>
      </c>
      <c r="E108" s="68">
        <f t="shared" si="18"/>
        <v>66</v>
      </c>
      <c r="F108" s="21" t="str">
        <f>VLOOKUP(D108,Sheet2!A:B,2)</f>
        <v>J20-1378</v>
      </c>
      <c r="G108" s="68" t="str">
        <f>VLOOKUP(F108,Sheet2!B:C,2,0)</f>
        <v xml:space="preserve">Ansell </v>
      </c>
      <c r="H108" s="68" t="str">
        <f>HLOOKUP(I$2+$A108,Sheet2!BX:NB,2,0)</f>
        <v>1-15 Jan 21</v>
      </c>
      <c r="I108" t="str">
        <f>IF(OR(HLOOKUP(I$2+$A108,Sheet2!BX:NB,$B108,0),HLOOKUP(I$2+$A108,Sheet2!BX:NB,$B108,0)&lt;&gt;""),HLOOKUP(I$2+$A108,Sheet2!BX:NB,$B108,0),"")</f>
        <v/>
      </c>
      <c r="J108" t="str">
        <f>IF(OR(HLOOKUP(J$2+$A108,Sheet2!BY:NC,$B108,0),HLOOKUP(J$2+$A108,Sheet2!BY:NC,$B108,0)&lt;&gt;""),HLOOKUP(J$2+$A108,Sheet2!BY:NC,$B108,0),"")</f>
        <v/>
      </c>
      <c r="K108" t="str">
        <f>IF(OR(HLOOKUP(K$2+$A108,Sheet2!BZ:ND,$B108,0),HLOOKUP(K$2+$A108,Sheet2!BZ:ND,$B108,0)&lt;&gt;""),HLOOKUP(K$2+$A108,Sheet2!BZ:ND,$B108,0),"")</f>
        <v/>
      </c>
      <c r="L108" t="str">
        <f>IF(OR(HLOOKUP(L$2+$A108,Sheet2!CA:NE,$B108,0),HLOOKUP(L$2+$A108,Sheet2!CA:NE,$B108,0)&lt;&gt;""),HLOOKUP(L$2+$A108,Sheet2!CA:NE,$B108,0),"")</f>
        <v/>
      </c>
      <c r="M108" t="str">
        <f>IF(OR(HLOOKUP(M$2+$A108,Sheet2!CB:NF,$B108,0),HLOOKUP(M$2+$A108,Sheet2!CB:NF,$B108,0)&lt;&gt;""),HLOOKUP(M$2+$A108,Sheet2!CB:NF,$B108,0),"")</f>
        <v/>
      </c>
    </row>
    <row r="109" spans="1:13" x14ac:dyDescent="0.25">
      <c r="A109" s="68">
        <f t="shared" si="19"/>
        <v>5</v>
      </c>
      <c r="B109" s="68">
        <f t="shared" si="20"/>
        <v>18</v>
      </c>
      <c r="C109" s="68">
        <f t="shared" si="16"/>
        <v>2</v>
      </c>
      <c r="D109" s="68">
        <f t="shared" si="17"/>
        <v>14</v>
      </c>
      <c r="E109" s="68">
        <f t="shared" si="18"/>
        <v>66</v>
      </c>
      <c r="F109" s="21" t="str">
        <f>VLOOKUP(D109,Sheet2!A:B,2)</f>
        <v>J20-1378</v>
      </c>
      <c r="G109" s="68" t="str">
        <f>VLOOKUP(F109,Sheet2!B:C,2,0)</f>
        <v xml:space="preserve">Ansell </v>
      </c>
      <c r="H109" s="68" t="str">
        <f>HLOOKUP(I$2+$A109,Sheet2!BX:NB,2,0)</f>
        <v>16-31 Jan 21</v>
      </c>
      <c r="I109">
        <f>IF(OR(HLOOKUP(I$2+$A109,Sheet2!BX:NB,$B109,0),HLOOKUP(I$2+$A109,Sheet2!BX:NB,$B109,0)&lt;&gt;""),HLOOKUP(I$2+$A109,Sheet2!BX:NB,$B109,0),"")</f>
        <v>1760</v>
      </c>
      <c r="J109">
        <f>IF(OR(HLOOKUP(J$2+$A109,Sheet2!BY:NC,$B109,0),HLOOKUP(J$2+$A109,Sheet2!BY:NC,$B109,0)&lt;&gt;""),HLOOKUP(J$2+$A109,Sheet2!BY:NC,$B109,0),"")</f>
        <v>1650</v>
      </c>
      <c r="K109" t="str">
        <f>IF(OR(HLOOKUP(K$2+$A109,Sheet2!BZ:ND,$B109,0),HLOOKUP(K$2+$A109,Sheet2!BZ:ND,$B109,0)&lt;&gt;""),HLOOKUP(K$2+$A109,Sheet2!BZ:ND,$B109,0),"")</f>
        <v/>
      </c>
      <c r="L109" t="str">
        <f>IF(OR(HLOOKUP(L$2+$A109,Sheet2!CA:NE,$B109,0),HLOOKUP(L$2+$A109,Sheet2!CA:NE,$B109,0)&lt;&gt;""),HLOOKUP(L$2+$A109,Sheet2!CA:NE,$B109,0),"")</f>
        <v/>
      </c>
      <c r="M109" t="str">
        <f>IF(OR(HLOOKUP(M$2+$A109,Sheet2!CB:NF,$B109,0),HLOOKUP(M$2+$A109,Sheet2!CB:NF,$B109,0)&lt;&gt;""),HLOOKUP(M$2+$A109,Sheet2!CB:NF,$B109,0),"")</f>
        <v/>
      </c>
    </row>
    <row r="110" spans="1:13" x14ac:dyDescent="0.25">
      <c r="A110" s="68">
        <f t="shared" si="19"/>
        <v>10</v>
      </c>
      <c r="B110" s="68">
        <f t="shared" si="20"/>
        <v>18</v>
      </c>
      <c r="C110" s="68">
        <f t="shared" si="16"/>
        <v>3</v>
      </c>
      <c r="D110" s="68">
        <f t="shared" si="17"/>
        <v>14</v>
      </c>
      <c r="E110" s="68">
        <f t="shared" si="18"/>
        <v>66</v>
      </c>
      <c r="F110" s="21" t="str">
        <f>VLOOKUP(D110,Sheet2!A:B,2)</f>
        <v>J20-1378</v>
      </c>
      <c r="G110" s="68" t="str">
        <f>VLOOKUP(F110,Sheet2!B:C,2,0)</f>
        <v xml:space="preserve">Ansell </v>
      </c>
      <c r="H110" s="68" t="str">
        <f>HLOOKUP(I$2+$A110,Sheet2!BX:NB,2,0)</f>
        <v>1-15 Feb 21</v>
      </c>
      <c r="I110" t="str">
        <f>IF(OR(HLOOKUP(I$2+$A110,Sheet2!BX:NB,$B110,0),HLOOKUP(I$2+$A110,Sheet2!BX:NB,$B110,0)&lt;&gt;""),HLOOKUP(I$2+$A110,Sheet2!BX:NB,$B110,0),"")</f>
        <v/>
      </c>
      <c r="J110" t="str">
        <f>IF(OR(HLOOKUP(J$2+$A110,Sheet2!BY:NC,$B110,0),HLOOKUP(J$2+$A110,Sheet2!BY:NC,$B110,0)&lt;&gt;""),HLOOKUP(J$2+$A110,Sheet2!BY:NC,$B110,0),"")</f>
        <v/>
      </c>
      <c r="K110" t="str">
        <f>IF(OR(HLOOKUP(K$2+$A110,Sheet2!BZ:ND,$B110,0),HLOOKUP(K$2+$A110,Sheet2!BZ:ND,$B110,0)&lt;&gt;""),HLOOKUP(K$2+$A110,Sheet2!BZ:ND,$B110,0),"")</f>
        <v/>
      </c>
      <c r="L110" t="str">
        <f>IF(OR(HLOOKUP(L$2+$A110,Sheet2!CA:NE,$B110,0),HLOOKUP(L$2+$A110,Sheet2!CA:NE,$B110,0)&lt;&gt;""),HLOOKUP(L$2+$A110,Sheet2!CA:NE,$B110,0),"")</f>
        <v/>
      </c>
      <c r="M110" t="str">
        <f>IF(OR(HLOOKUP(M$2+$A110,Sheet2!CB:NF,$B110,0),HLOOKUP(M$2+$A110,Sheet2!CB:NF,$B110,0)&lt;&gt;""),HLOOKUP(M$2+$A110,Sheet2!CB:NF,$B110,0),"")</f>
        <v/>
      </c>
    </row>
    <row r="111" spans="1:13" x14ac:dyDescent="0.25">
      <c r="A111" s="68">
        <f t="shared" si="19"/>
        <v>15</v>
      </c>
      <c r="B111" s="68">
        <f t="shared" si="20"/>
        <v>18</v>
      </c>
      <c r="C111" s="68">
        <f t="shared" si="16"/>
        <v>4</v>
      </c>
      <c r="D111" s="68">
        <f t="shared" si="17"/>
        <v>14</v>
      </c>
      <c r="E111" s="68">
        <f t="shared" si="18"/>
        <v>66</v>
      </c>
      <c r="F111" s="21" t="str">
        <f>VLOOKUP(D111,Sheet2!A:B,2)</f>
        <v>J20-1378</v>
      </c>
      <c r="G111" s="68" t="str">
        <f>VLOOKUP(F111,Sheet2!B:C,2,0)</f>
        <v xml:space="preserve">Ansell </v>
      </c>
      <c r="H111" s="68" t="str">
        <f>HLOOKUP(I$2+$A111,Sheet2!BX:NB,2,0)</f>
        <v>16-28 Feb 21</v>
      </c>
      <c r="I111" t="str">
        <f>IF(OR(HLOOKUP(I$2+$A111,Sheet2!BX:NB,$B111,0),HLOOKUP(I$2+$A111,Sheet2!BX:NB,$B111,0)&lt;&gt;""),HLOOKUP(I$2+$A111,Sheet2!BX:NB,$B111,0),"")</f>
        <v/>
      </c>
      <c r="J111" t="str">
        <f>IF(OR(HLOOKUP(J$2+$A111,Sheet2!BY:NC,$B111,0),HLOOKUP(J$2+$A111,Sheet2!BY:NC,$B111,0)&lt;&gt;""),HLOOKUP(J$2+$A111,Sheet2!BY:NC,$B111,0),"")</f>
        <v/>
      </c>
      <c r="K111" t="str">
        <f>IF(OR(HLOOKUP(K$2+$A111,Sheet2!BZ:ND,$B111,0),HLOOKUP(K$2+$A111,Sheet2!BZ:ND,$B111,0)&lt;&gt;""),HLOOKUP(K$2+$A111,Sheet2!BZ:ND,$B111,0),"")</f>
        <v/>
      </c>
      <c r="L111" t="str">
        <f>IF(OR(HLOOKUP(L$2+$A111,Sheet2!CA:NE,$B111,0),HLOOKUP(L$2+$A111,Sheet2!CA:NE,$B111,0)&lt;&gt;""),HLOOKUP(L$2+$A111,Sheet2!CA:NE,$B111,0),"")</f>
        <v/>
      </c>
      <c r="M111" t="str">
        <f>IF(OR(HLOOKUP(M$2+$A111,Sheet2!CB:NF,$B111,0),HLOOKUP(M$2+$A111,Sheet2!CB:NF,$B111,0)&lt;&gt;""),HLOOKUP(M$2+$A111,Sheet2!CB:NF,$B111,0),"")</f>
        <v/>
      </c>
    </row>
    <row r="112" spans="1:13" x14ac:dyDescent="0.25">
      <c r="A112" s="68">
        <f t="shared" si="19"/>
        <v>20</v>
      </c>
      <c r="B112" s="68">
        <f t="shared" si="20"/>
        <v>18</v>
      </c>
      <c r="C112" s="68">
        <f t="shared" si="16"/>
        <v>5</v>
      </c>
      <c r="D112" s="68">
        <f t="shared" si="17"/>
        <v>14</v>
      </c>
      <c r="E112" s="68">
        <f t="shared" si="18"/>
        <v>66</v>
      </c>
      <c r="F112" s="21" t="str">
        <f>VLOOKUP(D112,Sheet2!A:B,2)</f>
        <v>J20-1378</v>
      </c>
      <c r="G112" s="68" t="str">
        <f>VLOOKUP(F112,Sheet2!B:C,2,0)</f>
        <v xml:space="preserve">Ansell </v>
      </c>
      <c r="H112" s="68" t="str">
        <f>HLOOKUP(I$2+$A112,Sheet2!BX:NB,2,0)</f>
        <v>1-15 Mar 2021</v>
      </c>
      <c r="I112" t="str">
        <f>IF(OR(HLOOKUP(I$2+$A112,Sheet2!BX:NB,$B112,0),HLOOKUP(I$2+$A112,Sheet2!BX:NB,$B112,0)&lt;&gt;""),HLOOKUP(I$2+$A112,Sheet2!BX:NB,$B112,0),"")</f>
        <v/>
      </c>
      <c r="J112" t="str">
        <f>IF(OR(HLOOKUP(J$2+$A112,Sheet2!BY:NC,$B112,0),HLOOKUP(J$2+$A112,Sheet2!BY:NC,$B112,0)&lt;&gt;""),HLOOKUP(J$2+$A112,Sheet2!BY:NC,$B112,0),"")</f>
        <v/>
      </c>
      <c r="K112" t="str">
        <f>IF(OR(HLOOKUP(K$2+$A112,Sheet2!BZ:ND,$B112,0),HLOOKUP(K$2+$A112,Sheet2!BZ:ND,$B112,0)&lt;&gt;""),HLOOKUP(K$2+$A112,Sheet2!BZ:ND,$B112,0),"")</f>
        <v/>
      </c>
      <c r="L112" t="str">
        <f>IF(OR(HLOOKUP(L$2+$A112,Sheet2!CA:NE,$B112,0),HLOOKUP(L$2+$A112,Sheet2!CA:NE,$B112,0)&lt;&gt;""),HLOOKUP(L$2+$A112,Sheet2!CA:NE,$B112,0),"")</f>
        <v/>
      </c>
      <c r="M112" t="str">
        <f>IF(OR(HLOOKUP(M$2+$A112,Sheet2!CB:NF,$B112,0),HLOOKUP(M$2+$A112,Sheet2!CB:NF,$B112,0)&lt;&gt;""),HLOOKUP(M$2+$A112,Sheet2!CB:NF,$B112,0),"")</f>
        <v/>
      </c>
    </row>
    <row r="113" spans="1:13" x14ac:dyDescent="0.25">
      <c r="A113" s="68">
        <f t="shared" si="19"/>
        <v>25</v>
      </c>
      <c r="B113" s="68">
        <f t="shared" si="20"/>
        <v>18</v>
      </c>
      <c r="C113" s="68">
        <f t="shared" si="16"/>
        <v>6</v>
      </c>
      <c r="D113" s="68">
        <f t="shared" si="17"/>
        <v>14</v>
      </c>
      <c r="E113" s="68">
        <f t="shared" si="18"/>
        <v>66</v>
      </c>
      <c r="F113" s="21" t="str">
        <f>VLOOKUP(D113,Sheet2!A:B,2)</f>
        <v>J20-1378</v>
      </c>
      <c r="G113" s="68" t="str">
        <f>VLOOKUP(F113,Sheet2!B:C,2,0)</f>
        <v xml:space="preserve">Ansell </v>
      </c>
      <c r="H113" s="68" t="str">
        <f>HLOOKUP(I$2+$A113,Sheet2!BX:NB,2,0)</f>
        <v>16-31 Mar 21</v>
      </c>
      <c r="I113" t="str">
        <f>IF(OR(HLOOKUP(I$2+$A113,Sheet2!BX:NB,$B113,0),HLOOKUP(I$2+$A113,Sheet2!BX:NB,$B113,0)&lt;&gt;""),HLOOKUP(I$2+$A113,Sheet2!BX:NB,$B113,0),"")</f>
        <v/>
      </c>
      <c r="J113" t="str">
        <f>IF(OR(HLOOKUP(J$2+$A113,Sheet2!BY:NC,$B113,0),HLOOKUP(J$2+$A113,Sheet2!BY:NC,$B113,0)&lt;&gt;""),HLOOKUP(J$2+$A113,Sheet2!BY:NC,$B113,0),"")</f>
        <v/>
      </c>
      <c r="K113" t="str">
        <f>IF(OR(HLOOKUP(K$2+$A113,Sheet2!BZ:ND,$B113,0),HLOOKUP(K$2+$A113,Sheet2!BZ:ND,$B113,0)&lt;&gt;""),HLOOKUP(K$2+$A113,Sheet2!BZ:ND,$B113,0),"")</f>
        <v/>
      </c>
      <c r="L113" t="str">
        <f>IF(OR(HLOOKUP(L$2+$A113,Sheet2!CA:NE,$B113,0),HLOOKUP(L$2+$A113,Sheet2!CA:NE,$B113,0)&lt;&gt;""),HLOOKUP(L$2+$A113,Sheet2!CA:NE,$B113,0),"")</f>
        <v/>
      </c>
      <c r="M113" t="str">
        <f>IF(OR(HLOOKUP(M$2+$A113,Sheet2!CB:NF,$B113,0),HLOOKUP(M$2+$A113,Sheet2!CB:NF,$B113,0)&lt;&gt;""),HLOOKUP(M$2+$A113,Sheet2!CB:NF,$B113,0),"")</f>
        <v/>
      </c>
    </row>
    <row r="114" spans="1:13" x14ac:dyDescent="0.25">
      <c r="A114" s="68">
        <f t="shared" si="19"/>
        <v>30</v>
      </c>
      <c r="B114" s="68">
        <f t="shared" si="20"/>
        <v>18</v>
      </c>
      <c r="C114" s="68">
        <f t="shared" si="16"/>
        <v>7</v>
      </c>
      <c r="D114" s="68">
        <f t="shared" si="17"/>
        <v>14</v>
      </c>
      <c r="E114" s="68">
        <f t="shared" si="18"/>
        <v>66</v>
      </c>
      <c r="F114" s="21" t="str">
        <f>VLOOKUP(D114,Sheet2!A:B,2)</f>
        <v>J20-1378</v>
      </c>
      <c r="G114" s="68" t="str">
        <f>VLOOKUP(F114,Sheet2!B:C,2,0)</f>
        <v xml:space="preserve">Ansell </v>
      </c>
      <c r="H114" s="68" t="str">
        <f>HLOOKUP(I$2+$A114,Sheet2!BX:NB,2,0)</f>
        <v>1-15 April 21</v>
      </c>
      <c r="I114" t="str">
        <f>IF(OR(HLOOKUP(I$2+$A114,Sheet2!BX:NB,$B114,0),HLOOKUP(I$2+$A114,Sheet2!BX:NB,$B114,0)&lt;&gt;""),HLOOKUP(I$2+$A114,Sheet2!BX:NB,$B114,0),"")</f>
        <v/>
      </c>
      <c r="J114" t="str">
        <f>IF(OR(HLOOKUP(J$2+$A114,Sheet2!BY:NC,$B114,0),HLOOKUP(J$2+$A114,Sheet2!BY:NC,$B114,0)&lt;&gt;""),HLOOKUP(J$2+$A114,Sheet2!BY:NC,$B114,0),"")</f>
        <v/>
      </c>
      <c r="K114" t="str">
        <f>IF(OR(HLOOKUP(K$2+$A114,Sheet2!BZ:ND,$B114,0),HLOOKUP(K$2+$A114,Sheet2!BZ:ND,$B114,0)&lt;&gt;""),HLOOKUP(K$2+$A114,Sheet2!BZ:ND,$B114,0),"")</f>
        <v/>
      </c>
      <c r="L114" t="str">
        <f>IF(OR(HLOOKUP(L$2+$A114,Sheet2!CA:NE,$B114,0),HLOOKUP(L$2+$A114,Sheet2!CA:NE,$B114,0)&lt;&gt;""),HLOOKUP(L$2+$A114,Sheet2!CA:NE,$B114,0),"")</f>
        <v/>
      </c>
      <c r="M114" t="str">
        <f>IF(OR(HLOOKUP(M$2+$A114,Sheet2!CB:NF,$B114,0),HLOOKUP(M$2+$A114,Sheet2!CB:NF,$B114,0)&lt;&gt;""),HLOOKUP(M$2+$A114,Sheet2!CB:NF,$B114,0),"")</f>
        <v/>
      </c>
    </row>
    <row r="115" spans="1:13" x14ac:dyDescent="0.25">
      <c r="A115" s="68">
        <f t="shared" si="19"/>
        <v>35</v>
      </c>
      <c r="B115" s="68">
        <f t="shared" si="20"/>
        <v>18</v>
      </c>
      <c r="C115" s="68">
        <f t="shared" si="16"/>
        <v>8</v>
      </c>
      <c r="D115" s="68">
        <f t="shared" si="17"/>
        <v>14</v>
      </c>
      <c r="E115" s="68">
        <f t="shared" si="18"/>
        <v>66</v>
      </c>
      <c r="F115" s="21" t="str">
        <f>VLOOKUP(D115,Sheet2!A:B,2)</f>
        <v>J20-1378</v>
      </c>
      <c r="G115" s="68" t="str">
        <f>VLOOKUP(F115,Sheet2!B:C,2,0)</f>
        <v xml:space="preserve">Ansell </v>
      </c>
      <c r="H115" s="68" t="str">
        <f>HLOOKUP(I$2+$A115,Sheet2!BX:NB,2,0)</f>
        <v>16-30 April 21</v>
      </c>
      <c r="I115" t="str">
        <f>IF(OR(HLOOKUP(I$2+$A115,Sheet2!BX:NB,$B115,0),HLOOKUP(I$2+$A115,Sheet2!BX:NB,$B115,0)&lt;&gt;""),HLOOKUP(I$2+$A115,Sheet2!BX:NB,$B115,0),"")</f>
        <v/>
      </c>
      <c r="J115" t="str">
        <f>IF(OR(HLOOKUP(J$2+$A115,Sheet2!BY:NC,$B115,0),HLOOKUP(J$2+$A115,Sheet2!BY:NC,$B115,0)&lt;&gt;""),HLOOKUP(J$2+$A115,Sheet2!BY:NC,$B115,0),"")</f>
        <v/>
      </c>
      <c r="K115" t="str">
        <f>IF(OR(HLOOKUP(K$2+$A115,Sheet2!BZ:ND,$B115,0),HLOOKUP(K$2+$A115,Sheet2!BZ:ND,$B115,0)&lt;&gt;""),HLOOKUP(K$2+$A115,Sheet2!BZ:ND,$B115,0),"")</f>
        <v/>
      </c>
      <c r="L115" t="str">
        <f>IF(OR(HLOOKUP(L$2+$A115,Sheet2!CA:NE,$B115,0),HLOOKUP(L$2+$A115,Sheet2!CA:NE,$B115,0)&lt;&gt;""),HLOOKUP(L$2+$A115,Sheet2!CA:NE,$B115,0),"")</f>
        <v/>
      </c>
      <c r="M115" t="str">
        <f>IF(OR(HLOOKUP(M$2+$A115,Sheet2!CB:NF,$B115,0),HLOOKUP(M$2+$A115,Sheet2!CB:NF,$B115,0)&lt;&gt;""),HLOOKUP(M$2+$A115,Sheet2!CB:NF,$B115,0),"")</f>
        <v/>
      </c>
    </row>
    <row r="116" spans="1:13" x14ac:dyDescent="0.25">
      <c r="A116" s="68">
        <f t="shared" si="19"/>
        <v>0</v>
      </c>
      <c r="B116" s="68">
        <f t="shared" si="20"/>
        <v>19</v>
      </c>
      <c r="C116" s="68">
        <f t="shared" si="16"/>
        <v>1</v>
      </c>
      <c r="D116" s="68">
        <f t="shared" si="17"/>
        <v>15</v>
      </c>
      <c r="E116" s="68">
        <f t="shared" si="18"/>
        <v>71</v>
      </c>
      <c r="F116" s="21" t="str">
        <f>VLOOKUP(D116,Sheet2!A:B,2)</f>
        <v>J19-1288</v>
      </c>
      <c r="G116" s="68" t="str">
        <f>VLOOKUP(F116,Sheet2!B:C,2,0)</f>
        <v>UAW เลย J19-1228</v>
      </c>
      <c r="H116" s="68" t="str">
        <f>HLOOKUP(I$2+$A116,Sheet2!BX:NB,2,0)</f>
        <v>1-15 Jan 21</v>
      </c>
      <c r="I116" t="str">
        <f>IF(OR(HLOOKUP(I$2+$A116,Sheet2!BX:NB,$B116,0),HLOOKUP(I$2+$A116,Sheet2!BX:NB,$B116,0)&lt;&gt;""),HLOOKUP(I$2+$A116,Sheet2!BX:NB,$B116,0),"")</f>
        <v/>
      </c>
      <c r="J116" t="str">
        <f>IF(OR(HLOOKUP(J$2+$A116,Sheet2!BY:NC,$B116,0),HLOOKUP(J$2+$A116,Sheet2!BY:NC,$B116,0)&lt;&gt;""),HLOOKUP(J$2+$A116,Sheet2!BY:NC,$B116,0),"")</f>
        <v/>
      </c>
      <c r="K116" t="str">
        <f>IF(OR(HLOOKUP(K$2+$A116,Sheet2!BZ:ND,$B116,0),HLOOKUP(K$2+$A116,Sheet2!BZ:ND,$B116,0)&lt;&gt;""),HLOOKUP(K$2+$A116,Sheet2!BZ:ND,$B116,0),"")</f>
        <v/>
      </c>
      <c r="L116" t="str">
        <f>IF(OR(HLOOKUP(L$2+$A116,Sheet2!CA:NE,$B116,0),HLOOKUP(L$2+$A116,Sheet2!CA:NE,$B116,0)&lt;&gt;""),HLOOKUP(L$2+$A116,Sheet2!CA:NE,$B116,0),"")</f>
        <v/>
      </c>
      <c r="M116" t="str">
        <f>IF(OR(HLOOKUP(M$2+$A116,Sheet2!CB:NF,$B116,0),HLOOKUP(M$2+$A116,Sheet2!CB:NF,$B116,0)&lt;&gt;""),HLOOKUP(M$2+$A116,Sheet2!CB:NF,$B116,0),"")</f>
        <v/>
      </c>
    </row>
    <row r="117" spans="1:13" x14ac:dyDescent="0.25">
      <c r="A117" s="68">
        <f t="shared" si="19"/>
        <v>5</v>
      </c>
      <c r="B117" s="68">
        <f t="shared" si="20"/>
        <v>19</v>
      </c>
      <c r="C117" s="68">
        <f t="shared" si="16"/>
        <v>2</v>
      </c>
      <c r="D117" s="68">
        <f t="shared" si="17"/>
        <v>15</v>
      </c>
      <c r="E117" s="68">
        <f t="shared" si="18"/>
        <v>71</v>
      </c>
      <c r="F117" s="21" t="str">
        <f>VLOOKUP(D117,Sheet2!A:B,2)</f>
        <v>J19-1288</v>
      </c>
      <c r="G117" s="68" t="str">
        <f>VLOOKUP(F117,Sheet2!B:C,2,0)</f>
        <v>UAW เลย J19-1228</v>
      </c>
      <c r="H117" s="68" t="str">
        <f>HLOOKUP(I$2+$A117,Sheet2!BX:NB,2,0)</f>
        <v>16-31 Jan 21</v>
      </c>
      <c r="I117" t="str">
        <f>IF(OR(HLOOKUP(I$2+$A117,Sheet2!BX:NB,$B117,0),HLOOKUP(I$2+$A117,Sheet2!BX:NB,$B117,0)&lt;&gt;""),HLOOKUP(I$2+$A117,Sheet2!BX:NB,$B117,0),"")</f>
        <v/>
      </c>
      <c r="J117" t="str">
        <f>IF(OR(HLOOKUP(J$2+$A117,Sheet2!BY:NC,$B117,0),HLOOKUP(J$2+$A117,Sheet2!BY:NC,$B117,0)&lt;&gt;""),HLOOKUP(J$2+$A117,Sheet2!BY:NC,$B117,0),"")</f>
        <v/>
      </c>
      <c r="K117" t="str">
        <f>IF(OR(HLOOKUP(K$2+$A117,Sheet2!BZ:ND,$B117,0),HLOOKUP(K$2+$A117,Sheet2!BZ:ND,$B117,0)&lt;&gt;""),HLOOKUP(K$2+$A117,Sheet2!BZ:ND,$B117,0),"")</f>
        <v/>
      </c>
      <c r="L117" t="str">
        <f>IF(OR(HLOOKUP(L$2+$A117,Sheet2!CA:NE,$B117,0),HLOOKUP(L$2+$A117,Sheet2!CA:NE,$B117,0)&lt;&gt;""),HLOOKUP(L$2+$A117,Sheet2!CA:NE,$B117,0),"")</f>
        <v/>
      </c>
      <c r="M117" t="str">
        <f>IF(OR(HLOOKUP(M$2+$A117,Sheet2!CB:NF,$B117,0),HLOOKUP(M$2+$A117,Sheet2!CB:NF,$B117,0)&lt;&gt;""),HLOOKUP(M$2+$A117,Sheet2!CB:NF,$B117,0),"")</f>
        <v/>
      </c>
    </row>
    <row r="118" spans="1:13" x14ac:dyDescent="0.25">
      <c r="A118" s="68">
        <f t="shared" si="19"/>
        <v>10</v>
      </c>
      <c r="B118" s="68">
        <f t="shared" si="20"/>
        <v>19</v>
      </c>
      <c r="C118" s="68">
        <f t="shared" si="16"/>
        <v>3</v>
      </c>
      <c r="D118" s="68">
        <f t="shared" si="17"/>
        <v>15</v>
      </c>
      <c r="E118" s="68">
        <f t="shared" si="18"/>
        <v>71</v>
      </c>
      <c r="F118" s="21" t="str">
        <f>VLOOKUP(D118,Sheet2!A:B,2)</f>
        <v>J19-1288</v>
      </c>
      <c r="G118" s="68" t="str">
        <f>VLOOKUP(F118,Sheet2!B:C,2,0)</f>
        <v>UAW เลย J19-1228</v>
      </c>
      <c r="H118" s="68" t="str">
        <f>HLOOKUP(I$2+$A118,Sheet2!BX:NB,2,0)</f>
        <v>1-15 Feb 21</v>
      </c>
      <c r="I118" t="str">
        <f>IF(OR(HLOOKUP(I$2+$A118,Sheet2!BX:NB,$B118,0),HLOOKUP(I$2+$A118,Sheet2!BX:NB,$B118,0)&lt;&gt;""),HLOOKUP(I$2+$A118,Sheet2!BX:NB,$B118,0),"")</f>
        <v/>
      </c>
      <c r="J118" t="str">
        <f>IF(OR(HLOOKUP(J$2+$A118,Sheet2!BY:NC,$B118,0),HLOOKUP(J$2+$A118,Sheet2!BY:NC,$B118,0)&lt;&gt;""),HLOOKUP(J$2+$A118,Sheet2!BY:NC,$B118,0),"")</f>
        <v/>
      </c>
      <c r="K118" t="str">
        <f>IF(OR(HLOOKUP(K$2+$A118,Sheet2!BZ:ND,$B118,0),HLOOKUP(K$2+$A118,Sheet2!BZ:ND,$B118,0)&lt;&gt;""),HLOOKUP(K$2+$A118,Sheet2!BZ:ND,$B118,0),"")</f>
        <v/>
      </c>
      <c r="L118" t="str">
        <f>IF(OR(HLOOKUP(L$2+$A118,Sheet2!CA:NE,$B118,0),HLOOKUP(L$2+$A118,Sheet2!CA:NE,$B118,0)&lt;&gt;""),HLOOKUP(L$2+$A118,Sheet2!CA:NE,$B118,0),"")</f>
        <v/>
      </c>
      <c r="M118" t="str">
        <f>IF(OR(HLOOKUP(M$2+$A118,Sheet2!CB:NF,$B118,0),HLOOKUP(M$2+$A118,Sheet2!CB:NF,$B118,0)&lt;&gt;""),HLOOKUP(M$2+$A118,Sheet2!CB:NF,$B118,0),"")</f>
        <v/>
      </c>
    </row>
    <row r="119" spans="1:13" x14ac:dyDescent="0.25">
      <c r="A119" s="68">
        <f t="shared" si="19"/>
        <v>15</v>
      </c>
      <c r="B119" s="68">
        <f t="shared" si="20"/>
        <v>19</v>
      </c>
      <c r="C119" s="68">
        <f t="shared" si="16"/>
        <v>4</v>
      </c>
      <c r="D119" s="68">
        <f t="shared" si="17"/>
        <v>15</v>
      </c>
      <c r="E119" s="68">
        <f t="shared" si="18"/>
        <v>71</v>
      </c>
      <c r="F119" s="21" t="str">
        <f>VLOOKUP(D119,Sheet2!A:B,2)</f>
        <v>J19-1288</v>
      </c>
      <c r="G119" s="68" t="str">
        <f>VLOOKUP(F119,Sheet2!B:C,2,0)</f>
        <v>UAW เลย J19-1228</v>
      </c>
      <c r="H119" s="68" t="str">
        <f>HLOOKUP(I$2+$A119,Sheet2!BX:NB,2,0)</f>
        <v>16-28 Feb 21</v>
      </c>
      <c r="I119" t="str">
        <f>IF(OR(HLOOKUP(I$2+$A119,Sheet2!BX:NB,$B119,0),HLOOKUP(I$2+$A119,Sheet2!BX:NB,$B119,0)&lt;&gt;""),HLOOKUP(I$2+$A119,Sheet2!BX:NB,$B119,0),"")</f>
        <v/>
      </c>
      <c r="J119" t="str">
        <f>IF(OR(HLOOKUP(J$2+$A119,Sheet2!BY:NC,$B119,0),HLOOKUP(J$2+$A119,Sheet2!BY:NC,$B119,0)&lt;&gt;""),HLOOKUP(J$2+$A119,Sheet2!BY:NC,$B119,0),"")</f>
        <v/>
      </c>
      <c r="K119" t="str">
        <f>IF(OR(HLOOKUP(K$2+$A119,Sheet2!BZ:ND,$B119,0),HLOOKUP(K$2+$A119,Sheet2!BZ:ND,$B119,0)&lt;&gt;""),HLOOKUP(K$2+$A119,Sheet2!BZ:ND,$B119,0),"")</f>
        <v/>
      </c>
      <c r="L119" t="str">
        <f>IF(OR(HLOOKUP(L$2+$A119,Sheet2!CA:NE,$B119,0),HLOOKUP(L$2+$A119,Sheet2!CA:NE,$B119,0)&lt;&gt;""),HLOOKUP(L$2+$A119,Sheet2!CA:NE,$B119,0),"")</f>
        <v/>
      </c>
      <c r="M119" t="str">
        <f>IF(OR(HLOOKUP(M$2+$A119,Sheet2!CB:NF,$B119,0),HLOOKUP(M$2+$A119,Sheet2!CB:NF,$B119,0)&lt;&gt;""),HLOOKUP(M$2+$A119,Sheet2!CB:NF,$B119,0),"")</f>
        <v/>
      </c>
    </row>
    <row r="120" spans="1:13" x14ac:dyDescent="0.25">
      <c r="A120" s="68">
        <f t="shared" si="19"/>
        <v>20</v>
      </c>
      <c r="B120" s="68">
        <f t="shared" si="20"/>
        <v>19</v>
      </c>
      <c r="C120" s="68">
        <f t="shared" si="16"/>
        <v>5</v>
      </c>
      <c r="D120" s="68">
        <f t="shared" si="17"/>
        <v>15</v>
      </c>
      <c r="E120" s="68">
        <f t="shared" si="18"/>
        <v>71</v>
      </c>
      <c r="F120" s="21" t="str">
        <f>VLOOKUP(D120,Sheet2!A:B,2)</f>
        <v>J19-1288</v>
      </c>
      <c r="G120" s="68" t="str">
        <f>VLOOKUP(F120,Sheet2!B:C,2,0)</f>
        <v>UAW เลย J19-1228</v>
      </c>
      <c r="H120" s="68" t="str">
        <f>HLOOKUP(I$2+$A120,Sheet2!BX:NB,2,0)</f>
        <v>1-15 Mar 2021</v>
      </c>
      <c r="I120" t="str">
        <f>IF(OR(HLOOKUP(I$2+$A120,Sheet2!BX:NB,$B120,0),HLOOKUP(I$2+$A120,Sheet2!BX:NB,$B120,0)&lt;&gt;""),HLOOKUP(I$2+$A120,Sheet2!BX:NB,$B120,0),"")</f>
        <v/>
      </c>
      <c r="J120" t="str">
        <f>IF(OR(HLOOKUP(J$2+$A120,Sheet2!BY:NC,$B120,0),HLOOKUP(J$2+$A120,Sheet2!BY:NC,$B120,0)&lt;&gt;""),HLOOKUP(J$2+$A120,Sheet2!BY:NC,$B120,0),"")</f>
        <v/>
      </c>
      <c r="K120" t="str">
        <f>IF(OR(HLOOKUP(K$2+$A120,Sheet2!BZ:ND,$B120,0),HLOOKUP(K$2+$A120,Sheet2!BZ:ND,$B120,0)&lt;&gt;""),HLOOKUP(K$2+$A120,Sheet2!BZ:ND,$B120,0),"")</f>
        <v/>
      </c>
      <c r="L120" t="str">
        <f>IF(OR(HLOOKUP(L$2+$A120,Sheet2!CA:NE,$B120,0),HLOOKUP(L$2+$A120,Sheet2!CA:NE,$B120,0)&lt;&gt;""),HLOOKUP(L$2+$A120,Sheet2!CA:NE,$B120,0),"")</f>
        <v/>
      </c>
      <c r="M120" t="str">
        <f>IF(OR(HLOOKUP(M$2+$A120,Sheet2!CB:NF,$B120,0),HLOOKUP(M$2+$A120,Sheet2!CB:NF,$B120,0)&lt;&gt;""),HLOOKUP(M$2+$A120,Sheet2!CB:NF,$B120,0),"")</f>
        <v/>
      </c>
    </row>
    <row r="121" spans="1:13" x14ac:dyDescent="0.25">
      <c r="A121" s="68">
        <f t="shared" si="19"/>
        <v>25</v>
      </c>
      <c r="B121" s="68">
        <f t="shared" si="20"/>
        <v>19</v>
      </c>
      <c r="C121" s="68">
        <f t="shared" si="16"/>
        <v>6</v>
      </c>
      <c r="D121" s="68">
        <f t="shared" si="17"/>
        <v>15</v>
      </c>
      <c r="E121" s="68">
        <f t="shared" si="18"/>
        <v>71</v>
      </c>
      <c r="F121" s="21" t="str">
        <f>VLOOKUP(D121,Sheet2!A:B,2)</f>
        <v>J19-1288</v>
      </c>
      <c r="G121" s="68" t="str">
        <f>VLOOKUP(F121,Sheet2!B:C,2,0)</f>
        <v>UAW เลย J19-1228</v>
      </c>
      <c r="H121" s="68" t="str">
        <f>HLOOKUP(I$2+$A121,Sheet2!BX:NB,2,0)</f>
        <v>16-31 Mar 21</v>
      </c>
      <c r="I121" t="str">
        <f>IF(OR(HLOOKUP(I$2+$A121,Sheet2!BX:NB,$B121,0),HLOOKUP(I$2+$A121,Sheet2!BX:NB,$B121,0)&lt;&gt;""),HLOOKUP(I$2+$A121,Sheet2!BX:NB,$B121,0),"")</f>
        <v/>
      </c>
      <c r="J121" t="str">
        <f>IF(OR(HLOOKUP(J$2+$A121,Sheet2!BY:NC,$B121,0),HLOOKUP(J$2+$A121,Sheet2!BY:NC,$B121,0)&lt;&gt;""),HLOOKUP(J$2+$A121,Sheet2!BY:NC,$B121,0),"")</f>
        <v/>
      </c>
      <c r="K121" t="str">
        <f>IF(OR(HLOOKUP(K$2+$A121,Sheet2!BZ:ND,$B121,0),HLOOKUP(K$2+$A121,Sheet2!BZ:ND,$B121,0)&lt;&gt;""),HLOOKUP(K$2+$A121,Sheet2!BZ:ND,$B121,0),"")</f>
        <v/>
      </c>
      <c r="L121" t="str">
        <f>IF(OR(HLOOKUP(L$2+$A121,Sheet2!CA:NE,$B121,0),HLOOKUP(L$2+$A121,Sheet2!CA:NE,$B121,0)&lt;&gt;""),HLOOKUP(L$2+$A121,Sheet2!CA:NE,$B121,0),"")</f>
        <v/>
      </c>
      <c r="M121" t="str">
        <f>IF(OR(HLOOKUP(M$2+$A121,Sheet2!CB:NF,$B121,0),HLOOKUP(M$2+$A121,Sheet2!CB:NF,$B121,0)&lt;&gt;""),HLOOKUP(M$2+$A121,Sheet2!CB:NF,$B121,0),"")</f>
        <v/>
      </c>
    </row>
    <row r="122" spans="1:13" x14ac:dyDescent="0.25">
      <c r="A122" s="68">
        <f t="shared" si="19"/>
        <v>30</v>
      </c>
      <c r="B122" s="68">
        <f t="shared" si="20"/>
        <v>19</v>
      </c>
      <c r="C122" s="68">
        <f t="shared" si="16"/>
        <v>7</v>
      </c>
      <c r="D122" s="68">
        <f t="shared" si="17"/>
        <v>15</v>
      </c>
      <c r="E122" s="68">
        <f t="shared" si="18"/>
        <v>71</v>
      </c>
      <c r="F122" s="21" t="str">
        <f>VLOOKUP(D122,Sheet2!A:B,2)</f>
        <v>J19-1288</v>
      </c>
      <c r="G122" s="68" t="str">
        <f>VLOOKUP(F122,Sheet2!B:C,2,0)</f>
        <v>UAW เลย J19-1228</v>
      </c>
      <c r="H122" s="68" t="str">
        <f>HLOOKUP(I$2+$A122,Sheet2!BX:NB,2,0)</f>
        <v>1-15 April 21</v>
      </c>
      <c r="I122" t="str">
        <f>IF(OR(HLOOKUP(I$2+$A122,Sheet2!BX:NB,$B122,0),HLOOKUP(I$2+$A122,Sheet2!BX:NB,$B122,0)&lt;&gt;""),HLOOKUP(I$2+$A122,Sheet2!BX:NB,$B122,0),"")</f>
        <v/>
      </c>
      <c r="J122" t="str">
        <f>IF(OR(HLOOKUP(J$2+$A122,Sheet2!BY:NC,$B122,0),HLOOKUP(J$2+$A122,Sheet2!BY:NC,$B122,0)&lt;&gt;""),HLOOKUP(J$2+$A122,Sheet2!BY:NC,$B122,0),"")</f>
        <v/>
      </c>
      <c r="K122" t="str">
        <f>IF(OR(HLOOKUP(K$2+$A122,Sheet2!BZ:ND,$B122,0),HLOOKUP(K$2+$A122,Sheet2!BZ:ND,$B122,0)&lt;&gt;""),HLOOKUP(K$2+$A122,Sheet2!BZ:ND,$B122,0),"")</f>
        <v/>
      </c>
      <c r="L122" t="str">
        <f>IF(OR(HLOOKUP(L$2+$A122,Sheet2!CA:NE,$B122,0),HLOOKUP(L$2+$A122,Sheet2!CA:NE,$B122,0)&lt;&gt;""),HLOOKUP(L$2+$A122,Sheet2!CA:NE,$B122,0),"")</f>
        <v/>
      </c>
      <c r="M122" t="str">
        <f>IF(OR(HLOOKUP(M$2+$A122,Sheet2!CB:NF,$B122,0),HLOOKUP(M$2+$A122,Sheet2!CB:NF,$B122,0)&lt;&gt;""),HLOOKUP(M$2+$A122,Sheet2!CB:NF,$B122,0),"")</f>
        <v/>
      </c>
    </row>
    <row r="123" spans="1:13" x14ac:dyDescent="0.25">
      <c r="A123" s="68">
        <f t="shared" si="19"/>
        <v>35</v>
      </c>
      <c r="B123" s="68">
        <f t="shared" si="20"/>
        <v>19</v>
      </c>
      <c r="C123" s="68">
        <f t="shared" si="16"/>
        <v>8</v>
      </c>
      <c r="D123" s="68">
        <f t="shared" si="17"/>
        <v>15</v>
      </c>
      <c r="E123" s="68">
        <f t="shared" si="18"/>
        <v>71</v>
      </c>
      <c r="F123" s="21" t="str">
        <f>VLOOKUP(D123,Sheet2!A:B,2)</f>
        <v>J19-1288</v>
      </c>
      <c r="G123" s="68" t="str">
        <f>VLOOKUP(F123,Sheet2!B:C,2,0)</f>
        <v>UAW เลย J19-1228</v>
      </c>
      <c r="H123" s="68" t="str">
        <f>HLOOKUP(I$2+$A123,Sheet2!BX:NB,2,0)</f>
        <v>16-30 April 21</v>
      </c>
      <c r="I123" t="str">
        <f>IF(OR(HLOOKUP(I$2+$A123,Sheet2!BX:NB,$B123,0),HLOOKUP(I$2+$A123,Sheet2!BX:NB,$B123,0)&lt;&gt;""),HLOOKUP(I$2+$A123,Sheet2!BX:NB,$B123,0),"")</f>
        <v/>
      </c>
      <c r="J123" t="str">
        <f>IF(OR(HLOOKUP(J$2+$A123,Sheet2!BY:NC,$B123,0),HLOOKUP(J$2+$A123,Sheet2!BY:NC,$B123,0)&lt;&gt;""),HLOOKUP(J$2+$A123,Sheet2!BY:NC,$B123,0),"")</f>
        <v/>
      </c>
      <c r="K123" t="str">
        <f>IF(OR(HLOOKUP(K$2+$A123,Sheet2!BZ:ND,$B123,0),HLOOKUP(K$2+$A123,Sheet2!BZ:ND,$B123,0)&lt;&gt;""),HLOOKUP(K$2+$A123,Sheet2!BZ:ND,$B123,0),"")</f>
        <v/>
      </c>
      <c r="L123" t="str">
        <f>IF(OR(HLOOKUP(L$2+$A123,Sheet2!CA:NE,$B123,0),HLOOKUP(L$2+$A123,Sheet2!CA:NE,$B123,0)&lt;&gt;""),HLOOKUP(L$2+$A123,Sheet2!CA:NE,$B123,0),"")</f>
        <v/>
      </c>
      <c r="M123" t="str">
        <f>IF(OR(HLOOKUP(M$2+$A123,Sheet2!CB:NF,$B123,0),HLOOKUP(M$2+$A123,Sheet2!CB:NF,$B123,0)&lt;&gt;""),HLOOKUP(M$2+$A123,Sheet2!CB:NF,$B123,0),"")</f>
        <v/>
      </c>
    </row>
    <row r="124" spans="1:13" x14ac:dyDescent="0.25">
      <c r="A124" s="68">
        <f t="shared" si="19"/>
        <v>0</v>
      </c>
      <c r="B124" s="68">
        <f t="shared" si="20"/>
        <v>20</v>
      </c>
      <c r="C124" s="68">
        <f t="shared" si="16"/>
        <v>1</v>
      </c>
      <c r="D124" s="68">
        <f t="shared" si="17"/>
        <v>16</v>
      </c>
      <c r="E124" s="68">
        <f t="shared" si="18"/>
        <v>76</v>
      </c>
      <c r="F124" s="21" t="str">
        <f>VLOOKUP(D124,Sheet2!A:B,2)</f>
        <v>J19-0966</v>
      </c>
      <c r="G124" s="68" t="str">
        <f>VLOOKUP(F124,Sheet2!B:C,2,0)</f>
        <v>New Charge</v>
      </c>
      <c r="H124" s="68" t="str">
        <f>HLOOKUP(I$2+$A124,Sheet2!BX:NB,2,0)</f>
        <v>1-15 Jan 21</v>
      </c>
      <c r="I124" t="str">
        <f>IF(OR(HLOOKUP(I$2+$A124,Sheet2!BX:NB,$B124,0),HLOOKUP(I$2+$A124,Sheet2!BX:NB,$B124,0)&lt;&gt;""),HLOOKUP(I$2+$A124,Sheet2!BX:NB,$B124,0),"")</f>
        <v/>
      </c>
      <c r="J124" t="str">
        <f>IF(OR(HLOOKUP(J$2+$A124,Sheet2!BY:NC,$B124,0),HLOOKUP(J$2+$A124,Sheet2!BY:NC,$B124,0)&lt;&gt;""),HLOOKUP(J$2+$A124,Sheet2!BY:NC,$B124,0),"")</f>
        <v/>
      </c>
      <c r="K124" t="str">
        <f>IF(OR(HLOOKUP(K$2+$A124,Sheet2!BZ:ND,$B124,0),HLOOKUP(K$2+$A124,Sheet2!BZ:ND,$B124,0)&lt;&gt;""),HLOOKUP(K$2+$A124,Sheet2!BZ:ND,$B124,0),"")</f>
        <v/>
      </c>
      <c r="L124" t="str">
        <f>IF(OR(HLOOKUP(L$2+$A124,Sheet2!CA:NE,$B124,0),HLOOKUP(L$2+$A124,Sheet2!CA:NE,$B124,0)&lt;&gt;""),HLOOKUP(L$2+$A124,Sheet2!CA:NE,$B124,0),"")</f>
        <v/>
      </c>
      <c r="M124" t="str">
        <f>IF(OR(HLOOKUP(M$2+$A124,Sheet2!CB:NF,$B124,0),HLOOKUP(M$2+$A124,Sheet2!CB:NF,$B124,0)&lt;&gt;""),HLOOKUP(M$2+$A124,Sheet2!CB:NF,$B124,0),"")</f>
        <v/>
      </c>
    </row>
    <row r="125" spans="1:13" x14ac:dyDescent="0.25">
      <c r="A125" s="68">
        <f t="shared" si="19"/>
        <v>5</v>
      </c>
      <c r="B125" s="68">
        <f t="shared" si="20"/>
        <v>20</v>
      </c>
      <c r="C125" s="68">
        <f t="shared" si="16"/>
        <v>2</v>
      </c>
      <c r="D125" s="68">
        <f t="shared" si="17"/>
        <v>16</v>
      </c>
      <c r="E125" s="68">
        <f t="shared" si="18"/>
        <v>76</v>
      </c>
      <c r="F125" s="21" t="str">
        <f>VLOOKUP(D125,Sheet2!A:B,2)</f>
        <v>J19-0966</v>
      </c>
      <c r="G125" s="68" t="str">
        <f>VLOOKUP(F125,Sheet2!B:C,2,0)</f>
        <v>New Charge</v>
      </c>
      <c r="H125" s="68" t="str">
        <f>HLOOKUP(I$2+$A125,Sheet2!BX:NB,2,0)</f>
        <v>16-31 Jan 21</v>
      </c>
      <c r="I125" t="str">
        <f>IF(OR(HLOOKUP(I$2+$A125,Sheet2!BX:NB,$B125,0),HLOOKUP(I$2+$A125,Sheet2!BX:NB,$B125,0)&lt;&gt;""),HLOOKUP(I$2+$A125,Sheet2!BX:NB,$B125,0),"")</f>
        <v/>
      </c>
      <c r="J125" t="str">
        <f>IF(OR(HLOOKUP(J$2+$A125,Sheet2!BY:NC,$B125,0),HLOOKUP(J$2+$A125,Sheet2!BY:NC,$B125,0)&lt;&gt;""),HLOOKUP(J$2+$A125,Sheet2!BY:NC,$B125,0),"")</f>
        <v/>
      </c>
      <c r="K125" t="str">
        <f>IF(OR(HLOOKUP(K$2+$A125,Sheet2!BZ:ND,$B125,0),HLOOKUP(K$2+$A125,Sheet2!BZ:ND,$B125,0)&lt;&gt;""),HLOOKUP(K$2+$A125,Sheet2!BZ:ND,$B125,0),"")</f>
        <v/>
      </c>
      <c r="L125" t="str">
        <f>IF(OR(HLOOKUP(L$2+$A125,Sheet2!CA:NE,$B125,0),HLOOKUP(L$2+$A125,Sheet2!CA:NE,$B125,0)&lt;&gt;""),HLOOKUP(L$2+$A125,Sheet2!CA:NE,$B125,0),"")</f>
        <v/>
      </c>
      <c r="M125" t="str">
        <f>IF(OR(HLOOKUP(M$2+$A125,Sheet2!CB:NF,$B125,0),HLOOKUP(M$2+$A125,Sheet2!CB:NF,$B125,0)&lt;&gt;""),HLOOKUP(M$2+$A125,Sheet2!CB:NF,$B125,0),"")</f>
        <v/>
      </c>
    </row>
    <row r="126" spans="1:13" x14ac:dyDescent="0.25">
      <c r="A126" s="68">
        <f t="shared" si="19"/>
        <v>10</v>
      </c>
      <c r="B126" s="68">
        <f t="shared" si="20"/>
        <v>20</v>
      </c>
      <c r="C126" s="68">
        <f t="shared" si="16"/>
        <v>3</v>
      </c>
      <c r="D126" s="68">
        <f t="shared" si="17"/>
        <v>16</v>
      </c>
      <c r="E126" s="68">
        <f t="shared" si="18"/>
        <v>76</v>
      </c>
      <c r="F126" s="21" t="str">
        <f>VLOOKUP(D126,Sheet2!A:B,2)</f>
        <v>J19-0966</v>
      </c>
      <c r="G126" s="68" t="str">
        <f>VLOOKUP(F126,Sheet2!B:C,2,0)</f>
        <v>New Charge</v>
      </c>
      <c r="H126" s="68" t="str">
        <f>HLOOKUP(I$2+$A126,Sheet2!BX:NB,2,0)</f>
        <v>1-15 Feb 21</v>
      </c>
      <c r="I126" t="str">
        <f>IF(OR(HLOOKUP(I$2+$A126,Sheet2!BX:NB,$B126,0),HLOOKUP(I$2+$A126,Sheet2!BX:NB,$B126,0)&lt;&gt;""),HLOOKUP(I$2+$A126,Sheet2!BX:NB,$B126,0),"")</f>
        <v/>
      </c>
      <c r="J126" t="str">
        <f>IF(OR(HLOOKUP(J$2+$A126,Sheet2!BY:NC,$B126,0),HLOOKUP(J$2+$A126,Sheet2!BY:NC,$B126,0)&lt;&gt;""),HLOOKUP(J$2+$A126,Sheet2!BY:NC,$B126,0),"")</f>
        <v/>
      </c>
      <c r="K126" t="str">
        <f>IF(OR(HLOOKUP(K$2+$A126,Sheet2!BZ:ND,$B126,0),HLOOKUP(K$2+$A126,Sheet2!BZ:ND,$B126,0)&lt;&gt;""),HLOOKUP(K$2+$A126,Sheet2!BZ:ND,$B126,0),"")</f>
        <v/>
      </c>
      <c r="L126" t="str">
        <f>IF(OR(HLOOKUP(L$2+$A126,Sheet2!CA:NE,$B126,0),HLOOKUP(L$2+$A126,Sheet2!CA:NE,$B126,0)&lt;&gt;""),HLOOKUP(L$2+$A126,Sheet2!CA:NE,$B126,0),"")</f>
        <v/>
      </c>
      <c r="M126" t="str">
        <f>IF(OR(HLOOKUP(M$2+$A126,Sheet2!CB:NF,$B126,0),HLOOKUP(M$2+$A126,Sheet2!CB:NF,$B126,0)&lt;&gt;""),HLOOKUP(M$2+$A126,Sheet2!CB:NF,$B126,0),"")</f>
        <v/>
      </c>
    </row>
    <row r="127" spans="1:13" x14ac:dyDescent="0.25">
      <c r="A127" s="68">
        <f t="shared" si="19"/>
        <v>15</v>
      </c>
      <c r="B127" s="68">
        <f t="shared" si="20"/>
        <v>20</v>
      </c>
      <c r="C127" s="68">
        <f t="shared" si="16"/>
        <v>4</v>
      </c>
      <c r="D127" s="68">
        <f t="shared" si="17"/>
        <v>16</v>
      </c>
      <c r="E127" s="68">
        <f t="shared" si="18"/>
        <v>76</v>
      </c>
      <c r="F127" s="21" t="str">
        <f>VLOOKUP(D127,Sheet2!A:B,2)</f>
        <v>J19-0966</v>
      </c>
      <c r="G127" s="68" t="str">
        <f>VLOOKUP(F127,Sheet2!B:C,2,0)</f>
        <v>New Charge</v>
      </c>
      <c r="H127" s="68" t="str">
        <f>HLOOKUP(I$2+$A127,Sheet2!BX:NB,2,0)</f>
        <v>16-28 Feb 21</v>
      </c>
      <c r="I127" t="str">
        <f>IF(OR(HLOOKUP(I$2+$A127,Sheet2!BX:NB,$B127,0),HLOOKUP(I$2+$A127,Sheet2!BX:NB,$B127,0)&lt;&gt;""),HLOOKUP(I$2+$A127,Sheet2!BX:NB,$B127,0),"")</f>
        <v/>
      </c>
      <c r="J127" t="str">
        <f>IF(OR(HLOOKUP(J$2+$A127,Sheet2!BY:NC,$B127,0),HLOOKUP(J$2+$A127,Sheet2!BY:NC,$B127,0)&lt;&gt;""),HLOOKUP(J$2+$A127,Sheet2!BY:NC,$B127,0),"")</f>
        <v/>
      </c>
      <c r="K127" t="str">
        <f>IF(OR(HLOOKUP(K$2+$A127,Sheet2!BZ:ND,$B127,0),HLOOKUP(K$2+$A127,Sheet2!BZ:ND,$B127,0)&lt;&gt;""),HLOOKUP(K$2+$A127,Sheet2!BZ:ND,$B127,0),"")</f>
        <v/>
      </c>
      <c r="L127" t="str">
        <f>IF(OR(HLOOKUP(L$2+$A127,Sheet2!CA:NE,$B127,0),HLOOKUP(L$2+$A127,Sheet2!CA:NE,$B127,0)&lt;&gt;""),HLOOKUP(L$2+$A127,Sheet2!CA:NE,$B127,0),"")</f>
        <v/>
      </c>
      <c r="M127" t="str">
        <f>IF(OR(HLOOKUP(M$2+$A127,Sheet2!CB:NF,$B127,0),HLOOKUP(M$2+$A127,Sheet2!CB:NF,$B127,0)&lt;&gt;""),HLOOKUP(M$2+$A127,Sheet2!CB:NF,$B127,0),"")</f>
        <v/>
      </c>
    </row>
    <row r="128" spans="1:13" x14ac:dyDescent="0.25">
      <c r="A128" s="68">
        <f t="shared" si="19"/>
        <v>20</v>
      </c>
      <c r="B128" s="68">
        <f t="shared" si="20"/>
        <v>20</v>
      </c>
      <c r="C128" s="68">
        <f t="shared" si="16"/>
        <v>5</v>
      </c>
      <c r="D128" s="68">
        <f t="shared" si="17"/>
        <v>16</v>
      </c>
      <c r="E128" s="68">
        <f t="shared" si="18"/>
        <v>76</v>
      </c>
      <c r="F128" s="21" t="str">
        <f>VLOOKUP(D128,Sheet2!A:B,2)</f>
        <v>J19-0966</v>
      </c>
      <c r="G128" s="68" t="str">
        <f>VLOOKUP(F128,Sheet2!B:C,2,0)</f>
        <v>New Charge</v>
      </c>
      <c r="H128" s="68" t="str">
        <f>HLOOKUP(I$2+$A128,Sheet2!BX:NB,2,0)</f>
        <v>1-15 Mar 2021</v>
      </c>
      <c r="I128" t="str">
        <f>IF(OR(HLOOKUP(I$2+$A128,Sheet2!BX:NB,$B128,0),HLOOKUP(I$2+$A128,Sheet2!BX:NB,$B128,0)&lt;&gt;""),HLOOKUP(I$2+$A128,Sheet2!BX:NB,$B128,0),"")</f>
        <v/>
      </c>
      <c r="J128" t="str">
        <f>IF(OR(HLOOKUP(J$2+$A128,Sheet2!BY:NC,$B128,0),HLOOKUP(J$2+$A128,Sheet2!BY:NC,$B128,0)&lt;&gt;""),HLOOKUP(J$2+$A128,Sheet2!BY:NC,$B128,0),"")</f>
        <v/>
      </c>
      <c r="K128" t="str">
        <f>IF(OR(HLOOKUP(K$2+$A128,Sheet2!BZ:ND,$B128,0),HLOOKUP(K$2+$A128,Sheet2!BZ:ND,$B128,0)&lt;&gt;""),HLOOKUP(K$2+$A128,Sheet2!BZ:ND,$B128,0),"")</f>
        <v/>
      </c>
      <c r="L128" t="str">
        <f>IF(OR(HLOOKUP(L$2+$A128,Sheet2!CA:NE,$B128,0),HLOOKUP(L$2+$A128,Sheet2!CA:NE,$B128,0)&lt;&gt;""),HLOOKUP(L$2+$A128,Sheet2!CA:NE,$B128,0),"")</f>
        <v/>
      </c>
      <c r="M128" t="str">
        <f>IF(OR(HLOOKUP(M$2+$A128,Sheet2!CB:NF,$B128,0),HLOOKUP(M$2+$A128,Sheet2!CB:NF,$B128,0)&lt;&gt;""),HLOOKUP(M$2+$A128,Sheet2!CB:NF,$B128,0),"")</f>
        <v/>
      </c>
    </row>
    <row r="129" spans="1:13" x14ac:dyDescent="0.25">
      <c r="A129" s="68">
        <f t="shared" si="19"/>
        <v>25</v>
      </c>
      <c r="B129" s="68">
        <f t="shared" si="20"/>
        <v>20</v>
      </c>
      <c r="C129" s="68">
        <f t="shared" si="16"/>
        <v>6</v>
      </c>
      <c r="D129" s="68">
        <f t="shared" si="17"/>
        <v>16</v>
      </c>
      <c r="E129" s="68">
        <f t="shared" si="18"/>
        <v>76</v>
      </c>
      <c r="F129" s="21" t="str">
        <f>VLOOKUP(D129,Sheet2!A:B,2)</f>
        <v>J19-0966</v>
      </c>
      <c r="G129" s="68" t="str">
        <f>VLOOKUP(F129,Sheet2!B:C,2,0)</f>
        <v>New Charge</v>
      </c>
      <c r="H129" s="68" t="str">
        <f>HLOOKUP(I$2+$A129,Sheet2!BX:NB,2,0)</f>
        <v>16-31 Mar 21</v>
      </c>
      <c r="I129" t="str">
        <f>IF(OR(HLOOKUP(I$2+$A129,Sheet2!BX:NB,$B129,0),HLOOKUP(I$2+$A129,Sheet2!BX:NB,$B129,0)&lt;&gt;""),HLOOKUP(I$2+$A129,Sheet2!BX:NB,$B129,0),"")</f>
        <v/>
      </c>
      <c r="J129" t="str">
        <f>IF(OR(HLOOKUP(J$2+$A129,Sheet2!BY:NC,$B129,0),HLOOKUP(J$2+$A129,Sheet2!BY:NC,$B129,0)&lt;&gt;""),HLOOKUP(J$2+$A129,Sheet2!BY:NC,$B129,0),"")</f>
        <v/>
      </c>
      <c r="K129" t="str">
        <f>IF(OR(HLOOKUP(K$2+$A129,Sheet2!BZ:ND,$B129,0),HLOOKUP(K$2+$A129,Sheet2!BZ:ND,$B129,0)&lt;&gt;""),HLOOKUP(K$2+$A129,Sheet2!BZ:ND,$B129,0),"")</f>
        <v/>
      </c>
      <c r="L129" t="str">
        <f>IF(OR(HLOOKUP(L$2+$A129,Sheet2!CA:NE,$B129,0),HLOOKUP(L$2+$A129,Sheet2!CA:NE,$B129,0)&lt;&gt;""),HLOOKUP(L$2+$A129,Sheet2!CA:NE,$B129,0),"")</f>
        <v/>
      </c>
      <c r="M129" t="str">
        <f>IF(OR(HLOOKUP(M$2+$A129,Sheet2!CB:NF,$B129,0),HLOOKUP(M$2+$A129,Sheet2!CB:NF,$B129,0)&lt;&gt;""),HLOOKUP(M$2+$A129,Sheet2!CB:NF,$B129,0),"")</f>
        <v/>
      </c>
    </row>
    <row r="130" spans="1:13" x14ac:dyDescent="0.25">
      <c r="A130" s="68">
        <f t="shared" si="19"/>
        <v>30</v>
      </c>
      <c r="B130" s="68">
        <f t="shared" si="20"/>
        <v>20</v>
      </c>
      <c r="C130" s="68">
        <f t="shared" si="16"/>
        <v>7</v>
      </c>
      <c r="D130" s="68">
        <f t="shared" si="17"/>
        <v>16</v>
      </c>
      <c r="E130" s="68">
        <f t="shared" si="18"/>
        <v>76</v>
      </c>
      <c r="F130" s="21" t="str">
        <f>VLOOKUP(D130,Sheet2!A:B,2)</f>
        <v>J19-0966</v>
      </c>
      <c r="G130" s="68" t="str">
        <f>VLOOKUP(F130,Sheet2!B:C,2,0)</f>
        <v>New Charge</v>
      </c>
      <c r="H130" s="68" t="str">
        <f>HLOOKUP(I$2+$A130,Sheet2!BX:NB,2,0)</f>
        <v>1-15 April 21</v>
      </c>
      <c r="I130" t="str">
        <f>IF(OR(HLOOKUP(I$2+$A130,Sheet2!BX:NB,$B130,0),HLOOKUP(I$2+$A130,Sheet2!BX:NB,$B130,0)&lt;&gt;""),HLOOKUP(I$2+$A130,Sheet2!BX:NB,$B130,0),"")</f>
        <v/>
      </c>
      <c r="J130" t="str">
        <f>IF(OR(HLOOKUP(J$2+$A130,Sheet2!BY:NC,$B130,0),HLOOKUP(J$2+$A130,Sheet2!BY:NC,$B130,0)&lt;&gt;""),HLOOKUP(J$2+$A130,Sheet2!BY:NC,$B130,0),"")</f>
        <v/>
      </c>
      <c r="K130" t="str">
        <f>IF(OR(HLOOKUP(K$2+$A130,Sheet2!BZ:ND,$B130,0),HLOOKUP(K$2+$A130,Sheet2!BZ:ND,$B130,0)&lt;&gt;""),HLOOKUP(K$2+$A130,Sheet2!BZ:ND,$B130,0),"")</f>
        <v/>
      </c>
      <c r="L130" t="str">
        <f>IF(OR(HLOOKUP(L$2+$A130,Sheet2!CA:NE,$B130,0),HLOOKUP(L$2+$A130,Sheet2!CA:NE,$B130,0)&lt;&gt;""),HLOOKUP(L$2+$A130,Sheet2!CA:NE,$B130,0),"")</f>
        <v/>
      </c>
      <c r="M130" t="str">
        <f>IF(OR(HLOOKUP(M$2+$A130,Sheet2!CB:NF,$B130,0),HLOOKUP(M$2+$A130,Sheet2!CB:NF,$B130,0)&lt;&gt;""),HLOOKUP(M$2+$A130,Sheet2!CB:NF,$B130,0),"")</f>
        <v/>
      </c>
    </row>
    <row r="131" spans="1:13" x14ac:dyDescent="0.25">
      <c r="A131" s="68">
        <f t="shared" si="19"/>
        <v>35</v>
      </c>
      <c r="B131" s="68">
        <f t="shared" si="20"/>
        <v>20</v>
      </c>
      <c r="C131" s="68">
        <f t="shared" si="16"/>
        <v>8</v>
      </c>
      <c r="D131" s="68">
        <f t="shared" si="17"/>
        <v>16</v>
      </c>
      <c r="E131" s="68">
        <f t="shared" si="18"/>
        <v>76</v>
      </c>
      <c r="F131" s="21" t="str">
        <f>VLOOKUP(D131,Sheet2!A:B,2)</f>
        <v>J19-0966</v>
      </c>
      <c r="G131" s="68" t="str">
        <f>VLOOKUP(F131,Sheet2!B:C,2,0)</f>
        <v>New Charge</v>
      </c>
      <c r="H131" s="68" t="str">
        <f>HLOOKUP(I$2+$A131,Sheet2!BX:NB,2,0)</f>
        <v>16-30 April 21</v>
      </c>
      <c r="I131" t="str">
        <f>IF(OR(HLOOKUP(I$2+$A131,Sheet2!BX:NB,$B131,0),HLOOKUP(I$2+$A131,Sheet2!BX:NB,$B131,0)&lt;&gt;""),HLOOKUP(I$2+$A131,Sheet2!BX:NB,$B131,0),"")</f>
        <v/>
      </c>
      <c r="J131" t="str">
        <f>IF(OR(HLOOKUP(J$2+$A131,Sheet2!BY:NC,$B131,0),HLOOKUP(J$2+$A131,Sheet2!BY:NC,$B131,0)&lt;&gt;""),HLOOKUP(J$2+$A131,Sheet2!BY:NC,$B131,0),"")</f>
        <v/>
      </c>
      <c r="K131" t="str">
        <f>IF(OR(HLOOKUP(K$2+$A131,Sheet2!BZ:ND,$B131,0),HLOOKUP(K$2+$A131,Sheet2!BZ:ND,$B131,0)&lt;&gt;""),HLOOKUP(K$2+$A131,Sheet2!BZ:ND,$B131,0),"")</f>
        <v/>
      </c>
      <c r="L131" t="str">
        <f>IF(OR(HLOOKUP(L$2+$A131,Sheet2!CA:NE,$B131,0),HLOOKUP(L$2+$A131,Sheet2!CA:NE,$B131,0)&lt;&gt;""),HLOOKUP(L$2+$A131,Sheet2!CA:NE,$B131,0),"")</f>
        <v/>
      </c>
      <c r="M131" t="str">
        <f>IF(OR(HLOOKUP(M$2+$A131,Sheet2!CB:NF,$B131,0),HLOOKUP(M$2+$A131,Sheet2!CB:NF,$B131,0)&lt;&gt;""),HLOOKUP(M$2+$A131,Sheet2!CB:NF,$B131,0),"")</f>
        <v/>
      </c>
    </row>
    <row r="132" spans="1:13" x14ac:dyDescent="0.25">
      <c r="A132" s="68">
        <f t="shared" ref="A132:A138" si="21">IF(C132&lt;&gt;1,A131+5,0)</f>
        <v>0</v>
      </c>
      <c r="B132" s="68">
        <f t="shared" ref="B132:B138" si="22">IF(C132&lt;&gt;1,B131,B131+1)</f>
        <v>21</v>
      </c>
      <c r="C132" s="68">
        <f t="shared" si="16"/>
        <v>1</v>
      </c>
      <c r="D132" s="68">
        <f t="shared" ref="D132:D138" si="23">IF(C132=1,D131+1,D131)</f>
        <v>17</v>
      </c>
      <c r="E132" s="68">
        <f t="shared" si="18"/>
        <v>81</v>
      </c>
      <c r="F132" s="21" t="str">
        <f>VLOOKUP(D132,Sheet2!A:B,2)</f>
        <v>J19-1196</v>
      </c>
      <c r="G132" s="68" t="str">
        <f>VLOOKUP(F132,Sheet2!B:C,2,0)</f>
        <v>DBN 1196</v>
      </c>
      <c r="H132" s="68" t="str">
        <f>HLOOKUP(I$2+$A132,Sheet2!BX:NB,2,0)</f>
        <v>1-15 Jan 21</v>
      </c>
      <c r="I132" t="str">
        <f>IF(OR(HLOOKUP(I$2+$A132,Sheet2!BX:NB,$B132,0),HLOOKUP(I$2+$A132,Sheet2!BX:NB,$B132,0)&lt;&gt;""),HLOOKUP(I$2+$A132,Sheet2!BX:NB,$B132,0),"")</f>
        <v/>
      </c>
      <c r="J132" t="str">
        <f>IF(OR(HLOOKUP(J$2+$A132,Sheet2!BY:NC,$B132,0),HLOOKUP(J$2+$A132,Sheet2!BY:NC,$B132,0)&lt;&gt;""),HLOOKUP(J$2+$A132,Sheet2!BY:NC,$B132,0),"")</f>
        <v/>
      </c>
      <c r="K132" t="str">
        <f>IF(OR(HLOOKUP(K$2+$A132,Sheet2!BZ:ND,$B132,0),HLOOKUP(K$2+$A132,Sheet2!BZ:ND,$B132,0)&lt;&gt;""),HLOOKUP(K$2+$A132,Sheet2!BZ:ND,$B132,0),"")</f>
        <v/>
      </c>
      <c r="L132" t="str">
        <f>IF(OR(HLOOKUP(L$2+$A132,Sheet2!CA:NE,$B132,0),HLOOKUP(L$2+$A132,Sheet2!CA:NE,$B132,0)&lt;&gt;""),HLOOKUP(L$2+$A132,Sheet2!CA:NE,$B132,0),"")</f>
        <v/>
      </c>
      <c r="M132" t="str">
        <f>IF(OR(HLOOKUP(M$2+$A132,Sheet2!CB:NF,$B132,0),HLOOKUP(M$2+$A132,Sheet2!CB:NF,$B132,0)&lt;&gt;""),HLOOKUP(M$2+$A132,Sheet2!CB:NF,$B132,0),"")</f>
        <v/>
      </c>
    </row>
    <row r="133" spans="1:13" x14ac:dyDescent="0.25">
      <c r="A133" s="68">
        <f t="shared" si="21"/>
        <v>5</v>
      </c>
      <c r="B133" s="68">
        <f t="shared" si="22"/>
        <v>21</v>
      </c>
      <c r="C133" s="68">
        <f t="shared" si="16"/>
        <v>2</v>
      </c>
      <c r="D133" s="68">
        <f t="shared" si="23"/>
        <v>17</v>
      </c>
      <c r="E133" s="68">
        <f t="shared" si="18"/>
        <v>81</v>
      </c>
      <c r="F133" s="21" t="str">
        <f>VLOOKUP(D133,Sheet2!A:B,2)</f>
        <v>J19-1196</v>
      </c>
      <c r="G133" s="68" t="str">
        <f>VLOOKUP(F133,Sheet2!B:C,2,0)</f>
        <v>DBN 1196</v>
      </c>
      <c r="H133" s="68" t="str">
        <f>HLOOKUP(I$2+$A133,Sheet2!BX:NB,2,0)</f>
        <v>16-31 Jan 21</v>
      </c>
      <c r="I133" t="str">
        <f>IF(OR(HLOOKUP(I$2+$A133,Sheet2!BX:NB,$B133,0),HLOOKUP(I$2+$A133,Sheet2!BX:NB,$B133,0)&lt;&gt;""),HLOOKUP(I$2+$A133,Sheet2!BX:NB,$B133,0),"")</f>
        <v/>
      </c>
      <c r="J133" t="str">
        <f>IF(OR(HLOOKUP(J$2+$A133,Sheet2!BY:NC,$B133,0),HLOOKUP(J$2+$A133,Sheet2!BY:NC,$B133,0)&lt;&gt;""),HLOOKUP(J$2+$A133,Sheet2!BY:NC,$B133,0),"")</f>
        <v/>
      </c>
      <c r="K133" t="str">
        <f>IF(OR(HLOOKUP(K$2+$A133,Sheet2!BZ:ND,$B133,0),HLOOKUP(K$2+$A133,Sheet2!BZ:ND,$B133,0)&lt;&gt;""),HLOOKUP(K$2+$A133,Sheet2!BZ:ND,$B133,0),"")</f>
        <v/>
      </c>
      <c r="L133" t="str">
        <f>IF(OR(HLOOKUP(L$2+$A133,Sheet2!CA:NE,$B133,0),HLOOKUP(L$2+$A133,Sheet2!CA:NE,$B133,0)&lt;&gt;""),HLOOKUP(L$2+$A133,Sheet2!CA:NE,$B133,0),"")</f>
        <v/>
      </c>
      <c r="M133" t="str">
        <f>IF(OR(HLOOKUP(M$2+$A133,Sheet2!CB:NF,$B133,0),HLOOKUP(M$2+$A133,Sheet2!CB:NF,$B133,0)&lt;&gt;""),HLOOKUP(M$2+$A133,Sheet2!CB:NF,$B133,0),"")</f>
        <v/>
      </c>
    </row>
    <row r="134" spans="1:13" x14ac:dyDescent="0.25">
      <c r="A134" s="68">
        <f t="shared" si="21"/>
        <v>10</v>
      </c>
      <c r="B134" s="68">
        <f t="shared" si="22"/>
        <v>21</v>
      </c>
      <c r="C134" s="68">
        <f t="shared" si="16"/>
        <v>3</v>
      </c>
      <c r="D134" s="68">
        <f t="shared" si="23"/>
        <v>17</v>
      </c>
      <c r="E134" s="68">
        <f t="shared" si="18"/>
        <v>81</v>
      </c>
      <c r="F134" s="21" t="str">
        <f>VLOOKUP(D134,Sheet2!A:B,2)</f>
        <v>J19-1196</v>
      </c>
      <c r="G134" s="68" t="str">
        <f>VLOOKUP(F134,Sheet2!B:C,2,0)</f>
        <v>DBN 1196</v>
      </c>
      <c r="H134" s="68" t="str">
        <f>HLOOKUP(I$2+$A134,Sheet2!BX:NB,2,0)</f>
        <v>1-15 Feb 21</v>
      </c>
      <c r="I134" t="str">
        <f>IF(OR(HLOOKUP(I$2+$A134,Sheet2!BX:NB,$B134,0),HLOOKUP(I$2+$A134,Sheet2!BX:NB,$B134,0)&lt;&gt;""),HLOOKUP(I$2+$A134,Sheet2!BX:NB,$B134,0),"")</f>
        <v/>
      </c>
      <c r="J134" t="str">
        <f>IF(OR(HLOOKUP(J$2+$A134,Sheet2!BY:NC,$B134,0),HLOOKUP(J$2+$A134,Sheet2!BY:NC,$B134,0)&lt;&gt;""),HLOOKUP(J$2+$A134,Sheet2!BY:NC,$B134,0),"")</f>
        <v/>
      </c>
      <c r="K134" t="str">
        <f>IF(OR(HLOOKUP(K$2+$A134,Sheet2!BZ:ND,$B134,0),HLOOKUP(K$2+$A134,Sheet2!BZ:ND,$B134,0)&lt;&gt;""),HLOOKUP(K$2+$A134,Sheet2!BZ:ND,$B134,0),"")</f>
        <v/>
      </c>
      <c r="L134" t="str">
        <f>IF(OR(HLOOKUP(L$2+$A134,Sheet2!CA:NE,$B134,0),HLOOKUP(L$2+$A134,Sheet2!CA:NE,$B134,0)&lt;&gt;""),HLOOKUP(L$2+$A134,Sheet2!CA:NE,$B134,0),"")</f>
        <v/>
      </c>
      <c r="M134" t="str">
        <f>IF(OR(HLOOKUP(M$2+$A134,Sheet2!CB:NF,$B134,0),HLOOKUP(M$2+$A134,Sheet2!CB:NF,$B134,0)&lt;&gt;""),HLOOKUP(M$2+$A134,Sheet2!CB:NF,$B134,0),"")</f>
        <v/>
      </c>
    </row>
    <row r="135" spans="1:13" x14ac:dyDescent="0.25">
      <c r="A135" s="68">
        <f t="shared" si="21"/>
        <v>15</v>
      </c>
      <c r="B135" s="68">
        <f t="shared" si="22"/>
        <v>21</v>
      </c>
      <c r="C135" s="68">
        <f t="shared" si="16"/>
        <v>4</v>
      </c>
      <c r="D135" s="68">
        <f t="shared" si="23"/>
        <v>17</v>
      </c>
      <c r="E135" s="68">
        <f t="shared" si="18"/>
        <v>81</v>
      </c>
      <c r="F135" s="21" t="str">
        <f>VLOOKUP(D135,Sheet2!A:B,2)</f>
        <v>J19-1196</v>
      </c>
      <c r="G135" s="68" t="str">
        <f>VLOOKUP(F135,Sheet2!B:C,2,0)</f>
        <v>DBN 1196</v>
      </c>
      <c r="H135" s="68" t="str">
        <f>HLOOKUP(I$2+$A135,Sheet2!BX:NB,2,0)</f>
        <v>16-28 Feb 21</v>
      </c>
      <c r="I135" t="str">
        <f>IF(OR(HLOOKUP(I$2+$A135,Sheet2!BX:NB,$B135,0),HLOOKUP(I$2+$A135,Sheet2!BX:NB,$B135,0)&lt;&gt;""),HLOOKUP(I$2+$A135,Sheet2!BX:NB,$B135,0),"")</f>
        <v/>
      </c>
      <c r="J135" t="str">
        <f>IF(OR(HLOOKUP(J$2+$A135,Sheet2!BY:NC,$B135,0),HLOOKUP(J$2+$A135,Sheet2!BY:NC,$B135,0)&lt;&gt;""),HLOOKUP(J$2+$A135,Sheet2!BY:NC,$B135,0),"")</f>
        <v/>
      </c>
      <c r="K135" t="str">
        <f>IF(OR(HLOOKUP(K$2+$A135,Sheet2!BZ:ND,$B135,0),HLOOKUP(K$2+$A135,Sheet2!BZ:ND,$B135,0)&lt;&gt;""),HLOOKUP(K$2+$A135,Sheet2!BZ:ND,$B135,0),"")</f>
        <v/>
      </c>
      <c r="L135" t="str">
        <f>IF(OR(HLOOKUP(L$2+$A135,Sheet2!CA:NE,$B135,0),HLOOKUP(L$2+$A135,Sheet2!CA:NE,$B135,0)&lt;&gt;""),HLOOKUP(L$2+$A135,Sheet2!CA:NE,$B135,0),"")</f>
        <v/>
      </c>
      <c r="M135" t="str">
        <f>IF(OR(HLOOKUP(M$2+$A135,Sheet2!CB:NF,$B135,0),HLOOKUP(M$2+$A135,Sheet2!CB:NF,$B135,0)&lt;&gt;""),HLOOKUP(M$2+$A135,Sheet2!CB:NF,$B135,0),"")</f>
        <v/>
      </c>
    </row>
    <row r="136" spans="1:13" x14ac:dyDescent="0.25">
      <c r="A136" s="68">
        <f t="shared" si="21"/>
        <v>20</v>
      </c>
      <c r="B136" s="68">
        <f t="shared" si="22"/>
        <v>21</v>
      </c>
      <c r="C136" s="68">
        <f t="shared" si="16"/>
        <v>5</v>
      </c>
      <c r="D136" s="68">
        <f t="shared" si="23"/>
        <v>17</v>
      </c>
      <c r="E136" s="68">
        <f t="shared" si="18"/>
        <v>81</v>
      </c>
      <c r="F136" s="21" t="str">
        <f>VLOOKUP(D136,Sheet2!A:B,2)</f>
        <v>J19-1196</v>
      </c>
      <c r="G136" s="68" t="str">
        <f>VLOOKUP(F136,Sheet2!B:C,2,0)</f>
        <v>DBN 1196</v>
      </c>
      <c r="H136" s="68" t="str">
        <f>HLOOKUP(I$2+$A136,Sheet2!BX:NB,2,0)</f>
        <v>1-15 Mar 2021</v>
      </c>
      <c r="I136" t="str">
        <f>IF(OR(HLOOKUP(I$2+$A136,Sheet2!BX:NB,$B136,0),HLOOKUP(I$2+$A136,Sheet2!BX:NB,$B136,0)&lt;&gt;""),HLOOKUP(I$2+$A136,Sheet2!BX:NB,$B136,0),"")</f>
        <v/>
      </c>
      <c r="J136" t="str">
        <f>IF(OR(HLOOKUP(J$2+$A136,Sheet2!BY:NC,$B136,0),HLOOKUP(J$2+$A136,Sheet2!BY:NC,$B136,0)&lt;&gt;""),HLOOKUP(J$2+$A136,Sheet2!BY:NC,$B136,0),"")</f>
        <v/>
      </c>
      <c r="K136" t="str">
        <f>IF(OR(HLOOKUP(K$2+$A136,Sheet2!BZ:ND,$B136,0),HLOOKUP(K$2+$A136,Sheet2!BZ:ND,$B136,0)&lt;&gt;""),HLOOKUP(K$2+$A136,Sheet2!BZ:ND,$B136,0),"")</f>
        <v/>
      </c>
      <c r="L136" t="str">
        <f>IF(OR(HLOOKUP(L$2+$A136,Sheet2!CA:NE,$B136,0),HLOOKUP(L$2+$A136,Sheet2!CA:NE,$B136,0)&lt;&gt;""),HLOOKUP(L$2+$A136,Sheet2!CA:NE,$B136,0),"")</f>
        <v/>
      </c>
      <c r="M136" t="str">
        <f>IF(OR(HLOOKUP(M$2+$A136,Sheet2!CB:NF,$B136,0),HLOOKUP(M$2+$A136,Sheet2!CB:NF,$B136,0)&lt;&gt;""),HLOOKUP(M$2+$A136,Sheet2!CB:NF,$B136,0),"")</f>
        <v/>
      </c>
    </row>
    <row r="137" spans="1:13" x14ac:dyDescent="0.25">
      <c r="A137" s="68">
        <f t="shared" si="21"/>
        <v>25</v>
      </c>
      <c r="B137" s="68">
        <f t="shared" si="22"/>
        <v>21</v>
      </c>
      <c r="C137" s="68">
        <f t="shared" si="16"/>
        <v>6</v>
      </c>
      <c r="D137" s="68">
        <f t="shared" si="23"/>
        <v>17</v>
      </c>
      <c r="E137" s="68">
        <f t="shared" si="18"/>
        <v>81</v>
      </c>
      <c r="F137" s="21" t="str">
        <f>VLOOKUP(D137,Sheet2!A:B,2)</f>
        <v>J19-1196</v>
      </c>
      <c r="G137" s="68" t="str">
        <f>VLOOKUP(F137,Sheet2!B:C,2,0)</f>
        <v>DBN 1196</v>
      </c>
      <c r="H137" s="68" t="str">
        <f>HLOOKUP(I$2+$A137,Sheet2!BX:NB,2,0)</f>
        <v>16-31 Mar 21</v>
      </c>
      <c r="I137" t="str">
        <f>IF(OR(HLOOKUP(I$2+$A137,Sheet2!BX:NB,$B137,0),HLOOKUP(I$2+$A137,Sheet2!BX:NB,$B137,0)&lt;&gt;""),HLOOKUP(I$2+$A137,Sheet2!BX:NB,$B137,0),"")</f>
        <v/>
      </c>
      <c r="J137" t="str">
        <f>IF(OR(HLOOKUP(J$2+$A137,Sheet2!BY:NC,$B137,0),HLOOKUP(J$2+$A137,Sheet2!BY:NC,$B137,0)&lt;&gt;""),HLOOKUP(J$2+$A137,Sheet2!BY:NC,$B137,0),"")</f>
        <v/>
      </c>
      <c r="K137" t="str">
        <f>IF(OR(HLOOKUP(K$2+$A137,Sheet2!BZ:ND,$B137,0),HLOOKUP(K$2+$A137,Sheet2!BZ:ND,$B137,0)&lt;&gt;""),HLOOKUP(K$2+$A137,Sheet2!BZ:ND,$B137,0),"")</f>
        <v/>
      </c>
      <c r="L137" t="str">
        <f>IF(OR(HLOOKUP(L$2+$A137,Sheet2!CA:NE,$B137,0),HLOOKUP(L$2+$A137,Sheet2!CA:NE,$B137,0)&lt;&gt;""),HLOOKUP(L$2+$A137,Sheet2!CA:NE,$B137,0),"")</f>
        <v/>
      </c>
      <c r="M137" t="str">
        <f>IF(OR(HLOOKUP(M$2+$A137,Sheet2!CB:NF,$B137,0),HLOOKUP(M$2+$A137,Sheet2!CB:NF,$B137,0)&lt;&gt;""),HLOOKUP(M$2+$A137,Sheet2!CB:NF,$B137,0),"")</f>
        <v/>
      </c>
    </row>
    <row r="138" spans="1:13" x14ac:dyDescent="0.25">
      <c r="A138" s="68">
        <f t="shared" si="21"/>
        <v>30</v>
      </c>
      <c r="B138" s="68">
        <f t="shared" si="22"/>
        <v>21</v>
      </c>
      <c r="C138" s="68">
        <f t="shared" si="16"/>
        <v>7</v>
      </c>
      <c r="D138" s="68">
        <f t="shared" si="23"/>
        <v>17</v>
      </c>
      <c r="E138" s="68">
        <f t="shared" si="18"/>
        <v>81</v>
      </c>
      <c r="F138" s="21" t="str">
        <f>VLOOKUP(D138,Sheet2!A:B,2)</f>
        <v>J19-1196</v>
      </c>
      <c r="G138" s="68" t="str">
        <f>VLOOKUP(F138,Sheet2!B:C,2,0)</f>
        <v>DBN 1196</v>
      </c>
      <c r="H138" s="68" t="str">
        <f>HLOOKUP(I$2+$A138,Sheet2!BX:NB,2,0)</f>
        <v>1-15 April 21</v>
      </c>
      <c r="I138" t="str">
        <f>IF(OR(HLOOKUP(I$2+$A138,Sheet2!BX:NB,$B138,0),HLOOKUP(I$2+$A138,Sheet2!BX:NB,$B138,0)&lt;&gt;""),HLOOKUP(I$2+$A138,Sheet2!BX:NB,$B138,0),"")</f>
        <v/>
      </c>
      <c r="J138" t="str">
        <f>IF(OR(HLOOKUP(J$2+$A138,Sheet2!BY:NC,$B138,0),HLOOKUP(J$2+$A138,Sheet2!BY:NC,$B138,0)&lt;&gt;""),HLOOKUP(J$2+$A138,Sheet2!BY:NC,$B138,0),"")</f>
        <v/>
      </c>
      <c r="K138" t="str">
        <f>IF(OR(HLOOKUP(K$2+$A138,Sheet2!BZ:ND,$B138,0),HLOOKUP(K$2+$A138,Sheet2!BZ:ND,$B138,0)&lt;&gt;""),HLOOKUP(K$2+$A138,Sheet2!BZ:ND,$B138,0),"")</f>
        <v/>
      </c>
      <c r="L138" t="str">
        <f>IF(OR(HLOOKUP(L$2+$A138,Sheet2!CA:NE,$B138,0),HLOOKUP(L$2+$A138,Sheet2!CA:NE,$B138,0)&lt;&gt;""),HLOOKUP(L$2+$A138,Sheet2!CA:NE,$B138,0),"")</f>
        <v/>
      </c>
      <c r="M138" t="str">
        <f>IF(OR(HLOOKUP(M$2+$A138,Sheet2!CB:NF,$B138,0),HLOOKUP(M$2+$A138,Sheet2!CB:NF,$B138,0)&lt;&gt;""),HLOOKUP(M$2+$A138,Sheet2!CB:NF,$B138,0),"")</f>
        <v/>
      </c>
    </row>
    <row r="139" spans="1:13" x14ac:dyDescent="0.25">
      <c r="A139" s="68">
        <f t="shared" ref="A139:A147" si="24">IF(C139&lt;&gt;1,A138+5,0)</f>
        <v>35</v>
      </c>
      <c r="B139" s="68">
        <f t="shared" ref="B139:B147" si="25">IF(C139&lt;&gt;1,B138,B138+1)</f>
        <v>21</v>
      </c>
      <c r="C139" s="68">
        <f t="shared" ref="C139" si="26">IF($C$3-C138=0,1,C138+1)</f>
        <v>8</v>
      </c>
      <c r="D139" s="68">
        <f t="shared" ref="D139:D147" si="27">IF(C139=1,D138+1,D138)</f>
        <v>17</v>
      </c>
      <c r="E139" s="68">
        <f t="shared" si="18"/>
        <v>81</v>
      </c>
      <c r="F139" s="21" t="str">
        <f>VLOOKUP(D139,Sheet2!A:B,2)</f>
        <v>J19-1196</v>
      </c>
      <c r="G139" s="68" t="str">
        <f>VLOOKUP(F139,Sheet2!B:C,2,0)</f>
        <v>DBN 1196</v>
      </c>
      <c r="H139" s="68" t="str">
        <f>HLOOKUP(I$2+$A139,Sheet2!BX:NB,2,0)</f>
        <v>16-30 April 21</v>
      </c>
      <c r="I139" t="str">
        <f>IF(OR(HLOOKUP(I$2+$A139,Sheet2!BX:NB,$B139,0),HLOOKUP(I$2+$A139,Sheet2!BX:NB,$B139,0)&lt;&gt;""),HLOOKUP(I$2+$A139,Sheet2!BX:NB,$B139,0),"")</f>
        <v/>
      </c>
      <c r="J139" t="str">
        <f>IF(OR(HLOOKUP(J$2+$A139,Sheet2!BY:NC,$B139,0),HLOOKUP(J$2+$A139,Sheet2!BY:NC,$B139,0)&lt;&gt;""),HLOOKUP(J$2+$A139,Sheet2!BY:NC,$B139,0),"")</f>
        <v/>
      </c>
      <c r="K139" t="str">
        <f>IF(OR(HLOOKUP(K$2+$A139,Sheet2!BZ:ND,$B139,0),HLOOKUP(K$2+$A139,Sheet2!BZ:ND,$B139,0)&lt;&gt;""),HLOOKUP(K$2+$A139,Sheet2!BZ:ND,$B139,0),"")</f>
        <v/>
      </c>
      <c r="L139" t="str">
        <f>IF(OR(HLOOKUP(L$2+$A139,Sheet2!CA:NE,$B139,0),HLOOKUP(L$2+$A139,Sheet2!CA:NE,$B139,0)&lt;&gt;""),HLOOKUP(L$2+$A139,Sheet2!CA:NE,$B139,0),"")</f>
        <v/>
      </c>
      <c r="M139" t="str">
        <f>IF(OR(HLOOKUP(M$2+$A139,Sheet2!CB:NF,$B139,0),HLOOKUP(M$2+$A139,Sheet2!CB:NF,$B139,0)&lt;&gt;""),HLOOKUP(M$2+$A139,Sheet2!CB:NF,$B139,0),"")</f>
        <v/>
      </c>
    </row>
    <row r="140" spans="1:13" x14ac:dyDescent="0.25">
      <c r="A140" s="68">
        <f t="shared" si="24"/>
        <v>0</v>
      </c>
      <c r="B140" s="68">
        <f t="shared" si="25"/>
        <v>22</v>
      </c>
      <c r="C140" s="68">
        <f t="shared" si="16"/>
        <v>1</v>
      </c>
      <c r="D140" s="68">
        <f t="shared" si="27"/>
        <v>18</v>
      </c>
      <c r="E140" s="68">
        <f t="shared" si="18"/>
        <v>86</v>
      </c>
      <c r="F140" s="21" t="str">
        <f>VLOOKUP(D140,Sheet2!A:B,2)</f>
        <v>J19-0792</v>
      </c>
      <c r="G140" s="68" t="str">
        <f>VLOOKUP(F140,Sheet2!B:C,2,0)</f>
        <v>ORP</v>
      </c>
      <c r="H140" s="68" t="str">
        <f>HLOOKUP(I$2+$A140,Sheet2!BX:NB,2,0)</f>
        <v>1-15 Jan 21</v>
      </c>
      <c r="I140" t="str">
        <f>IF(OR(HLOOKUP(I$2+$A140,Sheet2!BX:NB,$B140,0),HLOOKUP(I$2+$A140,Sheet2!BX:NB,$B140,0)&lt;&gt;""),HLOOKUP(I$2+$A140,Sheet2!BX:NB,$B140,0),"")</f>
        <v/>
      </c>
      <c r="J140" t="str">
        <f>IF(OR(HLOOKUP(J$2+$A140,Sheet2!BY:NC,$B140,0),HLOOKUP(J$2+$A140,Sheet2!BY:NC,$B140,0)&lt;&gt;""),HLOOKUP(J$2+$A140,Sheet2!BY:NC,$B140,0),"")</f>
        <v/>
      </c>
      <c r="K140" t="str">
        <f>IF(OR(HLOOKUP(K$2+$A140,Sheet2!BZ:ND,$B140,0),HLOOKUP(K$2+$A140,Sheet2!BZ:ND,$B140,0)&lt;&gt;""),HLOOKUP(K$2+$A140,Sheet2!BZ:ND,$B140,0),"")</f>
        <v/>
      </c>
      <c r="L140" t="str">
        <f>IF(OR(HLOOKUP(L$2+$A140,Sheet2!CA:NE,$B140,0),HLOOKUP(L$2+$A140,Sheet2!CA:NE,$B140,0)&lt;&gt;""),HLOOKUP(L$2+$A140,Sheet2!CA:NE,$B140,0),"")</f>
        <v/>
      </c>
      <c r="M140" t="str">
        <f>IF(OR(HLOOKUP(M$2+$A140,Sheet2!CB:NF,$B140,0),HLOOKUP(M$2+$A140,Sheet2!CB:NF,$B140,0)&lt;&gt;""),HLOOKUP(M$2+$A140,Sheet2!CB:NF,$B140,0),"")</f>
        <v/>
      </c>
    </row>
    <row r="141" spans="1:13" x14ac:dyDescent="0.25">
      <c r="A141" s="68">
        <f t="shared" si="24"/>
        <v>5</v>
      </c>
      <c r="B141" s="68">
        <f t="shared" si="25"/>
        <v>22</v>
      </c>
      <c r="C141" s="68">
        <f t="shared" ref="C141:C204" si="28">IF($C$3-C140=0,1,C140+1)</f>
        <v>2</v>
      </c>
      <c r="D141" s="68">
        <f t="shared" si="27"/>
        <v>18</v>
      </c>
      <c r="E141" s="68">
        <f t="shared" si="18"/>
        <v>86</v>
      </c>
      <c r="F141" s="21" t="str">
        <f>VLOOKUP(D141,Sheet2!A:B,2)</f>
        <v>J19-0792</v>
      </c>
      <c r="G141" s="68" t="str">
        <f>VLOOKUP(F141,Sheet2!B:C,2,0)</f>
        <v>ORP</v>
      </c>
      <c r="H141" s="68" t="str">
        <f>HLOOKUP(I$2+$A141,Sheet2!BX:NB,2,0)</f>
        <v>16-31 Jan 21</v>
      </c>
      <c r="I141" t="str">
        <f>IF(OR(HLOOKUP(I$2+$A141,Sheet2!BX:NB,$B141,0),HLOOKUP(I$2+$A141,Sheet2!BX:NB,$B141,0)&lt;&gt;""),HLOOKUP(I$2+$A141,Sheet2!BX:NB,$B141,0),"")</f>
        <v/>
      </c>
      <c r="J141" t="str">
        <f>IF(OR(HLOOKUP(J$2+$A141,Sheet2!BY:NC,$B141,0),HLOOKUP(J$2+$A141,Sheet2!BY:NC,$B141,0)&lt;&gt;""),HLOOKUP(J$2+$A141,Sheet2!BY:NC,$B141,0),"")</f>
        <v/>
      </c>
      <c r="K141" t="str">
        <f>IF(OR(HLOOKUP(K$2+$A141,Sheet2!BZ:ND,$B141,0),HLOOKUP(K$2+$A141,Sheet2!BZ:ND,$B141,0)&lt;&gt;""),HLOOKUP(K$2+$A141,Sheet2!BZ:ND,$B141,0),"")</f>
        <v/>
      </c>
      <c r="L141" t="str">
        <f>IF(OR(HLOOKUP(L$2+$A141,Sheet2!CA:NE,$B141,0),HLOOKUP(L$2+$A141,Sheet2!CA:NE,$B141,0)&lt;&gt;""),HLOOKUP(L$2+$A141,Sheet2!CA:NE,$B141,0),"")</f>
        <v/>
      </c>
      <c r="M141" t="str">
        <f>IF(OR(HLOOKUP(M$2+$A141,Sheet2!CB:NF,$B141,0),HLOOKUP(M$2+$A141,Sheet2!CB:NF,$B141,0)&lt;&gt;""),HLOOKUP(M$2+$A141,Sheet2!CB:NF,$B141,0),"")</f>
        <v/>
      </c>
    </row>
    <row r="142" spans="1:13" x14ac:dyDescent="0.25">
      <c r="A142" s="68">
        <f t="shared" si="24"/>
        <v>10</v>
      </c>
      <c r="B142" s="68">
        <f t="shared" si="25"/>
        <v>22</v>
      </c>
      <c r="C142" s="68">
        <f t="shared" si="28"/>
        <v>3</v>
      </c>
      <c r="D142" s="68">
        <f t="shared" si="27"/>
        <v>18</v>
      </c>
      <c r="E142" s="68">
        <f t="shared" si="18"/>
        <v>86</v>
      </c>
      <c r="F142" s="21" t="str">
        <f>VLOOKUP(D142,Sheet2!A:B,2)</f>
        <v>J19-0792</v>
      </c>
      <c r="G142" s="68" t="str">
        <f>VLOOKUP(F142,Sheet2!B:C,2,0)</f>
        <v>ORP</v>
      </c>
      <c r="H142" s="68" t="str">
        <f>HLOOKUP(I$2+$A142,Sheet2!BX:NB,2,0)</f>
        <v>1-15 Feb 21</v>
      </c>
      <c r="I142" t="str">
        <f>IF(OR(HLOOKUP(I$2+$A142,Sheet2!BX:NB,$B142,0),HLOOKUP(I$2+$A142,Sheet2!BX:NB,$B142,0)&lt;&gt;""),HLOOKUP(I$2+$A142,Sheet2!BX:NB,$B142,0),"")</f>
        <v/>
      </c>
      <c r="J142" t="str">
        <f>IF(OR(HLOOKUP(J$2+$A142,Sheet2!BY:NC,$B142,0),HLOOKUP(J$2+$A142,Sheet2!BY:NC,$B142,0)&lt;&gt;""),HLOOKUP(J$2+$A142,Sheet2!BY:NC,$B142,0),"")</f>
        <v/>
      </c>
      <c r="K142" t="str">
        <f>IF(OR(HLOOKUP(K$2+$A142,Sheet2!BZ:ND,$B142,0),HLOOKUP(K$2+$A142,Sheet2!BZ:ND,$B142,0)&lt;&gt;""),HLOOKUP(K$2+$A142,Sheet2!BZ:ND,$B142,0),"")</f>
        <v/>
      </c>
      <c r="L142" t="str">
        <f>IF(OR(HLOOKUP(L$2+$A142,Sheet2!CA:NE,$B142,0),HLOOKUP(L$2+$A142,Sheet2!CA:NE,$B142,0)&lt;&gt;""),HLOOKUP(L$2+$A142,Sheet2!CA:NE,$B142,0),"")</f>
        <v/>
      </c>
      <c r="M142" t="str">
        <f>IF(OR(HLOOKUP(M$2+$A142,Sheet2!CB:NF,$B142,0),HLOOKUP(M$2+$A142,Sheet2!CB:NF,$B142,0)&lt;&gt;""),HLOOKUP(M$2+$A142,Sheet2!CB:NF,$B142,0),"")</f>
        <v/>
      </c>
    </row>
    <row r="143" spans="1:13" x14ac:dyDescent="0.25">
      <c r="A143" s="68">
        <f t="shared" si="24"/>
        <v>15</v>
      </c>
      <c r="B143" s="68">
        <f t="shared" si="25"/>
        <v>22</v>
      </c>
      <c r="C143" s="68">
        <f t="shared" si="28"/>
        <v>4</v>
      </c>
      <c r="D143" s="68">
        <f t="shared" si="27"/>
        <v>18</v>
      </c>
      <c r="E143" s="68">
        <f t="shared" si="18"/>
        <v>86</v>
      </c>
      <c r="F143" s="21" t="str">
        <f>VLOOKUP(D143,Sheet2!A:B,2)</f>
        <v>J19-0792</v>
      </c>
      <c r="G143" s="68" t="str">
        <f>VLOOKUP(F143,Sheet2!B:C,2,0)</f>
        <v>ORP</v>
      </c>
      <c r="H143" s="68" t="str">
        <f>HLOOKUP(I$2+$A143,Sheet2!BX:NB,2,0)</f>
        <v>16-28 Feb 21</v>
      </c>
      <c r="I143" t="str">
        <f>IF(OR(HLOOKUP(I$2+$A143,Sheet2!BX:NB,$B143,0),HLOOKUP(I$2+$A143,Sheet2!BX:NB,$B143,0)&lt;&gt;""),HLOOKUP(I$2+$A143,Sheet2!BX:NB,$B143,0),"")</f>
        <v/>
      </c>
      <c r="J143" t="str">
        <f>IF(OR(HLOOKUP(J$2+$A143,Sheet2!BY:NC,$B143,0),HLOOKUP(J$2+$A143,Sheet2!BY:NC,$B143,0)&lt;&gt;""),HLOOKUP(J$2+$A143,Sheet2!BY:NC,$B143,0),"")</f>
        <v/>
      </c>
      <c r="K143" t="str">
        <f>IF(OR(HLOOKUP(K$2+$A143,Sheet2!BZ:ND,$B143,0),HLOOKUP(K$2+$A143,Sheet2!BZ:ND,$B143,0)&lt;&gt;""),HLOOKUP(K$2+$A143,Sheet2!BZ:ND,$B143,0),"")</f>
        <v/>
      </c>
      <c r="L143" t="str">
        <f>IF(OR(HLOOKUP(L$2+$A143,Sheet2!CA:NE,$B143,0),HLOOKUP(L$2+$A143,Sheet2!CA:NE,$B143,0)&lt;&gt;""),HLOOKUP(L$2+$A143,Sheet2!CA:NE,$B143,0),"")</f>
        <v/>
      </c>
      <c r="M143" t="str">
        <f>IF(OR(HLOOKUP(M$2+$A143,Sheet2!CB:NF,$B143,0),HLOOKUP(M$2+$A143,Sheet2!CB:NF,$B143,0)&lt;&gt;""),HLOOKUP(M$2+$A143,Sheet2!CB:NF,$B143,0),"")</f>
        <v/>
      </c>
    </row>
    <row r="144" spans="1:13" x14ac:dyDescent="0.25">
      <c r="A144" s="68">
        <f t="shared" si="24"/>
        <v>20</v>
      </c>
      <c r="B144" s="68">
        <f t="shared" si="25"/>
        <v>22</v>
      </c>
      <c r="C144" s="68">
        <f t="shared" si="28"/>
        <v>5</v>
      </c>
      <c r="D144" s="68">
        <f t="shared" si="27"/>
        <v>18</v>
      </c>
      <c r="E144" s="68">
        <f t="shared" si="18"/>
        <v>86</v>
      </c>
      <c r="F144" s="21" t="str">
        <f>VLOOKUP(D144,Sheet2!A:B,2)</f>
        <v>J19-0792</v>
      </c>
      <c r="G144" s="68" t="str">
        <f>VLOOKUP(F144,Sheet2!B:C,2,0)</f>
        <v>ORP</v>
      </c>
      <c r="H144" s="68" t="str">
        <f>HLOOKUP(I$2+$A144,Sheet2!BX:NB,2,0)</f>
        <v>1-15 Mar 2021</v>
      </c>
      <c r="I144" t="str">
        <f>IF(OR(HLOOKUP(I$2+$A144,Sheet2!BX:NB,$B144,0),HLOOKUP(I$2+$A144,Sheet2!BX:NB,$B144,0)&lt;&gt;""),HLOOKUP(I$2+$A144,Sheet2!BX:NB,$B144,0),"")</f>
        <v/>
      </c>
      <c r="J144" t="str">
        <f>IF(OR(HLOOKUP(J$2+$A144,Sheet2!BY:NC,$B144,0),HLOOKUP(J$2+$A144,Sheet2!BY:NC,$B144,0)&lt;&gt;""),HLOOKUP(J$2+$A144,Sheet2!BY:NC,$B144,0),"")</f>
        <v/>
      </c>
      <c r="K144" t="str">
        <f>IF(OR(HLOOKUP(K$2+$A144,Sheet2!BZ:ND,$B144,0),HLOOKUP(K$2+$A144,Sheet2!BZ:ND,$B144,0)&lt;&gt;""),HLOOKUP(K$2+$A144,Sheet2!BZ:ND,$B144,0),"")</f>
        <v/>
      </c>
      <c r="L144" t="str">
        <f>IF(OR(HLOOKUP(L$2+$A144,Sheet2!CA:NE,$B144,0),HLOOKUP(L$2+$A144,Sheet2!CA:NE,$B144,0)&lt;&gt;""),HLOOKUP(L$2+$A144,Sheet2!CA:NE,$B144,0),"")</f>
        <v/>
      </c>
      <c r="M144" t="str">
        <f>IF(OR(HLOOKUP(M$2+$A144,Sheet2!CB:NF,$B144,0),HLOOKUP(M$2+$A144,Sheet2!CB:NF,$B144,0)&lt;&gt;""),HLOOKUP(M$2+$A144,Sheet2!CB:NF,$B144,0),"")</f>
        <v/>
      </c>
    </row>
    <row r="145" spans="1:13" x14ac:dyDescent="0.25">
      <c r="A145" s="68">
        <f t="shared" si="24"/>
        <v>25</v>
      </c>
      <c r="B145" s="68">
        <f t="shared" si="25"/>
        <v>22</v>
      </c>
      <c r="C145" s="68">
        <f t="shared" si="28"/>
        <v>6</v>
      </c>
      <c r="D145" s="68">
        <f t="shared" si="27"/>
        <v>18</v>
      </c>
      <c r="E145" s="68">
        <f t="shared" si="18"/>
        <v>86</v>
      </c>
      <c r="F145" s="21" t="str">
        <f>VLOOKUP(D145,Sheet2!A:B,2)</f>
        <v>J19-0792</v>
      </c>
      <c r="G145" s="68" t="str">
        <f>VLOOKUP(F145,Sheet2!B:C,2,0)</f>
        <v>ORP</v>
      </c>
      <c r="H145" s="68" t="str">
        <f>HLOOKUP(I$2+$A145,Sheet2!BX:NB,2,0)</f>
        <v>16-31 Mar 21</v>
      </c>
      <c r="I145" t="str">
        <f>IF(OR(HLOOKUP(I$2+$A145,Sheet2!BX:NB,$B145,0),HLOOKUP(I$2+$A145,Sheet2!BX:NB,$B145,0)&lt;&gt;""),HLOOKUP(I$2+$A145,Sheet2!BX:NB,$B145,0),"")</f>
        <v/>
      </c>
      <c r="J145" t="str">
        <f>IF(OR(HLOOKUP(J$2+$A145,Sheet2!BY:NC,$B145,0),HLOOKUP(J$2+$A145,Sheet2!BY:NC,$B145,0)&lt;&gt;""),HLOOKUP(J$2+$A145,Sheet2!BY:NC,$B145,0),"")</f>
        <v/>
      </c>
      <c r="K145" t="str">
        <f>IF(OR(HLOOKUP(K$2+$A145,Sheet2!BZ:ND,$B145,0),HLOOKUP(K$2+$A145,Sheet2!BZ:ND,$B145,0)&lt;&gt;""),HLOOKUP(K$2+$A145,Sheet2!BZ:ND,$B145,0),"")</f>
        <v/>
      </c>
      <c r="L145" t="str">
        <f>IF(OR(HLOOKUP(L$2+$A145,Sheet2!CA:NE,$B145,0),HLOOKUP(L$2+$A145,Sheet2!CA:NE,$B145,0)&lt;&gt;""),HLOOKUP(L$2+$A145,Sheet2!CA:NE,$B145,0),"")</f>
        <v/>
      </c>
      <c r="M145" t="str">
        <f>IF(OR(HLOOKUP(M$2+$A145,Sheet2!CB:NF,$B145,0),HLOOKUP(M$2+$A145,Sheet2!CB:NF,$B145,0)&lt;&gt;""),HLOOKUP(M$2+$A145,Sheet2!CB:NF,$B145,0),"")</f>
        <v/>
      </c>
    </row>
    <row r="146" spans="1:13" x14ac:dyDescent="0.25">
      <c r="A146" s="68">
        <f t="shared" si="24"/>
        <v>30</v>
      </c>
      <c r="B146" s="68">
        <f t="shared" si="25"/>
        <v>22</v>
      </c>
      <c r="C146" s="68">
        <f t="shared" si="28"/>
        <v>7</v>
      </c>
      <c r="D146" s="68">
        <f t="shared" si="27"/>
        <v>18</v>
      </c>
      <c r="E146" s="68">
        <f t="shared" si="18"/>
        <v>86</v>
      </c>
      <c r="F146" s="21" t="str">
        <f>VLOOKUP(D146,Sheet2!A:B,2)</f>
        <v>J19-0792</v>
      </c>
      <c r="G146" s="68" t="str">
        <f>VLOOKUP(F146,Sheet2!B:C,2,0)</f>
        <v>ORP</v>
      </c>
      <c r="H146" s="68" t="str">
        <f>HLOOKUP(I$2+$A146,Sheet2!BX:NB,2,0)</f>
        <v>1-15 April 21</v>
      </c>
      <c r="I146" t="str">
        <f>IF(OR(HLOOKUP(I$2+$A146,Sheet2!BX:NB,$B146,0),HLOOKUP(I$2+$A146,Sheet2!BX:NB,$B146,0)&lt;&gt;""),HLOOKUP(I$2+$A146,Sheet2!BX:NB,$B146,0),"")</f>
        <v/>
      </c>
      <c r="J146" t="str">
        <f>IF(OR(HLOOKUP(J$2+$A146,Sheet2!BY:NC,$B146,0),HLOOKUP(J$2+$A146,Sheet2!BY:NC,$B146,0)&lt;&gt;""),HLOOKUP(J$2+$A146,Sheet2!BY:NC,$B146,0),"")</f>
        <v/>
      </c>
      <c r="K146" t="str">
        <f>IF(OR(HLOOKUP(K$2+$A146,Sheet2!BZ:ND,$B146,0),HLOOKUP(K$2+$A146,Sheet2!BZ:ND,$B146,0)&lt;&gt;""),HLOOKUP(K$2+$A146,Sheet2!BZ:ND,$B146,0),"")</f>
        <v/>
      </c>
      <c r="L146" t="str">
        <f>IF(OR(HLOOKUP(L$2+$A146,Sheet2!CA:NE,$B146,0),HLOOKUP(L$2+$A146,Sheet2!CA:NE,$B146,0)&lt;&gt;""),HLOOKUP(L$2+$A146,Sheet2!CA:NE,$B146,0),"")</f>
        <v/>
      </c>
      <c r="M146" t="str">
        <f>IF(OR(HLOOKUP(M$2+$A146,Sheet2!CB:NF,$B146,0),HLOOKUP(M$2+$A146,Sheet2!CB:NF,$B146,0)&lt;&gt;""),HLOOKUP(M$2+$A146,Sheet2!CB:NF,$B146,0),"")</f>
        <v/>
      </c>
    </row>
    <row r="147" spans="1:13" x14ac:dyDescent="0.25">
      <c r="A147" s="68">
        <f t="shared" si="24"/>
        <v>35</v>
      </c>
      <c r="B147" s="68">
        <f t="shared" si="25"/>
        <v>22</v>
      </c>
      <c r="C147" s="68">
        <f t="shared" si="28"/>
        <v>8</v>
      </c>
      <c r="D147" s="68">
        <f t="shared" si="27"/>
        <v>18</v>
      </c>
      <c r="E147" s="68">
        <f t="shared" si="18"/>
        <v>86</v>
      </c>
      <c r="F147" s="21" t="str">
        <f>VLOOKUP(D147,Sheet2!A:B,2)</f>
        <v>J19-0792</v>
      </c>
      <c r="G147" s="68" t="str">
        <f>VLOOKUP(F147,Sheet2!B:C,2,0)</f>
        <v>ORP</v>
      </c>
      <c r="H147" s="68" t="str">
        <f>HLOOKUP(I$2+$A147,Sheet2!BX:NB,2,0)</f>
        <v>16-30 April 21</v>
      </c>
      <c r="I147" t="str">
        <f>IF(OR(HLOOKUP(I$2+$A147,Sheet2!BX:NB,$B147,0),HLOOKUP(I$2+$A147,Sheet2!BX:NB,$B147,0)&lt;&gt;""),HLOOKUP(I$2+$A147,Sheet2!BX:NB,$B147,0),"")</f>
        <v/>
      </c>
      <c r="J147" t="str">
        <f>IF(OR(HLOOKUP(J$2+$A147,Sheet2!BY:NC,$B147,0),HLOOKUP(J$2+$A147,Sheet2!BY:NC,$B147,0)&lt;&gt;""),HLOOKUP(J$2+$A147,Sheet2!BY:NC,$B147,0),"")</f>
        <v/>
      </c>
      <c r="K147" t="str">
        <f>IF(OR(HLOOKUP(K$2+$A147,Sheet2!BZ:ND,$B147,0),HLOOKUP(K$2+$A147,Sheet2!BZ:ND,$B147,0)&lt;&gt;""),HLOOKUP(K$2+$A147,Sheet2!BZ:ND,$B147,0),"")</f>
        <v/>
      </c>
      <c r="L147" t="str">
        <f>IF(OR(HLOOKUP(L$2+$A147,Sheet2!CA:NE,$B147,0),HLOOKUP(L$2+$A147,Sheet2!CA:NE,$B147,0)&lt;&gt;""),HLOOKUP(L$2+$A147,Sheet2!CA:NE,$B147,0),"")</f>
        <v/>
      </c>
      <c r="M147" t="str">
        <f>IF(OR(HLOOKUP(M$2+$A147,Sheet2!CB:NF,$B147,0),HLOOKUP(M$2+$A147,Sheet2!CB:NF,$B147,0)&lt;&gt;""),HLOOKUP(M$2+$A147,Sheet2!CB:NF,$B147,0),"")</f>
        <v/>
      </c>
    </row>
    <row r="148" spans="1:13" x14ac:dyDescent="0.25">
      <c r="A148" s="68">
        <f t="shared" ref="A148:A181" si="29">IF(C148&lt;&gt;1,A147+5,0)</f>
        <v>0</v>
      </c>
      <c r="B148" s="68">
        <f t="shared" ref="B148:B181" si="30">IF(C148&lt;&gt;1,B147,B147+1)</f>
        <v>23</v>
      </c>
      <c r="C148" s="68">
        <f t="shared" si="28"/>
        <v>1</v>
      </c>
      <c r="D148" s="68">
        <f t="shared" ref="D148:D181" si="31">IF(C148=1,D147+1,D147)</f>
        <v>19</v>
      </c>
      <c r="E148" s="68">
        <f t="shared" si="18"/>
        <v>91</v>
      </c>
      <c r="F148" s="21" t="str">
        <f>VLOOKUP(D148,Sheet2!A:B,2)</f>
        <v>J18-1395</v>
      </c>
      <c r="G148" s="68" t="str">
        <f>VLOOKUP(F148,Sheet2!B:C,2,0)</f>
        <v>บัวใหญ่</v>
      </c>
      <c r="H148" s="68" t="str">
        <f>HLOOKUP(I$2+$A148,Sheet2!BX:NB,2,0)</f>
        <v>1-15 Jan 21</v>
      </c>
      <c r="I148" t="str">
        <f>IF(OR(HLOOKUP(I$2+$A148,Sheet2!BX:NB,$B148,0),HLOOKUP(I$2+$A148,Sheet2!BX:NB,$B148,0)&lt;&gt;""),HLOOKUP(I$2+$A148,Sheet2!BX:NB,$B148,0),"")</f>
        <v/>
      </c>
      <c r="J148" t="str">
        <f>IF(OR(HLOOKUP(J$2+$A148,Sheet2!BY:NC,$B148,0),HLOOKUP(J$2+$A148,Sheet2!BY:NC,$B148,0)&lt;&gt;""),HLOOKUP(J$2+$A148,Sheet2!BY:NC,$B148,0),"")</f>
        <v/>
      </c>
      <c r="K148" t="str">
        <f>IF(OR(HLOOKUP(K$2+$A148,Sheet2!BZ:ND,$B148,0),HLOOKUP(K$2+$A148,Sheet2!BZ:ND,$B148,0)&lt;&gt;""),HLOOKUP(K$2+$A148,Sheet2!BZ:ND,$B148,0),"")</f>
        <v/>
      </c>
      <c r="L148" t="str">
        <f>IF(OR(HLOOKUP(L$2+$A148,Sheet2!CA:NE,$B148,0),HLOOKUP(L$2+$A148,Sheet2!CA:NE,$B148,0)&lt;&gt;""),HLOOKUP(L$2+$A148,Sheet2!CA:NE,$B148,0),"")</f>
        <v/>
      </c>
      <c r="M148" t="str">
        <f>IF(OR(HLOOKUP(M$2+$A148,Sheet2!CB:NF,$B148,0),HLOOKUP(M$2+$A148,Sheet2!CB:NF,$B148,0)&lt;&gt;""),HLOOKUP(M$2+$A148,Sheet2!CB:NF,$B148,0),"")</f>
        <v/>
      </c>
    </row>
    <row r="149" spans="1:13" x14ac:dyDescent="0.25">
      <c r="A149" s="68">
        <f t="shared" si="29"/>
        <v>5</v>
      </c>
      <c r="B149" s="68">
        <f t="shared" si="30"/>
        <v>23</v>
      </c>
      <c r="C149" s="68">
        <f t="shared" si="28"/>
        <v>2</v>
      </c>
      <c r="D149" s="68">
        <f t="shared" si="31"/>
        <v>19</v>
      </c>
      <c r="E149" s="68">
        <f t="shared" ref="E149:E212" si="32">IF(D149&lt;&gt;D148,E148+5,E148)</f>
        <v>91</v>
      </c>
      <c r="F149" s="21" t="str">
        <f>VLOOKUP(D149,Sheet2!A:B,2)</f>
        <v>J18-1395</v>
      </c>
      <c r="G149" s="68" t="str">
        <f>VLOOKUP(F149,Sheet2!B:C,2,0)</f>
        <v>บัวใหญ่</v>
      </c>
      <c r="H149" s="68" t="str">
        <f>HLOOKUP(I$2+$A149,Sheet2!BX:NB,2,0)</f>
        <v>16-31 Jan 21</v>
      </c>
      <c r="I149" t="str">
        <f>IF(OR(HLOOKUP(I$2+$A149,Sheet2!BX:NB,$B149,0),HLOOKUP(I$2+$A149,Sheet2!BX:NB,$B149,0)&lt;&gt;""),HLOOKUP(I$2+$A149,Sheet2!BX:NB,$B149,0),"")</f>
        <v/>
      </c>
      <c r="J149" t="str">
        <f>IF(OR(HLOOKUP(J$2+$A149,Sheet2!BY:NC,$B149,0),HLOOKUP(J$2+$A149,Sheet2!BY:NC,$B149,0)&lt;&gt;""),HLOOKUP(J$2+$A149,Sheet2!BY:NC,$B149,0),"")</f>
        <v/>
      </c>
      <c r="K149" t="str">
        <f>IF(OR(HLOOKUP(K$2+$A149,Sheet2!BZ:ND,$B149,0),HLOOKUP(K$2+$A149,Sheet2!BZ:ND,$B149,0)&lt;&gt;""),HLOOKUP(K$2+$A149,Sheet2!BZ:ND,$B149,0),"")</f>
        <v/>
      </c>
      <c r="L149" t="str">
        <f>IF(OR(HLOOKUP(L$2+$A149,Sheet2!CA:NE,$B149,0),HLOOKUP(L$2+$A149,Sheet2!CA:NE,$B149,0)&lt;&gt;""),HLOOKUP(L$2+$A149,Sheet2!CA:NE,$B149,0),"")</f>
        <v/>
      </c>
      <c r="M149" t="str">
        <f>IF(OR(HLOOKUP(M$2+$A149,Sheet2!CB:NF,$B149,0),HLOOKUP(M$2+$A149,Sheet2!CB:NF,$B149,0)&lt;&gt;""),HLOOKUP(M$2+$A149,Sheet2!CB:NF,$B149,0),"")</f>
        <v/>
      </c>
    </row>
    <row r="150" spans="1:13" x14ac:dyDescent="0.25">
      <c r="A150" s="68">
        <f t="shared" si="29"/>
        <v>10</v>
      </c>
      <c r="B150" s="68">
        <f t="shared" si="30"/>
        <v>23</v>
      </c>
      <c r="C150" s="68">
        <f t="shared" si="28"/>
        <v>3</v>
      </c>
      <c r="D150" s="68">
        <f t="shared" si="31"/>
        <v>19</v>
      </c>
      <c r="E150" s="68">
        <f t="shared" si="32"/>
        <v>91</v>
      </c>
      <c r="F150" s="21" t="str">
        <f>VLOOKUP(D150,Sheet2!A:B,2)</f>
        <v>J18-1395</v>
      </c>
      <c r="G150" s="68" t="str">
        <f>VLOOKUP(F150,Sheet2!B:C,2,0)</f>
        <v>บัวใหญ่</v>
      </c>
      <c r="H150" s="68" t="str">
        <f>HLOOKUP(I$2+$A150,Sheet2!BX:NB,2,0)</f>
        <v>1-15 Feb 21</v>
      </c>
      <c r="I150" t="str">
        <f>IF(OR(HLOOKUP(I$2+$A150,Sheet2!BX:NB,$B150,0),HLOOKUP(I$2+$A150,Sheet2!BX:NB,$B150,0)&lt;&gt;""),HLOOKUP(I$2+$A150,Sheet2!BX:NB,$B150,0),"")</f>
        <v/>
      </c>
      <c r="J150" t="str">
        <f>IF(OR(HLOOKUP(J$2+$A150,Sheet2!BY:NC,$B150,0),HLOOKUP(J$2+$A150,Sheet2!BY:NC,$B150,0)&lt;&gt;""),HLOOKUP(J$2+$A150,Sheet2!BY:NC,$B150,0),"")</f>
        <v/>
      </c>
      <c r="K150" t="str">
        <f>IF(OR(HLOOKUP(K$2+$A150,Sheet2!BZ:ND,$B150,0),HLOOKUP(K$2+$A150,Sheet2!BZ:ND,$B150,0)&lt;&gt;""),HLOOKUP(K$2+$A150,Sheet2!BZ:ND,$B150,0),"")</f>
        <v/>
      </c>
      <c r="L150" t="str">
        <f>IF(OR(HLOOKUP(L$2+$A150,Sheet2!CA:NE,$B150,0),HLOOKUP(L$2+$A150,Sheet2!CA:NE,$B150,0)&lt;&gt;""),HLOOKUP(L$2+$A150,Sheet2!CA:NE,$B150,0),"")</f>
        <v/>
      </c>
      <c r="M150" t="str">
        <f>IF(OR(HLOOKUP(M$2+$A150,Sheet2!CB:NF,$B150,0),HLOOKUP(M$2+$A150,Sheet2!CB:NF,$B150,0)&lt;&gt;""),HLOOKUP(M$2+$A150,Sheet2!CB:NF,$B150,0),"")</f>
        <v/>
      </c>
    </row>
    <row r="151" spans="1:13" x14ac:dyDescent="0.25">
      <c r="A151" s="68">
        <f t="shared" si="29"/>
        <v>15</v>
      </c>
      <c r="B151" s="68">
        <f t="shared" si="30"/>
        <v>23</v>
      </c>
      <c r="C151" s="68">
        <f t="shared" si="28"/>
        <v>4</v>
      </c>
      <c r="D151" s="68">
        <f t="shared" si="31"/>
        <v>19</v>
      </c>
      <c r="E151" s="68">
        <f t="shared" si="32"/>
        <v>91</v>
      </c>
      <c r="F151" s="21" t="str">
        <f>VLOOKUP(D151,Sheet2!A:B,2)</f>
        <v>J18-1395</v>
      </c>
      <c r="G151" s="68" t="str">
        <f>VLOOKUP(F151,Sheet2!B:C,2,0)</f>
        <v>บัวใหญ่</v>
      </c>
      <c r="H151" s="68" t="str">
        <f>HLOOKUP(I$2+$A151,Sheet2!BX:NB,2,0)</f>
        <v>16-28 Feb 21</v>
      </c>
      <c r="I151" t="str">
        <f>IF(OR(HLOOKUP(I$2+$A151,Sheet2!BX:NB,$B151,0),HLOOKUP(I$2+$A151,Sheet2!BX:NB,$B151,0)&lt;&gt;""),HLOOKUP(I$2+$A151,Sheet2!BX:NB,$B151,0),"")</f>
        <v/>
      </c>
      <c r="J151" t="str">
        <f>IF(OR(HLOOKUP(J$2+$A151,Sheet2!BY:NC,$B151,0),HLOOKUP(J$2+$A151,Sheet2!BY:NC,$B151,0)&lt;&gt;""),HLOOKUP(J$2+$A151,Sheet2!BY:NC,$B151,0),"")</f>
        <v/>
      </c>
      <c r="K151" t="str">
        <f>IF(OR(HLOOKUP(K$2+$A151,Sheet2!BZ:ND,$B151,0),HLOOKUP(K$2+$A151,Sheet2!BZ:ND,$B151,0)&lt;&gt;""),HLOOKUP(K$2+$A151,Sheet2!BZ:ND,$B151,0),"")</f>
        <v/>
      </c>
      <c r="L151" t="str">
        <f>IF(OR(HLOOKUP(L$2+$A151,Sheet2!CA:NE,$B151,0),HLOOKUP(L$2+$A151,Sheet2!CA:NE,$B151,0)&lt;&gt;""),HLOOKUP(L$2+$A151,Sheet2!CA:NE,$B151,0),"")</f>
        <v/>
      </c>
      <c r="M151" t="str">
        <f>IF(OR(HLOOKUP(M$2+$A151,Sheet2!CB:NF,$B151,0),HLOOKUP(M$2+$A151,Sheet2!CB:NF,$B151,0)&lt;&gt;""),HLOOKUP(M$2+$A151,Sheet2!CB:NF,$B151,0),"")</f>
        <v/>
      </c>
    </row>
    <row r="152" spans="1:13" x14ac:dyDescent="0.25">
      <c r="A152" s="68">
        <f t="shared" si="29"/>
        <v>20</v>
      </c>
      <c r="B152" s="68">
        <f t="shared" si="30"/>
        <v>23</v>
      </c>
      <c r="C152" s="68">
        <f t="shared" si="28"/>
        <v>5</v>
      </c>
      <c r="D152" s="68">
        <f t="shared" si="31"/>
        <v>19</v>
      </c>
      <c r="E152" s="68">
        <f t="shared" si="32"/>
        <v>91</v>
      </c>
      <c r="F152" s="21" t="str">
        <f>VLOOKUP(D152,Sheet2!A:B,2)</f>
        <v>J18-1395</v>
      </c>
      <c r="G152" s="68" t="str">
        <f>VLOOKUP(F152,Sheet2!B:C,2,0)</f>
        <v>บัวใหญ่</v>
      </c>
      <c r="H152" s="68" t="str">
        <f>HLOOKUP(I$2+$A152,Sheet2!BX:NB,2,0)</f>
        <v>1-15 Mar 2021</v>
      </c>
      <c r="I152" t="str">
        <f>IF(OR(HLOOKUP(I$2+$A152,Sheet2!BX:NB,$B152,0),HLOOKUP(I$2+$A152,Sheet2!BX:NB,$B152,0)&lt;&gt;""),HLOOKUP(I$2+$A152,Sheet2!BX:NB,$B152,0),"")</f>
        <v/>
      </c>
      <c r="J152" t="str">
        <f>IF(OR(HLOOKUP(J$2+$A152,Sheet2!BY:NC,$B152,0),HLOOKUP(J$2+$A152,Sheet2!BY:NC,$B152,0)&lt;&gt;""),HLOOKUP(J$2+$A152,Sheet2!BY:NC,$B152,0),"")</f>
        <v/>
      </c>
      <c r="K152" t="str">
        <f>IF(OR(HLOOKUP(K$2+$A152,Sheet2!BZ:ND,$B152,0),HLOOKUP(K$2+$A152,Sheet2!BZ:ND,$B152,0)&lt;&gt;""),HLOOKUP(K$2+$A152,Sheet2!BZ:ND,$B152,0),"")</f>
        <v/>
      </c>
      <c r="L152" t="str">
        <f>IF(OR(HLOOKUP(L$2+$A152,Sheet2!CA:NE,$B152,0),HLOOKUP(L$2+$A152,Sheet2!CA:NE,$B152,0)&lt;&gt;""),HLOOKUP(L$2+$A152,Sheet2!CA:NE,$B152,0),"")</f>
        <v/>
      </c>
      <c r="M152" t="str">
        <f>IF(OR(HLOOKUP(M$2+$A152,Sheet2!CB:NF,$B152,0),HLOOKUP(M$2+$A152,Sheet2!CB:NF,$B152,0)&lt;&gt;""),HLOOKUP(M$2+$A152,Sheet2!CB:NF,$B152,0),"")</f>
        <v/>
      </c>
    </row>
    <row r="153" spans="1:13" x14ac:dyDescent="0.25">
      <c r="A153" s="68">
        <f t="shared" si="29"/>
        <v>25</v>
      </c>
      <c r="B153" s="68">
        <f t="shared" si="30"/>
        <v>23</v>
      </c>
      <c r="C153" s="68">
        <f t="shared" si="28"/>
        <v>6</v>
      </c>
      <c r="D153" s="68">
        <f t="shared" si="31"/>
        <v>19</v>
      </c>
      <c r="E153" s="68">
        <f t="shared" si="32"/>
        <v>91</v>
      </c>
      <c r="F153" s="21" t="str">
        <f>VLOOKUP(D153,Sheet2!A:B,2)</f>
        <v>J18-1395</v>
      </c>
      <c r="G153" s="68" t="str">
        <f>VLOOKUP(F153,Sheet2!B:C,2,0)</f>
        <v>บัวใหญ่</v>
      </c>
      <c r="H153" s="68" t="str">
        <f>HLOOKUP(I$2+$A153,Sheet2!BX:NB,2,0)</f>
        <v>16-31 Mar 21</v>
      </c>
      <c r="I153" t="str">
        <f>IF(OR(HLOOKUP(I$2+$A153,Sheet2!BX:NB,$B153,0),HLOOKUP(I$2+$A153,Sheet2!BX:NB,$B153,0)&lt;&gt;""),HLOOKUP(I$2+$A153,Sheet2!BX:NB,$B153,0),"")</f>
        <v/>
      </c>
      <c r="J153" t="str">
        <f>IF(OR(HLOOKUP(J$2+$A153,Sheet2!BY:NC,$B153,0),HLOOKUP(J$2+$A153,Sheet2!BY:NC,$B153,0)&lt;&gt;""),HLOOKUP(J$2+$A153,Sheet2!BY:NC,$B153,0),"")</f>
        <v/>
      </c>
      <c r="K153" t="str">
        <f>IF(OR(HLOOKUP(K$2+$A153,Sheet2!BZ:ND,$B153,0),HLOOKUP(K$2+$A153,Sheet2!BZ:ND,$B153,0)&lt;&gt;""),HLOOKUP(K$2+$A153,Sheet2!BZ:ND,$B153,0),"")</f>
        <v/>
      </c>
      <c r="L153" t="str">
        <f>IF(OR(HLOOKUP(L$2+$A153,Sheet2!CA:NE,$B153,0),HLOOKUP(L$2+$A153,Sheet2!CA:NE,$B153,0)&lt;&gt;""),HLOOKUP(L$2+$A153,Sheet2!CA:NE,$B153,0),"")</f>
        <v/>
      </c>
      <c r="M153" t="str">
        <f>IF(OR(HLOOKUP(M$2+$A153,Sheet2!CB:NF,$B153,0),HLOOKUP(M$2+$A153,Sheet2!CB:NF,$B153,0)&lt;&gt;""),HLOOKUP(M$2+$A153,Sheet2!CB:NF,$B153,0),"")</f>
        <v/>
      </c>
    </row>
    <row r="154" spans="1:13" x14ac:dyDescent="0.25">
      <c r="A154" s="68">
        <f t="shared" si="29"/>
        <v>30</v>
      </c>
      <c r="B154" s="68">
        <f t="shared" si="30"/>
        <v>23</v>
      </c>
      <c r="C154" s="68">
        <f t="shared" si="28"/>
        <v>7</v>
      </c>
      <c r="D154" s="68">
        <f t="shared" si="31"/>
        <v>19</v>
      </c>
      <c r="E154" s="68">
        <f t="shared" si="32"/>
        <v>91</v>
      </c>
      <c r="F154" s="21" t="str">
        <f>VLOOKUP(D154,Sheet2!A:B,2)</f>
        <v>J18-1395</v>
      </c>
      <c r="G154" s="68" t="str">
        <f>VLOOKUP(F154,Sheet2!B:C,2,0)</f>
        <v>บัวใหญ่</v>
      </c>
      <c r="H154" s="68" t="str">
        <f>HLOOKUP(I$2+$A154,Sheet2!BX:NB,2,0)</f>
        <v>1-15 April 21</v>
      </c>
      <c r="I154" t="str">
        <f>IF(OR(HLOOKUP(I$2+$A154,Sheet2!BX:NB,$B154,0),HLOOKUP(I$2+$A154,Sheet2!BX:NB,$B154,0)&lt;&gt;""),HLOOKUP(I$2+$A154,Sheet2!BX:NB,$B154,0),"")</f>
        <v/>
      </c>
      <c r="J154" t="str">
        <f>IF(OR(HLOOKUP(J$2+$A154,Sheet2!BY:NC,$B154,0),HLOOKUP(J$2+$A154,Sheet2!BY:NC,$B154,0)&lt;&gt;""),HLOOKUP(J$2+$A154,Sheet2!BY:NC,$B154,0),"")</f>
        <v/>
      </c>
      <c r="K154" t="str">
        <f>IF(OR(HLOOKUP(K$2+$A154,Sheet2!BZ:ND,$B154,0),HLOOKUP(K$2+$A154,Sheet2!BZ:ND,$B154,0)&lt;&gt;""),HLOOKUP(K$2+$A154,Sheet2!BZ:ND,$B154,0),"")</f>
        <v/>
      </c>
      <c r="L154" t="str">
        <f>IF(OR(HLOOKUP(L$2+$A154,Sheet2!CA:NE,$B154,0),HLOOKUP(L$2+$A154,Sheet2!CA:NE,$B154,0)&lt;&gt;""),HLOOKUP(L$2+$A154,Sheet2!CA:NE,$B154,0),"")</f>
        <v/>
      </c>
      <c r="M154" t="str">
        <f>IF(OR(HLOOKUP(M$2+$A154,Sheet2!CB:NF,$B154,0),HLOOKUP(M$2+$A154,Sheet2!CB:NF,$B154,0)&lt;&gt;""),HLOOKUP(M$2+$A154,Sheet2!CB:NF,$B154,0),"")</f>
        <v/>
      </c>
    </row>
    <row r="155" spans="1:13" x14ac:dyDescent="0.25">
      <c r="A155" s="68">
        <f t="shared" si="29"/>
        <v>35</v>
      </c>
      <c r="B155" s="68">
        <f t="shared" si="30"/>
        <v>23</v>
      </c>
      <c r="C155" s="68">
        <f t="shared" si="28"/>
        <v>8</v>
      </c>
      <c r="D155" s="68">
        <f t="shared" si="31"/>
        <v>19</v>
      </c>
      <c r="E155" s="68">
        <f t="shared" si="32"/>
        <v>91</v>
      </c>
      <c r="F155" s="21" t="str">
        <f>VLOOKUP(D155,Sheet2!A:B,2)</f>
        <v>J18-1395</v>
      </c>
      <c r="G155" s="68" t="str">
        <f>VLOOKUP(F155,Sheet2!B:C,2,0)</f>
        <v>บัวใหญ่</v>
      </c>
      <c r="H155" s="68" t="str">
        <f>HLOOKUP(I$2+$A155,Sheet2!BX:NB,2,0)</f>
        <v>16-30 April 21</v>
      </c>
      <c r="I155" t="str">
        <f>IF(OR(HLOOKUP(I$2+$A155,Sheet2!BX:NB,$B155,0),HLOOKUP(I$2+$A155,Sheet2!BX:NB,$B155,0)&lt;&gt;""),HLOOKUP(I$2+$A155,Sheet2!BX:NB,$B155,0),"")</f>
        <v/>
      </c>
      <c r="J155" t="str">
        <f>IF(OR(HLOOKUP(J$2+$A155,Sheet2!BY:NC,$B155,0),HLOOKUP(J$2+$A155,Sheet2!BY:NC,$B155,0)&lt;&gt;""),HLOOKUP(J$2+$A155,Sheet2!BY:NC,$B155,0),"")</f>
        <v/>
      </c>
      <c r="K155" t="str">
        <f>IF(OR(HLOOKUP(K$2+$A155,Sheet2!BZ:ND,$B155,0),HLOOKUP(K$2+$A155,Sheet2!BZ:ND,$B155,0)&lt;&gt;""),HLOOKUP(K$2+$A155,Sheet2!BZ:ND,$B155,0),"")</f>
        <v/>
      </c>
      <c r="L155" t="str">
        <f>IF(OR(HLOOKUP(L$2+$A155,Sheet2!CA:NE,$B155,0),HLOOKUP(L$2+$A155,Sheet2!CA:NE,$B155,0)&lt;&gt;""),HLOOKUP(L$2+$A155,Sheet2!CA:NE,$B155,0),"")</f>
        <v/>
      </c>
      <c r="M155" t="str">
        <f>IF(OR(HLOOKUP(M$2+$A155,Sheet2!CB:NF,$B155,0),HLOOKUP(M$2+$A155,Sheet2!CB:NF,$B155,0)&lt;&gt;""),HLOOKUP(M$2+$A155,Sheet2!CB:NF,$B155,0),"")</f>
        <v/>
      </c>
    </row>
    <row r="156" spans="1:13" x14ac:dyDescent="0.25">
      <c r="A156" s="68">
        <f t="shared" si="29"/>
        <v>0</v>
      </c>
      <c r="B156" s="68">
        <f t="shared" si="30"/>
        <v>24</v>
      </c>
      <c r="C156" s="68">
        <f t="shared" si="28"/>
        <v>1</v>
      </c>
      <c r="D156" s="68">
        <f t="shared" si="31"/>
        <v>20</v>
      </c>
      <c r="E156" s="68">
        <f t="shared" si="32"/>
        <v>96</v>
      </c>
      <c r="F156" s="21" t="str">
        <f>VLOOKUP(D156,Sheet2!A:B,2)</f>
        <v>J19-0784</v>
      </c>
      <c r="G156" s="68" t="str">
        <f>VLOOKUP(F156,Sheet2!B:C,2,0)</f>
        <v>UAWสระบุรี</v>
      </c>
      <c r="H156" s="68" t="str">
        <f>HLOOKUP(I$2+$A156,Sheet2!BX:NB,2,0)</f>
        <v>1-15 Jan 21</v>
      </c>
      <c r="I156" t="str">
        <f>IF(OR(HLOOKUP(I$2+$A156,Sheet2!BX:NB,$B156,0),HLOOKUP(I$2+$A156,Sheet2!BX:NB,$B156,0)&lt;&gt;""),HLOOKUP(I$2+$A156,Sheet2!BX:NB,$B156,0),"")</f>
        <v/>
      </c>
      <c r="J156" t="str">
        <f>IF(OR(HLOOKUP(J$2+$A156,Sheet2!BY:NC,$B156,0),HLOOKUP(J$2+$A156,Sheet2!BY:NC,$B156,0)&lt;&gt;""),HLOOKUP(J$2+$A156,Sheet2!BY:NC,$B156,0),"")</f>
        <v/>
      </c>
      <c r="K156" t="str">
        <f>IF(OR(HLOOKUP(K$2+$A156,Sheet2!BZ:ND,$B156,0),HLOOKUP(K$2+$A156,Sheet2!BZ:ND,$B156,0)&lt;&gt;""),HLOOKUP(K$2+$A156,Sheet2!BZ:ND,$B156,0),"")</f>
        <v/>
      </c>
      <c r="L156" t="str">
        <f>IF(OR(HLOOKUP(L$2+$A156,Sheet2!CA:NE,$B156,0),HLOOKUP(L$2+$A156,Sheet2!CA:NE,$B156,0)&lt;&gt;""),HLOOKUP(L$2+$A156,Sheet2!CA:NE,$B156,0),"")</f>
        <v/>
      </c>
      <c r="M156" t="str">
        <f>IF(OR(HLOOKUP(M$2+$A156,Sheet2!CB:NF,$B156,0),HLOOKUP(M$2+$A156,Sheet2!CB:NF,$B156,0)&lt;&gt;""),HLOOKUP(M$2+$A156,Sheet2!CB:NF,$B156,0),"")</f>
        <v/>
      </c>
    </row>
    <row r="157" spans="1:13" x14ac:dyDescent="0.25">
      <c r="A157" s="68">
        <f t="shared" si="29"/>
        <v>5</v>
      </c>
      <c r="B157" s="68">
        <f t="shared" si="30"/>
        <v>24</v>
      </c>
      <c r="C157" s="68">
        <f t="shared" si="28"/>
        <v>2</v>
      </c>
      <c r="D157" s="68">
        <f t="shared" si="31"/>
        <v>20</v>
      </c>
      <c r="E157" s="68">
        <f t="shared" si="32"/>
        <v>96</v>
      </c>
      <c r="F157" s="21" t="str">
        <f>VLOOKUP(D157,Sheet2!A:B,2)</f>
        <v>J19-0784</v>
      </c>
      <c r="G157" s="68" t="str">
        <f>VLOOKUP(F157,Sheet2!B:C,2,0)</f>
        <v>UAWสระบุรี</v>
      </c>
      <c r="H157" s="68" t="str">
        <f>HLOOKUP(I$2+$A157,Sheet2!BX:NB,2,0)</f>
        <v>16-31 Jan 21</v>
      </c>
      <c r="I157" t="str">
        <f>IF(OR(HLOOKUP(I$2+$A157,Sheet2!BX:NB,$B157,0),HLOOKUP(I$2+$A157,Sheet2!BX:NB,$B157,0)&lt;&gt;""),HLOOKUP(I$2+$A157,Sheet2!BX:NB,$B157,0),"")</f>
        <v/>
      </c>
      <c r="J157" t="str">
        <f>IF(OR(HLOOKUP(J$2+$A157,Sheet2!BY:NC,$B157,0),HLOOKUP(J$2+$A157,Sheet2!BY:NC,$B157,0)&lt;&gt;""),HLOOKUP(J$2+$A157,Sheet2!BY:NC,$B157,0),"")</f>
        <v/>
      </c>
      <c r="K157" t="str">
        <f>IF(OR(HLOOKUP(K$2+$A157,Sheet2!BZ:ND,$B157,0),HLOOKUP(K$2+$A157,Sheet2!BZ:ND,$B157,0)&lt;&gt;""),HLOOKUP(K$2+$A157,Sheet2!BZ:ND,$B157,0),"")</f>
        <v/>
      </c>
      <c r="L157" t="str">
        <f>IF(OR(HLOOKUP(L$2+$A157,Sheet2!CA:NE,$B157,0),HLOOKUP(L$2+$A157,Sheet2!CA:NE,$B157,0)&lt;&gt;""),HLOOKUP(L$2+$A157,Sheet2!CA:NE,$B157,0),"")</f>
        <v/>
      </c>
      <c r="M157" t="str">
        <f>IF(OR(HLOOKUP(M$2+$A157,Sheet2!CB:NF,$B157,0),HLOOKUP(M$2+$A157,Sheet2!CB:NF,$B157,0)&lt;&gt;""),HLOOKUP(M$2+$A157,Sheet2!CB:NF,$B157,0),"")</f>
        <v/>
      </c>
    </row>
    <row r="158" spans="1:13" x14ac:dyDescent="0.25">
      <c r="A158" s="68">
        <f t="shared" si="29"/>
        <v>10</v>
      </c>
      <c r="B158" s="68">
        <f t="shared" si="30"/>
        <v>24</v>
      </c>
      <c r="C158" s="68">
        <f t="shared" si="28"/>
        <v>3</v>
      </c>
      <c r="D158" s="68">
        <f t="shared" si="31"/>
        <v>20</v>
      </c>
      <c r="E158" s="68">
        <f t="shared" si="32"/>
        <v>96</v>
      </c>
      <c r="F158" s="21" t="str">
        <f>VLOOKUP(D158,Sheet2!A:B,2)</f>
        <v>J19-0784</v>
      </c>
      <c r="G158" s="68" t="str">
        <f>VLOOKUP(F158,Sheet2!B:C,2,0)</f>
        <v>UAWสระบุรี</v>
      </c>
      <c r="H158" s="68" t="str">
        <f>HLOOKUP(I$2+$A158,Sheet2!BX:NB,2,0)</f>
        <v>1-15 Feb 21</v>
      </c>
      <c r="I158" t="str">
        <f>IF(OR(HLOOKUP(I$2+$A158,Sheet2!BX:NB,$B158,0),HLOOKUP(I$2+$A158,Sheet2!BX:NB,$B158,0)&lt;&gt;""),HLOOKUP(I$2+$A158,Sheet2!BX:NB,$B158,0),"")</f>
        <v/>
      </c>
      <c r="J158" t="str">
        <f>IF(OR(HLOOKUP(J$2+$A158,Sheet2!BY:NC,$B158,0),HLOOKUP(J$2+$A158,Sheet2!BY:NC,$B158,0)&lt;&gt;""),HLOOKUP(J$2+$A158,Sheet2!BY:NC,$B158,0),"")</f>
        <v/>
      </c>
      <c r="K158" t="str">
        <f>IF(OR(HLOOKUP(K$2+$A158,Sheet2!BZ:ND,$B158,0),HLOOKUP(K$2+$A158,Sheet2!BZ:ND,$B158,0)&lt;&gt;""),HLOOKUP(K$2+$A158,Sheet2!BZ:ND,$B158,0),"")</f>
        <v/>
      </c>
      <c r="L158" t="str">
        <f>IF(OR(HLOOKUP(L$2+$A158,Sheet2!CA:NE,$B158,0),HLOOKUP(L$2+$A158,Sheet2!CA:NE,$B158,0)&lt;&gt;""),HLOOKUP(L$2+$A158,Sheet2!CA:NE,$B158,0),"")</f>
        <v/>
      </c>
      <c r="M158" t="str">
        <f>IF(OR(HLOOKUP(M$2+$A158,Sheet2!CB:NF,$B158,0),HLOOKUP(M$2+$A158,Sheet2!CB:NF,$B158,0)&lt;&gt;""),HLOOKUP(M$2+$A158,Sheet2!CB:NF,$B158,0),"")</f>
        <v/>
      </c>
    </row>
    <row r="159" spans="1:13" x14ac:dyDescent="0.25">
      <c r="A159" s="68">
        <f t="shared" si="29"/>
        <v>15</v>
      </c>
      <c r="B159" s="68">
        <f t="shared" si="30"/>
        <v>24</v>
      </c>
      <c r="C159" s="68">
        <f t="shared" si="28"/>
        <v>4</v>
      </c>
      <c r="D159" s="68">
        <f t="shared" si="31"/>
        <v>20</v>
      </c>
      <c r="E159" s="68">
        <f t="shared" si="32"/>
        <v>96</v>
      </c>
      <c r="F159" s="21" t="str">
        <f>VLOOKUP(D159,Sheet2!A:B,2)</f>
        <v>J19-0784</v>
      </c>
      <c r="G159" s="68" t="str">
        <f>VLOOKUP(F159,Sheet2!B:C,2,0)</f>
        <v>UAWสระบุรี</v>
      </c>
      <c r="H159" s="68" t="str">
        <f>HLOOKUP(I$2+$A159,Sheet2!BX:NB,2,0)</f>
        <v>16-28 Feb 21</v>
      </c>
      <c r="I159" t="str">
        <f>IF(OR(HLOOKUP(I$2+$A159,Sheet2!BX:NB,$B159,0),HLOOKUP(I$2+$A159,Sheet2!BX:NB,$B159,0)&lt;&gt;""),HLOOKUP(I$2+$A159,Sheet2!BX:NB,$B159,0),"")</f>
        <v/>
      </c>
      <c r="J159" t="str">
        <f>IF(OR(HLOOKUP(J$2+$A159,Sheet2!BY:NC,$B159,0),HLOOKUP(J$2+$A159,Sheet2!BY:NC,$B159,0)&lt;&gt;""),HLOOKUP(J$2+$A159,Sheet2!BY:NC,$B159,0),"")</f>
        <v/>
      </c>
      <c r="K159" t="str">
        <f>IF(OR(HLOOKUP(K$2+$A159,Sheet2!BZ:ND,$B159,0),HLOOKUP(K$2+$A159,Sheet2!BZ:ND,$B159,0)&lt;&gt;""),HLOOKUP(K$2+$A159,Sheet2!BZ:ND,$B159,0),"")</f>
        <v/>
      </c>
      <c r="L159" t="str">
        <f>IF(OR(HLOOKUP(L$2+$A159,Sheet2!CA:NE,$B159,0),HLOOKUP(L$2+$A159,Sheet2!CA:NE,$B159,0)&lt;&gt;""),HLOOKUP(L$2+$A159,Sheet2!CA:NE,$B159,0),"")</f>
        <v/>
      </c>
      <c r="M159" t="str">
        <f>IF(OR(HLOOKUP(M$2+$A159,Sheet2!CB:NF,$B159,0),HLOOKUP(M$2+$A159,Sheet2!CB:NF,$B159,0)&lt;&gt;""),HLOOKUP(M$2+$A159,Sheet2!CB:NF,$B159,0),"")</f>
        <v/>
      </c>
    </row>
    <row r="160" spans="1:13" x14ac:dyDescent="0.25">
      <c r="A160" s="68">
        <f t="shared" si="29"/>
        <v>20</v>
      </c>
      <c r="B160" s="68">
        <f t="shared" si="30"/>
        <v>24</v>
      </c>
      <c r="C160" s="68">
        <f t="shared" si="28"/>
        <v>5</v>
      </c>
      <c r="D160" s="68">
        <f t="shared" si="31"/>
        <v>20</v>
      </c>
      <c r="E160" s="68">
        <f t="shared" si="32"/>
        <v>96</v>
      </c>
      <c r="F160" s="21" t="str">
        <f>VLOOKUP(D160,Sheet2!A:B,2)</f>
        <v>J19-0784</v>
      </c>
      <c r="G160" s="68" t="str">
        <f>VLOOKUP(F160,Sheet2!B:C,2,0)</f>
        <v>UAWสระบุรี</v>
      </c>
      <c r="H160" s="68" t="str">
        <f>HLOOKUP(I$2+$A160,Sheet2!BX:NB,2,0)</f>
        <v>1-15 Mar 2021</v>
      </c>
      <c r="I160" t="str">
        <f>IF(OR(HLOOKUP(I$2+$A160,Sheet2!BX:NB,$B160,0),HLOOKUP(I$2+$A160,Sheet2!BX:NB,$B160,0)&lt;&gt;""),HLOOKUP(I$2+$A160,Sheet2!BX:NB,$B160,0),"")</f>
        <v/>
      </c>
      <c r="J160" t="str">
        <f>IF(OR(HLOOKUP(J$2+$A160,Sheet2!BY:NC,$B160,0),HLOOKUP(J$2+$A160,Sheet2!BY:NC,$B160,0)&lt;&gt;""),HLOOKUP(J$2+$A160,Sheet2!BY:NC,$B160,0),"")</f>
        <v/>
      </c>
      <c r="K160" t="str">
        <f>IF(OR(HLOOKUP(K$2+$A160,Sheet2!BZ:ND,$B160,0),HLOOKUP(K$2+$A160,Sheet2!BZ:ND,$B160,0)&lt;&gt;""),HLOOKUP(K$2+$A160,Sheet2!BZ:ND,$B160,0),"")</f>
        <v/>
      </c>
      <c r="L160" t="str">
        <f>IF(OR(HLOOKUP(L$2+$A160,Sheet2!CA:NE,$B160,0),HLOOKUP(L$2+$A160,Sheet2!CA:NE,$B160,0)&lt;&gt;""),HLOOKUP(L$2+$A160,Sheet2!CA:NE,$B160,0),"")</f>
        <v/>
      </c>
      <c r="M160" t="str">
        <f>IF(OR(HLOOKUP(M$2+$A160,Sheet2!CB:NF,$B160,0),HLOOKUP(M$2+$A160,Sheet2!CB:NF,$B160,0)&lt;&gt;""),HLOOKUP(M$2+$A160,Sheet2!CB:NF,$B160,0),"")</f>
        <v/>
      </c>
    </row>
    <row r="161" spans="1:13" x14ac:dyDescent="0.25">
      <c r="A161" s="68">
        <f t="shared" si="29"/>
        <v>25</v>
      </c>
      <c r="B161" s="68">
        <f t="shared" si="30"/>
        <v>24</v>
      </c>
      <c r="C161" s="68">
        <f t="shared" si="28"/>
        <v>6</v>
      </c>
      <c r="D161" s="68">
        <f t="shared" si="31"/>
        <v>20</v>
      </c>
      <c r="E161" s="68">
        <f t="shared" si="32"/>
        <v>96</v>
      </c>
      <c r="F161" s="21" t="str">
        <f>VLOOKUP(D161,Sheet2!A:B,2)</f>
        <v>J19-0784</v>
      </c>
      <c r="G161" s="68" t="str">
        <f>VLOOKUP(F161,Sheet2!B:C,2,0)</f>
        <v>UAWสระบุรี</v>
      </c>
      <c r="H161" s="68" t="str">
        <f>HLOOKUP(I$2+$A161,Sheet2!BX:NB,2,0)</f>
        <v>16-31 Mar 21</v>
      </c>
      <c r="I161" t="str">
        <f>IF(OR(HLOOKUP(I$2+$A161,Sheet2!BX:NB,$B161,0),HLOOKUP(I$2+$A161,Sheet2!BX:NB,$B161,0)&lt;&gt;""),HLOOKUP(I$2+$A161,Sheet2!BX:NB,$B161,0),"")</f>
        <v/>
      </c>
      <c r="J161" t="str">
        <f>IF(OR(HLOOKUP(J$2+$A161,Sheet2!BY:NC,$B161,0),HLOOKUP(J$2+$A161,Sheet2!BY:NC,$B161,0)&lt;&gt;""),HLOOKUP(J$2+$A161,Sheet2!BY:NC,$B161,0),"")</f>
        <v/>
      </c>
      <c r="K161" t="str">
        <f>IF(OR(HLOOKUP(K$2+$A161,Sheet2!BZ:ND,$B161,0),HLOOKUP(K$2+$A161,Sheet2!BZ:ND,$B161,0)&lt;&gt;""),HLOOKUP(K$2+$A161,Sheet2!BZ:ND,$B161,0),"")</f>
        <v/>
      </c>
      <c r="L161" t="str">
        <f>IF(OR(HLOOKUP(L$2+$A161,Sheet2!CA:NE,$B161,0),HLOOKUP(L$2+$A161,Sheet2!CA:NE,$B161,0)&lt;&gt;""),HLOOKUP(L$2+$A161,Sheet2!CA:NE,$B161,0),"")</f>
        <v/>
      </c>
      <c r="M161" t="str">
        <f>IF(OR(HLOOKUP(M$2+$A161,Sheet2!CB:NF,$B161,0),HLOOKUP(M$2+$A161,Sheet2!CB:NF,$B161,0)&lt;&gt;""),HLOOKUP(M$2+$A161,Sheet2!CB:NF,$B161,0),"")</f>
        <v/>
      </c>
    </row>
    <row r="162" spans="1:13" x14ac:dyDescent="0.25">
      <c r="A162" s="68">
        <f t="shared" si="29"/>
        <v>30</v>
      </c>
      <c r="B162" s="68">
        <f t="shared" si="30"/>
        <v>24</v>
      </c>
      <c r="C162" s="68">
        <f t="shared" si="28"/>
        <v>7</v>
      </c>
      <c r="D162" s="68">
        <f t="shared" si="31"/>
        <v>20</v>
      </c>
      <c r="E162" s="68">
        <f t="shared" si="32"/>
        <v>96</v>
      </c>
      <c r="F162" s="21" t="str">
        <f>VLOOKUP(D162,Sheet2!A:B,2)</f>
        <v>J19-0784</v>
      </c>
      <c r="G162" s="68" t="str">
        <f>VLOOKUP(F162,Sheet2!B:C,2,0)</f>
        <v>UAWสระบุรี</v>
      </c>
      <c r="H162" s="68" t="str">
        <f>HLOOKUP(I$2+$A162,Sheet2!BX:NB,2,0)</f>
        <v>1-15 April 21</v>
      </c>
      <c r="I162" t="str">
        <f>IF(OR(HLOOKUP(I$2+$A162,Sheet2!BX:NB,$B162,0),HLOOKUP(I$2+$A162,Sheet2!BX:NB,$B162,0)&lt;&gt;""),HLOOKUP(I$2+$A162,Sheet2!BX:NB,$B162,0),"")</f>
        <v/>
      </c>
      <c r="J162" t="str">
        <f>IF(OR(HLOOKUP(J$2+$A162,Sheet2!BY:NC,$B162,0),HLOOKUP(J$2+$A162,Sheet2!BY:NC,$B162,0)&lt;&gt;""),HLOOKUP(J$2+$A162,Sheet2!BY:NC,$B162,0),"")</f>
        <v/>
      </c>
      <c r="K162" t="str">
        <f>IF(OR(HLOOKUP(K$2+$A162,Sheet2!BZ:ND,$B162,0),HLOOKUP(K$2+$A162,Sheet2!BZ:ND,$B162,0)&lt;&gt;""),HLOOKUP(K$2+$A162,Sheet2!BZ:ND,$B162,0),"")</f>
        <v/>
      </c>
      <c r="L162" t="str">
        <f>IF(OR(HLOOKUP(L$2+$A162,Sheet2!CA:NE,$B162,0),HLOOKUP(L$2+$A162,Sheet2!CA:NE,$B162,0)&lt;&gt;""),HLOOKUP(L$2+$A162,Sheet2!CA:NE,$B162,0),"")</f>
        <v/>
      </c>
      <c r="M162" t="str">
        <f>IF(OR(HLOOKUP(M$2+$A162,Sheet2!CB:NF,$B162,0),HLOOKUP(M$2+$A162,Sheet2!CB:NF,$B162,0)&lt;&gt;""),HLOOKUP(M$2+$A162,Sheet2!CB:NF,$B162,0),"")</f>
        <v/>
      </c>
    </row>
    <row r="163" spans="1:13" x14ac:dyDescent="0.25">
      <c r="A163" s="68">
        <f t="shared" si="29"/>
        <v>35</v>
      </c>
      <c r="B163" s="68">
        <f t="shared" si="30"/>
        <v>24</v>
      </c>
      <c r="C163" s="68">
        <f t="shared" si="28"/>
        <v>8</v>
      </c>
      <c r="D163" s="68">
        <f t="shared" si="31"/>
        <v>20</v>
      </c>
      <c r="E163" s="68">
        <f t="shared" si="32"/>
        <v>96</v>
      </c>
      <c r="F163" s="21" t="str">
        <f>VLOOKUP(D163,Sheet2!A:B,2)</f>
        <v>J19-0784</v>
      </c>
      <c r="G163" s="68" t="str">
        <f>VLOOKUP(F163,Sheet2!B:C,2,0)</f>
        <v>UAWสระบุรี</v>
      </c>
      <c r="H163" s="68" t="str">
        <f>HLOOKUP(I$2+$A163,Sheet2!BX:NB,2,0)</f>
        <v>16-30 April 21</v>
      </c>
      <c r="I163" t="str">
        <f>IF(OR(HLOOKUP(I$2+$A163,Sheet2!BX:NB,$B163,0),HLOOKUP(I$2+$A163,Sheet2!BX:NB,$B163,0)&lt;&gt;""),HLOOKUP(I$2+$A163,Sheet2!BX:NB,$B163,0),"")</f>
        <v/>
      </c>
      <c r="J163" t="str">
        <f>IF(OR(HLOOKUP(J$2+$A163,Sheet2!BY:NC,$B163,0),HLOOKUP(J$2+$A163,Sheet2!BY:NC,$B163,0)&lt;&gt;""),HLOOKUP(J$2+$A163,Sheet2!BY:NC,$B163,0),"")</f>
        <v/>
      </c>
      <c r="K163" t="str">
        <f>IF(OR(HLOOKUP(K$2+$A163,Sheet2!BZ:ND,$B163,0),HLOOKUP(K$2+$A163,Sheet2!BZ:ND,$B163,0)&lt;&gt;""),HLOOKUP(K$2+$A163,Sheet2!BZ:ND,$B163,0),"")</f>
        <v/>
      </c>
      <c r="L163" t="str">
        <f>IF(OR(HLOOKUP(L$2+$A163,Sheet2!CA:NE,$B163,0),HLOOKUP(L$2+$A163,Sheet2!CA:NE,$B163,0)&lt;&gt;""),HLOOKUP(L$2+$A163,Sheet2!CA:NE,$B163,0),"")</f>
        <v/>
      </c>
      <c r="M163" t="str">
        <f>IF(OR(HLOOKUP(M$2+$A163,Sheet2!CB:NF,$B163,0),HLOOKUP(M$2+$A163,Sheet2!CB:NF,$B163,0)&lt;&gt;""),HLOOKUP(M$2+$A163,Sheet2!CB:NF,$B163,0),"")</f>
        <v/>
      </c>
    </row>
    <row r="164" spans="1:13" x14ac:dyDescent="0.25">
      <c r="A164" s="68">
        <f t="shared" si="29"/>
        <v>0</v>
      </c>
      <c r="B164" s="68">
        <f t="shared" si="30"/>
        <v>25</v>
      </c>
      <c r="C164" s="68">
        <f t="shared" si="28"/>
        <v>1</v>
      </c>
      <c r="D164" s="68">
        <f t="shared" si="31"/>
        <v>21</v>
      </c>
      <c r="E164" s="68">
        <f t="shared" si="32"/>
        <v>101</v>
      </c>
      <c r="F164" s="21" t="str">
        <f>VLOOKUP(D164,Sheet2!A:B,2)</f>
        <v>J19-1342</v>
      </c>
      <c r="G164" s="68" t="str">
        <f>VLOOKUP(F164,Sheet2!B:C,2,0)</f>
        <v>EO</v>
      </c>
      <c r="H164" s="68" t="str">
        <f>HLOOKUP(I$2+$A164,Sheet2!BX:NB,2,0)</f>
        <v>1-15 Jan 21</v>
      </c>
      <c r="I164" t="str">
        <f>IF(OR(HLOOKUP(I$2+$A164,Sheet2!BX:NB,$B164,0),HLOOKUP(I$2+$A164,Sheet2!BX:NB,$B164,0)&lt;&gt;""),HLOOKUP(I$2+$A164,Sheet2!BX:NB,$B164,0),"")</f>
        <v/>
      </c>
      <c r="J164" t="str">
        <f>IF(OR(HLOOKUP(J$2+$A164,Sheet2!BY:NC,$B164,0),HLOOKUP(J$2+$A164,Sheet2!BY:NC,$B164,0)&lt;&gt;""),HLOOKUP(J$2+$A164,Sheet2!BY:NC,$B164,0),"")</f>
        <v/>
      </c>
      <c r="K164" t="str">
        <f>IF(OR(HLOOKUP(K$2+$A164,Sheet2!BZ:ND,$B164,0),HLOOKUP(K$2+$A164,Sheet2!BZ:ND,$B164,0)&lt;&gt;""),HLOOKUP(K$2+$A164,Sheet2!BZ:ND,$B164,0),"")</f>
        <v/>
      </c>
      <c r="L164" t="str">
        <f>IF(OR(HLOOKUP(L$2+$A164,Sheet2!CA:NE,$B164,0),HLOOKUP(L$2+$A164,Sheet2!CA:NE,$B164,0)&lt;&gt;""),HLOOKUP(L$2+$A164,Sheet2!CA:NE,$B164,0),"")</f>
        <v/>
      </c>
      <c r="M164" t="str">
        <f>IF(OR(HLOOKUP(M$2+$A164,Sheet2!CB:NF,$B164,0),HLOOKUP(M$2+$A164,Sheet2!CB:NF,$B164,0)&lt;&gt;""),HLOOKUP(M$2+$A164,Sheet2!CB:NF,$B164,0),"")</f>
        <v/>
      </c>
    </row>
    <row r="165" spans="1:13" x14ac:dyDescent="0.25">
      <c r="A165" s="68">
        <f t="shared" si="29"/>
        <v>5</v>
      </c>
      <c r="B165" s="68">
        <f t="shared" si="30"/>
        <v>25</v>
      </c>
      <c r="C165" s="68">
        <f t="shared" si="28"/>
        <v>2</v>
      </c>
      <c r="D165" s="68">
        <f t="shared" si="31"/>
        <v>21</v>
      </c>
      <c r="E165" s="68">
        <f t="shared" si="32"/>
        <v>101</v>
      </c>
      <c r="F165" s="21" t="str">
        <f>VLOOKUP(D165,Sheet2!A:B,2)</f>
        <v>J19-1342</v>
      </c>
      <c r="G165" s="68" t="str">
        <f>VLOOKUP(F165,Sheet2!B:C,2,0)</f>
        <v>EO</v>
      </c>
      <c r="H165" s="68" t="str">
        <f>HLOOKUP(I$2+$A165,Sheet2!BX:NB,2,0)</f>
        <v>16-31 Jan 21</v>
      </c>
      <c r="I165" t="str">
        <f>IF(OR(HLOOKUP(I$2+$A165,Sheet2!BX:NB,$B165,0),HLOOKUP(I$2+$A165,Sheet2!BX:NB,$B165,0)&lt;&gt;""),HLOOKUP(I$2+$A165,Sheet2!BX:NB,$B165,0),"")</f>
        <v/>
      </c>
      <c r="J165" t="str">
        <f>IF(OR(HLOOKUP(J$2+$A165,Sheet2!BY:NC,$B165,0),HLOOKUP(J$2+$A165,Sheet2!BY:NC,$B165,0)&lt;&gt;""),HLOOKUP(J$2+$A165,Sheet2!BY:NC,$B165,0),"")</f>
        <v/>
      </c>
      <c r="K165" t="str">
        <f>IF(OR(HLOOKUP(K$2+$A165,Sheet2!BZ:ND,$B165,0),HLOOKUP(K$2+$A165,Sheet2!BZ:ND,$B165,0)&lt;&gt;""),HLOOKUP(K$2+$A165,Sheet2!BZ:ND,$B165,0),"")</f>
        <v/>
      </c>
      <c r="L165" t="str">
        <f>IF(OR(HLOOKUP(L$2+$A165,Sheet2!CA:NE,$B165,0),HLOOKUP(L$2+$A165,Sheet2!CA:NE,$B165,0)&lt;&gt;""),HLOOKUP(L$2+$A165,Sheet2!CA:NE,$B165,0),"")</f>
        <v/>
      </c>
      <c r="M165" t="str">
        <f>IF(OR(HLOOKUP(M$2+$A165,Sheet2!CB:NF,$B165,0),HLOOKUP(M$2+$A165,Sheet2!CB:NF,$B165,0)&lt;&gt;""),HLOOKUP(M$2+$A165,Sheet2!CB:NF,$B165,0),"")</f>
        <v/>
      </c>
    </row>
    <row r="166" spans="1:13" x14ac:dyDescent="0.25">
      <c r="A166" s="68">
        <f t="shared" si="29"/>
        <v>10</v>
      </c>
      <c r="B166" s="68">
        <f t="shared" si="30"/>
        <v>25</v>
      </c>
      <c r="C166" s="68">
        <f t="shared" si="28"/>
        <v>3</v>
      </c>
      <c r="D166" s="68">
        <f t="shared" si="31"/>
        <v>21</v>
      </c>
      <c r="E166" s="68">
        <f t="shared" si="32"/>
        <v>101</v>
      </c>
      <c r="F166" s="21" t="str">
        <f>VLOOKUP(D166,Sheet2!A:B,2)</f>
        <v>J19-1342</v>
      </c>
      <c r="G166" s="68" t="str">
        <f>VLOOKUP(F166,Sheet2!B:C,2,0)</f>
        <v>EO</v>
      </c>
      <c r="H166" s="68" t="str">
        <f>HLOOKUP(I$2+$A166,Sheet2!BX:NB,2,0)</f>
        <v>1-15 Feb 21</v>
      </c>
      <c r="I166" t="str">
        <f>IF(OR(HLOOKUP(I$2+$A166,Sheet2!BX:NB,$B166,0),HLOOKUP(I$2+$A166,Sheet2!BX:NB,$B166,0)&lt;&gt;""),HLOOKUP(I$2+$A166,Sheet2!BX:NB,$B166,0),"")</f>
        <v/>
      </c>
      <c r="J166" t="str">
        <f>IF(OR(HLOOKUP(J$2+$A166,Sheet2!BY:NC,$B166,0),HLOOKUP(J$2+$A166,Sheet2!BY:NC,$B166,0)&lt;&gt;""),HLOOKUP(J$2+$A166,Sheet2!BY:NC,$B166,0),"")</f>
        <v/>
      </c>
      <c r="K166" t="str">
        <f>IF(OR(HLOOKUP(K$2+$A166,Sheet2!BZ:ND,$B166,0),HLOOKUP(K$2+$A166,Sheet2!BZ:ND,$B166,0)&lt;&gt;""),HLOOKUP(K$2+$A166,Sheet2!BZ:ND,$B166,0),"")</f>
        <v/>
      </c>
      <c r="L166" t="str">
        <f>IF(OR(HLOOKUP(L$2+$A166,Sheet2!CA:NE,$B166,0),HLOOKUP(L$2+$A166,Sheet2!CA:NE,$B166,0)&lt;&gt;""),HLOOKUP(L$2+$A166,Sheet2!CA:NE,$B166,0),"")</f>
        <v/>
      </c>
      <c r="M166" t="str">
        <f>IF(OR(HLOOKUP(M$2+$A166,Sheet2!CB:NF,$B166,0),HLOOKUP(M$2+$A166,Sheet2!CB:NF,$B166,0)&lt;&gt;""),HLOOKUP(M$2+$A166,Sheet2!CB:NF,$B166,0),"")</f>
        <v/>
      </c>
    </row>
    <row r="167" spans="1:13" x14ac:dyDescent="0.25">
      <c r="A167" s="68">
        <f t="shared" si="29"/>
        <v>15</v>
      </c>
      <c r="B167" s="68">
        <f t="shared" si="30"/>
        <v>25</v>
      </c>
      <c r="C167" s="68">
        <f t="shared" si="28"/>
        <v>4</v>
      </c>
      <c r="D167" s="68">
        <f t="shared" si="31"/>
        <v>21</v>
      </c>
      <c r="E167" s="68">
        <f t="shared" si="32"/>
        <v>101</v>
      </c>
      <c r="F167" s="21" t="str">
        <f>VLOOKUP(D167,Sheet2!A:B,2)</f>
        <v>J19-1342</v>
      </c>
      <c r="G167" s="68" t="str">
        <f>VLOOKUP(F167,Sheet2!B:C,2,0)</f>
        <v>EO</v>
      </c>
      <c r="H167" s="68" t="str">
        <f>HLOOKUP(I$2+$A167,Sheet2!BX:NB,2,0)</f>
        <v>16-28 Feb 21</v>
      </c>
      <c r="I167" t="str">
        <f>IF(OR(HLOOKUP(I$2+$A167,Sheet2!BX:NB,$B167,0),HLOOKUP(I$2+$A167,Sheet2!BX:NB,$B167,0)&lt;&gt;""),HLOOKUP(I$2+$A167,Sheet2!BX:NB,$B167,0),"")</f>
        <v/>
      </c>
      <c r="J167" t="str">
        <f>IF(OR(HLOOKUP(J$2+$A167,Sheet2!BY:NC,$B167,0),HLOOKUP(J$2+$A167,Sheet2!BY:NC,$B167,0)&lt;&gt;""),HLOOKUP(J$2+$A167,Sheet2!BY:NC,$B167,0),"")</f>
        <v/>
      </c>
      <c r="K167" t="str">
        <f>IF(OR(HLOOKUP(K$2+$A167,Sheet2!BZ:ND,$B167,0),HLOOKUP(K$2+$A167,Sheet2!BZ:ND,$B167,0)&lt;&gt;""),HLOOKUP(K$2+$A167,Sheet2!BZ:ND,$B167,0),"")</f>
        <v/>
      </c>
      <c r="L167" t="str">
        <f>IF(OR(HLOOKUP(L$2+$A167,Sheet2!CA:NE,$B167,0),HLOOKUP(L$2+$A167,Sheet2!CA:NE,$B167,0)&lt;&gt;""),HLOOKUP(L$2+$A167,Sheet2!CA:NE,$B167,0),"")</f>
        <v/>
      </c>
      <c r="M167" t="str">
        <f>IF(OR(HLOOKUP(M$2+$A167,Sheet2!CB:NF,$B167,0),HLOOKUP(M$2+$A167,Sheet2!CB:NF,$B167,0)&lt;&gt;""),HLOOKUP(M$2+$A167,Sheet2!CB:NF,$B167,0),"")</f>
        <v/>
      </c>
    </row>
    <row r="168" spans="1:13" x14ac:dyDescent="0.25">
      <c r="A168" s="68">
        <f t="shared" si="29"/>
        <v>20</v>
      </c>
      <c r="B168" s="68">
        <f t="shared" si="30"/>
        <v>25</v>
      </c>
      <c r="C168" s="68">
        <f t="shared" si="28"/>
        <v>5</v>
      </c>
      <c r="D168" s="68">
        <f t="shared" si="31"/>
        <v>21</v>
      </c>
      <c r="E168" s="68">
        <f t="shared" si="32"/>
        <v>101</v>
      </c>
      <c r="F168" s="21" t="str">
        <f>VLOOKUP(D168,Sheet2!A:B,2)</f>
        <v>J19-1342</v>
      </c>
      <c r="G168" s="68" t="str">
        <f>VLOOKUP(F168,Sheet2!B:C,2,0)</f>
        <v>EO</v>
      </c>
      <c r="H168" s="68" t="str">
        <f>HLOOKUP(I$2+$A168,Sheet2!BX:NB,2,0)</f>
        <v>1-15 Mar 2021</v>
      </c>
      <c r="I168" t="str">
        <f>IF(OR(HLOOKUP(I$2+$A168,Sheet2!BX:NB,$B168,0),HLOOKUP(I$2+$A168,Sheet2!BX:NB,$B168,0)&lt;&gt;""),HLOOKUP(I$2+$A168,Sheet2!BX:NB,$B168,0),"")</f>
        <v/>
      </c>
      <c r="J168" t="str">
        <f>IF(OR(HLOOKUP(J$2+$A168,Sheet2!BY:NC,$B168,0),HLOOKUP(J$2+$A168,Sheet2!BY:NC,$B168,0)&lt;&gt;""),HLOOKUP(J$2+$A168,Sheet2!BY:NC,$B168,0),"")</f>
        <v/>
      </c>
      <c r="K168" t="str">
        <f>IF(OR(HLOOKUP(K$2+$A168,Sheet2!BZ:ND,$B168,0),HLOOKUP(K$2+$A168,Sheet2!BZ:ND,$B168,0)&lt;&gt;""),HLOOKUP(K$2+$A168,Sheet2!BZ:ND,$B168,0),"")</f>
        <v/>
      </c>
      <c r="L168" t="str">
        <f>IF(OR(HLOOKUP(L$2+$A168,Sheet2!CA:NE,$B168,0),HLOOKUP(L$2+$A168,Sheet2!CA:NE,$B168,0)&lt;&gt;""),HLOOKUP(L$2+$A168,Sheet2!CA:NE,$B168,0),"")</f>
        <v/>
      </c>
      <c r="M168" t="str">
        <f>IF(OR(HLOOKUP(M$2+$A168,Sheet2!CB:NF,$B168,0),HLOOKUP(M$2+$A168,Sheet2!CB:NF,$B168,0)&lt;&gt;""),HLOOKUP(M$2+$A168,Sheet2!CB:NF,$B168,0),"")</f>
        <v/>
      </c>
    </row>
    <row r="169" spans="1:13" x14ac:dyDescent="0.25">
      <c r="A169" s="68">
        <f t="shared" si="29"/>
        <v>25</v>
      </c>
      <c r="B169" s="68">
        <f t="shared" si="30"/>
        <v>25</v>
      </c>
      <c r="C169" s="68">
        <f t="shared" si="28"/>
        <v>6</v>
      </c>
      <c r="D169" s="68">
        <f t="shared" si="31"/>
        <v>21</v>
      </c>
      <c r="E169" s="68">
        <f t="shared" si="32"/>
        <v>101</v>
      </c>
      <c r="F169" s="21" t="str">
        <f>VLOOKUP(D169,Sheet2!A:B,2)</f>
        <v>J19-1342</v>
      </c>
      <c r="G169" s="68" t="str">
        <f>VLOOKUP(F169,Sheet2!B:C,2,0)</f>
        <v>EO</v>
      </c>
      <c r="H169" s="68" t="str">
        <f>HLOOKUP(I$2+$A169,Sheet2!BX:NB,2,0)</f>
        <v>16-31 Mar 21</v>
      </c>
      <c r="I169" t="str">
        <f>IF(OR(HLOOKUP(I$2+$A169,Sheet2!BX:NB,$B169,0),HLOOKUP(I$2+$A169,Sheet2!BX:NB,$B169,0)&lt;&gt;""),HLOOKUP(I$2+$A169,Sheet2!BX:NB,$B169,0),"")</f>
        <v/>
      </c>
      <c r="J169" t="str">
        <f>IF(OR(HLOOKUP(J$2+$A169,Sheet2!BY:NC,$B169,0),HLOOKUP(J$2+$A169,Sheet2!BY:NC,$B169,0)&lt;&gt;""),HLOOKUP(J$2+$A169,Sheet2!BY:NC,$B169,0),"")</f>
        <v/>
      </c>
      <c r="K169" t="str">
        <f>IF(OR(HLOOKUP(K$2+$A169,Sheet2!BZ:ND,$B169,0),HLOOKUP(K$2+$A169,Sheet2!BZ:ND,$B169,0)&lt;&gt;""),HLOOKUP(K$2+$A169,Sheet2!BZ:ND,$B169,0),"")</f>
        <v/>
      </c>
      <c r="L169" t="str">
        <f>IF(OR(HLOOKUP(L$2+$A169,Sheet2!CA:NE,$B169,0),HLOOKUP(L$2+$A169,Sheet2!CA:NE,$B169,0)&lt;&gt;""),HLOOKUP(L$2+$A169,Sheet2!CA:NE,$B169,0),"")</f>
        <v/>
      </c>
      <c r="M169" t="str">
        <f>IF(OR(HLOOKUP(M$2+$A169,Sheet2!CB:NF,$B169,0),HLOOKUP(M$2+$A169,Sheet2!CB:NF,$B169,0)&lt;&gt;""),HLOOKUP(M$2+$A169,Sheet2!CB:NF,$B169,0),"")</f>
        <v/>
      </c>
    </row>
    <row r="170" spans="1:13" x14ac:dyDescent="0.25">
      <c r="A170" s="68">
        <f t="shared" si="29"/>
        <v>30</v>
      </c>
      <c r="B170" s="68">
        <f t="shared" si="30"/>
        <v>25</v>
      </c>
      <c r="C170" s="68">
        <f t="shared" si="28"/>
        <v>7</v>
      </c>
      <c r="D170" s="68">
        <f t="shared" si="31"/>
        <v>21</v>
      </c>
      <c r="E170" s="68">
        <f t="shared" si="32"/>
        <v>101</v>
      </c>
      <c r="F170" s="21" t="str">
        <f>VLOOKUP(D170,Sheet2!A:B,2)</f>
        <v>J19-1342</v>
      </c>
      <c r="G170" s="68" t="str">
        <f>VLOOKUP(F170,Sheet2!B:C,2,0)</f>
        <v>EO</v>
      </c>
      <c r="H170" s="68" t="str">
        <f>HLOOKUP(I$2+$A170,Sheet2!BX:NB,2,0)</f>
        <v>1-15 April 21</v>
      </c>
      <c r="I170" t="str">
        <f>IF(OR(HLOOKUP(I$2+$A170,Sheet2!BX:NB,$B170,0),HLOOKUP(I$2+$A170,Sheet2!BX:NB,$B170,0)&lt;&gt;""),HLOOKUP(I$2+$A170,Sheet2!BX:NB,$B170,0),"")</f>
        <v/>
      </c>
      <c r="J170" t="str">
        <f>IF(OR(HLOOKUP(J$2+$A170,Sheet2!BY:NC,$B170,0),HLOOKUP(J$2+$A170,Sheet2!BY:NC,$B170,0)&lt;&gt;""),HLOOKUP(J$2+$A170,Sheet2!BY:NC,$B170,0),"")</f>
        <v/>
      </c>
      <c r="K170" t="str">
        <f>IF(OR(HLOOKUP(K$2+$A170,Sheet2!BZ:ND,$B170,0),HLOOKUP(K$2+$A170,Sheet2!BZ:ND,$B170,0)&lt;&gt;""),HLOOKUP(K$2+$A170,Sheet2!BZ:ND,$B170,0),"")</f>
        <v/>
      </c>
      <c r="L170" t="str">
        <f>IF(OR(HLOOKUP(L$2+$A170,Sheet2!CA:NE,$B170,0),HLOOKUP(L$2+$A170,Sheet2!CA:NE,$B170,0)&lt;&gt;""),HLOOKUP(L$2+$A170,Sheet2!CA:NE,$B170,0),"")</f>
        <v/>
      </c>
      <c r="M170" t="str">
        <f>IF(OR(HLOOKUP(M$2+$A170,Sheet2!CB:NF,$B170,0),HLOOKUP(M$2+$A170,Sheet2!CB:NF,$B170,0)&lt;&gt;""),HLOOKUP(M$2+$A170,Sheet2!CB:NF,$B170,0),"")</f>
        <v/>
      </c>
    </row>
    <row r="171" spans="1:13" x14ac:dyDescent="0.25">
      <c r="A171" s="68">
        <f t="shared" si="29"/>
        <v>35</v>
      </c>
      <c r="B171" s="68">
        <f t="shared" si="30"/>
        <v>25</v>
      </c>
      <c r="C171" s="68">
        <f t="shared" si="28"/>
        <v>8</v>
      </c>
      <c r="D171" s="68">
        <f t="shared" si="31"/>
        <v>21</v>
      </c>
      <c r="E171" s="68">
        <f t="shared" si="32"/>
        <v>101</v>
      </c>
      <c r="F171" s="21" t="str">
        <f>VLOOKUP(D171,Sheet2!A:B,2)</f>
        <v>J19-1342</v>
      </c>
      <c r="G171" s="68" t="str">
        <f>VLOOKUP(F171,Sheet2!B:C,2,0)</f>
        <v>EO</v>
      </c>
      <c r="H171" s="68" t="str">
        <f>HLOOKUP(I$2+$A171,Sheet2!BX:NB,2,0)</f>
        <v>16-30 April 21</v>
      </c>
      <c r="I171" t="str">
        <f>IF(OR(HLOOKUP(I$2+$A171,Sheet2!BX:NB,$B171,0),HLOOKUP(I$2+$A171,Sheet2!BX:NB,$B171,0)&lt;&gt;""),HLOOKUP(I$2+$A171,Sheet2!BX:NB,$B171,0),"")</f>
        <v/>
      </c>
      <c r="J171" t="str">
        <f>IF(OR(HLOOKUP(J$2+$A171,Sheet2!BY:NC,$B171,0),HLOOKUP(J$2+$A171,Sheet2!BY:NC,$B171,0)&lt;&gt;""),HLOOKUP(J$2+$A171,Sheet2!BY:NC,$B171,0),"")</f>
        <v/>
      </c>
      <c r="K171" t="str">
        <f>IF(OR(HLOOKUP(K$2+$A171,Sheet2!BZ:ND,$B171,0),HLOOKUP(K$2+$A171,Sheet2!BZ:ND,$B171,0)&lt;&gt;""),HLOOKUP(K$2+$A171,Sheet2!BZ:ND,$B171,0),"")</f>
        <v/>
      </c>
      <c r="L171" t="str">
        <f>IF(OR(HLOOKUP(L$2+$A171,Sheet2!CA:NE,$B171,0),HLOOKUP(L$2+$A171,Sheet2!CA:NE,$B171,0)&lt;&gt;""),HLOOKUP(L$2+$A171,Sheet2!CA:NE,$B171,0),"")</f>
        <v/>
      </c>
      <c r="M171" t="str">
        <f>IF(OR(HLOOKUP(M$2+$A171,Sheet2!CB:NF,$B171,0),HLOOKUP(M$2+$A171,Sheet2!CB:NF,$B171,0)&lt;&gt;""),HLOOKUP(M$2+$A171,Sheet2!CB:NF,$B171,0),"")</f>
        <v/>
      </c>
    </row>
    <row r="172" spans="1:13" x14ac:dyDescent="0.25">
      <c r="A172" s="68">
        <f t="shared" si="29"/>
        <v>0</v>
      </c>
      <c r="B172" s="68">
        <f t="shared" si="30"/>
        <v>26</v>
      </c>
      <c r="C172" s="68">
        <f t="shared" si="28"/>
        <v>1</v>
      </c>
      <c r="D172" s="68">
        <f t="shared" si="31"/>
        <v>22</v>
      </c>
      <c r="E172" s="68">
        <f t="shared" si="32"/>
        <v>106</v>
      </c>
      <c r="F172" s="21" t="str">
        <f>VLOOKUP(D172,Sheet2!A:B,2)</f>
        <v>J18-1067</v>
      </c>
      <c r="G172" s="68" t="str">
        <f>VLOOKUP(F172,Sheet2!B:C,2,0)</f>
        <v>IRPC</v>
      </c>
      <c r="H172" s="68" t="str">
        <f>HLOOKUP(I$2+$A172,Sheet2!BX:NB,2,0)</f>
        <v>1-15 Jan 21</v>
      </c>
      <c r="I172" t="str">
        <f>IF(OR(HLOOKUP(I$2+$A172,Sheet2!BX:NB,$B172,0),HLOOKUP(I$2+$A172,Sheet2!BX:NB,$B172,0)&lt;&gt;""),HLOOKUP(I$2+$A172,Sheet2!BX:NB,$B172,0),"")</f>
        <v/>
      </c>
      <c r="J172" t="str">
        <f>IF(OR(HLOOKUP(J$2+$A172,Sheet2!BY:NC,$B172,0),HLOOKUP(J$2+$A172,Sheet2!BY:NC,$B172,0)&lt;&gt;""),HLOOKUP(J$2+$A172,Sheet2!BY:NC,$B172,0),"")</f>
        <v/>
      </c>
      <c r="K172" t="str">
        <f>IF(OR(HLOOKUP(K$2+$A172,Sheet2!BZ:ND,$B172,0),HLOOKUP(K$2+$A172,Sheet2!BZ:ND,$B172,0)&lt;&gt;""),HLOOKUP(K$2+$A172,Sheet2!BZ:ND,$B172,0),"")</f>
        <v/>
      </c>
      <c r="L172" t="str">
        <f>IF(OR(HLOOKUP(L$2+$A172,Sheet2!CA:NE,$B172,0),HLOOKUP(L$2+$A172,Sheet2!CA:NE,$B172,0)&lt;&gt;""),HLOOKUP(L$2+$A172,Sheet2!CA:NE,$B172,0),"")</f>
        <v/>
      </c>
      <c r="M172" t="str">
        <f>IF(OR(HLOOKUP(M$2+$A172,Sheet2!CB:NF,$B172,0),HLOOKUP(M$2+$A172,Sheet2!CB:NF,$B172,0)&lt;&gt;""),HLOOKUP(M$2+$A172,Sheet2!CB:NF,$B172,0),"")</f>
        <v/>
      </c>
    </row>
    <row r="173" spans="1:13" x14ac:dyDescent="0.25">
      <c r="A173" s="68">
        <f t="shared" si="29"/>
        <v>5</v>
      </c>
      <c r="B173" s="68">
        <f t="shared" si="30"/>
        <v>26</v>
      </c>
      <c r="C173" s="68">
        <f t="shared" si="28"/>
        <v>2</v>
      </c>
      <c r="D173" s="68">
        <f t="shared" si="31"/>
        <v>22</v>
      </c>
      <c r="E173" s="68">
        <f t="shared" si="32"/>
        <v>106</v>
      </c>
      <c r="F173" s="21" t="str">
        <f>VLOOKUP(D173,Sheet2!A:B,2)</f>
        <v>J18-1067</v>
      </c>
      <c r="G173" s="68" t="str">
        <f>VLOOKUP(F173,Sheet2!B:C,2,0)</f>
        <v>IRPC</v>
      </c>
      <c r="H173" s="68" t="str">
        <f>HLOOKUP(I$2+$A173,Sheet2!BX:NB,2,0)</f>
        <v>16-31 Jan 21</v>
      </c>
      <c r="I173" t="str">
        <f>IF(OR(HLOOKUP(I$2+$A173,Sheet2!BX:NB,$B173,0),HLOOKUP(I$2+$A173,Sheet2!BX:NB,$B173,0)&lt;&gt;""),HLOOKUP(I$2+$A173,Sheet2!BX:NB,$B173,0),"")</f>
        <v/>
      </c>
      <c r="J173" t="str">
        <f>IF(OR(HLOOKUP(J$2+$A173,Sheet2!BY:NC,$B173,0),HLOOKUP(J$2+$A173,Sheet2!BY:NC,$B173,0)&lt;&gt;""),HLOOKUP(J$2+$A173,Sheet2!BY:NC,$B173,0),"")</f>
        <v/>
      </c>
      <c r="K173" t="str">
        <f>IF(OR(HLOOKUP(K$2+$A173,Sheet2!BZ:ND,$B173,0),HLOOKUP(K$2+$A173,Sheet2!BZ:ND,$B173,0)&lt;&gt;""),HLOOKUP(K$2+$A173,Sheet2!BZ:ND,$B173,0),"")</f>
        <v/>
      </c>
      <c r="L173" t="str">
        <f>IF(OR(HLOOKUP(L$2+$A173,Sheet2!CA:NE,$B173,0),HLOOKUP(L$2+$A173,Sheet2!CA:NE,$B173,0)&lt;&gt;""),HLOOKUP(L$2+$A173,Sheet2!CA:NE,$B173,0),"")</f>
        <v/>
      </c>
      <c r="M173" t="str">
        <f>IF(OR(HLOOKUP(M$2+$A173,Sheet2!CB:NF,$B173,0),HLOOKUP(M$2+$A173,Sheet2!CB:NF,$B173,0)&lt;&gt;""),HLOOKUP(M$2+$A173,Sheet2!CB:NF,$B173,0),"")</f>
        <v/>
      </c>
    </row>
    <row r="174" spans="1:13" x14ac:dyDescent="0.25">
      <c r="A174" s="68">
        <f t="shared" si="29"/>
        <v>10</v>
      </c>
      <c r="B174" s="68">
        <f t="shared" si="30"/>
        <v>26</v>
      </c>
      <c r="C174" s="68">
        <f t="shared" si="28"/>
        <v>3</v>
      </c>
      <c r="D174" s="68">
        <f t="shared" si="31"/>
        <v>22</v>
      </c>
      <c r="E174" s="68">
        <f t="shared" si="32"/>
        <v>106</v>
      </c>
      <c r="F174" s="21" t="str">
        <f>VLOOKUP(D174,Sheet2!A:B,2)</f>
        <v>J18-1067</v>
      </c>
      <c r="G174" s="68" t="str">
        <f>VLOOKUP(F174,Sheet2!B:C,2,0)</f>
        <v>IRPC</v>
      </c>
      <c r="H174" s="68" t="str">
        <f>HLOOKUP(I$2+$A174,Sheet2!BX:NB,2,0)</f>
        <v>1-15 Feb 21</v>
      </c>
      <c r="I174" t="str">
        <f>IF(OR(HLOOKUP(I$2+$A174,Sheet2!BX:NB,$B174,0),HLOOKUP(I$2+$A174,Sheet2!BX:NB,$B174,0)&lt;&gt;""),HLOOKUP(I$2+$A174,Sheet2!BX:NB,$B174,0),"")</f>
        <v/>
      </c>
      <c r="J174" t="str">
        <f>IF(OR(HLOOKUP(J$2+$A174,Sheet2!BY:NC,$B174,0),HLOOKUP(J$2+$A174,Sheet2!BY:NC,$B174,0)&lt;&gt;""),HLOOKUP(J$2+$A174,Sheet2!BY:NC,$B174,0),"")</f>
        <v/>
      </c>
      <c r="K174" t="str">
        <f>IF(OR(HLOOKUP(K$2+$A174,Sheet2!BZ:ND,$B174,0),HLOOKUP(K$2+$A174,Sheet2!BZ:ND,$B174,0)&lt;&gt;""),HLOOKUP(K$2+$A174,Sheet2!BZ:ND,$B174,0),"")</f>
        <v/>
      </c>
      <c r="L174" t="str">
        <f>IF(OR(HLOOKUP(L$2+$A174,Sheet2!CA:NE,$B174,0),HLOOKUP(L$2+$A174,Sheet2!CA:NE,$B174,0)&lt;&gt;""),HLOOKUP(L$2+$A174,Sheet2!CA:NE,$B174,0),"")</f>
        <v/>
      </c>
      <c r="M174" t="str">
        <f>IF(OR(HLOOKUP(M$2+$A174,Sheet2!CB:NF,$B174,0),HLOOKUP(M$2+$A174,Sheet2!CB:NF,$B174,0)&lt;&gt;""),HLOOKUP(M$2+$A174,Sheet2!CB:NF,$B174,0),"")</f>
        <v/>
      </c>
    </row>
    <row r="175" spans="1:13" x14ac:dyDescent="0.25">
      <c r="A175" s="68">
        <f t="shared" si="29"/>
        <v>15</v>
      </c>
      <c r="B175" s="68">
        <f t="shared" si="30"/>
        <v>26</v>
      </c>
      <c r="C175" s="68">
        <f t="shared" si="28"/>
        <v>4</v>
      </c>
      <c r="D175" s="68">
        <f t="shared" si="31"/>
        <v>22</v>
      </c>
      <c r="E175" s="68">
        <f t="shared" si="32"/>
        <v>106</v>
      </c>
      <c r="F175" s="21" t="str">
        <f>VLOOKUP(D175,Sheet2!A:B,2)</f>
        <v>J18-1067</v>
      </c>
      <c r="G175" s="68" t="str">
        <f>VLOOKUP(F175,Sheet2!B:C,2,0)</f>
        <v>IRPC</v>
      </c>
      <c r="H175" s="68" t="str">
        <f>HLOOKUP(I$2+$A175,Sheet2!BX:NB,2,0)</f>
        <v>16-28 Feb 21</v>
      </c>
      <c r="I175" t="str">
        <f>IF(OR(HLOOKUP(I$2+$A175,Sheet2!BX:NB,$B175,0),HLOOKUP(I$2+$A175,Sheet2!BX:NB,$B175,0)&lt;&gt;""),HLOOKUP(I$2+$A175,Sheet2!BX:NB,$B175,0),"")</f>
        <v/>
      </c>
      <c r="J175" t="str">
        <f>IF(OR(HLOOKUP(J$2+$A175,Sheet2!BY:NC,$B175,0),HLOOKUP(J$2+$A175,Sheet2!BY:NC,$B175,0)&lt;&gt;""),HLOOKUP(J$2+$A175,Sheet2!BY:NC,$B175,0),"")</f>
        <v/>
      </c>
      <c r="K175" t="str">
        <f>IF(OR(HLOOKUP(K$2+$A175,Sheet2!BZ:ND,$B175,0),HLOOKUP(K$2+$A175,Sheet2!BZ:ND,$B175,0)&lt;&gt;""),HLOOKUP(K$2+$A175,Sheet2!BZ:ND,$B175,0),"")</f>
        <v/>
      </c>
      <c r="L175" t="str">
        <f>IF(OR(HLOOKUP(L$2+$A175,Sheet2!CA:NE,$B175,0),HLOOKUP(L$2+$A175,Sheet2!CA:NE,$B175,0)&lt;&gt;""),HLOOKUP(L$2+$A175,Sheet2!CA:NE,$B175,0),"")</f>
        <v/>
      </c>
      <c r="M175" t="str">
        <f>IF(OR(HLOOKUP(M$2+$A175,Sheet2!CB:NF,$B175,0),HLOOKUP(M$2+$A175,Sheet2!CB:NF,$B175,0)&lt;&gt;""),HLOOKUP(M$2+$A175,Sheet2!CB:NF,$B175,0),"")</f>
        <v/>
      </c>
    </row>
    <row r="176" spans="1:13" x14ac:dyDescent="0.25">
      <c r="A176" s="68">
        <f t="shared" si="29"/>
        <v>20</v>
      </c>
      <c r="B176" s="68">
        <f t="shared" si="30"/>
        <v>26</v>
      </c>
      <c r="C176" s="68">
        <f t="shared" si="28"/>
        <v>5</v>
      </c>
      <c r="D176" s="68">
        <f t="shared" si="31"/>
        <v>22</v>
      </c>
      <c r="E176" s="68">
        <f t="shared" si="32"/>
        <v>106</v>
      </c>
      <c r="F176" s="21" t="str">
        <f>VLOOKUP(D176,Sheet2!A:B,2)</f>
        <v>J18-1067</v>
      </c>
      <c r="G176" s="68" t="str">
        <f>VLOOKUP(F176,Sheet2!B:C,2,0)</f>
        <v>IRPC</v>
      </c>
      <c r="H176" s="68" t="str">
        <f>HLOOKUP(I$2+$A176,Sheet2!BX:NB,2,0)</f>
        <v>1-15 Mar 2021</v>
      </c>
      <c r="I176" t="str">
        <f>IF(OR(HLOOKUP(I$2+$A176,Sheet2!BX:NB,$B176,0),HLOOKUP(I$2+$A176,Sheet2!BX:NB,$B176,0)&lt;&gt;""),HLOOKUP(I$2+$A176,Sheet2!BX:NB,$B176,0),"")</f>
        <v/>
      </c>
      <c r="J176" t="str">
        <f>IF(OR(HLOOKUP(J$2+$A176,Sheet2!BY:NC,$B176,0),HLOOKUP(J$2+$A176,Sheet2!BY:NC,$B176,0)&lt;&gt;""),HLOOKUP(J$2+$A176,Sheet2!BY:NC,$B176,0),"")</f>
        <v/>
      </c>
      <c r="K176" t="str">
        <f>IF(OR(HLOOKUP(K$2+$A176,Sheet2!BZ:ND,$B176,0),HLOOKUP(K$2+$A176,Sheet2!BZ:ND,$B176,0)&lt;&gt;""),HLOOKUP(K$2+$A176,Sheet2!BZ:ND,$B176,0),"")</f>
        <v/>
      </c>
      <c r="L176" t="str">
        <f>IF(OR(HLOOKUP(L$2+$A176,Sheet2!CA:NE,$B176,0),HLOOKUP(L$2+$A176,Sheet2!CA:NE,$B176,0)&lt;&gt;""),HLOOKUP(L$2+$A176,Sheet2!CA:NE,$B176,0),"")</f>
        <v/>
      </c>
      <c r="M176" t="str">
        <f>IF(OR(HLOOKUP(M$2+$A176,Sheet2!CB:NF,$B176,0),HLOOKUP(M$2+$A176,Sheet2!CB:NF,$B176,0)&lt;&gt;""),HLOOKUP(M$2+$A176,Sheet2!CB:NF,$B176,0),"")</f>
        <v/>
      </c>
    </row>
    <row r="177" spans="1:13" x14ac:dyDescent="0.25">
      <c r="A177" s="68">
        <f t="shared" si="29"/>
        <v>25</v>
      </c>
      <c r="B177" s="68">
        <f t="shared" si="30"/>
        <v>26</v>
      </c>
      <c r="C177" s="68">
        <f t="shared" si="28"/>
        <v>6</v>
      </c>
      <c r="D177" s="68">
        <f t="shared" si="31"/>
        <v>22</v>
      </c>
      <c r="E177" s="68">
        <f t="shared" si="32"/>
        <v>106</v>
      </c>
      <c r="F177" s="21" t="str">
        <f>VLOOKUP(D177,Sheet2!A:B,2)</f>
        <v>J18-1067</v>
      </c>
      <c r="G177" s="68" t="str">
        <f>VLOOKUP(F177,Sheet2!B:C,2,0)</f>
        <v>IRPC</v>
      </c>
      <c r="H177" s="68" t="str">
        <f>HLOOKUP(I$2+$A177,Sheet2!BX:NB,2,0)</f>
        <v>16-31 Mar 21</v>
      </c>
      <c r="I177" t="str">
        <f>IF(OR(HLOOKUP(I$2+$A177,Sheet2!BX:NB,$B177,0),HLOOKUP(I$2+$A177,Sheet2!BX:NB,$B177,0)&lt;&gt;""),HLOOKUP(I$2+$A177,Sheet2!BX:NB,$B177,0),"")</f>
        <v/>
      </c>
      <c r="J177" t="str">
        <f>IF(OR(HLOOKUP(J$2+$A177,Sheet2!BY:NC,$B177,0),HLOOKUP(J$2+$A177,Sheet2!BY:NC,$B177,0)&lt;&gt;""),HLOOKUP(J$2+$A177,Sheet2!BY:NC,$B177,0),"")</f>
        <v/>
      </c>
      <c r="K177" t="str">
        <f>IF(OR(HLOOKUP(K$2+$A177,Sheet2!BZ:ND,$B177,0),HLOOKUP(K$2+$A177,Sheet2!BZ:ND,$B177,0)&lt;&gt;""),HLOOKUP(K$2+$A177,Sheet2!BZ:ND,$B177,0),"")</f>
        <v/>
      </c>
      <c r="L177" t="str">
        <f>IF(OR(HLOOKUP(L$2+$A177,Sheet2!CA:NE,$B177,0),HLOOKUP(L$2+$A177,Sheet2!CA:NE,$B177,0)&lt;&gt;""),HLOOKUP(L$2+$A177,Sheet2!CA:NE,$B177,0),"")</f>
        <v/>
      </c>
      <c r="M177" t="str">
        <f>IF(OR(HLOOKUP(M$2+$A177,Sheet2!CB:NF,$B177,0),HLOOKUP(M$2+$A177,Sheet2!CB:NF,$B177,0)&lt;&gt;""),HLOOKUP(M$2+$A177,Sheet2!CB:NF,$B177,0),"")</f>
        <v/>
      </c>
    </row>
    <row r="178" spans="1:13" x14ac:dyDescent="0.25">
      <c r="A178" s="68">
        <f t="shared" si="29"/>
        <v>30</v>
      </c>
      <c r="B178" s="68">
        <f t="shared" si="30"/>
        <v>26</v>
      </c>
      <c r="C178" s="68">
        <f t="shared" si="28"/>
        <v>7</v>
      </c>
      <c r="D178" s="68">
        <f t="shared" si="31"/>
        <v>22</v>
      </c>
      <c r="E178" s="68">
        <f t="shared" si="32"/>
        <v>106</v>
      </c>
      <c r="F178" s="21" t="str">
        <f>VLOOKUP(D178,Sheet2!A:B,2)</f>
        <v>J18-1067</v>
      </c>
      <c r="G178" s="68" t="str">
        <f>VLOOKUP(F178,Sheet2!B:C,2,0)</f>
        <v>IRPC</v>
      </c>
      <c r="H178" s="68" t="str">
        <f>HLOOKUP(I$2+$A178,Sheet2!BX:NB,2,0)</f>
        <v>1-15 April 21</v>
      </c>
      <c r="I178" t="str">
        <f>IF(OR(HLOOKUP(I$2+$A178,Sheet2!BX:NB,$B178,0),HLOOKUP(I$2+$A178,Sheet2!BX:NB,$B178,0)&lt;&gt;""),HLOOKUP(I$2+$A178,Sheet2!BX:NB,$B178,0),"")</f>
        <v/>
      </c>
      <c r="J178" t="str">
        <f>IF(OR(HLOOKUP(J$2+$A178,Sheet2!BY:NC,$B178,0),HLOOKUP(J$2+$A178,Sheet2!BY:NC,$B178,0)&lt;&gt;""),HLOOKUP(J$2+$A178,Sheet2!BY:NC,$B178,0),"")</f>
        <v/>
      </c>
      <c r="K178" t="str">
        <f>IF(OR(HLOOKUP(K$2+$A178,Sheet2!BZ:ND,$B178,0),HLOOKUP(K$2+$A178,Sheet2!BZ:ND,$B178,0)&lt;&gt;""),HLOOKUP(K$2+$A178,Sheet2!BZ:ND,$B178,0),"")</f>
        <v/>
      </c>
      <c r="L178">
        <f>IF(OR(HLOOKUP(L$2+$A178,Sheet2!CA:NE,$B178,0),HLOOKUP(L$2+$A178,Sheet2!CA:NE,$B178,0)&lt;&gt;""),HLOOKUP(L$2+$A178,Sheet2!CA:NE,$B178,0),"")</f>
        <v>56250</v>
      </c>
      <c r="M178" t="str">
        <f>IF(OR(HLOOKUP(M$2+$A178,Sheet2!CB:NF,$B178,0),HLOOKUP(M$2+$A178,Sheet2!CB:NF,$B178,0)&lt;&gt;""),HLOOKUP(M$2+$A178,Sheet2!CB:NF,$B178,0),"")</f>
        <v/>
      </c>
    </row>
    <row r="179" spans="1:13" x14ac:dyDescent="0.25">
      <c r="A179" s="68">
        <f t="shared" si="29"/>
        <v>35</v>
      </c>
      <c r="B179" s="68">
        <f t="shared" si="30"/>
        <v>26</v>
      </c>
      <c r="C179" s="68">
        <f t="shared" si="28"/>
        <v>8</v>
      </c>
      <c r="D179" s="68">
        <f t="shared" si="31"/>
        <v>22</v>
      </c>
      <c r="E179" s="68">
        <f t="shared" si="32"/>
        <v>106</v>
      </c>
      <c r="F179" s="21" t="str">
        <f>VLOOKUP(D179,Sheet2!A:B,2)</f>
        <v>J18-1067</v>
      </c>
      <c r="G179" s="68" t="str">
        <f>VLOOKUP(F179,Sheet2!B:C,2,0)</f>
        <v>IRPC</v>
      </c>
      <c r="H179" s="68" t="str">
        <f>HLOOKUP(I$2+$A179,Sheet2!BX:NB,2,0)</f>
        <v>16-30 April 21</v>
      </c>
      <c r="I179" t="str">
        <f>IF(OR(HLOOKUP(I$2+$A179,Sheet2!BX:NB,$B179,0),HLOOKUP(I$2+$A179,Sheet2!BX:NB,$B179,0)&lt;&gt;""),HLOOKUP(I$2+$A179,Sheet2!BX:NB,$B179,0),"")</f>
        <v/>
      </c>
      <c r="J179" t="str">
        <f>IF(OR(HLOOKUP(J$2+$A179,Sheet2!BY:NC,$B179,0),HLOOKUP(J$2+$A179,Sheet2!BY:NC,$B179,0)&lt;&gt;""),HLOOKUP(J$2+$A179,Sheet2!BY:NC,$B179,0),"")</f>
        <v/>
      </c>
      <c r="K179" t="str">
        <f>IF(OR(HLOOKUP(K$2+$A179,Sheet2!BZ:ND,$B179,0),HLOOKUP(K$2+$A179,Sheet2!BZ:ND,$B179,0)&lt;&gt;""),HLOOKUP(K$2+$A179,Sheet2!BZ:ND,$B179,0),"")</f>
        <v/>
      </c>
      <c r="L179" t="str">
        <f>IF(OR(HLOOKUP(L$2+$A179,Sheet2!CA:NE,$B179,0),HLOOKUP(L$2+$A179,Sheet2!CA:NE,$B179,0)&lt;&gt;""),HLOOKUP(L$2+$A179,Sheet2!CA:NE,$B179,0),"")</f>
        <v/>
      </c>
      <c r="M179" t="str">
        <f>IF(OR(HLOOKUP(M$2+$A179,Sheet2!CB:NF,$B179,0),HLOOKUP(M$2+$A179,Sheet2!CB:NF,$B179,0)&lt;&gt;""),HLOOKUP(M$2+$A179,Sheet2!CB:NF,$B179,0),"")</f>
        <v/>
      </c>
    </row>
    <row r="180" spans="1:13" x14ac:dyDescent="0.25">
      <c r="A180" s="68">
        <f t="shared" si="29"/>
        <v>0</v>
      </c>
      <c r="B180" s="68">
        <f t="shared" si="30"/>
        <v>27</v>
      </c>
      <c r="C180" s="68">
        <f t="shared" si="28"/>
        <v>1</v>
      </c>
      <c r="D180" s="68">
        <f t="shared" si="31"/>
        <v>23</v>
      </c>
      <c r="E180" s="68">
        <f t="shared" si="32"/>
        <v>111</v>
      </c>
      <c r="F180" s="21" t="str">
        <f>VLOOKUP(D180,Sheet2!A:B,2)</f>
        <v>J18-1076</v>
      </c>
      <c r="G180" s="68" t="str">
        <f>VLOOKUP(F180,Sheet2!B:C,2,0)</f>
        <v>INSTALLATION LEVEL WITH SOUNDER</v>
      </c>
      <c r="H180" s="68" t="str">
        <f>HLOOKUP(I$2+$A180,Sheet2!BX:NB,2,0)</f>
        <v>1-15 Jan 21</v>
      </c>
      <c r="I180" t="str">
        <f>IF(OR(HLOOKUP(I$2+$A180,Sheet2!BX:NB,$B180,0),HLOOKUP(I$2+$A180,Sheet2!BX:NB,$B180,0)&lt;&gt;""),HLOOKUP(I$2+$A180,Sheet2!BX:NB,$B180,0),"")</f>
        <v/>
      </c>
      <c r="J180" t="str">
        <f>IF(OR(HLOOKUP(J$2+$A180,Sheet2!BY:NC,$B180,0),HLOOKUP(J$2+$A180,Sheet2!BY:NC,$B180,0)&lt;&gt;""),HLOOKUP(J$2+$A180,Sheet2!BY:NC,$B180,0),"")</f>
        <v/>
      </c>
      <c r="K180" t="str">
        <f>IF(OR(HLOOKUP(K$2+$A180,Sheet2!BZ:ND,$B180,0),HLOOKUP(K$2+$A180,Sheet2!BZ:ND,$B180,0)&lt;&gt;""),HLOOKUP(K$2+$A180,Sheet2!BZ:ND,$B180,0),"")</f>
        <v/>
      </c>
      <c r="L180" t="str">
        <f>IF(OR(HLOOKUP(L$2+$A180,Sheet2!CA:NE,$B180,0),HLOOKUP(L$2+$A180,Sheet2!CA:NE,$B180,0)&lt;&gt;""),HLOOKUP(L$2+$A180,Sheet2!CA:NE,$B180,0),"")</f>
        <v/>
      </c>
      <c r="M180" t="str">
        <f>IF(OR(HLOOKUP(M$2+$A180,Sheet2!CB:NF,$B180,0),HLOOKUP(M$2+$A180,Sheet2!CB:NF,$B180,0)&lt;&gt;""),HLOOKUP(M$2+$A180,Sheet2!CB:NF,$B180,0),"")</f>
        <v/>
      </c>
    </row>
    <row r="181" spans="1:13" x14ac:dyDescent="0.25">
      <c r="A181" s="68">
        <f t="shared" si="29"/>
        <v>5</v>
      </c>
      <c r="B181" s="68">
        <f t="shared" si="30"/>
        <v>27</v>
      </c>
      <c r="C181" s="68">
        <f t="shared" si="28"/>
        <v>2</v>
      </c>
      <c r="D181" s="68">
        <f t="shared" si="31"/>
        <v>23</v>
      </c>
      <c r="E181" s="68">
        <f t="shared" si="32"/>
        <v>111</v>
      </c>
      <c r="F181" s="21" t="str">
        <f>VLOOKUP(D181,Sheet2!A:B,2)</f>
        <v>J18-1076</v>
      </c>
      <c r="G181" s="68" t="str">
        <f>VLOOKUP(F181,Sheet2!B:C,2,0)</f>
        <v>INSTALLATION LEVEL WITH SOUNDER</v>
      </c>
      <c r="H181" s="68" t="str">
        <f>HLOOKUP(I$2+$A181,Sheet2!BX:NB,2,0)</f>
        <v>16-31 Jan 21</v>
      </c>
      <c r="I181" t="str">
        <f>IF(OR(HLOOKUP(I$2+$A181,Sheet2!BX:NB,$B181,0),HLOOKUP(I$2+$A181,Sheet2!BX:NB,$B181,0)&lt;&gt;""),HLOOKUP(I$2+$A181,Sheet2!BX:NB,$B181,0),"")</f>
        <v/>
      </c>
      <c r="J181" t="str">
        <f>IF(OR(HLOOKUP(J$2+$A181,Sheet2!BY:NC,$B181,0),HLOOKUP(J$2+$A181,Sheet2!BY:NC,$B181,0)&lt;&gt;""),HLOOKUP(J$2+$A181,Sheet2!BY:NC,$B181,0),"")</f>
        <v/>
      </c>
      <c r="K181" t="str">
        <f>IF(OR(HLOOKUP(K$2+$A181,Sheet2!BZ:ND,$B181,0),HLOOKUP(K$2+$A181,Sheet2!BZ:ND,$B181,0)&lt;&gt;""),HLOOKUP(K$2+$A181,Sheet2!BZ:ND,$B181,0),"")</f>
        <v/>
      </c>
      <c r="L181" t="str">
        <f>IF(OR(HLOOKUP(L$2+$A181,Sheet2!CA:NE,$B181,0),HLOOKUP(L$2+$A181,Sheet2!CA:NE,$B181,0)&lt;&gt;""),HLOOKUP(L$2+$A181,Sheet2!CA:NE,$B181,0),"")</f>
        <v/>
      </c>
      <c r="M181" t="str">
        <f>IF(OR(HLOOKUP(M$2+$A181,Sheet2!CB:NF,$B181,0),HLOOKUP(M$2+$A181,Sheet2!CB:NF,$B181,0)&lt;&gt;""),HLOOKUP(M$2+$A181,Sheet2!CB:NF,$B181,0),"")</f>
        <v/>
      </c>
    </row>
    <row r="182" spans="1:13" x14ac:dyDescent="0.25">
      <c r="A182" s="68">
        <f t="shared" ref="A182:A245" si="33">IF(C182&lt;&gt;1,A181+5,0)</f>
        <v>10</v>
      </c>
      <c r="B182" s="68">
        <f t="shared" ref="B182:B245" si="34">IF(C182&lt;&gt;1,B181,B181+1)</f>
        <v>27</v>
      </c>
      <c r="C182" s="68">
        <f t="shared" si="28"/>
        <v>3</v>
      </c>
      <c r="D182" s="68">
        <f t="shared" ref="D182:D245" si="35">IF(C182=1,D181+1,D181)</f>
        <v>23</v>
      </c>
      <c r="E182" s="68">
        <f t="shared" si="32"/>
        <v>111</v>
      </c>
      <c r="F182" s="21" t="str">
        <f>VLOOKUP(D182,Sheet2!A:B,2)</f>
        <v>J18-1076</v>
      </c>
      <c r="G182" s="68" t="str">
        <f>VLOOKUP(F182,Sheet2!B:C,2,0)</f>
        <v>INSTALLATION LEVEL WITH SOUNDER</v>
      </c>
      <c r="H182" s="68" t="str">
        <f>HLOOKUP(I$2+$A182,Sheet2!BX:NB,2,0)</f>
        <v>1-15 Feb 21</v>
      </c>
      <c r="I182" t="str">
        <f>IF(OR(HLOOKUP(I$2+$A182,Sheet2!BX:NB,$B182,0),HLOOKUP(I$2+$A182,Sheet2!BX:NB,$B182,0)&lt;&gt;""),HLOOKUP(I$2+$A182,Sheet2!BX:NB,$B182,0),"")</f>
        <v/>
      </c>
      <c r="J182" t="str">
        <f>IF(OR(HLOOKUP(J$2+$A182,Sheet2!BY:NC,$B182,0),HLOOKUP(J$2+$A182,Sheet2!BY:NC,$B182,0)&lt;&gt;""),HLOOKUP(J$2+$A182,Sheet2!BY:NC,$B182,0),"")</f>
        <v/>
      </c>
      <c r="K182" t="str">
        <f>IF(OR(HLOOKUP(K$2+$A182,Sheet2!BZ:ND,$B182,0),HLOOKUP(K$2+$A182,Sheet2!BZ:ND,$B182,0)&lt;&gt;""),HLOOKUP(K$2+$A182,Sheet2!BZ:ND,$B182,0),"")</f>
        <v/>
      </c>
      <c r="L182" t="str">
        <f>IF(OR(HLOOKUP(L$2+$A182,Sheet2!CA:NE,$B182,0),HLOOKUP(L$2+$A182,Sheet2!CA:NE,$B182,0)&lt;&gt;""),HLOOKUP(L$2+$A182,Sheet2!CA:NE,$B182,0),"")</f>
        <v/>
      </c>
      <c r="M182" t="str">
        <f>IF(OR(HLOOKUP(M$2+$A182,Sheet2!CB:NF,$B182,0),HLOOKUP(M$2+$A182,Sheet2!CB:NF,$B182,0)&lt;&gt;""),HLOOKUP(M$2+$A182,Sheet2!CB:NF,$B182,0),"")</f>
        <v/>
      </c>
    </row>
    <row r="183" spans="1:13" x14ac:dyDescent="0.25">
      <c r="A183" s="68">
        <f t="shared" si="33"/>
        <v>15</v>
      </c>
      <c r="B183" s="68">
        <f t="shared" si="34"/>
        <v>27</v>
      </c>
      <c r="C183" s="68">
        <f t="shared" si="28"/>
        <v>4</v>
      </c>
      <c r="D183" s="68">
        <f t="shared" si="35"/>
        <v>23</v>
      </c>
      <c r="E183" s="68">
        <f t="shared" si="32"/>
        <v>111</v>
      </c>
      <c r="F183" s="21" t="str">
        <f>VLOOKUP(D183,Sheet2!A:B,2)</f>
        <v>J18-1076</v>
      </c>
      <c r="G183" s="68" t="str">
        <f>VLOOKUP(F183,Sheet2!B:C,2,0)</f>
        <v>INSTALLATION LEVEL WITH SOUNDER</v>
      </c>
      <c r="H183" s="68" t="str">
        <f>HLOOKUP(I$2+$A183,Sheet2!BX:NB,2,0)</f>
        <v>16-28 Feb 21</v>
      </c>
      <c r="I183" t="str">
        <f>IF(OR(HLOOKUP(I$2+$A183,Sheet2!BX:NB,$B183,0),HLOOKUP(I$2+$A183,Sheet2!BX:NB,$B183,0)&lt;&gt;""),HLOOKUP(I$2+$A183,Sheet2!BX:NB,$B183,0),"")</f>
        <v/>
      </c>
      <c r="J183" t="str">
        <f>IF(OR(HLOOKUP(J$2+$A183,Sheet2!BY:NC,$B183,0),HLOOKUP(J$2+$A183,Sheet2!BY:NC,$B183,0)&lt;&gt;""),HLOOKUP(J$2+$A183,Sheet2!BY:NC,$B183,0),"")</f>
        <v/>
      </c>
      <c r="K183" t="str">
        <f>IF(OR(HLOOKUP(K$2+$A183,Sheet2!BZ:ND,$B183,0),HLOOKUP(K$2+$A183,Sheet2!BZ:ND,$B183,0)&lt;&gt;""),HLOOKUP(K$2+$A183,Sheet2!BZ:ND,$B183,0),"")</f>
        <v/>
      </c>
      <c r="L183" t="str">
        <f>IF(OR(HLOOKUP(L$2+$A183,Sheet2!CA:NE,$B183,0),HLOOKUP(L$2+$A183,Sheet2!CA:NE,$B183,0)&lt;&gt;""),HLOOKUP(L$2+$A183,Sheet2!CA:NE,$B183,0),"")</f>
        <v/>
      </c>
      <c r="M183" t="str">
        <f>IF(OR(HLOOKUP(M$2+$A183,Sheet2!CB:NF,$B183,0),HLOOKUP(M$2+$A183,Sheet2!CB:NF,$B183,0)&lt;&gt;""),HLOOKUP(M$2+$A183,Sheet2!CB:NF,$B183,0),"")</f>
        <v/>
      </c>
    </row>
    <row r="184" spans="1:13" x14ac:dyDescent="0.25">
      <c r="A184" s="68">
        <f t="shared" si="33"/>
        <v>20</v>
      </c>
      <c r="B184" s="68">
        <f t="shared" si="34"/>
        <v>27</v>
      </c>
      <c r="C184" s="68">
        <f t="shared" si="28"/>
        <v>5</v>
      </c>
      <c r="D184" s="68">
        <f t="shared" si="35"/>
        <v>23</v>
      </c>
      <c r="E184" s="68">
        <f t="shared" si="32"/>
        <v>111</v>
      </c>
      <c r="F184" s="21" t="str">
        <f>VLOOKUP(D184,Sheet2!A:B,2)</f>
        <v>J18-1076</v>
      </c>
      <c r="G184" s="68" t="str">
        <f>VLOOKUP(F184,Sheet2!B:C,2,0)</f>
        <v>INSTALLATION LEVEL WITH SOUNDER</v>
      </c>
      <c r="H184" s="68" t="str">
        <f>HLOOKUP(I$2+$A184,Sheet2!BX:NB,2,0)</f>
        <v>1-15 Mar 2021</v>
      </c>
      <c r="I184" t="str">
        <f>IF(OR(HLOOKUP(I$2+$A184,Sheet2!BX:NB,$B184,0),HLOOKUP(I$2+$A184,Sheet2!BX:NB,$B184,0)&lt;&gt;""),HLOOKUP(I$2+$A184,Sheet2!BX:NB,$B184,0),"")</f>
        <v/>
      </c>
      <c r="J184" t="str">
        <f>IF(OR(HLOOKUP(J$2+$A184,Sheet2!BY:NC,$B184,0),HLOOKUP(J$2+$A184,Sheet2!BY:NC,$B184,0)&lt;&gt;""),HLOOKUP(J$2+$A184,Sheet2!BY:NC,$B184,0),"")</f>
        <v/>
      </c>
      <c r="K184" t="str">
        <f>IF(OR(HLOOKUP(K$2+$A184,Sheet2!BZ:ND,$B184,0),HLOOKUP(K$2+$A184,Sheet2!BZ:ND,$B184,0)&lt;&gt;""),HLOOKUP(K$2+$A184,Sheet2!BZ:ND,$B184,0),"")</f>
        <v/>
      </c>
      <c r="L184" t="str">
        <f>IF(OR(HLOOKUP(L$2+$A184,Sheet2!CA:NE,$B184,0),HLOOKUP(L$2+$A184,Sheet2!CA:NE,$B184,0)&lt;&gt;""),HLOOKUP(L$2+$A184,Sheet2!CA:NE,$B184,0),"")</f>
        <v/>
      </c>
      <c r="M184" t="str">
        <f>IF(OR(HLOOKUP(M$2+$A184,Sheet2!CB:NF,$B184,0),HLOOKUP(M$2+$A184,Sheet2!CB:NF,$B184,0)&lt;&gt;""),HLOOKUP(M$2+$A184,Sheet2!CB:NF,$B184,0),"")</f>
        <v/>
      </c>
    </row>
    <row r="185" spans="1:13" x14ac:dyDescent="0.25">
      <c r="A185" s="68">
        <f t="shared" si="33"/>
        <v>25</v>
      </c>
      <c r="B185" s="68">
        <f t="shared" si="34"/>
        <v>27</v>
      </c>
      <c r="C185" s="68">
        <f t="shared" si="28"/>
        <v>6</v>
      </c>
      <c r="D185" s="68">
        <f t="shared" si="35"/>
        <v>23</v>
      </c>
      <c r="E185" s="68">
        <f t="shared" si="32"/>
        <v>111</v>
      </c>
      <c r="F185" s="21" t="str">
        <f>VLOOKUP(D185,Sheet2!A:B,2)</f>
        <v>J18-1076</v>
      </c>
      <c r="G185" s="68" t="str">
        <f>VLOOKUP(F185,Sheet2!B:C,2,0)</f>
        <v>INSTALLATION LEVEL WITH SOUNDER</v>
      </c>
      <c r="H185" s="68" t="str">
        <f>HLOOKUP(I$2+$A185,Sheet2!BX:NB,2,0)</f>
        <v>16-31 Mar 21</v>
      </c>
      <c r="I185" t="str">
        <f>IF(OR(HLOOKUP(I$2+$A185,Sheet2!BX:NB,$B185,0),HLOOKUP(I$2+$A185,Sheet2!BX:NB,$B185,0)&lt;&gt;""),HLOOKUP(I$2+$A185,Sheet2!BX:NB,$B185,0),"")</f>
        <v/>
      </c>
      <c r="J185" t="str">
        <f>IF(OR(HLOOKUP(J$2+$A185,Sheet2!BY:NC,$B185,0),HLOOKUP(J$2+$A185,Sheet2!BY:NC,$B185,0)&lt;&gt;""),HLOOKUP(J$2+$A185,Sheet2!BY:NC,$B185,0),"")</f>
        <v/>
      </c>
      <c r="K185" t="str">
        <f>IF(OR(HLOOKUP(K$2+$A185,Sheet2!BZ:ND,$B185,0),HLOOKUP(K$2+$A185,Sheet2!BZ:ND,$B185,0)&lt;&gt;""),HLOOKUP(K$2+$A185,Sheet2!BZ:ND,$B185,0),"")</f>
        <v/>
      </c>
      <c r="L185" t="str">
        <f>IF(OR(HLOOKUP(L$2+$A185,Sheet2!CA:NE,$B185,0),HLOOKUP(L$2+$A185,Sheet2!CA:NE,$B185,0)&lt;&gt;""),HLOOKUP(L$2+$A185,Sheet2!CA:NE,$B185,0),"")</f>
        <v/>
      </c>
      <c r="M185" t="str">
        <f>IF(OR(HLOOKUP(M$2+$A185,Sheet2!CB:NF,$B185,0),HLOOKUP(M$2+$A185,Sheet2!CB:NF,$B185,0)&lt;&gt;""),HLOOKUP(M$2+$A185,Sheet2!CB:NF,$B185,0),"")</f>
        <v/>
      </c>
    </row>
    <row r="186" spans="1:13" x14ac:dyDescent="0.25">
      <c r="A186" s="68">
        <f t="shared" si="33"/>
        <v>30</v>
      </c>
      <c r="B186" s="68">
        <f t="shared" si="34"/>
        <v>27</v>
      </c>
      <c r="C186" s="68">
        <f t="shared" si="28"/>
        <v>7</v>
      </c>
      <c r="D186" s="68">
        <f t="shared" si="35"/>
        <v>23</v>
      </c>
      <c r="E186" s="68">
        <f t="shared" si="32"/>
        <v>111</v>
      </c>
      <c r="F186" s="21" t="str">
        <f>VLOOKUP(D186,Sheet2!A:B,2)</f>
        <v>J18-1076</v>
      </c>
      <c r="G186" s="68" t="str">
        <f>VLOOKUP(F186,Sheet2!B:C,2,0)</f>
        <v>INSTALLATION LEVEL WITH SOUNDER</v>
      </c>
      <c r="H186" s="68" t="str">
        <f>HLOOKUP(I$2+$A186,Sheet2!BX:NB,2,0)</f>
        <v>1-15 April 21</v>
      </c>
      <c r="I186" t="str">
        <f>IF(OR(HLOOKUP(I$2+$A186,Sheet2!BX:NB,$B186,0),HLOOKUP(I$2+$A186,Sheet2!BX:NB,$B186,0)&lt;&gt;""),HLOOKUP(I$2+$A186,Sheet2!BX:NB,$B186,0),"")</f>
        <v/>
      </c>
      <c r="J186" t="str">
        <f>IF(OR(HLOOKUP(J$2+$A186,Sheet2!BY:NC,$B186,0),HLOOKUP(J$2+$A186,Sheet2!BY:NC,$B186,0)&lt;&gt;""),HLOOKUP(J$2+$A186,Sheet2!BY:NC,$B186,0),"")</f>
        <v/>
      </c>
      <c r="K186" t="str">
        <f>IF(OR(HLOOKUP(K$2+$A186,Sheet2!BZ:ND,$B186,0),HLOOKUP(K$2+$A186,Sheet2!BZ:ND,$B186,0)&lt;&gt;""),HLOOKUP(K$2+$A186,Sheet2!BZ:ND,$B186,0),"")</f>
        <v/>
      </c>
      <c r="L186" t="str">
        <f>IF(OR(HLOOKUP(L$2+$A186,Sheet2!CA:NE,$B186,0),HLOOKUP(L$2+$A186,Sheet2!CA:NE,$B186,0)&lt;&gt;""),HLOOKUP(L$2+$A186,Sheet2!CA:NE,$B186,0),"")</f>
        <v/>
      </c>
      <c r="M186" t="str">
        <f>IF(OR(HLOOKUP(M$2+$A186,Sheet2!CB:NF,$B186,0),HLOOKUP(M$2+$A186,Sheet2!CB:NF,$B186,0)&lt;&gt;""),HLOOKUP(M$2+$A186,Sheet2!CB:NF,$B186,0),"")</f>
        <v/>
      </c>
    </row>
    <row r="187" spans="1:13" x14ac:dyDescent="0.25">
      <c r="A187" s="68">
        <f t="shared" si="33"/>
        <v>35</v>
      </c>
      <c r="B187" s="68">
        <f t="shared" si="34"/>
        <v>27</v>
      </c>
      <c r="C187" s="68">
        <f t="shared" si="28"/>
        <v>8</v>
      </c>
      <c r="D187" s="68">
        <f t="shared" si="35"/>
        <v>23</v>
      </c>
      <c r="E187" s="68">
        <f t="shared" si="32"/>
        <v>111</v>
      </c>
      <c r="F187" s="21" t="str">
        <f>VLOOKUP(D187,Sheet2!A:B,2)</f>
        <v>J18-1076</v>
      </c>
      <c r="G187" s="68" t="str">
        <f>VLOOKUP(F187,Sheet2!B:C,2,0)</f>
        <v>INSTALLATION LEVEL WITH SOUNDER</v>
      </c>
      <c r="H187" s="68" t="str">
        <f>HLOOKUP(I$2+$A187,Sheet2!BX:NB,2,0)</f>
        <v>16-30 April 21</v>
      </c>
      <c r="I187" t="str">
        <f>IF(OR(HLOOKUP(I$2+$A187,Sheet2!BX:NB,$B187,0),HLOOKUP(I$2+$A187,Sheet2!BX:NB,$B187,0)&lt;&gt;""),HLOOKUP(I$2+$A187,Sheet2!BX:NB,$B187,0),"")</f>
        <v/>
      </c>
      <c r="J187" t="str">
        <f>IF(OR(HLOOKUP(J$2+$A187,Sheet2!BY:NC,$B187,0),HLOOKUP(J$2+$A187,Sheet2!BY:NC,$B187,0)&lt;&gt;""),HLOOKUP(J$2+$A187,Sheet2!BY:NC,$B187,0),"")</f>
        <v/>
      </c>
      <c r="K187" t="str">
        <f>IF(OR(HLOOKUP(K$2+$A187,Sheet2!BZ:ND,$B187,0),HLOOKUP(K$2+$A187,Sheet2!BZ:ND,$B187,0)&lt;&gt;""),HLOOKUP(K$2+$A187,Sheet2!BZ:ND,$B187,0),"")</f>
        <v/>
      </c>
      <c r="L187" t="str">
        <f>IF(OR(HLOOKUP(L$2+$A187,Sheet2!CA:NE,$B187,0),HLOOKUP(L$2+$A187,Sheet2!CA:NE,$B187,0)&lt;&gt;""),HLOOKUP(L$2+$A187,Sheet2!CA:NE,$B187,0),"")</f>
        <v/>
      </c>
      <c r="M187" t="str">
        <f>IF(OR(HLOOKUP(M$2+$A187,Sheet2!CB:NF,$B187,0),HLOOKUP(M$2+$A187,Sheet2!CB:NF,$B187,0)&lt;&gt;""),HLOOKUP(M$2+$A187,Sheet2!CB:NF,$B187,0),"")</f>
        <v/>
      </c>
    </row>
    <row r="188" spans="1:13" x14ac:dyDescent="0.25">
      <c r="A188" s="68">
        <f t="shared" si="33"/>
        <v>0</v>
      </c>
      <c r="B188" s="68">
        <f t="shared" si="34"/>
        <v>28</v>
      </c>
      <c r="C188" s="68">
        <f t="shared" si="28"/>
        <v>1</v>
      </c>
      <c r="D188" s="68">
        <f t="shared" si="35"/>
        <v>24</v>
      </c>
      <c r="E188" s="68">
        <f t="shared" si="32"/>
        <v>116</v>
      </c>
      <c r="F188" s="21" t="str">
        <f>VLOOKUP(D188,Sheet2!A:B,2)</f>
        <v>J19-0567</v>
      </c>
      <c r="G188" s="68" t="str">
        <f>VLOOKUP(F188,Sheet2!B:C,2,0)</f>
        <v>HMC</v>
      </c>
      <c r="H188" s="68" t="str">
        <f>HLOOKUP(I$2+$A188,Sheet2!BX:NB,2,0)</f>
        <v>1-15 Jan 21</v>
      </c>
      <c r="I188" t="str">
        <f>IF(OR(HLOOKUP(I$2+$A188,Sheet2!BX:NB,$B188,0),HLOOKUP(I$2+$A188,Sheet2!BX:NB,$B188,0)&lt;&gt;""),HLOOKUP(I$2+$A188,Sheet2!BX:NB,$B188,0),"")</f>
        <v/>
      </c>
      <c r="J188" t="str">
        <f>IF(OR(HLOOKUP(J$2+$A188,Sheet2!BY:NC,$B188,0),HLOOKUP(J$2+$A188,Sheet2!BY:NC,$B188,0)&lt;&gt;""),HLOOKUP(J$2+$A188,Sheet2!BY:NC,$B188,0),"")</f>
        <v/>
      </c>
      <c r="K188" t="str">
        <f>IF(OR(HLOOKUP(K$2+$A188,Sheet2!BZ:ND,$B188,0),HLOOKUP(K$2+$A188,Sheet2!BZ:ND,$B188,0)&lt;&gt;""),HLOOKUP(K$2+$A188,Sheet2!BZ:ND,$B188,0),"")</f>
        <v/>
      </c>
      <c r="L188" t="str">
        <f>IF(OR(HLOOKUP(L$2+$A188,Sheet2!CA:NE,$B188,0),HLOOKUP(L$2+$A188,Sheet2!CA:NE,$B188,0)&lt;&gt;""),HLOOKUP(L$2+$A188,Sheet2!CA:NE,$B188,0),"")</f>
        <v/>
      </c>
      <c r="M188" t="str">
        <f>IF(OR(HLOOKUP(M$2+$A188,Sheet2!CB:NF,$B188,0),HLOOKUP(M$2+$A188,Sheet2!CB:NF,$B188,0)&lt;&gt;""),HLOOKUP(M$2+$A188,Sheet2!CB:NF,$B188,0),"")</f>
        <v/>
      </c>
    </row>
    <row r="189" spans="1:13" x14ac:dyDescent="0.25">
      <c r="A189" s="68">
        <f t="shared" si="33"/>
        <v>5</v>
      </c>
      <c r="B189" s="68">
        <f t="shared" si="34"/>
        <v>28</v>
      </c>
      <c r="C189" s="68">
        <f t="shared" si="28"/>
        <v>2</v>
      </c>
      <c r="D189" s="68">
        <f t="shared" si="35"/>
        <v>24</v>
      </c>
      <c r="E189" s="68">
        <f t="shared" si="32"/>
        <v>116</v>
      </c>
      <c r="F189" s="21" t="str">
        <f>VLOOKUP(D189,Sheet2!A:B,2)</f>
        <v>J19-0567</v>
      </c>
      <c r="G189" s="68" t="str">
        <f>VLOOKUP(F189,Sheet2!B:C,2,0)</f>
        <v>HMC</v>
      </c>
      <c r="H189" s="68" t="str">
        <f>HLOOKUP(I$2+$A189,Sheet2!BX:NB,2,0)</f>
        <v>16-31 Jan 21</v>
      </c>
      <c r="I189" t="str">
        <f>IF(OR(HLOOKUP(I$2+$A189,Sheet2!BX:NB,$B189,0),HLOOKUP(I$2+$A189,Sheet2!BX:NB,$B189,0)&lt;&gt;""),HLOOKUP(I$2+$A189,Sheet2!BX:NB,$B189,0),"")</f>
        <v/>
      </c>
      <c r="J189" t="str">
        <f>IF(OR(HLOOKUP(J$2+$A189,Sheet2!BY:NC,$B189,0),HLOOKUP(J$2+$A189,Sheet2!BY:NC,$B189,0)&lt;&gt;""),HLOOKUP(J$2+$A189,Sheet2!BY:NC,$B189,0),"")</f>
        <v/>
      </c>
      <c r="K189" t="str">
        <f>IF(OR(HLOOKUP(K$2+$A189,Sheet2!BZ:ND,$B189,0),HLOOKUP(K$2+$A189,Sheet2!BZ:ND,$B189,0)&lt;&gt;""),HLOOKUP(K$2+$A189,Sheet2!BZ:ND,$B189,0),"")</f>
        <v/>
      </c>
      <c r="L189" t="str">
        <f>IF(OR(HLOOKUP(L$2+$A189,Sheet2!CA:NE,$B189,0),HLOOKUP(L$2+$A189,Sheet2!CA:NE,$B189,0)&lt;&gt;""),HLOOKUP(L$2+$A189,Sheet2!CA:NE,$B189,0),"")</f>
        <v/>
      </c>
      <c r="M189" t="str">
        <f>IF(OR(HLOOKUP(M$2+$A189,Sheet2!CB:NF,$B189,0),HLOOKUP(M$2+$A189,Sheet2!CB:NF,$B189,0)&lt;&gt;""),HLOOKUP(M$2+$A189,Sheet2!CB:NF,$B189,0),"")</f>
        <v/>
      </c>
    </row>
    <row r="190" spans="1:13" x14ac:dyDescent="0.25">
      <c r="A190" s="68">
        <f t="shared" si="33"/>
        <v>10</v>
      </c>
      <c r="B190" s="68">
        <f t="shared" si="34"/>
        <v>28</v>
      </c>
      <c r="C190" s="68">
        <f t="shared" si="28"/>
        <v>3</v>
      </c>
      <c r="D190" s="68">
        <f t="shared" si="35"/>
        <v>24</v>
      </c>
      <c r="E190" s="68">
        <f t="shared" si="32"/>
        <v>116</v>
      </c>
      <c r="F190" s="21" t="str">
        <f>VLOOKUP(D190,Sheet2!A:B,2)</f>
        <v>J19-0567</v>
      </c>
      <c r="G190" s="68" t="str">
        <f>VLOOKUP(F190,Sheet2!B:C,2,0)</f>
        <v>HMC</v>
      </c>
      <c r="H190" s="68" t="str">
        <f>HLOOKUP(I$2+$A190,Sheet2!BX:NB,2,0)</f>
        <v>1-15 Feb 21</v>
      </c>
      <c r="I190" t="str">
        <f>IF(OR(HLOOKUP(I$2+$A190,Sheet2!BX:NB,$B190,0),HLOOKUP(I$2+$A190,Sheet2!BX:NB,$B190,0)&lt;&gt;""),HLOOKUP(I$2+$A190,Sheet2!BX:NB,$B190,0),"")</f>
        <v/>
      </c>
      <c r="J190" t="str">
        <f>IF(OR(HLOOKUP(J$2+$A190,Sheet2!BY:NC,$B190,0),HLOOKUP(J$2+$A190,Sheet2!BY:NC,$B190,0)&lt;&gt;""),HLOOKUP(J$2+$A190,Sheet2!BY:NC,$B190,0),"")</f>
        <v/>
      </c>
      <c r="K190" t="str">
        <f>IF(OR(HLOOKUP(K$2+$A190,Sheet2!BZ:ND,$B190,0),HLOOKUP(K$2+$A190,Sheet2!BZ:ND,$B190,0)&lt;&gt;""),HLOOKUP(K$2+$A190,Sheet2!BZ:ND,$B190,0),"")</f>
        <v/>
      </c>
      <c r="L190" t="str">
        <f>IF(OR(HLOOKUP(L$2+$A190,Sheet2!CA:NE,$B190,0),HLOOKUP(L$2+$A190,Sheet2!CA:NE,$B190,0)&lt;&gt;""),HLOOKUP(L$2+$A190,Sheet2!CA:NE,$B190,0),"")</f>
        <v/>
      </c>
      <c r="M190" t="str">
        <f>IF(OR(HLOOKUP(M$2+$A190,Sheet2!CB:NF,$B190,0),HLOOKUP(M$2+$A190,Sheet2!CB:NF,$B190,0)&lt;&gt;""),HLOOKUP(M$2+$A190,Sheet2!CB:NF,$B190,0),"")</f>
        <v/>
      </c>
    </row>
    <row r="191" spans="1:13" x14ac:dyDescent="0.25">
      <c r="A191" s="68">
        <f t="shared" si="33"/>
        <v>15</v>
      </c>
      <c r="B191" s="68">
        <f t="shared" si="34"/>
        <v>28</v>
      </c>
      <c r="C191" s="68">
        <f t="shared" si="28"/>
        <v>4</v>
      </c>
      <c r="D191" s="68">
        <f t="shared" si="35"/>
        <v>24</v>
      </c>
      <c r="E191" s="68">
        <f t="shared" si="32"/>
        <v>116</v>
      </c>
      <c r="F191" s="21" t="str">
        <f>VLOOKUP(D191,Sheet2!A:B,2)</f>
        <v>J19-0567</v>
      </c>
      <c r="G191" s="68" t="str">
        <f>VLOOKUP(F191,Sheet2!B:C,2,0)</f>
        <v>HMC</v>
      </c>
      <c r="H191" s="68" t="str">
        <f>HLOOKUP(I$2+$A191,Sheet2!BX:NB,2,0)</f>
        <v>16-28 Feb 21</v>
      </c>
      <c r="I191" t="str">
        <f>IF(OR(HLOOKUP(I$2+$A191,Sheet2!BX:NB,$B191,0),HLOOKUP(I$2+$A191,Sheet2!BX:NB,$B191,0)&lt;&gt;""),HLOOKUP(I$2+$A191,Sheet2!BX:NB,$B191,0),"")</f>
        <v/>
      </c>
      <c r="J191" t="str">
        <f>IF(OR(HLOOKUP(J$2+$A191,Sheet2!BY:NC,$B191,0),HLOOKUP(J$2+$A191,Sheet2!BY:NC,$B191,0)&lt;&gt;""),HLOOKUP(J$2+$A191,Sheet2!BY:NC,$B191,0),"")</f>
        <v/>
      </c>
      <c r="K191" t="str">
        <f>IF(OR(HLOOKUP(K$2+$A191,Sheet2!BZ:ND,$B191,0),HLOOKUP(K$2+$A191,Sheet2!BZ:ND,$B191,0)&lt;&gt;""),HLOOKUP(K$2+$A191,Sheet2!BZ:ND,$B191,0),"")</f>
        <v/>
      </c>
      <c r="L191" t="str">
        <f>IF(OR(HLOOKUP(L$2+$A191,Sheet2!CA:NE,$B191,0),HLOOKUP(L$2+$A191,Sheet2!CA:NE,$B191,0)&lt;&gt;""),HLOOKUP(L$2+$A191,Sheet2!CA:NE,$B191,0),"")</f>
        <v/>
      </c>
      <c r="M191" t="str">
        <f>IF(OR(HLOOKUP(M$2+$A191,Sheet2!CB:NF,$B191,0),HLOOKUP(M$2+$A191,Sheet2!CB:NF,$B191,0)&lt;&gt;""),HLOOKUP(M$2+$A191,Sheet2!CB:NF,$B191,0),"")</f>
        <v/>
      </c>
    </row>
    <row r="192" spans="1:13" x14ac:dyDescent="0.25">
      <c r="A192" s="68">
        <f t="shared" si="33"/>
        <v>20</v>
      </c>
      <c r="B192" s="68">
        <f t="shared" si="34"/>
        <v>28</v>
      </c>
      <c r="C192" s="68">
        <f t="shared" si="28"/>
        <v>5</v>
      </c>
      <c r="D192" s="68">
        <f t="shared" si="35"/>
        <v>24</v>
      </c>
      <c r="E192" s="68">
        <f t="shared" si="32"/>
        <v>116</v>
      </c>
      <c r="F192" s="21" t="str">
        <f>VLOOKUP(D192,Sheet2!A:B,2)</f>
        <v>J19-0567</v>
      </c>
      <c r="G192" s="68" t="str">
        <f>VLOOKUP(F192,Sheet2!B:C,2,0)</f>
        <v>HMC</v>
      </c>
      <c r="H192" s="68" t="str">
        <f>HLOOKUP(I$2+$A192,Sheet2!BX:NB,2,0)</f>
        <v>1-15 Mar 2021</v>
      </c>
      <c r="I192" t="str">
        <f>IF(OR(HLOOKUP(I$2+$A192,Sheet2!BX:NB,$B192,0),HLOOKUP(I$2+$A192,Sheet2!BX:NB,$B192,0)&lt;&gt;""),HLOOKUP(I$2+$A192,Sheet2!BX:NB,$B192,0),"")</f>
        <v/>
      </c>
      <c r="J192" t="str">
        <f>IF(OR(HLOOKUP(J$2+$A192,Sheet2!BY:NC,$B192,0),HLOOKUP(J$2+$A192,Sheet2!BY:NC,$B192,0)&lt;&gt;""),HLOOKUP(J$2+$A192,Sheet2!BY:NC,$B192,0),"")</f>
        <v/>
      </c>
      <c r="K192" t="str">
        <f>IF(OR(HLOOKUP(K$2+$A192,Sheet2!BZ:ND,$B192,0),HLOOKUP(K$2+$A192,Sheet2!BZ:ND,$B192,0)&lt;&gt;""),HLOOKUP(K$2+$A192,Sheet2!BZ:ND,$B192,0),"")</f>
        <v/>
      </c>
      <c r="L192" t="str">
        <f>IF(OR(HLOOKUP(L$2+$A192,Sheet2!CA:NE,$B192,0),HLOOKUP(L$2+$A192,Sheet2!CA:NE,$B192,0)&lt;&gt;""),HLOOKUP(L$2+$A192,Sheet2!CA:NE,$B192,0),"")</f>
        <v/>
      </c>
      <c r="M192" t="str">
        <f>IF(OR(HLOOKUP(M$2+$A192,Sheet2!CB:NF,$B192,0),HLOOKUP(M$2+$A192,Sheet2!CB:NF,$B192,0)&lt;&gt;""),HLOOKUP(M$2+$A192,Sheet2!CB:NF,$B192,0),"")</f>
        <v/>
      </c>
    </row>
    <row r="193" spans="1:13" x14ac:dyDescent="0.25">
      <c r="A193" s="68">
        <f t="shared" si="33"/>
        <v>25</v>
      </c>
      <c r="B193" s="68">
        <f t="shared" si="34"/>
        <v>28</v>
      </c>
      <c r="C193" s="68">
        <f t="shared" si="28"/>
        <v>6</v>
      </c>
      <c r="D193" s="68">
        <f t="shared" si="35"/>
        <v>24</v>
      </c>
      <c r="E193" s="68">
        <f t="shared" si="32"/>
        <v>116</v>
      </c>
      <c r="F193" s="21" t="str">
        <f>VLOOKUP(D193,Sheet2!A:B,2)</f>
        <v>J19-0567</v>
      </c>
      <c r="G193" s="68" t="str">
        <f>VLOOKUP(F193,Sheet2!B:C,2,0)</f>
        <v>HMC</v>
      </c>
      <c r="H193" s="68" t="str">
        <f>HLOOKUP(I$2+$A193,Sheet2!BX:NB,2,0)</f>
        <v>16-31 Mar 21</v>
      </c>
      <c r="I193" t="str">
        <f>IF(OR(HLOOKUP(I$2+$A193,Sheet2!BX:NB,$B193,0),HLOOKUP(I$2+$A193,Sheet2!BX:NB,$B193,0)&lt;&gt;""),HLOOKUP(I$2+$A193,Sheet2!BX:NB,$B193,0),"")</f>
        <v/>
      </c>
      <c r="J193" t="str">
        <f>IF(OR(HLOOKUP(J$2+$A193,Sheet2!BY:NC,$B193,0),HLOOKUP(J$2+$A193,Sheet2!BY:NC,$B193,0)&lt;&gt;""),HLOOKUP(J$2+$A193,Sheet2!BY:NC,$B193,0),"")</f>
        <v/>
      </c>
      <c r="K193" t="str">
        <f>IF(OR(HLOOKUP(K$2+$A193,Sheet2!BZ:ND,$B193,0),HLOOKUP(K$2+$A193,Sheet2!BZ:ND,$B193,0)&lt;&gt;""),HLOOKUP(K$2+$A193,Sheet2!BZ:ND,$B193,0),"")</f>
        <v/>
      </c>
      <c r="L193" t="str">
        <f>IF(OR(HLOOKUP(L$2+$A193,Sheet2!CA:NE,$B193,0),HLOOKUP(L$2+$A193,Sheet2!CA:NE,$B193,0)&lt;&gt;""),HLOOKUP(L$2+$A193,Sheet2!CA:NE,$B193,0),"")</f>
        <v/>
      </c>
      <c r="M193" t="str">
        <f>IF(OR(HLOOKUP(M$2+$A193,Sheet2!CB:NF,$B193,0),HLOOKUP(M$2+$A193,Sheet2!CB:NF,$B193,0)&lt;&gt;""),HLOOKUP(M$2+$A193,Sheet2!CB:NF,$B193,0),"")</f>
        <v/>
      </c>
    </row>
    <row r="194" spans="1:13" x14ac:dyDescent="0.25">
      <c r="A194" s="68">
        <f t="shared" si="33"/>
        <v>30</v>
      </c>
      <c r="B194" s="68">
        <f t="shared" si="34"/>
        <v>28</v>
      </c>
      <c r="C194" s="68">
        <f t="shared" si="28"/>
        <v>7</v>
      </c>
      <c r="D194" s="68">
        <f t="shared" si="35"/>
        <v>24</v>
      </c>
      <c r="E194" s="68">
        <f t="shared" si="32"/>
        <v>116</v>
      </c>
      <c r="F194" s="21" t="str">
        <f>VLOOKUP(D194,Sheet2!A:B,2)</f>
        <v>J19-0567</v>
      </c>
      <c r="G194" s="68" t="str">
        <f>VLOOKUP(F194,Sheet2!B:C,2,0)</f>
        <v>HMC</v>
      </c>
      <c r="H194" s="68" t="str">
        <f>HLOOKUP(I$2+$A194,Sheet2!BX:NB,2,0)</f>
        <v>1-15 April 21</v>
      </c>
      <c r="I194" t="str">
        <f>IF(OR(HLOOKUP(I$2+$A194,Sheet2!BX:NB,$B194,0),HLOOKUP(I$2+$A194,Sheet2!BX:NB,$B194,0)&lt;&gt;""),HLOOKUP(I$2+$A194,Sheet2!BX:NB,$B194,0),"")</f>
        <v/>
      </c>
      <c r="J194" t="str">
        <f>IF(OR(HLOOKUP(J$2+$A194,Sheet2!BY:NC,$B194,0),HLOOKUP(J$2+$A194,Sheet2!BY:NC,$B194,0)&lt;&gt;""),HLOOKUP(J$2+$A194,Sheet2!BY:NC,$B194,0),"")</f>
        <v/>
      </c>
      <c r="K194" t="str">
        <f>IF(OR(HLOOKUP(K$2+$A194,Sheet2!BZ:ND,$B194,0),HLOOKUP(K$2+$A194,Sheet2!BZ:ND,$B194,0)&lt;&gt;""),HLOOKUP(K$2+$A194,Sheet2!BZ:ND,$B194,0),"")</f>
        <v/>
      </c>
      <c r="L194" t="str">
        <f>IF(OR(HLOOKUP(L$2+$A194,Sheet2!CA:NE,$B194,0),HLOOKUP(L$2+$A194,Sheet2!CA:NE,$B194,0)&lt;&gt;""),HLOOKUP(L$2+$A194,Sheet2!CA:NE,$B194,0),"")</f>
        <v/>
      </c>
      <c r="M194" t="str">
        <f>IF(OR(HLOOKUP(M$2+$A194,Sheet2!CB:NF,$B194,0),HLOOKUP(M$2+$A194,Sheet2!CB:NF,$B194,0)&lt;&gt;""),HLOOKUP(M$2+$A194,Sheet2!CB:NF,$B194,0),"")</f>
        <v/>
      </c>
    </row>
    <row r="195" spans="1:13" x14ac:dyDescent="0.25">
      <c r="A195" s="68">
        <f t="shared" si="33"/>
        <v>35</v>
      </c>
      <c r="B195" s="68">
        <f t="shared" si="34"/>
        <v>28</v>
      </c>
      <c r="C195" s="68">
        <f t="shared" si="28"/>
        <v>8</v>
      </c>
      <c r="D195" s="68">
        <f t="shared" si="35"/>
        <v>24</v>
      </c>
      <c r="E195" s="68">
        <f t="shared" si="32"/>
        <v>116</v>
      </c>
      <c r="F195" s="21" t="str">
        <f>VLOOKUP(D195,Sheet2!A:B,2)</f>
        <v>J19-0567</v>
      </c>
      <c r="G195" s="68" t="str">
        <f>VLOOKUP(F195,Sheet2!B:C,2,0)</f>
        <v>HMC</v>
      </c>
      <c r="H195" s="68" t="str">
        <f>HLOOKUP(I$2+$A195,Sheet2!BX:NB,2,0)</f>
        <v>16-30 April 21</v>
      </c>
      <c r="I195" t="str">
        <f>IF(OR(HLOOKUP(I$2+$A195,Sheet2!BX:NB,$B195,0),HLOOKUP(I$2+$A195,Sheet2!BX:NB,$B195,0)&lt;&gt;""),HLOOKUP(I$2+$A195,Sheet2!BX:NB,$B195,0),"")</f>
        <v/>
      </c>
      <c r="J195" t="str">
        <f>IF(OR(HLOOKUP(J$2+$A195,Sheet2!BY:NC,$B195,0),HLOOKUP(J$2+$A195,Sheet2!BY:NC,$B195,0)&lt;&gt;""),HLOOKUP(J$2+$A195,Sheet2!BY:NC,$B195,0),"")</f>
        <v/>
      </c>
      <c r="K195" t="str">
        <f>IF(OR(HLOOKUP(K$2+$A195,Sheet2!BZ:ND,$B195,0),HLOOKUP(K$2+$A195,Sheet2!BZ:ND,$B195,0)&lt;&gt;""),HLOOKUP(K$2+$A195,Sheet2!BZ:ND,$B195,0),"")</f>
        <v/>
      </c>
      <c r="L195" t="str">
        <f>IF(OR(HLOOKUP(L$2+$A195,Sheet2!CA:NE,$B195,0),HLOOKUP(L$2+$A195,Sheet2!CA:NE,$B195,0)&lt;&gt;""),HLOOKUP(L$2+$A195,Sheet2!CA:NE,$B195,0),"")</f>
        <v/>
      </c>
      <c r="M195" t="str">
        <f>IF(OR(HLOOKUP(M$2+$A195,Sheet2!CB:NF,$B195,0),HLOOKUP(M$2+$A195,Sheet2!CB:NF,$B195,0)&lt;&gt;""),HLOOKUP(M$2+$A195,Sheet2!CB:NF,$B195,0),"")</f>
        <v/>
      </c>
    </row>
    <row r="196" spans="1:13" x14ac:dyDescent="0.25">
      <c r="A196" s="68">
        <f t="shared" si="33"/>
        <v>0</v>
      </c>
      <c r="B196" s="68">
        <f t="shared" si="34"/>
        <v>29</v>
      </c>
      <c r="C196" s="68">
        <f t="shared" si="28"/>
        <v>1</v>
      </c>
      <c r="D196" s="68">
        <f t="shared" si="35"/>
        <v>25</v>
      </c>
      <c r="E196" s="68">
        <f t="shared" si="32"/>
        <v>121</v>
      </c>
      <c r="F196" s="21" t="str">
        <f>VLOOKUP(D196,Sheet2!A:B,2)</f>
        <v>J19-0762</v>
      </c>
      <c r="G196" s="68" t="str">
        <f>VLOOKUP(F196,Sheet2!B:C,2,0)</f>
        <v>Covestro</v>
      </c>
      <c r="H196" s="68" t="str">
        <f>HLOOKUP(I$2+$A196,Sheet2!BX:NB,2,0)</f>
        <v>1-15 Jan 21</v>
      </c>
      <c r="I196" t="str">
        <f>IF(OR(HLOOKUP(I$2+$A196,Sheet2!BX:NB,$B196,0),HLOOKUP(I$2+$A196,Sheet2!BX:NB,$B196,0)&lt;&gt;""),HLOOKUP(I$2+$A196,Sheet2!BX:NB,$B196,0),"")</f>
        <v/>
      </c>
      <c r="J196" t="str">
        <f>IF(OR(HLOOKUP(J$2+$A196,Sheet2!BY:NC,$B196,0),HLOOKUP(J$2+$A196,Sheet2!BY:NC,$B196,0)&lt;&gt;""),HLOOKUP(J$2+$A196,Sheet2!BY:NC,$B196,0),"")</f>
        <v/>
      </c>
      <c r="K196" t="str">
        <f>IF(OR(HLOOKUP(K$2+$A196,Sheet2!BZ:ND,$B196,0),HLOOKUP(K$2+$A196,Sheet2!BZ:ND,$B196,0)&lt;&gt;""),HLOOKUP(K$2+$A196,Sheet2!BZ:ND,$B196,0),"")</f>
        <v/>
      </c>
      <c r="L196" t="str">
        <f>IF(OR(HLOOKUP(L$2+$A196,Sheet2!CA:NE,$B196,0),HLOOKUP(L$2+$A196,Sheet2!CA:NE,$B196,0)&lt;&gt;""),HLOOKUP(L$2+$A196,Sheet2!CA:NE,$B196,0),"")</f>
        <v/>
      </c>
      <c r="M196" t="str">
        <f>IF(OR(HLOOKUP(M$2+$A196,Sheet2!CB:NF,$B196,0),HLOOKUP(M$2+$A196,Sheet2!CB:NF,$B196,0)&lt;&gt;""),HLOOKUP(M$2+$A196,Sheet2!CB:NF,$B196,0),"")</f>
        <v/>
      </c>
    </row>
    <row r="197" spans="1:13" x14ac:dyDescent="0.25">
      <c r="A197" s="68">
        <f t="shared" si="33"/>
        <v>5</v>
      </c>
      <c r="B197" s="68">
        <f t="shared" si="34"/>
        <v>29</v>
      </c>
      <c r="C197" s="68">
        <f t="shared" si="28"/>
        <v>2</v>
      </c>
      <c r="D197" s="68">
        <f t="shared" si="35"/>
        <v>25</v>
      </c>
      <c r="E197" s="68">
        <f t="shared" si="32"/>
        <v>121</v>
      </c>
      <c r="F197" s="21" t="str">
        <f>VLOOKUP(D197,Sheet2!A:B,2)</f>
        <v>J19-0762</v>
      </c>
      <c r="G197" s="68" t="str">
        <f>VLOOKUP(F197,Sheet2!B:C,2,0)</f>
        <v>Covestro</v>
      </c>
      <c r="H197" s="68" t="str">
        <f>HLOOKUP(I$2+$A197,Sheet2!BX:NB,2,0)</f>
        <v>16-31 Jan 21</v>
      </c>
      <c r="I197" t="str">
        <f>IF(OR(HLOOKUP(I$2+$A197,Sheet2!BX:NB,$B197,0),HLOOKUP(I$2+$A197,Sheet2!BX:NB,$B197,0)&lt;&gt;""),HLOOKUP(I$2+$A197,Sheet2!BX:NB,$B197,0),"")</f>
        <v/>
      </c>
      <c r="J197" t="str">
        <f>IF(OR(HLOOKUP(J$2+$A197,Sheet2!BY:NC,$B197,0),HLOOKUP(J$2+$A197,Sheet2!BY:NC,$B197,0)&lt;&gt;""),HLOOKUP(J$2+$A197,Sheet2!BY:NC,$B197,0),"")</f>
        <v/>
      </c>
      <c r="K197" t="str">
        <f>IF(OR(HLOOKUP(K$2+$A197,Sheet2!BZ:ND,$B197,0),HLOOKUP(K$2+$A197,Sheet2!BZ:ND,$B197,0)&lt;&gt;""),HLOOKUP(K$2+$A197,Sheet2!BZ:ND,$B197,0),"")</f>
        <v/>
      </c>
      <c r="L197" t="str">
        <f>IF(OR(HLOOKUP(L$2+$A197,Sheet2!CA:NE,$B197,0),HLOOKUP(L$2+$A197,Sheet2!CA:NE,$B197,0)&lt;&gt;""),HLOOKUP(L$2+$A197,Sheet2!CA:NE,$B197,0),"")</f>
        <v/>
      </c>
      <c r="M197" t="str">
        <f>IF(OR(HLOOKUP(M$2+$A197,Sheet2!CB:NF,$B197,0),HLOOKUP(M$2+$A197,Sheet2!CB:NF,$B197,0)&lt;&gt;""),HLOOKUP(M$2+$A197,Sheet2!CB:NF,$B197,0),"")</f>
        <v/>
      </c>
    </row>
    <row r="198" spans="1:13" x14ac:dyDescent="0.25">
      <c r="A198" s="68">
        <f t="shared" si="33"/>
        <v>10</v>
      </c>
      <c r="B198" s="68">
        <f t="shared" si="34"/>
        <v>29</v>
      </c>
      <c r="C198" s="68">
        <f t="shared" si="28"/>
        <v>3</v>
      </c>
      <c r="D198" s="68">
        <f t="shared" si="35"/>
        <v>25</v>
      </c>
      <c r="E198" s="68">
        <f t="shared" si="32"/>
        <v>121</v>
      </c>
      <c r="F198" s="21" t="str">
        <f>VLOOKUP(D198,Sheet2!A:B,2)</f>
        <v>J19-0762</v>
      </c>
      <c r="G198" s="68" t="str">
        <f>VLOOKUP(F198,Sheet2!B:C,2,0)</f>
        <v>Covestro</v>
      </c>
      <c r="H198" s="68" t="str">
        <f>HLOOKUP(I$2+$A198,Sheet2!BX:NB,2,0)</f>
        <v>1-15 Feb 21</v>
      </c>
      <c r="I198" t="str">
        <f>IF(OR(HLOOKUP(I$2+$A198,Sheet2!BX:NB,$B198,0),HLOOKUP(I$2+$A198,Sheet2!BX:NB,$B198,0)&lt;&gt;""),HLOOKUP(I$2+$A198,Sheet2!BX:NB,$B198,0),"")</f>
        <v/>
      </c>
      <c r="J198" t="str">
        <f>IF(OR(HLOOKUP(J$2+$A198,Sheet2!BY:NC,$B198,0),HLOOKUP(J$2+$A198,Sheet2!BY:NC,$B198,0)&lt;&gt;""),HLOOKUP(J$2+$A198,Sheet2!BY:NC,$B198,0),"")</f>
        <v/>
      </c>
      <c r="K198" t="str">
        <f>IF(OR(HLOOKUP(K$2+$A198,Sheet2!BZ:ND,$B198,0),HLOOKUP(K$2+$A198,Sheet2!BZ:ND,$B198,0)&lt;&gt;""),HLOOKUP(K$2+$A198,Sheet2!BZ:ND,$B198,0),"")</f>
        <v/>
      </c>
      <c r="L198" t="str">
        <f>IF(OR(HLOOKUP(L$2+$A198,Sheet2!CA:NE,$B198,0),HLOOKUP(L$2+$A198,Sheet2!CA:NE,$B198,0)&lt;&gt;""),HLOOKUP(L$2+$A198,Sheet2!CA:NE,$B198,0),"")</f>
        <v/>
      </c>
      <c r="M198" t="str">
        <f>IF(OR(HLOOKUP(M$2+$A198,Sheet2!CB:NF,$B198,0),HLOOKUP(M$2+$A198,Sheet2!CB:NF,$B198,0)&lt;&gt;""),HLOOKUP(M$2+$A198,Sheet2!CB:NF,$B198,0),"")</f>
        <v/>
      </c>
    </row>
    <row r="199" spans="1:13" x14ac:dyDescent="0.25">
      <c r="A199" s="68">
        <f t="shared" si="33"/>
        <v>15</v>
      </c>
      <c r="B199" s="68">
        <f t="shared" si="34"/>
        <v>29</v>
      </c>
      <c r="C199" s="68">
        <f t="shared" si="28"/>
        <v>4</v>
      </c>
      <c r="D199" s="68">
        <f t="shared" si="35"/>
        <v>25</v>
      </c>
      <c r="E199" s="68">
        <f t="shared" si="32"/>
        <v>121</v>
      </c>
      <c r="F199" s="21" t="str">
        <f>VLOOKUP(D199,Sheet2!A:B,2)</f>
        <v>J19-0762</v>
      </c>
      <c r="G199" s="68" t="str">
        <f>VLOOKUP(F199,Sheet2!B:C,2,0)</f>
        <v>Covestro</v>
      </c>
      <c r="H199" s="68" t="str">
        <f>HLOOKUP(I$2+$A199,Sheet2!BX:NB,2,0)</f>
        <v>16-28 Feb 21</v>
      </c>
      <c r="I199" t="str">
        <f>IF(OR(HLOOKUP(I$2+$A199,Sheet2!BX:NB,$B199,0),HLOOKUP(I$2+$A199,Sheet2!BX:NB,$B199,0)&lt;&gt;""),HLOOKUP(I$2+$A199,Sheet2!BX:NB,$B199,0),"")</f>
        <v/>
      </c>
      <c r="J199" t="str">
        <f>IF(OR(HLOOKUP(J$2+$A199,Sheet2!BY:NC,$B199,0),HLOOKUP(J$2+$A199,Sheet2!BY:NC,$B199,0)&lt;&gt;""),HLOOKUP(J$2+$A199,Sheet2!BY:NC,$B199,0),"")</f>
        <v/>
      </c>
      <c r="K199" t="str">
        <f>IF(OR(HLOOKUP(K$2+$A199,Sheet2!BZ:ND,$B199,0),HLOOKUP(K$2+$A199,Sheet2!BZ:ND,$B199,0)&lt;&gt;""),HLOOKUP(K$2+$A199,Sheet2!BZ:ND,$B199,0),"")</f>
        <v/>
      </c>
      <c r="L199" t="str">
        <f>IF(OR(HLOOKUP(L$2+$A199,Sheet2!CA:NE,$B199,0),HLOOKUP(L$2+$A199,Sheet2!CA:NE,$B199,0)&lt;&gt;""),HLOOKUP(L$2+$A199,Sheet2!CA:NE,$B199,0),"")</f>
        <v/>
      </c>
      <c r="M199" t="str">
        <f>IF(OR(HLOOKUP(M$2+$A199,Sheet2!CB:NF,$B199,0),HLOOKUP(M$2+$A199,Sheet2!CB:NF,$B199,0)&lt;&gt;""),HLOOKUP(M$2+$A199,Sheet2!CB:NF,$B199,0),"")</f>
        <v/>
      </c>
    </row>
    <row r="200" spans="1:13" x14ac:dyDescent="0.25">
      <c r="A200" s="68">
        <f t="shared" si="33"/>
        <v>20</v>
      </c>
      <c r="B200" s="68">
        <f t="shared" si="34"/>
        <v>29</v>
      </c>
      <c r="C200" s="68">
        <f t="shared" si="28"/>
        <v>5</v>
      </c>
      <c r="D200" s="68">
        <f t="shared" si="35"/>
        <v>25</v>
      </c>
      <c r="E200" s="68">
        <f t="shared" si="32"/>
        <v>121</v>
      </c>
      <c r="F200" s="21" t="str">
        <f>VLOOKUP(D200,Sheet2!A:B,2)</f>
        <v>J19-0762</v>
      </c>
      <c r="G200" s="68" t="str">
        <f>VLOOKUP(F200,Sheet2!B:C,2,0)</f>
        <v>Covestro</v>
      </c>
      <c r="H200" s="68" t="str">
        <f>HLOOKUP(I$2+$A200,Sheet2!BX:NB,2,0)</f>
        <v>1-15 Mar 2021</v>
      </c>
      <c r="I200" t="str">
        <f>IF(OR(HLOOKUP(I$2+$A200,Sheet2!BX:NB,$B200,0),HLOOKUP(I$2+$A200,Sheet2!BX:NB,$B200,0)&lt;&gt;""),HLOOKUP(I$2+$A200,Sheet2!BX:NB,$B200,0),"")</f>
        <v/>
      </c>
      <c r="J200" t="str">
        <f>IF(OR(HLOOKUP(J$2+$A200,Sheet2!BY:NC,$B200,0),HLOOKUP(J$2+$A200,Sheet2!BY:NC,$B200,0)&lt;&gt;""),HLOOKUP(J$2+$A200,Sheet2!BY:NC,$B200,0),"")</f>
        <v/>
      </c>
      <c r="K200" t="str">
        <f>IF(OR(HLOOKUP(K$2+$A200,Sheet2!BZ:ND,$B200,0),HLOOKUP(K$2+$A200,Sheet2!BZ:ND,$B200,0)&lt;&gt;""),HLOOKUP(K$2+$A200,Sheet2!BZ:ND,$B200,0),"")</f>
        <v/>
      </c>
      <c r="L200" t="str">
        <f>IF(OR(HLOOKUP(L$2+$A200,Sheet2!CA:NE,$B200,0),HLOOKUP(L$2+$A200,Sheet2!CA:NE,$B200,0)&lt;&gt;""),HLOOKUP(L$2+$A200,Sheet2!CA:NE,$B200,0),"")</f>
        <v/>
      </c>
      <c r="M200" t="str">
        <f>IF(OR(HLOOKUP(M$2+$A200,Sheet2!CB:NF,$B200,0),HLOOKUP(M$2+$A200,Sheet2!CB:NF,$B200,0)&lt;&gt;""),HLOOKUP(M$2+$A200,Sheet2!CB:NF,$B200,0),"")</f>
        <v/>
      </c>
    </row>
    <row r="201" spans="1:13" x14ac:dyDescent="0.25">
      <c r="A201" s="68">
        <f t="shared" si="33"/>
        <v>25</v>
      </c>
      <c r="B201" s="68">
        <f t="shared" si="34"/>
        <v>29</v>
      </c>
      <c r="C201" s="68">
        <f t="shared" si="28"/>
        <v>6</v>
      </c>
      <c r="D201" s="68">
        <f t="shared" si="35"/>
        <v>25</v>
      </c>
      <c r="E201" s="68">
        <f t="shared" si="32"/>
        <v>121</v>
      </c>
      <c r="F201" s="21" t="str">
        <f>VLOOKUP(D201,Sheet2!A:B,2)</f>
        <v>J19-0762</v>
      </c>
      <c r="G201" s="68" t="str">
        <f>VLOOKUP(F201,Sheet2!B:C,2,0)</f>
        <v>Covestro</v>
      </c>
      <c r="H201" s="68" t="str">
        <f>HLOOKUP(I$2+$A201,Sheet2!BX:NB,2,0)</f>
        <v>16-31 Mar 21</v>
      </c>
      <c r="I201" t="str">
        <f>IF(OR(HLOOKUP(I$2+$A201,Sheet2!BX:NB,$B201,0),HLOOKUP(I$2+$A201,Sheet2!BX:NB,$B201,0)&lt;&gt;""),HLOOKUP(I$2+$A201,Sheet2!BX:NB,$B201,0),"")</f>
        <v/>
      </c>
      <c r="J201" t="str">
        <f>IF(OR(HLOOKUP(J$2+$A201,Sheet2!BY:NC,$B201,0),HLOOKUP(J$2+$A201,Sheet2!BY:NC,$B201,0)&lt;&gt;""),HLOOKUP(J$2+$A201,Sheet2!BY:NC,$B201,0),"")</f>
        <v/>
      </c>
      <c r="K201" t="str">
        <f>IF(OR(HLOOKUP(K$2+$A201,Sheet2!BZ:ND,$B201,0),HLOOKUP(K$2+$A201,Sheet2!BZ:ND,$B201,0)&lt;&gt;""),HLOOKUP(K$2+$A201,Sheet2!BZ:ND,$B201,0),"")</f>
        <v/>
      </c>
      <c r="L201" t="str">
        <f>IF(OR(HLOOKUP(L$2+$A201,Sheet2!CA:NE,$B201,0),HLOOKUP(L$2+$A201,Sheet2!CA:NE,$B201,0)&lt;&gt;""),HLOOKUP(L$2+$A201,Sheet2!CA:NE,$B201,0),"")</f>
        <v/>
      </c>
      <c r="M201" t="str">
        <f>IF(OR(HLOOKUP(M$2+$A201,Sheet2!CB:NF,$B201,0),HLOOKUP(M$2+$A201,Sheet2!CB:NF,$B201,0)&lt;&gt;""),HLOOKUP(M$2+$A201,Sheet2!CB:NF,$B201,0),"")</f>
        <v/>
      </c>
    </row>
    <row r="202" spans="1:13" x14ac:dyDescent="0.25">
      <c r="A202" s="68">
        <f t="shared" si="33"/>
        <v>30</v>
      </c>
      <c r="B202" s="68">
        <f t="shared" si="34"/>
        <v>29</v>
      </c>
      <c r="C202" s="68">
        <f t="shared" si="28"/>
        <v>7</v>
      </c>
      <c r="D202" s="68">
        <f t="shared" si="35"/>
        <v>25</v>
      </c>
      <c r="E202" s="68">
        <f t="shared" si="32"/>
        <v>121</v>
      </c>
      <c r="F202" s="21" t="str">
        <f>VLOOKUP(D202,Sheet2!A:B,2)</f>
        <v>J19-0762</v>
      </c>
      <c r="G202" s="68" t="str">
        <f>VLOOKUP(F202,Sheet2!B:C,2,0)</f>
        <v>Covestro</v>
      </c>
      <c r="H202" s="68" t="str">
        <f>HLOOKUP(I$2+$A202,Sheet2!BX:NB,2,0)</f>
        <v>1-15 April 21</v>
      </c>
      <c r="I202" t="str">
        <f>IF(OR(HLOOKUP(I$2+$A202,Sheet2!BX:NB,$B202,0),HLOOKUP(I$2+$A202,Sheet2!BX:NB,$B202,0)&lt;&gt;""),HLOOKUP(I$2+$A202,Sheet2!BX:NB,$B202,0),"")</f>
        <v/>
      </c>
      <c r="J202" t="str">
        <f>IF(OR(HLOOKUP(J$2+$A202,Sheet2!BY:NC,$B202,0),HLOOKUP(J$2+$A202,Sheet2!BY:NC,$B202,0)&lt;&gt;""),HLOOKUP(J$2+$A202,Sheet2!BY:NC,$B202,0),"")</f>
        <v/>
      </c>
      <c r="K202" t="str">
        <f>IF(OR(HLOOKUP(K$2+$A202,Sheet2!BZ:ND,$B202,0),HLOOKUP(K$2+$A202,Sheet2!BZ:ND,$B202,0)&lt;&gt;""),HLOOKUP(K$2+$A202,Sheet2!BZ:ND,$B202,0),"")</f>
        <v/>
      </c>
      <c r="L202" t="str">
        <f>IF(OR(HLOOKUP(L$2+$A202,Sheet2!CA:NE,$B202,0),HLOOKUP(L$2+$A202,Sheet2!CA:NE,$B202,0)&lt;&gt;""),HLOOKUP(L$2+$A202,Sheet2!CA:NE,$B202,0),"")</f>
        <v/>
      </c>
      <c r="M202" t="str">
        <f>IF(OR(HLOOKUP(M$2+$A202,Sheet2!CB:NF,$B202,0),HLOOKUP(M$2+$A202,Sheet2!CB:NF,$B202,0)&lt;&gt;""),HLOOKUP(M$2+$A202,Sheet2!CB:NF,$B202,0),"")</f>
        <v/>
      </c>
    </row>
    <row r="203" spans="1:13" x14ac:dyDescent="0.25">
      <c r="A203" s="68">
        <f t="shared" si="33"/>
        <v>35</v>
      </c>
      <c r="B203" s="68">
        <f t="shared" si="34"/>
        <v>29</v>
      </c>
      <c r="C203" s="68">
        <f t="shared" si="28"/>
        <v>8</v>
      </c>
      <c r="D203" s="68">
        <f t="shared" si="35"/>
        <v>25</v>
      </c>
      <c r="E203" s="68">
        <f t="shared" si="32"/>
        <v>121</v>
      </c>
      <c r="F203" s="21" t="str">
        <f>VLOOKUP(D203,Sheet2!A:B,2)</f>
        <v>J19-0762</v>
      </c>
      <c r="G203" s="68" t="str">
        <f>VLOOKUP(F203,Sheet2!B:C,2,0)</f>
        <v>Covestro</v>
      </c>
      <c r="H203" s="68" t="str">
        <f>HLOOKUP(I$2+$A203,Sheet2!BX:NB,2,0)</f>
        <v>16-30 April 21</v>
      </c>
      <c r="I203" t="str">
        <f>IF(OR(HLOOKUP(I$2+$A203,Sheet2!BX:NB,$B203,0),HLOOKUP(I$2+$A203,Sheet2!BX:NB,$B203,0)&lt;&gt;""),HLOOKUP(I$2+$A203,Sheet2!BX:NB,$B203,0),"")</f>
        <v/>
      </c>
      <c r="J203" t="str">
        <f>IF(OR(HLOOKUP(J$2+$A203,Sheet2!BY:NC,$B203,0),HLOOKUP(J$2+$A203,Sheet2!BY:NC,$B203,0)&lt;&gt;""),HLOOKUP(J$2+$A203,Sheet2!BY:NC,$B203,0),"")</f>
        <v/>
      </c>
      <c r="K203" t="str">
        <f>IF(OR(HLOOKUP(K$2+$A203,Sheet2!BZ:ND,$B203,0),HLOOKUP(K$2+$A203,Sheet2!BZ:ND,$B203,0)&lt;&gt;""),HLOOKUP(K$2+$A203,Sheet2!BZ:ND,$B203,0),"")</f>
        <v/>
      </c>
      <c r="L203" t="str">
        <f>IF(OR(HLOOKUP(L$2+$A203,Sheet2!CA:NE,$B203,0),HLOOKUP(L$2+$A203,Sheet2!CA:NE,$B203,0)&lt;&gt;""),HLOOKUP(L$2+$A203,Sheet2!CA:NE,$B203,0),"")</f>
        <v/>
      </c>
      <c r="M203" t="str">
        <f>IF(OR(HLOOKUP(M$2+$A203,Sheet2!CB:NF,$B203,0),HLOOKUP(M$2+$A203,Sheet2!CB:NF,$B203,0)&lt;&gt;""),HLOOKUP(M$2+$A203,Sheet2!CB:NF,$B203,0),"")</f>
        <v/>
      </c>
    </row>
    <row r="204" spans="1:13" x14ac:dyDescent="0.25">
      <c r="A204" s="68">
        <f t="shared" si="33"/>
        <v>0</v>
      </c>
      <c r="B204" s="68">
        <f t="shared" si="34"/>
        <v>30</v>
      </c>
      <c r="C204" s="68">
        <f t="shared" si="28"/>
        <v>1</v>
      </c>
      <c r="D204" s="68">
        <f t="shared" si="35"/>
        <v>26</v>
      </c>
      <c r="E204" s="68">
        <f t="shared" si="32"/>
        <v>126</v>
      </c>
      <c r="F204" s="21" t="str">
        <f>VLOOKUP(D204,Sheet2!A:B,2)</f>
        <v>J19-1426</v>
      </c>
      <c r="G204" s="68" t="str">
        <f>VLOOKUP(F204,Sheet2!B:C,2,0)</f>
        <v>Phenol</v>
      </c>
      <c r="H204" s="68" t="str">
        <f>HLOOKUP(I$2+$A204,Sheet2!BX:NB,2,0)</f>
        <v>1-15 Jan 21</v>
      </c>
      <c r="I204" t="str">
        <f>IF(OR(HLOOKUP(I$2+$A204,Sheet2!BX:NB,$B204,0),HLOOKUP(I$2+$A204,Sheet2!BX:NB,$B204,0)&lt;&gt;""),HLOOKUP(I$2+$A204,Sheet2!BX:NB,$B204,0),"")</f>
        <v/>
      </c>
      <c r="J204" t="str">
        <f>IF(OR(HLOOKUP(J$2+$A204,Sheet2!BY:NC,$B204,0),HLOOKUP(J$2+$A204,Sheet2!BY:NC,$B204,0)&lt;&gt;""),HLOOKUP(J$2+$A204,Sheet2!BY:NC,$B204,0),"")</f>
        <v/>
      </c>
      <c r="K204" t="str">
        <f>IF(OR(HLOOKUP(K$2+$A204,Sheet2!BZ:ND,$B204,0),HLOOKUP(K$2+$A204,Sheet2!BZ:ND,$B204,0)&lt;&gt;""),HLOOKUP(K$2+$A204,Sheet2!BZ:ND,$B204,0),"")</f>
        <v/>
      </c>
      <c r="L204" t="str">
        <f>IF(OR(HLOOKUP(L$2+$A204,Sheet2!CA:NE,$B204,0),HLOOKUP(L$2+$A204,Sheet2!CA:NE,$B204,0)&lt;&gt;""),HLOOKUP(L$2+$A204,Sheet2!CA:NE,$B204,0),"")</f>
        <v/>
      </c>
      <c r="M204" t="str">
        <f>IF(OR(HLOOKUP(M$2+$A204,Sheet2!CB:NF,$B204,0),HLOOKUP(M$2+$A204,Sheet2!CB:NF,$B204,0)&lt;&gt;""),HLOOKUP(M$2+$A204,Sheet2!CB:NF,$B204,0),"")</f>
        <v/>
      </c>
    </row>
    <row r="205" spans="1:13" x14ac:dyDescent="0.25">
      <c r="A205" s="68">
        <f t="shared" si="33"/>
        <v>5</v>
      </c>
      <c r="B205" s="68">
        <f t="shared" si="34"/>
        <v>30</v>
      </c>
      <c r="C205" s="68">
        <f t="shared" ref="C205:C268" si="36">IF($C$3-C204=0,1,C204+1)</f>
        <v>2</v>
      </c>
      <c r="D205" s="68">
        <f t="shared" si="35"/>
        <v>26</v>
      </c>
      <c r="E205" s="68">
        <f t="shared" si="32"/>
        <v>126</v>
      </c>
      <c r="F205" s="21" t="str">
        <f>VLOOKUP(D205,Sheet2!A:B,2)</f>
        <v>J19-1426</v>
      </c>
      <c r="G205" s="68" t="str">
        <f>VLOOKUP(F205,Sheet2!B:C,2,0)</f>
        <v>Phenol</v>
      </c>
      <c r="H205" s="68" t="str">
        <f>HLOOKUP(I$2+$A205,Sheet2!BX:NB,2,0)</f>
        <v>16-31 Jan 21</v>
      </c>
      <c r="I205" t="str">
        <f>IF(OR(HLOOKUP(I$2+$A205,Sheet2!BX:NB,$B205,0),HLOOKUP(I$2+$A205,Sheet2!BX:NB,$B205,0)&lt;&gt;""),HLOOKUP(I$2+$A205,Sheet2!BX:NB,$B205,0),"")</f>
        <v/>
      </c>
      <c r="J205" t="str">
        <f>IF(OR(HLOOKUP(J$2+$A205,Sheet2!BY:NC,$B205,0),HLOOKUP(J$2+$A205,Sheet2!BY:NC,$B205,0)&lt;&gt;""),HLOOKUP(J$2+$A205,Sheet2!BY:NC,$B205,0),"")</f>
        <v/>
      </c>
      <c r="K205" t="str">
        <f>IF(OR(HLOOKUP(K$2+$A205,Sheet2!BZ:ND,$B205,0),HLOOKUP(K$2+$A205,Sheet2!BZ:ND,$B205,0)&lt;&gt;""),HLOOKUP(K$2+$A205,Sheet2!BZ:ND,$B205,0),"")</f>
        <v/>
      </c>
      <c r="L205" t="str">
        <f>IF(OR(HLOOKUP(L$2+$A205,Sheet2!CA:NE,$B205,0),HLOOKUP(L$2+$A205,Sheet2!CA:NE,$B205,0)&lt;&gt;""),HLOOKUP(L$2+$A205,Sheet2!CA:NE,$B205,0),"")</f>
        <v/>
      </c>
      <c r="M205" t="str">
        <f>IF(OR(HLOOKUP(M$2+$A205,Sheet2!CB:NF,$B205,0),HLOOKUP(M$2+$A205,Sheet2!CB:NF,$B205,0)&lt;&gt;""),HLOOKUP(M$2+$A205,Sheet2!CB:NF,$B205,0),"")</f>
        <v/>
      </c>
    </row>
    <row r="206" spans="1:13" x14ac:dyDescent="0.25">
      <c r="A206" s="68">
        <f t="shared" si="33"/>
        <v>10</v>
      </c>
      <c r="B206" s="68">
        <f t="shared" si="34"/>
        <v>30</v>
      </c>
      <c r="C206" s="68">
        <f t="shared" si="36"/>
        <v>3</v>
      </c>
      <c r="D206" s="68">
        <f t="shared" si="35"/>
        <v>26</v>
      </c>
      <c r="E206" s="68">
        <f t="shared" si="32"/>
        <v>126</v>
      </c>
      <c r="F206" s="21" t="str">
        <f>VLOOKUP(D206,Sheet2!A:B,2)</f>
        <v>J19-1426</v>
      </c>
      <c r="G206" s="68" t="str">
        <f>VLOOKUP(F206,Sheet2!B:C,2,0)</f>
        <v>Phenol</v>
      </c>
      <c r="H206" s="68" t="str">
        <f>HLOOKUP(I$2+$A206,Sheet2!BX:NB,2,0)</f>
        <v>1-15 Feb 21</v>
      </c>
      <c r="I206" t="str">
        <f>IF(OR(HLOOKUP(I$2+$A206,Sheet2!BX:NB,$B206,0),HLOOKUP(I$2+$A206,Sheet2!BX:NB,$B206,0)&lt;&gt;""),HLOOKUP(I$2+$A206,Sheet2!BX:NB,$B206,0),"")</f>
        <v/>
      </c>
      <c r="J206" t="str">
        <f>IF(OR(HLOOKUP(J$2+$A206,Sheet2!BY:NC,$B206,0),HLOOKUP(J$2+$A206,Sheet2!BY:NC,$B206,0)&lt;&gt;""),HLOOKUP(J$2+$A206,Sheet2!BY:NC,$B206,0),"")</f>
        <v/>
      </c>
      <c r="K206" t="str">
        <f>IF(OR(HLOOKUP(K$2+$A206,Sheet2!BZ:ND,$B206,0),HLOOKUP(K$2+$A206,Sheet2!BZ:ND,$B206,0)&lt;&gt;""),HLOOKUP(K$2+$A206,Sheet2!BZ:ND,$B206,0),"")</f>
        <v/>
      </c>
      <c r="L206" t="str">
        <f>IF(OR(HLOOKUP(L$2+$A206,Sheet2!CA:NE,$B206,0),HLOOKUP(L$2+$A206,Sheet2!CA:NE,$B206,0)&lt;&gt;""),HLOOKUP(L$2+$A206,Sheet2!CA:NE,$B206,0),"")</f>
        <v/>
      </c>
      <c r="M206" t="str">
        <f>IF(OR(HLOOKUP(M$2+$A206,Sheet2!CB:NF,$B206,0),HLOOKUP(M$2+$A206,Sheet2!CB:NF,$B206,0)&lt;&gt;""),HLOOKUP(M$2+$A206,Sheet2!CB:NF,$B206,0),"")</f>
        <v/>
      </c>
    </row>
    <row r="207" spans="1:13" x14ac:dyDescent="0.25">
      <c r="A207" s="68">
        <f t="shared" si="33"/>
        <v>15</v>
      </c>
      <c r="B207" s="68">
        <f t="shared" si="34"/>
        <v>30</v>
      </c>
      <c r="C207" s="68">
        <f t="shared" si="36"/>
        <v>4</v>
      </c>
      <c r="D207" s="68">
        <f t="shared" si="35"/>
        <v>26</v>
      </c>
      <c r="E207" s="68">
        <f t="shared" si="32"/>
        <v>126</v>
      </c>
      <c r="F207" s="21" t="str">
        <f>VLOOKUP(D207,Sheet2!A:B,2)</f>
        <v>J19-1426</v>
      </c>
      <c r="G207" s="68" t="str">
        <f>VLOOKUP(F207,Sheet2!B:C,2,0)</f>
        <v>Phenol</v>
      </c>
      <c r="H207" s="68" t="str">
        <f>HLOOKUP(I$2+$A207,Sheet2!BX:NB,2,0)</f>
        <v>16-28 Feb 21</v>
      </c>
      <c r="I207" t="str">
        <f>IF(OR(HLOOKUP(I$2+$A207,Sheet2!BX:NB,$B207,0),HLOOKUP(I$2+$A207,Sheet2!BX:NB,$B207,0)&lt;&gt;""),HLOOKUP(I$2+$A207,Sheet2!BX:NB,$B207,0),"")</f>
        <v/>
      </c>
      <c r="J207" t="str">
        <f>IF(OR(HLOOKUP(J$2+$A207,Sheet2!BY:NC,$B207,0),HLOOKUP(J$2+$A207,Sheet2!BY:NC,$B207,0)&lt;&gt;""),HLOOKUP(J$2+$A207,Sheet2!BY:NC,$B207,0),"")</f>
        <v/>
      </c>
      <c r="K207" t="str">
        <f>IF(OR(HLOOKUP(K$2+$A207,Sheet2!BZ:ND,$B207,0),HLOOKUP(K$2+$A207,Sheet2!BZ:ND,$B207,0)&lt;&gt;""),HLOOKUP(K$2+$A207,Sheet2!BZ:ND,$B207,0),"")</f>
        <v/>
      </c>
      <c r="L207" t="str">
        <f>IF(OR(HLOOKUP(L$2+$A207,Sheet2!CA:NE,$B207,0),HLOOKUP(L$2+$A207,Sheet2!CA:NE,$B207,0)&lt;&gt;""),HLOOKUP(L$2+$A207,Sheet2!CA:NE,$B207,0),"")</f>
        <v/>
      </c>
      <c r="M207" t="str">
        <f>IF(OR(HLOOKUP(M$2+$A207,Sheet2!CB:NF,$B207,0),HLOOKUP(M$2+$A207,Sheet2!CB:NF,$B207,0)&lt;&gt;""),HLOOKUP(M$2+$A207,Sheet2!CB:NF,$B207,0),"")</f>
        <v/>
      </c>
    </row>
    <row r="208" spans="1:13" x14ac:dyDescent="0.25">
      <c r="A208" s="68">
        <f t="shared" si="33"/>
        <v>20</v>
      </c>
      <c r="B208" s="68">
        <f t="shared" si="34"/>
        <v>30</v>
      </c>
      <c r="C208" s="68">
        <f t="shared" si="36"/>
        <v>5</v>
      </c>
      <c r="D208" s="68">
        <f t="shared" si="35"/>
        <v>26</v>
      </c>
      <c r="E208" s="68">
        <f t="shared" si="32"/>
        <v>126</v>
      </c>
      <c r="F208" s="21" t="str">
        <f>VLOOKUP(D208,Sheet2!A:B,2)</f>
        <v>J19-1426</v>
      </c>
      <c r="G208" s="68" t="str">
        <f>VLOOKUP(F208,Sheet2!B:C,2,0)</f>
        <v>Phenol</v>
      </c>
      <c r="H208" s="68" t="str">
        <f>HLOOKUP(I$2+$A208,Sheet2!BX:NB,2,0)</f>
        <v>1-15 Mar 2021</v>
      </c>
      <c r="I208" t="str">
        <f>IF(OR(HLOOKUP(I$2+$A208,Sheet2!BX:NB,$B208,0),HLOOKUP(I$2+$A208,Sheet2!BX:NB,$B208,0)&lt;&gt;""),HLOOKUP(I$2+$A208,Sheet2!BX:NB,$B208,0),"")</f>
        <v/>
      </c>
      <c r="J208" t="str">
        <f>IF(OR(HLOOKUP(J$2+$A208,Sheet2!BY:NC,$B208,0),HLOOKUP(J$2+$A208,Sheet2!BY:NC,$B208,0)&lt;&gt;""),HLOOKUP(J$2+$A208,Sheet2!BY:NC,$B208,0),"")</f>
        <v/>
      </c>
      <c r="K208" t="str">
        <f>IF(OR(HLOOKUP(K$2+$A208,Sheet2!BZ:ND,$B208,0),HLOOKUP(K$2+$A208,Sheet2!BZ:ND,$B208,0)&lt;&gt;""),HLOOKUP(K$2+$A208,Sheet2!BZ:ND,$B208,0),"")</f>
        <v/>
      </c>
      <c r="L208" t="str">
        <f>IF(OR(HLOOKUP(L$2+$A208,Sheet2!CA:NE,$B208,0),HLOOKUP(L$2+$A208,Sheet2!CA:NE,$B208,0)&lt;&gt;""),HLOOKUP(L$2+$A208,Sheet2!CA:NE,$B208,0),"")</f>
        <v/>
      </c>
      <c r="M208" t="str">
        <f>IF(OR(HLOOKUP(M$2+$A208,Sheet2!CB:NF,$B208,0),HLOOKUP(M$2+$A208,Sheet2!CB:NF,$B208,0)&lt;&gt;""),HLOOKUP(M$2+$A208,Sheet2!CB:NF,$B208,0),"")</f>
        <v/>
      </c>
    </row>
    <row r="209" spans="1:13" x14ac:dyDescent="0.25">
      <c r="A209" s="68">
        <f t="shared" si="33"/>
        <v>25</v>
      </c>
      <c r="B209" s="68">
        <f t="shared" si="34"/>
        <v>30</v>
      </c>
      <c r="C209" s="68">
        <f t="shared" si="36"/>
        <v>6</v>
      </c>
      <c r="D209" s="68">
        <f t="shared" si="35"/>
        <v>26</v>
      </c>
      <c r="E209" s="68">
        <f t="shared" si="32"/>
        <v>126</v>
      </c>
      <c r="F209" s="21" t="str">
        <f>VLOOKUP(D209,Sheet2!A:B,2)</f>
        <v>J19-1426</v>
      </c>
      <c r="G209" s="68" t="str">
        <f>VLOOKUP(F209,Sheet2!B:C,2,0)</f>
        <v>Phenol</v>
      </c>
      <c r="H209" s="68" t="str">
        <f>HLOOKUP(I$2+$A209,Sheet2!BX:NB,2,0)</f>
        <v>16-31 Mar 21</v>
      </c>
      <c r="I209" t="str">
        <f>IF(OR(HLOOKUP(I$2+$A209,Sheet2!BX:NB,$B209,0),HLOOKUP(I$2+$A209,Sheet2!BX:NB,$B209,0)&lt;&gt;""),HLOOKUP(I$2+$A209,Sheet2!BX:NB,$B209,0),"")</f>
        <v/>
      </c>
      <c r="J209" t="str">
        <f>IF(OR(HLOOKUP(J$2+$A209,Sheet2!BY:NC,$B209,0),HLOOKUP(J$2+$A209,Sheet2!BY:NC,$B209,0)&lt;&gt;""),HLOOKUP(J$2+$A209,Sheet2!BY:NC,$B209,0),"")</f>
        <v/>
      </c>
      <c r="K209" t="str">
        <f>IF(OR(HLOOKUP(K$2+$A209,Sheet2!BZ:ND,$B209,0),HLOOKUP(K$2+$A209,Sheet2!BZ:ND,$B209,0)&lt;&gt;""),HLOOKUP(K$2+$A209,Sheet2!BZ:ND,$B209,0),"")</f>
        <v/>
      </c>
      <c r="L209" t="str">
        <f>IF(OR(HLOOKUP(L$2+$A209,Sheet2!CA:NE,$B209,0),HLOOKUP(L$2+$A209,Sheet2!CA:NE,$B209,0)&lt;&gt;""),HLOOKUP(L$2+$A209,Sheet2!CA:NE,$B209,0),"")</f>
        <v/>
      </c>
      <c r="M209" t="str">
        <f>IF(OR(HLOOKUP(M$2+$A209,Sheet2!CB:NF,$B209,0),HLOOKUP(M$2+$A209,Sheet2!CB:NF,$B209,0)&lt;&gt;""),HLOOKUP(M$2+$A209,Sheet2!CB:NF,$B209,0),"")</f>
        <v/>
      </c>
    </row>
    <row r="210" spans="1:13" x14ac:dyDescent="0.25">
      <c r="A210" s="68">
        <f t="shared" si="33"/>
        <v>30</v>
      </c>
      <c r="B210" s="68">
        <f t="shared" si="34"/>
        <v>30</v>
      </c>
      <c r="C210" s="68">
        <f t="shared" si="36"/>
        <v>7</v>
      </c>
      <c r="D210" s="68">
        <f t="shared" si="35"/>
        <v>26</v>
      </c>
      <c r="E210" s="68">
        <f t="shared" si="32"/>
        <v>126</v>
      </c>
      <c r="F210" s="21" t="str">
        <f>VLOOKUP(D210,Sheet2!A:B,2)</f>
        <v>J19-1426</v>
      </c>
      <c r="G210" s="68" t="str">
        <f>VLOOKUP(F210,Sheet2!B:C,2,0)</f>
        <v>Phenol</v>
      </c>
      <c r="H210" s="68" t="str">
        <f>HLOOKUP(I$2+$A210,Sheet2!BX:NB,2,0)</f>
        <v>1-15 April 21</v>
      </c>
      <c r="I210" t="str">
        <f>IF(OR(HLOOKUP(I$2+$A210,Sheet2!BX:NB,$B210,0),HLOOKUP(I$2+$A210,Sheet2!BX:NB,$B210,0)&lt;&gt;""),HLOOKUP(I$2+$A210,Sheet2!BX:NB,$B210,0),"")</f>
        <v/>
      </c>
      <c r="J210" t="str">
        <f>IF(OR(HLOOKUP(J$2+$A210,Sheet2!BY:NC,$B210,0),HLOOKUP(J$2+$A210,Sheet2!BY:NC,$B210,0)&lt;&gt;""),HLOOKUP(J$2+$A210,Sheet2!BY:NC,$B210,0),"")</f>
        <v/>
      </c>
      <c r="K210" t="str">
        <f>IF(OR(HLOOKUP(K$2+$A210,Sheet2!BZ:ND,$B210,0),HLOOKUP(K$2+$A210,Sheet2!BZ:ND,$B210,0)&lt;&gt;""),HLOOKUP(K$2+$A210,Sheet2!BZ:ND,$B210,0),"")</f>
        <v/>
      </c>
      <c r="L210" t="str">
        <f>IF(OR(HLOOKUP(L$2+$A210,Sheet2!CA:NE,$B210,0),HLOOKUP(L$2+$A210,Sheet2!CA:NE,$B210,0)&lt;&gt;""),HLOOKUP(L$2+$A210,Sheet2!CA:NE,$B210,0),"")</f>
        <v/>
      </c>
      <c r="M210" t="str">
        <f>IF(OR(HLOOKUP(M$2+$A210,Sheet2!CB:NF,$B210,0),HLOOKUP(M$2+$A210,Sheet2!CB:NF,$B210,0)&lt;&gt;""),HLOOKUP(M$2+$A210,Sheet2!CB:NF,$B210,0),"")</f>
        <v/>
      </c>
    </row>
    <row r="211" spans="1:13" x14ac:dyDescent="0.25">
      <c r="A211" s="68">
        <f t="shared" si="33"/>
        <v>35</v>
      </c>
      <c r="B211" s="68">
        <f t="shared" si="34"/>
        <v>30</v>
      </c>
      <c r="C211" s="68">
        <f t="shared" si="36"/>
        <v>8</v>
      </c>
      <c r="D211" s="68">
        <f t="shared" si="35"/>
        <v>26</v>
      </c>
      <c r="E211" s="68">
        <f t="shared" si="32"/>
        <v>126</v>
      </c>
      <c r="F211" s="21" t="str">
        <f>VLOOKUP(D211,Sheet2!A:B,2)</f>
        <v>J19-1426</v>
      </c>
      <c r="G211" s="68" t="str">
        <f>VLOOKUP(F211,Sheet2!B:C,2,0)</f>
        <v>Phenol</v>
      </c>
      <c r="H211" s="68" t="str">
        <f>HLOOKUP(I$2+$A211,Sheet2!BX:NB,2,0)</f>
        <v>16-30 April 21</v>
      </c>
      <c r="I211" t="str">
        <f>IF(OR(HLOOKUP(I$2+$A211,Sheet2!BX:NB,$B211,0),HLOOKUP(I$2+$A211,Sheet2!BX:NB,$B211,0)&lt;&gt;""),HLOOKUP(I$2+$A211,Sheet2!BX:NB,$B211,0),"")</f>
        <v/>
      </c>
      <c r="J211" t="str">
        <f>IF(OR(HLOOKUP(J$2+$A211,Sheet2!BY:NC,$B211,0),HLOOKUP(J$2+$A211,Sheet2!BY:NC,$B211,0)&lt;&gt;""),HLOOKUP(J$2+$A211,Sheet2!BY:NC,$B211,0),"")</f>
        <v/>
      </c>
      <c r="K211" t="str">
        <f>IF(OR(HLOOKUP(K$2+$A211,Sheet2!BZ:ND,$B211,0),HLOOKUP(K$2+$A211,Sheet2!BZ:ND,$B211,0)&lt;&gt;""),HLOOKUP(K$2+$A211,Sheet2!BZ:ND,$B211,0),"")</f>
        <v/>
      </c>
      <c r="L211" t="str">
        <f>IF(OR(HLOOKUP(L$2+$A211,Sheet2!CA:NE,$B211,0),HLOOKUP(L$2+$A211,Sheet2!CA:NE,$B211,0)&lt;&gt;""),HLOOKUP(L$2+$A211,Sheet2!CA:NE,$B211,0),"")</f>
        <v/>
      </c>
      <c r="M211" t="str">
        <f>IF(OR(HLOOKUP(M$2+$A211,Sheet2!CB:NF,$B211,0),HLOOKUP(M$2+$A211,Sheet2!CB:NF,$B211,0)&lt;&gt;""),HLOOKUP(M$2+$A211,Sheet2!CB:NF,$B211,0),"")</f>
        <v/>
      </c>
    </row>
    <row r="212" spans="1:13" x14ac:dyDescent="0.25">
      <c r="A212" s="68">
        <f t="shared" si="33"/>
        <v>0</v>
      </c>
      <c r="B212" s="68">
        <f t="shared" si="34"/>
        <v>31</v>
      </c>
      <c r="C212" s="68">
        <f t="shared" si="36"/>
        <v>1</v>
      </c>
      <c r="D212" s="68">
        <f t="shared" si="35"/>
        <v>27</v>
      </c>
      <c r="E212" s="68">
        <f t="shared" si="32"/>
        <v>131</v>
      </c>
      <c r="F212" s="21" t="str">
        <f>VLOOKUP(D212,Sheet2!A:B,2)</f>
        <v>J19-0085</v>
      </c>
      <c r="G212" s="68" t="str">
        <f>VLOOKUP(F212,Sheet2!B:C,2,0)</f>
        <v>อำนาจเจริญ</v>
      </c>
      <c r="H212" s="68" t="str">
        <f>HLOOKUP(I$2+$A212,Sheet2!BX:NB,2,0)</f>
        <v>1-15 Jan 21</v>
      </c>
      <c r="I212" t="str">
        <f>IF(OR(HLOOKUP(I$2+$A212,Sheet2!BX:NB,$B212,0),HLOOKUP(I$2+$A212,Sheet2!BX:NB,$B212,0)&lt;&gt;""),HLOOKUP(I$2+$A212,Sheet2!BX:NB,$B212,0),"")</f>
        <v/>
      </c>
      <c r="J212" t="str">
        <f>IF(OR(HLOOKUP(J$2+$A212,Sheet2!BY:NC,$B212,0),HLOOKUP(J$2+$A212,Sheet2!BY:NC,$B212,0)&lt;&gt;""),HLOOKUP(J$2+$A212,Sheet2!BY:NC,$B212,0),"")</f>
        <v/>
      </c>
      <c r="K212" t="str">
        <f>IF(OR(HLOOKUP(K$2+$A212,Sheet2!BZ:ND,$B212,0),HLOOKUP(K$2+$A212,Sheet2!BZ:ND,$B212,0)&lt;&gt;""),HLOOKUP(K$2+$A212,Sheet2!BZ:ND,$B212,0),"")</f>
        <v/>
      </c>
      <c r="L212" t="str">
        <f>IF(OR(HLOOKUP(L$2+$A212,Sheet2!CA:NE,$B212,0),HLOOKUP(L$2+$A212,Sheet2!CA:NE,$B212,0)&lt;&gt;""),HLOOKUP(L$2+$A212,Sheet2!CA:NE,$B212,0),"")</f>
        <v/>
      </c>
      <c r="M212" t="str">
        <f>IF(OR(HLOOKUP(M$2+$A212,Sheet2!CB:NF,$B212,0),HLOOKUP(M$2+$A212,Sheet2!CB:NF,$B212,0)&lt;&gt;""),HLOOKUP(M$2+$A212,Sheet2!CB:NF,$B212,0),"")</f>
        <v/>
      </c>
    </row>
    <row r="213" spans="1:13" x14ac:dyDescent="0.25">
      <c r="A213" s="68">
        <f t="shared" si="33"/>
        <v>5</v>
      </c>
      <c r="B213" s="68">
        <f t="shared" si="34"/>
        <v>31</v>
      </c>
      <c r="C213" s="68">
        <f t="shared" si="36"/>
        <v>2</v>
      </c>
      <c r="D213" s="68">
        <f t="shared" si="35"/>
        <v>27</v>
      </c>
      <c r="E213" s="68">
        <f t="shared" ref="E213:E276" si="37">IF(D213&lt;&gt;D212,E212+5,E212)</f>
        <v>131</v>
      </c>
      <c r="F213" s="21" t="str">
        <f>VLOOKUP(D213,Sheet2!A:B,2)</f>
        <v>J19-0085</v>
      </c>
      <c r="G213" s="68" t="str">
        <f>VLOOKUP(F213,Sheet2!B:C,2,0)</f>
        <v>อำนาจเจริญ</v>
      </c>
      <c r="H213" s="68" t="str">
        <f>HLOOKUP(I$2+$A213,Sheet2!BX:NB,2,0)</f>
        <v>16-31 Jan 21</v>
      </c>
      <c r="I213" t="str">
        <f>IF(OR(HLOOKUP(I$2+$A213,Sheet2!BX:NB,$B213,0),HLOOKUP(I$2+$A213,Sheet2!BX:NB,$B213,0)&lt;&gt;""),HLOOKUP(I$2+$A213,Sheet2!BX:NB,$B213,0),"")</f>
        <v/>
      </c>
      <c r="J213" t="str">
        <f>IF(OR(HLOOKUP(J$2+$A213,Sheet2!BY:NC,$B213,0),HLOOKUP(J$2+$A213,Sheet2!BY:NC,$B213,0)&lt;&gt;""),HLOOKUP(J$2+$A213,Sheet2!BY:NC,$B213,0),"")</f>
        <v/>
      </c>
      <c r="K213" t="str">
        <f>IF(OR(HLOOKUP(K$2+$A213,Sheet2!BZ:ND,$B213,0),HLOOKUP(K$2+$A213,Sheet2!BZ:ND,$B213,0)&lt;&gt;""),HLOOKUP(K$2+$A213,Sheet2!BZ:ND,$B213,0),"")</f>
        <v/>
      </c>
      <c r="L213" t="str">
        <f>IF(OR(HLOOKUP(L$2+$A213,Sheet2!CA:NE,$B213,0),HLOOKUP(L$2+$A213,Sheet2!CA:NE,$B213,0)&lt;&gt;""),HLOOKUP(L$2+$A213,Sheet2!CA:NE,$B213,0),"")</f>
        <v/>
      </c>
      <c r="M213" t="str">
        <f>IF(OR(HLOOKUP(M$2+$A213,Sheet2!CB:NF,$B213,0),HLOOKUP(M$2+$A213,Sheet2!CB:NF,$B213,0)&lt;&gt;""),HLOOKUP(M$2+$A213,Sheet2!CB:NF,$B213,0),"")</f>
        <v/>
      </c>
    </row>
    <row r="214" spans="1:13" x14ac:dyDescent="0.25">
      <c r="A214" s="68">
        <f t="shared" si="33"/>
        <v>10</v>
      </c>
      <c r="B214" s="68">
        <f t="shared" si="34"/>
        <v>31</v>
      </c>
      <c r="C214" s="68">
        <f t="shared" si="36"/>
        <v>3</v>
      </c>
      <c r="D214" s="68">
        <f t="shared" si="35"/>
        <v>27</v>
      </c>
      <c r="E214" s="68">
        <f t="shared" si="37"/>
        <v>131</v>
      </c>
      <c r="F214" s="21" t="str">
        <f>VLOOKUP(D214,Sheet2!A:B,2)</f>
        <v>J19-0085</v>
      </c>
      <c r="G214" s="68" t="str">
        <f>VLOOKUP(F214,Sheet2!B:C,2,0)</f>
        <v>อำนาจเจริญ</v>
      </c>
      <c r="H214" s="68" t="str">
        <f>HLOOKUP(I$2+$A214,Sheet2!BX:NB,2,0)</f>
        <v>1-15 Feb 21</v>
      </c>
      <c r="I214" t="str">
        <f>IF(OR(HLOOKUP(I$2+$A214,Sheet2!BX:NB,$B214,0),HLOOKUP(I$2+$A214,Sheet2!BX:NB,$B214,0)&lt;&gt;""),HLOOKUP(I$2+$A214,Sheet2!BX:NB,$B214,0),"")</f>
        <v/>
      </c>
      <c r="J214" t="str">
        <f>IF(OR(HLOOKUP(J$2+$A214,Sheet2!BY:NC,$B214,0),HLOOKUP(J$2+$A214,Sheet2!BY:NC,$B214,0)&lt;&gt;""),HLOOKUP(J$2+$A214,Sheet2!BY:NC,$B214,0),"")</f>
        <v/>
      </c>
      <c r="K214" t="str">
        <f>IF(OR(HLOOKUP(K$2+$A214,Sheet2!BZ:ND,$B214,0),HLOOKUP(K$2+$A214,Sheet2!BZ:ND,$B214,0)&lt;&gt;""),HLOOKUP(K$2+$A214,Sheet2!BZ:ND,$B214,0),"")</f>
        <v/>
      </c>
      <c r="L214" t="str">
        <f>IF(OR(HLOOKUP(L$2+$A214,Sheet2!CA:NE,$B214,0),HLOOKUP(L$2+$A214,Sheet2!CA:NE,$B214,0)&lt;&gt;""),HLOOKUP(L$2+$A214,Sheet2!CA:NE,$B214,0),"")</f>
        <v/>
      </c>
      <c r="M214" t="str">
        <f>IF(OR(HLOOKUP(M$2+$A214,Sheet2!CB:NF,$B214,0),HLOOKUP(M$2+$A214,Sheet2!CB:NF,$B214,0)&lt;&gt;""),HLOOKUP(M$2+$A214,Sheet2!CB:NF,$B214,0),"")</f>
        <v/>
      </c>
    </row>
    <row r="215" spans="1:13" x14ac:dyDescent="0.25">
      <c r="A215" s="68">
        <f t="shared" si="33"/>
        <v>15</v>
      </c>
      <c r="B215" s="68">
        <f t="shared" si="34"/>
        <v>31</v>
      </c>
      <c r="C215" s="68">
        <f t="shared" si="36"/>
        <v>4</v>
      </c>
      <c r="D215" s="68">
        <f t="shared" si="35"/>
        <v>27</v>
      </c>
      <c r="E215" s="68">
        <f t="shared" si="37"/>
        <v>131</v>
      </c>
      <c r="F215" s="21" t="str">
        <f>VLOOKUP(D215,Sheet2!A:B,2)</f>
        <v>J19-0085</v>
      </c>
      <c r="G215" s="68" t="str">
        <f>VLOOKUP(F215,Sheet2!B:C,2,0)</f>
        <v>อำนาจเจริญ</v>
      </c>
      <c r="H215" s="68" t="str">
        <f>HLOOKUP(I$2+$A215,Sheet2!BX:NB,2,0)</f>
        <v>16-28 Feb 21</v>
      </c>
      <c r="I215" t="str">
        <f>IF(OR(HLOOKUP(I$2+$A215,Sheet2!BX:NB,$B215,0),HLOOKUP(I$2+$A215,Sheet2!BX:NB,$B215,0)&lt;&gt;""),HLOOKUP(I$2+$A215,Sheet2!BX:NB,$B215,0),"")</f>
        <v/>
      </c>
      <c r="J215" t="str">
        <f>IF(OR(HLOOKUP(J$2+$A215,Sheet2!BY:NC,$B215,0),HLOOKUP(J$2+$A215,Sheet2!BY:NC,$B215,0)&lt;&gt;""),HLOOKUP(J$2+$A215,Sheet2!BY:NC,$B215,0),"")</f>
        <v/>
      </c>
      <c r="K215" t="str">
        <f>IF(OR(HLOOKUP(K$2+$A215,Sheet2!BZ:ND,$B215,0),HLOOKUP(K$2+$A215,Sheet2!BZ:ND,$B215,0)&lt;&gt;""),HLOOKUP(K$2+$A215,Sheet2!BZ:ND,$B215,0),"")</f>
        <v/>
      </c>
      <c r="L215" t="str">
        <f>IF(OR(HLOOKUP(L$2+$A215,Sheet2!CA:NE,$B215,0),HLOOKUP(L$2+$A215,Sheet2!CA:NE,$B215,0)&lt;&gt;""),HLOOKUP(L$2+$A215,Sheet2!CA:NE,$B215,0),"")</f>
        <v/>
      </c>
      <c r="M215" t="str">
        <f>IF(OR(HLOOKUP(M$2+$A215,Sheet2!CB:NF,$B215,0),HLOOKUP(M$2+$A215,Sheet2!CB:NF,$B215,0)&lt;&gt;""),HLOOKUP(M$2+$A215,Sheet2!CB:NF,$B215,0),"")</f>
        <v/>
      </c>
    </row>
    <row r="216" spans="1:13" x14ac:dyDescent="0.25">
      <c r="A216" s="68">
        <f t="shared" si="33"/>
        <v>20</v>
      </c>
      <c r="B216" s="68">
        <f t="shared" si="34"/>
        <v>31</v>
      </c>
      <c r="C216" s="68">
        <f t="shared" si="36"/>
        <v>5</v>
      </c>
      <c r="D216" s="68">
        <f t="shared" si="35"/>
        <v>27</v>
      </c>
      <c r="E216" s="68">
        <f t="shared" si="37"/>
        <v>131</v>
      </c>
      <c r="F216" s="21" t="str">
        <f>VLOOKUP(D216,Sheet2!A:B,2)</f>
        <v>J19-0085</v>
      </c>
      <c r="G216" s="68" t="str">
        <f>VLOOKUP(F216,Sheet2!B:C,2,0)</f>
        <v>อำนาจเจริญ</v>
      </c>
      <c r="H216" s="68" t="str">
        <f>HLOOKUP(I$2+$A216,Sheet2!BX:NB,2,0)</f>
        <v>1-15 Mar 2021</v>
      </c>
      <c r="I216" t="str">
        <f>IF(OR(HLOOKUP(I$2+$A216,Sheet2!BX:NB,$B216,0),HLOOKUP(I$2+$A216,Sheet2!BX:NB,$B216,0)&lt;&gt;""),HLOOKUP(I$2+$A216,Sheet2!BX:NB,$B216,0),"")</f>
        <v/>
      </c>
      <c r="J216" t="str">
        <f>IF(OR(HLOOKUP(J$2+$A216,Sheet2!BY:NC,$B216,0),HLOOKUP(J$2+$A216,Sheet2!BY:NC,$B216,0)&lt;&gt;""),HLOOKUP(J$2+$A216,Sheet2!BY:NC,$B216,0),"")</f>
        <v/>
      </c>
      <c r="K216" t="str">
        <f>IF(OR(HLOOKUP(K$2+$A216,Sheet2!BZ:ND,$B216,0),HLOOKUP(K$2+$A216,Sheet2!BZ:ND,$B216,0)&lt;&gt;""),HLOOKUP(K$2+$A216,Sheet2!BZ:ND,$B216,0),"")</f>
        <v/>
      </c>
      <c r="L216" t="str">
        <f>IF(OR(HLOOKUP(L$2+$A216,Sheet2!CA:NE,$B216,0),HLOOKUP(L$2+$A216,Sheet2!CA:NE,$B216,0)&lt;&gt;""),HLOOKUP(L$2+$A216,Sheet2!CA:NE,$B216,0),"")</f>
        <v/>
      </c>
      <c r="M216" t="str">
        <f>IF(OR(HLOOKUP(M$2+$A216,Sheet2!CB:NF,$B216,0),HLOOKUP(M$2+$A216,Sheet2!CB:NF,$B216,0)&lt;&gt;""),HLOOKUP(M$2+$A216,Sheet2!CB:NF,$B216,0),"")</f>
        <v/>
      </c>
    </row>
    <row r="217" spans="1:13" x14ac:dyDescent="0.25">
      <c r="A217" s="68">
        <f t="shared" si="33"/>
        <v>25</v>
      </c>
      <c r="B217" s="68">
        <f t="shared" si="34"/>
        <v>31</v>
      </c>
      <c r="C217" s="68">
        <f t="shared" si="36"/>
        <v>6</v>
      </c>
      <c r="D217" s="68">
        <f t="shared" si="35"/>
        <v>27</v>
      </c>
      <c r="E217" s="68">
        <f t="shared" si="37"/>
        <v>131</v>
      </c>
      <c r="F217" s="21" t="str">
        <f>VLOOKUP(D217,Sheet2!A:B,2)</f>
        <v>J19-0085</v>
      </c>
      <c r="G217" s="68" t="str">
        <f>VLOOKUP(F217,Sheet2!B:C,2,0)</f>
        <v>อำนาจเจริญ</v>
      </c>
      <c r="H217" s="68" t="str">
        <f>HLOOKUP(I$2+$A217,Sheet2!BX:NB,2,0)</f>
        <v>16-31 Mar 21</v>
      </c>
      <c r="I217" t="str">
        <f>IF(OR(HLOOKUP(I$2+$A217,Sheet2!BX:NB,$B217,0),HLOOKUP(I$2+$A217,Sheet2!BX:NB,$B217,0)&lt;&gt;""),HLOOKUP(I$2+$A217,Sheet2!BX:NB,$B217,0),"")</f>
        <v/>
      </c>
      <c r="J217" t="str">
        <f>IF(OR(HLOOKUP(J$2+$A217,Sheet2!BY:NC,$B217,0),HLOOKUP(J$2+$A217,Sheet2!BY:NC,$B217,0)&lt;&gt;""),HLOOKUP(J$2+$A217,Sheet2!BY:NC,$B217,0),"")</f>
        <v/>
      </c>
      <c r="K217" t="str">
        <f>IF(OR(HLOOKUP(K$2+$A217,Sheet2!BZ:ND,$B217,0),HLOOKUP(K$2+$A217,Sheet2!BZ:ND,$B217,0)&lt;&gt;""),HLOOKUP(K$2+$A217,Sheet2!BZ:ND,$B217,0),"")</f>
        <v/>
      </c>
      <c r="L217" t="str">
        <f>IF(OR(HLOOKUP(L$2+$A217,Sheet2!CA:NE,$B217,0),HLOOKUP(L$2+$A217,Sheet2!CA:NE,$B217,0)&lt;&gt;""),HLOOKUP(L$2+$A217,Sheet2!CA:NE,$B217,0),"")</f>
        <v/>
      </c>
      <c r="M217" t="str">
        <f>IF(OR(HLOOKUP(M$2+$A217,Sheet2!CB:NF,$B217,0),HLOOKUP(M$2+$A217,Sheet2!CB:NF,$B217,0)&lt;&gt;""),HLOOKUP(M$2+$A217,Sheet2!CB:NF,$B217,0),"")</f>
        <v/>
      </c>
    </row>
    <row r="218" spans="1:13" x14ac:dyDescent="0.25">
      <c r="A218" s="68">
        <f t="shared" si="33"/>
        <v>30</v>
      </c>
      <c r="B218" s="68">
        <f t="shared" si="34"/>
        <v>31</v>
      </c>
      <c r="C218" s="68">
        <f t="shared" si="36"/>
        <v>7</v>
      </c>
      <c r="D218" s="68">
        <f t="shared" si="35"/>
        <v>27</v>
      </c>
      <c r="E218" s="68">
        <f t="shared" si="37"/>
        <v>131</v>
      </c>
      <c r="F218" s="21" t="str">
        <f>VLOOKUP(D218,Sheet2!A:B,2)</f>
        <v>J19-0085</v>
      </c>
      <c r="G218" s="68" t="str">
        <f>VLOOKUP(F218,Sheet2!B:C,2,0)</f>
        <v>อำนาจเจริญ</v>
      </c>
      <c r="H218" s="68" t="str">
        <f>HLOOKUP(I$2+$A218,Sheet2!BX:NB,2,0)</f>
        <v>1-15 April 21</v>
      </c>
      <c r="I218" t="str">
        <f>IF(OR(HLOOKUP(I$2+$A218,Sheet2!BX:NB,$B218,0),HLOOKUP(I$2+$A218,Sheet2!BX:NB,$B218,0)&lt;&gt;""),HLOOKUP(I$2+$A218,Sheet2!BX:NB,$B218,0),"")</f>
        <v/>
      </c>
      <c r="J218" t="str">
        <f>IF(OR(HLOOKUP(J$2+$A218,Sheet2!BY:NC,$B218,0),HLOOKUP(J$2+$A218,Sheet2!BY:NC,$B218,0)&lt;&gt;""),HLOOKUP(J$2+$A218,Sheet2!BY:NC,$B218,0),"")</f>
        <v/>
      </c>
      <c r="K218" t="str">
        <f>IF(OR(HLOOKUP(K$2+$A218,Sheet2!BZ:ND,$B218,0),HLOOKUP(K$2+$A218,Sheet2!BZ:ND,$B218,0)&lt;&gt;""),HLOOKUP(K$2+$A218,Sheet2!BZ:ND,$B218,0),"")</f>
        <v/>
      </c>
      <c r="L218" t="str">
        <f>IF(OR(HLOOKUP(L$2+$A218,Sheet2!CA:NE,$B218,0),HLOOKUP(L$2+$A218,Sheet2!CA:NE,$B218,0)&lt;&gt;""),HLOOKUP(L$2+$A218,Sheet2!CA:NE,$B218,0),"")</f>
        <v/>
      </c>
      <c r="M218" t="str">
        <f>IF(OR(HLOOKUP(M$2+$A218,Sheet2!CB:NF,$B218,0),HLOOKUP(M$2+$A218,Sheet2!CB:NF,$B218,0)&lt;&gt;""),HLOOKUP(M$2+$A218,Sheet2!CB:NF,$B218,0),"")</f>
        <v/>
      </c>
    </row>
    <row r="219" spans="1:13" x14ac:dyDescent="0.25">
      <c r="A219" s="68">
        <f t="shared" si="33"/>
        <v>35</v>
      </c>
      <c r="B219" s="68">
        <f t="shared" si="34"/>
        <v>31</v>
      </c>
      <c r="C219" s="68">
        <f t="shared" si="36"/>
        <v>8</v>
      </c>
      <c r="D219" s="68">
        <f t="shared" si="35"/>
        <v>27</v>
      </c>
      <c r="E219" s="68">
        <f t="shared" si="37"/>
        <v>131</v>
      </c>
      <c r="F219" s="21" t="str">
        <f>VLOOKUP(D219,Sheet2!A:B,2)</f>
        <v>J19-0085</v>
      </c>
      <c r="G219" s="68" t="str">
        <f>VLOOKUP(F219,Sheet2!B:C,2,0)</f>
        <v>อำนาจเจริญ</v>
      </c>
      <c r="H219" s="68" t="str">
        <f>HLOOKUP(I$2+$A219,Sheet2!BX:NB,2,0)</f>
        <v>16-30 April 21</v>
      </c>
      <c r="I219" t="str">
        <f>IF(OR(HLOOKUP(I$2+$A219,Sheet2!BX:NB,$B219,0),HLOOKUP(I$2+$A219,Sheet2!BX:NB,$B219,0)&lt;&gt;""),HLOOKUP(I$2+$A219,Sheet2!BX:NB,$B219,0),"")</f>
        <v/>
      </c>
      <c r="J219" t="str">
        <f>IF(OR(HLOOKUP(J$2+$A219,Sheet2!BY:NC,$B219,0),HLOOKUP(J$2+$A219,Sheet2!BY:NC,$B219,0)&lt;&gt;""),HLOOKUP(J$2+$A219,Sheet2!BY:NC,$B219,0),"")</f>
        <v/>
      </c>
      <c r="K219" t="str">
        <f>IF(OR(HLOOKUP(K$2+$A219,Sheet2!BZ:ND,$B219,0),HLOOKUP(K$2+$A219,Sheet2!BZ:ND,$B219,0)&lt;&gt;""),HLOOKUP(K$2+$A219,Sheet2!BZ:ND,$B219,0),"")</f>
        <v/>
      </c>
      <c r="L219" t="str">
        <f>IF(OR(HLOOKUP(L$2+$A219,Sheet2!CA:NE,$B219,0),HLOOKUP(L$2+$A219,Sheet2!CA:NE,$B219,0)&lt;&gt;""),HLOOKUP(L$2+$A219,Sheet2!CA:NE,$B219,0),"")</f>
        <v/>
      </c>
      <c r="M219" t="str">
        <f>IF(OR(HLOOKUP(M$2+$A219,Sheet2!CB:NF,$B219,0),HLOOKUP(M$2+$A219,Sheet2!CB:NF,$B219,0)&lt;&gt;""),HLOOKUP(M$2+$A219,Sheet2!CB:NF,$B219,0),"")</f>
        <v/>
      </c>
    </row>
    <row r="220" spans="1:13" x14ac:dyDescent="0.25">
      <c r="A220" s="68">
        <f t="shared" si="33"/>
        <v>0</v>
      </c>
      <c r="B220" s="68">
        <f t="shared" si="34"/>
        <v>32</v>
      </c>
      <c r="C220" s="68">
        <f t="shared" si="36"/>
        <v>1</v>
      </c>
      <c r="D220" s="68">
        <f t="shared" si="35"/>
        <v>28</v>
      </c>
      <c r="E220" s="68">
        <f t="shared" si="37"/>
        <v>136</v>
      </c>
      <c r="F220" s="21" t="str">
        <f>VLOOKUP(D220,Sheet2!A:B,2)</f>
        <v>J19-0784</v>
      </c>
      <c r="G220" s="68" t="str">
        <f>VLOOKUP(F220,Sheet2!B:C,2,0)</f>
        <v>UAWสระบุรี</v>
      </c>
      <c r="H220" s="68" t="str">
        <f>HLOOKUP(I$2+$A220,Sheet2!BX:NB,2,0)</f>
        <v>1-15 Jan 21</v>
      </c>
      <c r="I220" t="str">
        <f>IF(OR(HLOOKUP(I$2+$A220,Sheet2!BX:NB,$B220,0),HLOOKUP(I$2+$A220,Sheet2!BX:NB,$B220,0)&lt;&gt;""),HLOOKUP(I$2+$A220,Sheet2!BX:NB,$B220,0),"")</f>
        <v/>
      </c>
      <c r="J220" t="str">
        <f>IF(OR(HLOOKUP(J$2+$A220,Sheet2!BY:NC,$B220,0),HLOOKUP(J$2+$A220,Sheet2!BY:NC,$B220,0)&lt;&gt;""),HLOOKUP(J$2+$A220,Sheet2!BY:NC,$B220,0),"")</f>
        <v/>
      </c>
      <c r="K220" t="str">
        <f>IF(OR(HLOOKUP(K$2+$A220,Sheet2!BZ:ND,$B220,0),HLOOKUP(K$2+$A220,Sheet2!BZ:ND,$B220,0)&lt;&gt;""),HLOOKUP(K$2+$A220,Sheet2!BZ:ND,$B220,0),"")</f>
        <v/>
      </c>
      <c r="L220" t="str">
        <f>IF(OR(HLOOKUP(L$2+$A220,Sheet2!CA:NE,$B220,0),HLOOKUP(L$2+$A220,Sheet2!CA:NE,$B220,0)&lt;&gt;""),HLOOKUP(L$2+$A220,Sheet2!CA:NE,$B220,0),"")</f>
        <v/>
      </c>
      <c r="M220" t="str">
        <f>IF(OR(HLOOKUP(M$2+$A220,Sheet2!CB:NF,$B220,0),HLOOKUP(M$2+$A220,Sheet2!CB:NF,$B220,0)&lt;&gt;""),HLOOKUP(M$2+$A220,Sheet2!CB:NF,$B220,0),"")</f>
        <v/>
      </c>
    </row>
    <row r="221" spans="1:13" x14ac:dyDescent="0.25">
      <c r="A221" s="68">
        <f t="shared" si="33"/>
        <v>5</v>
      </c>
      <c r="B221" s="68">
        <f t="shared" si="34"/>
        <v>32</v>
      </c>
      <c r="C221" s="68">
        <f t="shared" si="36"/>
        <v>2</v>
      </c>
      <c r="D221" s="68">
        <f t="shared" si="35"/>
        <v>28</v>
      </c>
      <c r="E221" s="68">
        <f t="shared" si="37"/>
        <v>136</v>
      </c>
      <c r="F221" s="21" t="str">
        <f>VLOOKUP(D221,Sheet2!A:B,2)</f>
        <v>J19-0784</v>
      </c>
      <c r="G221" s="68" t="str">
        <f>VLOOKUP(F221,Sheet2!B:C,2,0)</f>
        <v>UAWสระบุรี</v>
      </c>
      <c r="H221" s="68" t="str">
        <f>HLOOKUP(I$2+$A221,Sheet2!BX:NB,2,0)</f>
        <v>16-31 Jan 21</v>
      </c>
      <c r="I221" t="str">
        <f>IF(OR(HLOOKUP(I$2+$A221,Sheet2!BX:NB,$B221,0),HLOOKUP(I$2+$A221,Sheet2!BX:NB,$B221,0)&lt;&gt;""),HLOOKUP(I$2+$A221,Sheet2!BX:NB,$B221,0),"")</f>
        <v/>
      </c>
      <c r="J221" t="str">
        <f>IF(OR(HLOOKUP(J$2+$A221,Sheet2!BY:NC,$B221,0),HLOOKUP(J$2+$A221,Sheet2!BY:NC,$B221,0)&lt;&gt;""),HLOOKUP(J$2+$A221,Sheet2!BY:NC,$B221,0),"")</f>
        <v/>
      </c>
      <c r="K221" t="str">
        <f>IF(OR(HLOOKUP(K$2+$A221,Sheet2!BZ:ND,$B221,0),HLOOKUP(K$2+$A221,Sheet2!BZ:ND,$B221,0)&lt;&gt;""),HLOOKUP(K$2+$A221,Sheet2!BZ:ND,$B221,0),"")</f>
        <v/>
      </c>
      <c r="L221" t="str">
        <f>IF(OR(HLOOKUP(L$2+$A221,Sheet2!CA:NE,$B221,0),HLOOKUP(L$2+$A221,Sheet2!CA:NE,$B221,0)&lt;&gt;""),HLOOKUP(L$2+$A221,Sheet2!CA:NE,$B221,0),"")</f>
        <v/>
      </c>
      <c r="M221" t="str">
        <f>IF(OR(HLOOKUP(M$2+$A221,Sheet2!CB:NF,$B221,0),HLOOKUP(M$2+$A221,Sheet2!CB:NF,$B221,0)&lt;&gt;""),HLOOKUP(M$2+$A221,Sheet2!CB:NF,$B221,0),"")</f>
        <v/>
      </c>
    </row>
    <row r="222" spans="1:13" x14ac:dyDescent="0.25">
      <c r="A222" s="68">
        <f t="shared" si="33"/>
        <v>10</v>
      </c>
      <c r="B222" s="68">
        <f t="shared" si="34"/>
        <v>32</v>
      </c>
      <c r="C222" s="68">
        <f t="shared" si="36"/>
        <v>3</v>
      </c>
      <c r="D222" s="68">
        <f t="shared" si="35"/>
        <v>28</v>
      </c>
      <c r="E222" s="68">
        <f t="shared" si="37"/>
        <v>136</v>
      </c>
      <c r="F222" s="21" t="str">
        <f>VLOOKUP(D222,Sheet2!A:B,2)</f>
        <v>J19-0784</v>
      </c>
      <c r="G222" s="68" t="str">
        <f>VLOOKUP(F222,Sheet2!B:C,2,0)</f>
        <v>UAWสระบุรี</v>
      </c>
      <c r="H222" s="68" t="str">
        <f>HLOOKUP(I$2+$A222,Sheet2!BX:NB,2,0)</f>
        <v>1-15 Feb 21</v>
      </c>
      <c r="I222" t="str">
        <f>IF(OR(HLOOKUP(I$2+$A222,Sheet2!BX:NB,$B222,0),HLOOKUP(I$2+$A222,Sheet2!BX:NB,$B222,0)&lt;&gt;""),HLOOKUP(I$2+$A222,Sheet2!BX:NB,$B222,0),"")</f>
        <v/>
      </c>
      <c r="J222" t="str">
        <f>IF(OR(HLOOKUP(J$2+$A222,Sheet2!BY:NC,$B222,0),HLOOKUP(J$2+$A222,Sheet2!BY:NC,$B222,0)&lt;&gt;""),HLOOKUP(J$2+$A222,Sheet2!BY:NC,$B222,0),"")</f>
        <v/>
      </c>
      <c r="K222" t="str">
        <f>IF(OR(HLOOKUP(K$2+$A222,Sheet2!BZ:ND,$B222,0),HLOOKUP(K$2+$A222,Sheet2!BZ:ND,$B222,0)&lt;&gt;""),HLOOKUP(K$2+$A222,Sheet2!BZ:ND,$B222,0),"")</f>
        <v/>
      </c>
      <c r="L222" t="str">
        <f>IF(OR(HLOOKUP(L$2+$A222,Sheet2!CA:NE,$B222,0),HLOOKUP(L$2+$A222,Sheet2!CA:NE,$B222,0)&lt;&gt;""),HLOOKUP(L$2+$A222,Sheet2!CA:NE,$B222,0),"")</f>
        <v/>
      </c>
      <c r="M222" t="str">
        <f>IF(OR(HLOOKUP(M$2+$A222,Sheet2!CB:NF,$B222,0),HLOOKUP(M$2+$A222,Sheet2!CB:NF,$B222,0)&lt;&gt;""),HLOOKUP(M$2+$A222,Sheet2!CB:NF,$B222,0),"")</f>
        <v/>
      </c>
    </row>
    <row r="223" spans="1:13" x14ac:dyDescent="0.25">
      <c r="A223" s="68">
        <f t="shared" si="33"/>
        <v>15</v>
      </c>
      <c r="B223" s="68">
        <f t="shared" si="34"/>
        <v>32</v>
      </c>
      <c r="C223" s="68">
        <f t="shared" si="36"/>
        <v>4</v>
      </c>
      <c r="D223" s="68">
        <f t="shared" si="35"/>
        <v>28</v>
      </c>
      <c r="E223" s="68">
        <f t="shared" si="37"/>
        <v>136</v>
      </c>
      <c r="F223" s="21" t="str">
        <f>VLOOKUP(D223,Sheet2!A:B,2)</f>
        <v>J19-0784</v>
      </c>
      <c r="G223" s="68" t="str">
        <f>VLOOKUP(F223,Sheet2!B:C,2,0)</f>
        <v>UAWสระบุรี</v>
      </c>
      <c r="H223" s="68" t="str">
        <f>HLOOKUP(I$2+$A223,Sheet2!BX:NB,2,0)</f>
        <v>16-28 Feb 21</v>
      </c>
      <c r="I223" t="str">
        <f>IF(OR(HLOOKUP(I$2+$A223,Sheet2!BX:NB,$B223,0),HLOOKUP(I$2+$A223,Sheet2!BX:NB,$B223,0)&lt;&gt;""),HLOOKUP(I$2+$A223,Sheet2!BX:NB,$B223,0),"")</f>
        <v/>
      </c>
      <c r="J223" t="str">
        <f>IF(OR(HLOOKUP(J$2+$A223,Sheet2!BY:NC,$B223,0),HLOOKUP(J$2+$A223,Sheet2!BY:NC,$B223,0)&lt;&gt;""),HLOOKUP(J$2+$A223,Sheet2!BY:NC,$B223,0),"")</f>
        <v/>
      </c>
      <c r="K223" t="str">
        <f>IF(OR(HLOOKUP(K$2+$A223,Sheet2!BZ:ND,$B223,0),HLOOKUP(K$2+$A223,Sheet2!BZ:ND,$B223,0)&lt;&gt;""),HLOOKUP(K$2+$A223,Sheet2!BZ:ND,$B223,0),"")</f>
        <v/>
      </c>
      <c r="L223" t="str">
        <f>IF(OR(HLOOKUP(L$2+$A223,Sheet2!CA:NE,$B223,0),HLOOKUP(L$2+$A223,Sheet2!CA:NE,$B223,0)&lt;&gt;""),HLOOKUP(L$2+$A223,Sheet2!CA:NE,$B223,0),"")</f>
        <v/>
      </c>
      <c r="M223" t="str">
        <f>IF(OR(HLOOKUP(M$2+$A223,Sheet2!CB:NF,$B223,0),HLOOKUP(M$2+$A223,Sheet2!CB:NF,$B223,0)&lt;&gt;""),HLOOKUP(M$2+$A223,Sheet2!CB:NF,$B223,0),"")</f>
        <v/>
      </c>
    </row>
    <row r="224" spans="1:13" x14ac:dyDescent="0.25">
      <c r="A224" s="68">
        <f t="shared" si="33"/>
        <v>20</v>
      </c>
      <c r="B224" s="68">
        <f t="shared" si="34"/>
        <v>32</v>
      </c>
      <c r="C224" s="68">
        <f t="shared" si="36"/>
        <v>5</v>
      </c>
      <c r="D224" s="68">
        <f t="shared" si="35"/>
        <v>28</v>
      </c>
      <c r="E224" s="68">
        <f t="shared" si="37"/>
        <v>136</v>
      </c>
      <c r="F224" s="21" t="str">
        <f>VLOOKUP(D224,Sheet2!A:B,2)</f>
        <v>J19-0784</v>
      </c>
      <c r="G224" s="68" t="str">
        <f>VLOOKUP(F224,Sheet2!B:C,2,0)</f>
        <v>UAWสระบุรี</v>
      </c>
      <c r="H224" s="68" t="str">
        <f>HLOOKUP(I$2+$A224,Sheet2!BX:NB,2,0)</f>
        <v>1-15 Mar 2021</v>
      </c>
      <c r="I224" t="str">
        <f>IF(OR(HLOOKUP(I$2+$A224,Sheet2!BX:NB,$B224,0),HLOOKUP(I$2+$A224,Sheet2!BX:NB,$B224,0)&lt;&gt;""),HLOOKUP(I$2+$A224,Sheet2!BX:NB,$B224,0),"")</f>
        <v/>
      </c>
      <c r="J224" t="str">
        <f>IF(OR(HLOOKUP(J$2+$A224,Sheet2!BY:NC,$B224,0),HLOOKUP(J$2+$A224,Sheet2!BY:NC,$B224,0)&lt;&gt;""),HLOOKUP(J$2+$A224,Sheet2!BY:NC,$B224,0),"")</f>
        <v/>
      </c>
      <c r="K224" t="str">
        <f>IF(OR(HLOOKUP(K$2+$A224,Sheet2!BZ:ND,$B224,0),HLOOKUP(K$2+$A224,Sheet2!BZ:ND,$B224,0)&lt;&gt;""),HLOOKUP(K$2+$A224,Sheet2!BZ:ND,$B224,0),"")</f>
        <v/>
      </c>
      <c r="L224" t="str">
        <f>IF(OR(HLOOKUP(L$2+$A224,Sheet2!CA:NE,$B224,0),HLOOKUP(L$2+$A224,Sheet2!CA:NE,$B224,0)&lt;&gt;""),HLOOKUP(L$2+$A224,Sheet2!CA:NE,$B224,0),"")</f>
        <v/>
      </c>
      <c r="M224" t="str">
        <f>IF(OR(HLOOKUP(M$2+$A224,Sheet2!CB:NF,$B224,0),HLOOKUP(M$2+$A224,Sheet2!CB:NF,$B224,0)&lt;&gt;""),HLOOKUP(M$2+$A224,Sheet2!CB:NF,$B224,0),"")</f>
        <v/>
      </c>
    </row>
    <row r="225" spans="1:13" x14ac:dyDescent="0.25">
      <c r="A225" s="68">
        <f t="shared" si="33"/>
        <v>25</v>
      </c>
      <c r="B225" s="68">
        <f t="shared" si="34"/>
        <v>32</v>
      </c>
      <c r="C225" s="68">
        <f t="shared" si="36"/>
        <v>6</v>
      </c>
      <c r="D225" s="68">
        <f t="shared" si="35"/>
        <v>28</v>
      </c>
      <c r="E225" s="68">
        <f t="shared" si="37"/>
        <v>136</v>
      </c>
      <c r="F225" s="21" t="str">
        <f>VLOOKUP(D225,Sheet2!A:B,2)</f>
        <v>J19-0784</v>
      </c>
      <c r="G225" s="68" t="str">
        <f>VLOOKUP(F225,Sheet2!B:C,2,0)</f>
        <v>UAWสระบุรี</v>
      </c>
      <c r="H225" s="68" t="str">
        <f>HLOOKUP(I$2+$A225,Sheet2!BX:NB,2,0)</f>
        <v>16-31 Mar 21</v>
      </c>
      <c r="I225" t="str">
        <f>IF(OR(HLOOKUP(I$2+$A225,Sheet2!BX:NB,$B225,0),HLOOKUP(I$2+$A225,Sheet2!BX:NB,$B225,0)&lt;&gt;""),HLOOKUP(I$2+$A225,Sheet2!BX:NB,$B225,0),"")</f>
        <v/>
      </c>
      <c r="J225" t="str">
        <f>IF(OR(HLOOKUP(J$2+$A225,Sheet2!BY:NC,$B225,0),HLOOKUP(J$2+$A225,Sheet2!BY:NC,$B225,0)&lt;&gt;""),HLOOKUP(J$2+$A225,Sheet2!BY:NC,$B225,0),"")</f>
        <v/>
      </c>
      <c r="K225" t="str">
        <f>IF(OR(HLOOKUP(K$2+$A225,Sheet2!BZ:ND,$B225,0),HLOOKUP(K$2+$A225,Sheet2!BZ:ND,$B225,0)&lt;&gt;""),HLOOKUP(K$2+$A225,Sheet2!BZ:ND,$B225,0),"")</f>
        <v/>
      </c>
      <c r="L225" t="str">
        <f>IF(OR(HLOOKUP(L$2+$A225,Sheet2!CA:NE,$B225,0),HLOOKUP(L$2+$A225,Sheet2!CA:NE,$B225,0)&lt;&gt;""),HLOOKUP(L$2+$A225,Sheet2!CA:NE,$B225,0),"")</f>
        <v/>
      </c>
      <c r="M225" t="str">
        <f>IF(OR(HLOOKUP(M$2+$A225,Sheet2!CB:NF,$B225,0),HLOOKUP(M$2+$A225,Sheet2!CB:NF,$B225,0)&lt;&gt;""),HLOOKUP(M$2+$A225,Sheet2!CB:NF,$B225,0),"")</f>
        <v/>
      </c>
    </row>
    <row r="226" spans="1:13" x14ac:dyDescent="0.25">
      <c r="A226" s="68">
        <f t="shared" si="33"/>
        <v>30</v>
      </c>
      <c r="B226" s="68">
        <f t="shared" si="34"/>
        <v>32</v>
      </c>
      <c r="C226" s="68">
        <f t="shared" si="36"/>
        <v>7</v>
      </c>
      <c r="D226" s="68">
        <f t="shared" si="35"/>
        <v>28</v>
      </c>
      <c r="E226" s="68">
        <f t="shared" si="37"/>
        <v>136</v>
      </c>
      <c r="F226" s="21" t="str">
        <f>VLOOKUP(D226,Sheet2!A:B,2)</f>
        <v>J19-0784</v>
      </c>
      <c r="G226" s="68" t="str">
        <f>VLOOKUP(F226,Sheet2!B:C,2,0)</f>
        <v>UAWสระบุรี</v>
      </c>
      <c r="H226" s="68" t="str">
        <f>HLOOKUP(I$2+$A226,Sheet2!BX:NB,2,0)</f>
        <v>1-15 April 21</v>
      </c>
      <c r="I226" t="str">
        <f>IF(OR(HLOOKUP(I$2+$A226,Sheet2!BX:NB,$B226,0),HLOOKUP(I$2+$A226,Sheet2!BX:NB,$B226,0)&lt;&gt;""),HLOOKUP(I$2+$A226,Sheet2!BX:NB,$B226,0),"")</f>
        <v/>
      </c>
      <c r="J226" t="str">
        <f>IF(OR(HLOOKUP(J$2+$A226,Sheet2!BY:NC,$B226,0),HLOOKUP(J$2+$A226,Sheet2!BY:NC,$B226,0)&lt;&gt;""),HLOOKUP(J$2+$A226,Sheet2!BY:NC,$B226,0),"")</f>
        <v/>
      </c>
      <c r="K226" t="str">
        <f>IF(OR(HLOOKUP(K$2+$A226,Sheet2!BZ:ND,$B226,0),HLOOKUP(K$2+$A226,Sheet2!BZ:ND,$B226,0)&lt;&gt;""),HLOOKUP(K$2+$A226,Sheet2!BZ:ND,$B226,0),"")</f>
        <v/>
      </c>
      <c r="L226" t="str">
        <f>IF(OR(HLOOKUP(L$2+$A226,Sheet2!CA:NE,$B226,0),HLOOKUP(L$2+$A226,Sheet2!CA:NE,$B226,0)&lt;&gt;""),HLOOKUP(L$2+$A226,Sheet2!CA:NE,$B226,0),"")</f>
        <v/>
      </c>
      <c r="M226" t="str">
        <f>IF(OR(HLOOKUP(M$2+$A226,Sheet2!CB:NF,$B226,0),HLOOKUP(M$2+$A226,Sheet2!CB:NF,$B226,0)&lt;&gt;""),HLOOKUP(M$2+$A226,Sheet2!CB:NF,$B226,0),"")</f>
        <v/>
      </c>
    </row>
    <row r="227" spans="1:13" x14ac:dyDescent="0.25">
      <c r="A227" s="68">
        <f t="shared" si="33"/>
        <v>35</v>
      </c>
      <c r="B227" s="68">
        <f t="shared" si="34"/>
        <v>32</v>
      </c>
      <c r="C227" s="68">
        <f t="shared" si="36"/>
        <v>8</v>
      </c>
      <c r="D227" s="68">
        <f t="shared" si="35"/>
        <v>28</v>
      </c>
      <c r="E227" s="68">
        <f t="shared" si="37"/>
        <v>136</v>
      </c>
      <c r="F227" s="21" t="str">
        <f>VLOOKUP(D227,Sheet2!A:B,2)</f>
        <v>J19-0784</v>
      </c>
      <c r="G227" s="68" t="str">
        <f>VLOOKUP(F227,Sheet2!B:C,2,0)</f>
        <v>UAWสระบุรี</v>
      </c>
      <c r="H227" s="68" t="str">
        <f>HLOOKUP(I$2+$A227,Sheet2!BX:NB,2,0)</f>
        <v>16-30 April 21</v>
      </c>
      <c r="I227" t="str">
        <f>IF(OR(HLOOKUP(I$2+$A227,Sheet2!BX:NB,$B227,0),HLOOKUP(I$2+$A227,Sheet2!BX:NB,$B227,0)&lt;&gt;""),HLOOKUP(I$2+$A227,Sheet2!BX:NB,$B227,0),"")</f>
        <v/>
      </c>
      <c r="J227" t="str">
        <f>IF(OR(HLOOKUP(J$2+$A227,Sheet2!BY:NC,$B227,0),HLOOKUP(J$2+$A227,Sheet2!BY:NC,$B227,0)&lt;&gt;""),HLOOKUP(J$2+$A227,Sheet2!BY:NC,$B227,0),"")</f>
        <v/>
      </c>
      <c r="K227" t="str">
        <f>IF(OR(HLOOKUP(K$2+$A227,Sheet2!BZ:ND,$B227,0),HLOOKUP(K$2+$A227,Sheet2!BZ:ND,$B227,0)&lt;&gt;""),HLOOKUP(K$2+$A227,Sheet2!BZ:ND,$B227,0),"")</f>
        <v/>
      </c>
      <c r="L227" t="str">
        <f>IF(OR(HLOOKUP(L$2+$A227,Sheet2!CA:NE,$B227,0),HLOOKUP(L$2+$A227,Sheet2!CA:NE,$B227,0)&lt;&gt;""),HLOOKUP(L$2+$A227,Sheet2!CA:NE,$B227,0),"")</f>
        <v/>
      </c>
      <c r="M227" t="str">
        <f>IF(OR(HLOOKUP(M$2+$A227,Sheet2!CB:NF,$B227,0),HLOOKUP(M$2+$A227,Sheet2!CB:NF,$B227,0)&lt;&gt;""),HLOOKUP(M$2+$A227,Sheet2!CB:NF,$B227,0),"")</f>
        <v/>
      </c>
    </row>
    <row r="228" spans="1:13" x14ac:dyDescent="0.25">
      <c r="A228" s="68">
        <f t="shared" si="33"/>
        <v>0</v>
      </c>
      <c r="B228" s="68">
        <f t="shared" si="34"/>
        <v>33</v>
      </c>
      <c r="C228" s="68">
        <f t="shared" si="36"/>
        <v>1</v>
      </c>
      <c r="D228" s="68">
        <f t="shared" si="35"/>
        <v>29</v>
      </c>
      <c r="E228" s="68">
        <f t="shared" si="37"/>
        <v>141</v>
      </c>
      <c r="F228" s="21" t="str">
        <f>VLOOKUP(D228,Sheet2!A:B,2)</f>
        <v>J19-0853</v>
      </c>
      <c r="G228" s="68" t="str">
        <f>VLOOKUP(F228,Sheet2!B:C,2,0)</f>
        <v>นตและอ้อย 1-31 JAN 2020 (นศ.)</v>
      </c>
      <c r="H228" s="68" t="str">
        <f>HLOOKUP(I$2+$A228,Sheet2!BX:NB,2,0)</f>
        <v>1-15 Jan 21</v>
      </c>
      <c r="I228" t="str">
        <f>IF(OR(HLOOKUP(I$2+$A228,Sheet2!BX:NB,$B228,0),HLOOKUP(I$2+$A228,Sheet2!BX:NB,$B228,0)&lt;&gt;""),HLOOKUP(I$2+$A228,Sheet2!BX:NB,$B228,0),"")</f>
        <v/>
      </c>
      <c r="J228" t="str">
        <f>IF(OR(HLOOKUP(J$2+$A228,Sheet2!BY:NC,$B228,0),HLOOKUP(J$2+$A228,Sheet2!BY:NC,$B228,0)&lt;&gt;""),HLOOKUP(J$2+$A228,Sheet2!BY:NC,$B228,0),"")</f>
        <v/>
      </c>
      <c r="K228" t="str">
        <f>IF(OR(HLOOKUP(K$2+$A228,Sheet2!BZ:ND,$B228,0),HLOOKUP(K$2+$A228,Sheet2!BZ:ND,$B228,0)&lt;&gt;""),HLOOKUP(K$2+$A228,Sheet2!BZ:ND,$B228,0),"")</f>
        <v/>
      </c>
      <c r="L228" t="str">
        <f>IF(OR(HLOOKUP(L$2+$A228,Sheet2!CA:NE,$B228,0),HLOOKUP(L$2+$A228,Sheet2!CA:NE,$B228,0)&lt;&gt;""),HLOOKUP(L$2+$A228,Sheet2!CA:NE,$B228,0),"")</f>
        <v/>
      </c>
      <c r="M228" t="str">
        <f>IF(OR(HLOOKUP(M$2+$A228,Sheet2!CB:NF,$B228,0),HLOOKUP(M$2+$A228,Sheet2!CB:NF,$B228,0)&lt;&gt;""),HLOOKUP(M$2+$A228,Sheet2!CB:NF,$B228,0),"")</f>
        <v/>
      </c>
    </row>
    <row r="229" spans="1:13" x14ac:dyDescent="0.25">
      <c r="A229" s="68">
        <f t="shared" si="33"/>
        <v>5</v>
      </c>
      <c r="B229" s="68">
        <f t="shared" si="34"/>
        <v>33</v>
      </c>
      <c r="C229" s="68">
        <f t="shared" si="36"/>
        <v>2</v>
      </c>
      <c r="D229" s="68">
        <f t="shared" si="35"/>
        <v>29</v>
      </c>
      <c r="E229" s="68">
        <f t="shared" si="37"/>
        <v>141</v>
      </c>
      <c r="F229" s="21" t="str">
        <f>VLOOKUP(D229,Sheet2!A:B,2)</f>
        <v>J19-0853</v>
      </c>
      <c r="G229" s="68" t="str">
        <f>VLOOKUP(F229,Sheet2!B:C,2,0)</f>
        <v>นตและอ้อย 1-31 JAN 2020 (นศ.)</v>
      </c>
      <c r="H229" s="68" t="str">
        <f>HLOOKUP(I$2+$A229,Sheet2!BX:NB,2,0)</f>
        <v>16-31 Jan 21</v>
      </c>
      <c r="I229" t="str">
        <f>IF(OR(HLOOKUP(I$2+$A229,Sheet2!BX:NB,$B229,0),HLOOKUP(I$2+$A229,Sheet2!BX:NB,$B229,0)&lt;&gt;""),HLOOKUP(I$2+$A229,Sheet2!BX:NB,$B229,0),"")</f>
        <v/>
      </c>
      <c r="J229" t="str">
        <f>IF(OR(HLOOKUP(J$2+$A229,Sheet2!BY:NC,$B229,0),HLOOKUP(J$2+$A229,Sheet2!BY:NC,$B229,0)&lt;&gt;""),HLOOKUP(J$2+$A229,Sheet2!BY:NC,$B229,0),"")</f>
        <v/>
      </c>
      <c r="K229" t="str">
        <f>IF(OR(HLOOKUP(K$2+$A229,Sheet2!BZ:ND,$B229,0),HLOOKUP(K$2+$A229,Sheet2!BZ:ND,$B229,0)&lt;&gt;""),HLOOKUP(K$2+$A229,Sheet2!BZ:ND,$B229,0),"")</f>
        <v/>
      </c>
      <c r="L229" t="str">
        <f>IF(OR(HLOOKUP(L$2+$A229,Sheet2!CA:NE,$B229,0),HLOOKUP(L$2+$A229,Sheet2!CA:NE,$B229,0)&lt;&gt;""),HLOOKUP(L$2+$A229,Sheet2!CA:NE,$B229,0),"")</f>
        <v/>
      </c>
      <c r="M229" t="str">
        <f>IF(OR(HLOOKUP(M$2+$A229,Sheet2!CB:NF,$B229,0),HLOOKUP(M$2+$A229,Sheet2!CB:NF,$B229,0)&lt;&gt;""),HLOOKUP(M$2+$A229,Sheet2!CB:NF,$B229,0),"")</f>
        <v/>
      </c>
    </row>
    <row r="230" spans="1:13" x14ac:dyDescent="0.25">
      <c r="A230" s="68">
        <f t="shared" si="33"/>
        <v>10</v>
      </c>
      <c r="B230" s="68">
        <f t="shared" si="34"/>
        <v>33</v>
      </c>
      <c r="C230" s="68">
        <f t="shared" si="36"/>
        <v>3</v>
      </c>
      <c r="D230" s="68">
        <f t="shared" si="35"/>
        <v>29</v>
      </c>
      <c r="E230" s="68">
        <f t="shared" si="37"/>
        <v>141</v>
      </c>
      <c r="F230" s="21" t="str">
        <f>VLOOKUP(D230,Sheet2!A:B,2)</f>
        <v>J19-0853</v>
      </c>
      <c r="G230" s="68" t="str">
        <f>VLOOKUP(F230,Sheet2!B:C,2,0)</f>
        <v>นตและอ้อย 1-31 JAN 2020 (นศ.)</v>
      </c>
      <c r="H230" s="68" t="str">
        <f>HLOOKUP(I$2+$A230,Sheet2!BX:NB,2,0)</f>
        <v>1-15 Feb 21</v>
      </c>
      <c r="I230" t="str">
        <f>IF(OR(HLOOKUP(I$2+$A230,Sheet2!BX:NB,$B230,0),HLOOKUP(I$2+$A230,Sheet2!BX:NB,$B230,0)&lt;&gt;""),HLOOKUP(I$2+$A230,Sheet2!BX:NB,$B230,0),"")</f>
        <v/>
      </c>
      <c r="J230" t="str">
        <f>IF(OR(HLOOKUP(J$2+$A230,Sheet2!BY:NC,$B230,0),HLOOKUP(J$2+$A230,Sheet2!BY:NC,$B230,0)&lt;&gt;""),HLOOKUP(J$2+$A230,Sheet2!BY:NC,$B230,0),"")</f>
        <v/>
      </c>
      <c r="K230" t="str">
        <f>IF(OR(HLOOKUP(K$2+$A230,Sheet2!BZ:ND,$B230,0),HLOOKUP(K$2+$A230,Sheet2!BZ:ND,$B230,0)&lt;&gt;""),HLOOKUP(K$2+$A230,Sheet2!BZ:ND,$B230,0),"")</f>
        <v/>
      </c>
      <c r="L230" t="str">
        <f>IF(OR(HLOOKUP(L$2+$A230,Sheet2!CA:NE,$B230,0),HLOOKUP(L$2+$A230,Sheet2!CA:NE,$B230,0)&lt;&gt;""),HLOOKUP(L$2+$A230,Sheet2!CA:NE,$B230,0),"")</f>
        <v/>
      </c>
      <c r="M230" t="str">
        <f>IF(OR(HLOOKUP(M$2+$A230,Sheet2!CB:NF,$B230,0),HLOOKUP(M$2+$A230,Sheet2!CB:NF,$B230,0)&lt;&gt;""),HLOOKUP(M$2+$A230,Sheet2!CB:NF,$B230,0),"")</f>
        <v/>
      </c>
    </row>
    <row r="231" spans="1:13" x14ac:dyDescent="0.25">
      <c r="A231" s="68">
        <f t="shared" si="33"/>
        <v>15</v>
      </c>
      <c r="B231" s="68">
        <f t="shared" si="34"/>
        <v>33</v>
      </c>
      <c r="C231" s="68">
        <f t="shared" si="36"/>
        <v>4</v>
      </c>
      <c r="D231" s="68">
        <f t="shared" si="35"/>
        <v>29</v>
      </c>
      <c r="E231" s="68">
        <f t="shared" si="37"/>
        <v>141</v>
      </c>
      <c r="F231" s="21" t="str">
        <f>VLOOKUP(D231,Sheet2!A:B,2)</f>
        <v>J19-0853</v>
      </c>
      <c r="G231" s="68" t="str">
        <f>VLOOKUP(F231,Sheet2!B:C,2,0)</f>
        <v>นตและอ้อย 1-31 JAN 2020 (นศ.)</v>
      </c>
      <c r="H231" s="68" t="str">
        <f>HLOOKUP(I$2+$A231,Sheet2!BX:NB,2,0)</f>
        <v>16-28 Feb 21</v>
      </c>
      <c r="I231" t="str">
        <f>IF(OR(HLOOKUP(I$2+$A231,Sheet2!BX:NB,$B231,0),HLOOKUP(I$2+$A231,Sheet2!BX:NB,$B231,0)&lt;&gt;""),HLOOKUP(I$2+$A231,Sheet2!BX:NB,$B231,0),"")</f>
        <v/>
      </c>
      <c r="J231" t="str">
        <f>IF(OR(HLOOKUP(J$2+$A231,Sheet2!BY:NC,$B231,0),HLOOKUP(J$2+$A231,Sheet2!BY:NC,$B231,0)&lt;&gt;""),HLOOKUP(J$2+$A231,Sheet2!BY:NC,$B231,0),"")</f>
        <v/>
      </c>
      <c r="K231" t="str">
        <f>IF(OR(HLOOKUP(K$2+$A231,Sheet2!BZ:ND,$B231,0),HLOOKUP(K$2+$A231,Sheet2!BZ:ND,$B231,0)&lt;&gt;""),HLOOKUP(K$2+$A231,Sheet2!BZ:ND,$B231,0),"")</f>
        <v/>
      </c>
      <c r="L231" t="str">
        <f>IF(OR(HLOOKUP(L$2+$A231,Sheet2!CA:NE,$B231,0),HLOOKUP(L$2+$A231,Sheet2!CA:NE,$B231,0)&lt;&gt;""),HLOOKUP(L$2+$A231,Sheet2!CA:NE,$B231,0),"")</f>
        <v/>
      </c>
      <c r="M231" t="str">
        <f>IF(OR(HLOOKUP(M$2+$A231,Sheet2!CB:NF,$B231,0),HLOOKUP(M$2+$A231,Sheet2!CB:NF,$B231,0)&lt;&gt;""),HLOOKUP(M$2+$A231,Sheet2!CB:NF,$B231,0),"")</f>
        <v/>
      </c>
    </row>
    <row r="232" spans="1:13" x14ac:dyDescent="0.25">
      <c r="A232" s="68">
        <f t="shared" si="33"/>
        <v>20</v>
      </c>
      <c r="B232" s="68">
        <f t="shared" si="34"/>
        <v>33</v>
      </c>
      <c r="C232" s="68">
        <f t="shared" si="36"/>
        <v>5</v>
      </c>
      <c r="D232" s="68">
        <f t="shared" si="35"/>
        <v>29</v>
      </c>
      <c r="E232" s="68">
        <f t="shared" si="37"/>
        <v>141</v>
      </c>
      <c r="F232" s="21" t="str">
        <f>VLOOKUP(D232,Sheet2!A:B,2)</f>
        <v>J19-0853</v>
      </c>
      <c r="G232" s="68" t="str">
        <f>VLOOKUP(F232,Sheet2!B:C,2,0)</f>
        <v>นตและอ้อย 1-31 JAN 2020 (นศ.)</v>
      </c>
      <c r="H232" s="68" t="str">
        <f>HLOOKUP(I$2+$A232,Sheet2!BX:NB,2,0)</f>
        <v>1-15 Mar 2021</v>
      </c>
      <c r="I232" t="str">
        <f>IF(OR(HLOOKUP(I$2+$A232,Sheet2!BX:NB,$B232,0),HLOOKUP(I$2+$A232,Sheet2!BX:NB,$B232,0)&lt;&gt;""),HLOOKUP(I$2+$A232,Sheet2!BX:NB,$B232,0),"")</f>
        <v/>
      </c>
      <c r="J232" t="str">
        <f>IF(OR(HLOOKUP(J$2+$A232,Sheet2!BY:NC,$B232,0),HLOOKUP(J$2+$A232,Sheet2!BY:NC,$B232,0)&lt;&gt;""),HLOOKUP(J$2+$A232,Sheet2!BY:NC,$B232,0),"")</f>
        <v/>
      </c>
      <c r="K232" t="str">
        <f>IF(OR(HLOOKUP(K$2+$A232,Sheet2!BZ:ND,$B232,0),HLOOKUP(K$2+$A232,Sheet2!BZ:ND,$B232,0)&lt;&gt;""),HLOOKUP(K$2+$A232,Sheet2!BZ:ND,$B232,0),"")</f>
        <v/>
      </c>
      <c r="L232" t="str">
        <f>IF(OR(HLOOKUP(L$2+$A232,Sheet2!CA:NE,$B232,0),HLOOKUP(L$2+$A232,Sheet2!CA:NE,$B232,0)&lt;&gt;""),HLOOKUP(L$2+$A232,Sheet2!CA:NE,$B232,0),"")</f>
        <v/>
      </c>
      <c r="M232" t="str">
        <f>IF(OR(HLOOKUP(M$2+$A232,Sheet2!CB:NF,$B232,0),HLOOKUP(M$2+$A232,Sheet2!CB:NF,$B232,0)&lt;&gt;""),HLOOKUP(M$2+$A232,Sheet2!CB:NF,$B232,0),"")</f>
        <v/>
      </c>
    </row>
    <row r="233" spans="1:13" x14ac:dyDescent="0.25">
      <c r="A233" s="68">
        <f t="shared" si="33"/>
        <v>25</v>
      </c>
      <c r="B233" s="68">
        <f t="shared" si="34"/>
        <v>33</v>
      </c>
      <c r="C233" s="68">
        <f t="shared" si="36"/>
        <v>6</v>
      </c>
      <c r="D233" s="68">
        <f t="shared" si="35"/>
        <v>29</v>
      </c>
      <c r="E233" s="68">
        <f t="shared" si="37"/>
        <v>141</v>
      </c>
      <c r="F233" s="21" t="str">
        <f>VLOOKUP(D233,Sheet2!A:B,2)</f>
        <v>J19-0853</v>
      </c>
      <c r="G233" s="68" t="str">
        <f>VLOOKUP(F233,Sheet2!B:C,2,0)</f>
        <v>นตและอ้อย 1-31 JAN 2020 (นศ.)</v>
      </c>
      <c r="H233" s="68" t="str">
        <f>HLOOKUP(I$2+$A233,Sheet2!BX:NB,2,0)</f>
        <v>16-31 Mar 21</v>
      </c>
      <c r="I233" t="str">
        <f>IF(OR(HLOOKUP(I$2+$A233,Sheet2!BX:NB,$B233,0),HLOOKUP(I$2+$A233,Sheet2!BX:NB,$B233,0)&lt;&gt;""),HLOOKUP(I$2+$A233,Sheet2!BX:NB,$B233,0),"")</f>
        <v/>
      </c>
      <c r="J233" t="str">
        <f>IF(OR(HLOOKUP(J$2+$A233,Sheet2!BY:NC,$B233,0),HLOOKUP(J$2+$A233,Sheet2!BY:NC,$B233,0)&lt;&gt;""),HLOOKUP(J$2+$A233,Sheet2!BY:NC,$B233,0),"")</f>
        <v/>
      </c>
      <c r="K233" t="str">
        <f>IF(OR(HLOOKUP(K$2+$A233,Sheet2!BZ:ND,$B233,0),HLOOKUP(K$2+$A233,Sheet2!BZ:ND,$B233,0)&lt;&gt;""),HLOOKUP(K$2+$A233,Sheet2!BZ:ND,$B233,0),"")</f>
        <v/>
      </c>
      <c r="L233" t="str">
        <f>IF(OR(HLOOKUP(L$2+$A233,Sheet2!CA:NE,$B233,0),HLOOKUP(L$2+$A233,Sheet2!CA:NE,$B233,0)&lt;&gt;""),HLOOKUP(L$2+$A233,Sheet2!CA:NE,$B233,0),"")</f>
        <v/>
      </c>
      <c r="M233" t="str">
        <f>IF(OR(HLOOKUP(M$2+$A233,Sheet2!CB:NF,$B233,0),HLOOKUP(M$2+$A233,Sheet2!CB:NF,$B233,0)&lt;&gt;""),HLOOKUP(M$2+$A233,Sheet2!CB:NF,$B233,0),"")</f>
        <v/>
      </c>
    </row>
    <row r="234" spans="1:13" x14ac:dyDescent="0.25">
      <c r="A234" s="68">
        <f t="shared" si="33"/>
        <v>30</v>
      </c>
      <c r="B234" s="68">
        <f t="shared" si="34"/>
        <v>33</v>
      </c>
      <c r="C234" s="68">
        <f t="shared" si="36"/>
        <v>7</v>
      </c>
      <c r="D234" s="68">
        <f t="shared" si="35"/>
        <v>29</v>
      </c>
      <c r="E234" s="68">
        <f t="shared" si="37"/>
        <v>141</v>
      </c>
      <c r="F234" s="21" t="str">
        <f>VLOOKUP(D234,Sheet2!A:B,2)</f>
        <v>J19-0853</v>
      </c>
      <c r="G234" s="68" t="str">
        <f>VLOOKUP(F234,Sheet2!B:C,2,0)</f>
        <v>นตและอ้อย 1-31 JAN 2020 (นศ.)</v>
      </c>
      <c r="H234" s="68" t="str">
        <f>HLOOKUP(I$2+$A234,Sheet2!BX:NB,2,0)</f>
        <v>1-15 April 21</v>
      </c>
      <c r="I234" t="str">
        <f>IF(OR(HLOOKUP(I$2+$A234,Sheet2!BX:NB,$B234,0),HLOOKUP(I$2+$A234,Sheet2!BX:NB,$B234,0)&lt;&gt;""),HLOOKUP(I$2+$A234,Sheet2!BX:NB,$B234,0),"")</f>
        <v/>
      </c>
      <c r="J234" t="str">
        <f>IF(OR(HLOOKUP(J$2+$A234,Sheet2!BY:NC,$B234,0),HLOOKUP(J$2+$A234,Sheet2!BY:NC,$B234,0)&lt;&gt;""),HLOOKUP(J$2+$A234,Sheet2!BY:NC,$B234,0),"")</f>
        <v/>
      </c>
      <c r="K234" t="str">
        <f>IF(OR(HLOOKUP(K$2+$A234,Sheet2!BZ:ND,$B234,0),HLOOKUP(K$2+$A234,Sheet2!BZ:ND,$B234,0)&lt;&gt;""),HLOOKUP(K$2+$A234,Sheet2!BZ:ND,$B234,0),"")</f>
        <v/>
      </c>
      <c r="L234" t="str">
        <f>IF(OR(HLOOKUP(L$2+$A234,Sheet2!CA:NE,$B234,0),HLOOKUP(L$2+$A234,Sheet2!CA:NE,$B234,0)&lt;&gt;""),HLOOKUP(L$2+$A234,Sheet2!CA:NE,$B234,0),"")</f>
        <v/>
      </c>
      <c r="M234" t="str">
        <f>IF(OR(HLOOKUP(M$2+$A234,Sheet2!CB:NF,$B234,0),HLOOKUP(M$2+$A234,Sheet2!CB:NF,$B234,0)&lt;&gt;""),HLOOKUP(M$2+$A234,Sheet2!CB:NF,$B234,0),"")</f>
        <v/>
      </c>
    </row>
    <row r="235" spans="1:13" x14ac:dyDescent="0.25">
      <c r="A235" s="68">
        <f t="shared" si="33"/>
        <v>35</v>
      </c>
      <c r="B235" s="68">
        <f t="shared" si="34"/>
        <v>33</v>
      </c>
      <c r="C235" s="68">
        <f t="shared" si="36"/>
        <v>8</v>
      </c>
      <c r="D235" s="68">
        <f t="shared" si="35"/>
        <v>29</v>
      </c>
      <c r="E235" s="68">
        <f t="shared" si="37"/>
        <v>141</v>
      </c>
      <c r="F235" s="21" t="str">
        <f>VLOOKUP(D235,Sheet2!A:B,2)</f>
        <v>J19-0853</v>
      </c>
      <c r="G235" s="68" t="str">
        <f>VLOOKUP(F235,Sheet2!B:C,2,0)</f>
        <v>นตและอ้อย 1-31 JAN 2020 (นศ.)</v>
      </c>
      <c r="H235" s="68" t="str">
        <f>HLOOKUP(I$2+$A235,Sheet2!BX:NB,2,0)</f>
        <v>16-30 April 21</v>
      </c>
      <c r="I235" t="str">
        <f>IF(OR(HLOOKUP(I$2+$A235,Sheet2!BX:NB,$B235,0),HLOOKUP(I$2+$A235,Sheet2!BX:NB,$B235,0)&lt;&gt;""),HLOOKUP(I$2+$A235,Sheet2!BX:NB,$B235,0),"")</f>
        <v/>
      </c>
      <c r="J235" t="str">
        <f>IF(OR(HLOOKUP(J$2+$A235,Sheet2!BY:NC,$B235,0),HLOOKUP(J$2+$A235,Sheet2!BY:NC,$B235,0)&lt;&gt;""),HLOOKUP(J$2+$A235,Sheet2!BY:NC,$B235,0),"")</f>
        <v/>
      </c>
      <c r="K235" t="str">
        <f>IF(OR(HLOOKUP(K$2+$A235,Sheet2!BZ:ND,$B235,0),HLOOKUP(K$2+$A235,Sheet2!BZ:ND,$B235,0)&lt;&gt;""),HLOOKUP(K$2+$A235,Sheet2!BZ:ND,$B235,0),"")</f>
        <v/>
      </c>
      <c r="L235" t="str">
        <f>IF(OR(HLOOKUP(L$2+$A235,Sheet2!CA:NE,$B235,0),HLOOKUP(L$2+$A235,Sheet2!CA:NE,$B235,0)&lt;&gt;""),HLOOKUP(L$2+$A235,Sheet2!CA:NE,$B235,0),"")</f>
        <v/>
      </c>
      <c r="M235" t="str">
        <f>IF(OR(HLOOKUP(M$2+$A235,Sheet2!CB:NF,$B235,0),HLOOKUP(M$2+$A235,Sheet2!CB:NF,$B235,0)&lt;&gt;""),HLOOKUP(M$2+$A235,Sheet2!CB:NF,$B235,0),"")</f>
        <v/>
      </c>
    </row>
    <row r="236" spans="1:13" x14ac:dyDescent="0.25">
      <c r="A236" s="68">
        <f t="shared" si="33"/>
        <v>0</v>
      </c>
      <c r="B236" s="68">
        <f t="shared" si="34"/>
        <v>34</v>
      </c>
      <c r="C236" s="68">
        <f t="shared" si="36"/>
        <v>1</v>
      </c>
      <c r="D236" s="68">
        <f t="shared" si="35"/>
        <v>30</v>
      </c>
      <c r="E236" s="68">
        <f t="shared" si="37"/>
        <v>146</v>
      </c>
      <c r="F236" s="21" t="str">
        <f>VLOOKUP(D236,Sheet2!A:B,2)</f>
        <v>J19-0762</v>
      </c>
      <c r="G236" s="68" t="str">
        <f>VLOOKUP(F236,Sheet2!B:C,2,0)</f>
        <v>Covestro</v>
      </c>
      <c r="H236" s="68" t="str">
        <f>HLOOKUP(I$2+$A236,Sheet2!BX:NB,2,0)</f>
        <v>1-15 Jan 21</v>
      </c>
      <c r="I236" t="str">
        <f>IF(OR(HLOOKUP(I$2+$A236,Sheet2!BX:NB,$B236,0),HLOOKUP(I$2+$A236,Sheet2!BX:NB,$B236,0)&lt;&gt;""),HLOOKUP(I$2+$A236,Sheet2!BX:NB,$B236,0),"")</f>
        <v/>
      </c>
      <c r="J236" t="str">
        <f>IF(OR(HLOOKUP(J$2+$A236,Sheet2!BY:NC,$B236,0),HLOOKUP(J$2+$A236,Sheet2!BY:NC,$B236,0)&lt;&gt;""),HLOOKUP(J$2+$A236,Sheet2!BY:NC,$B236,0),"")</f>
        <v/>
      </c>
      <c r="K236" t="str">
        <f>IF(OR(HLOOKUP(K$2+$A236,Sheet2!BZ:ND,$B236,0),HLOOKUP(K$2+$A236,Sheet2!BZ:ND,$B236,0)&lt;&gt;""),HLOOKUP(K$2+$A236,Sheet2!BZ:ND,$B236,0),"")</f>
        <v/>
      </c>
      <c r="L236" t="str">
        <f>IF(OR(HLOOKUP(L$2+$A236,Sheet2!CA:NE,$B236,0),HLOOKUP(L$2+$A236,Sheet2!CA:NE,$B236,0)&lt;&gt;""),HLOOKUP(L$2+$A236,Sheet2!CA:NE,$B236,0),"")</f>
        <v/>
      </c>
      <c r="M236" t="str">
        <f>IF(OR(HLOOKUP(M$2+$A236,Sheet2!CB:NF,$B236,0),HLOOKUP(M$2+$A236,Sheet2!CB:NF,$B236,0)&lt;&gt;""),HLOOKUP(M$2+$A236,Sheet2!CB:NF,$B236,0),"")</f>
        <v/>
      </c>
    </row>
    <row r="237" spans="1:13" x14ac:dyDescent="0.25">
      <c r="A237" s="68">
        <f t="shared" si="33"/>
        <v>5</v>
      </c>
      <c r="B237" s="68">
        <f t="shared" si="34"/>
        <v>34</v>
      </c>
      <c r="C237" s="68">
        <f t="shared" si="36"/>
        <v>2</v>
      </c>
      <c r="D237" s="68">
        <f t="shared" si="35"/>
        <v>30</v>
      </c>
      <c r="E237" s="68">
        <f t="shared" si="37"/>
        <v>146</v>
      </c>
      <c r="F237" s="21" t="str">
        <f>VLOOKUP(D237,Sheet2!A:B,2)</f>
        <v>J19-0762</v>
      </c>
      <c r="G237" s="68" t="str">
        <f>VLOOKUP(F237,Sheet2!B:C,2,0)</f>
        <v>Covestro</v>
      </c>
      <c r="H237" s="68" t="str">
        <f>HLOOKUP(I$2+$A237,Sheet2!BX:NB,2,0)</f>
        <v>16-31 Jan 21</v>
      </c>
      <c r="I237" t="str">
        <f>IF(OR(HLOOKUP(I$2+$A237,Sheet2!BX:NB,$B237,0),HLOOKUP(I$2+$A237,Sheet2!BX:NB,$B237,0)&lt;&gt;""),HLOOKUP(I$2+$A237,Sheet2!BX:NB,$B237,0),"")</f>
        <v/>
      </c>
      <c r="J237" t="str">
        <f>IF(OR(HLOOKUP(J$2+$A237,Sheet2!BY:NC,$B237,0),HLOOKUP(J$2+$A237,Sheet2!BY:NC,$B237,0)&lt;&gt;""),HLOOKUP(J$2+$A237,Sheet2!BY:NC,$B237,0),"")</f>
        <v/>
      </c>
      <c r="K237" t="str">
        <f>IF(OR(HLOOKUP(K$2+$A237,Sheet2!BZ:ND,$B237,0),HLOOKUP(K$2+$A237,Sheet2!BZ:ND,$B237,0)&lt;&gt;""),HLOOKUP(K$2+$A237,Sheet2!BZ:ND,$B237,0),"")</f>
        <v/>
      </c>
      <c r="L237" t="str">
        <f>IF(OR(HLOOKUP(L$2+$A237,Sheet2!CA:NE,$B237,0),HLOOKUP(L$2+$A237,Sheet2!CA:NE,$B237,0)&lt;&gt;""),HLOOKUP(L$2+$A237,Sheet2!CA:NE,$B237,0),"")</f>
        <v/>
      </c>
      <c r="M237" t="str">
        <f>IF(OR(HLOOKUP(M$2+$A237,Sheet2!CB:NF,$B237,0),HLOOKUP(M$2+$A237,Sheet2!CB:NF,$B237,0)&lt;&gt;""),HLOOKUP(M$2+$A237,Sheet2!CB:NF,$B237,0),"")</f>
        <v/>
      </c>
    </row>
    <row r="238" spans="1:13" x14ac:dyDescent="0.25">
      <c r="A238" s="68">
        <f t="shared" si="33"/>
        <v>10</v>
      </c>
      <c r="B238" s="68">
        <f t="shared" si="34"/>
        <v>34</v>
      </c>
      <c r="C238" s="68">
        <f t="shared" si="36"/>
        <v>3</v>
      </c>
      <c r="D238" s="68">
        <f t="shared" si="35"/>
        <v>30</v>
      </c>
      <c r="E238" s="68">
        <f t="shared" si="37"/>
        <v>146</v>
      </c>
      <c r="F238" s="21" t="str">
        <f>VLOOKUP(D238,Sheet2!A:B,2)</f>
        <v>J19-0762</v>
      </c>
      <c r="G238" s="68" t="str">
        <f>VLOOKUP(F238,Sheet2!B:C,2,0)</f>
        <v>Covestro</v>
      </c>
      <c r="H238" s="68" t="str">
        <f>HLOOKUP(I$2+$A238,Sheet2!BX:NB,2,0)</f>
        <v>1-15 Feb 21</v>
      </c>
      <c r="I238" t="str">
        <f>IF(OR(HLOOKUP(I$2+$A238,Sheet2!BX:NB,$B238,0),HLOOKUP(I$2+$A238,Sheet2!BX:NB,$B238,0)&lt;&gt;""),HLOOKUP(I$2+$A238,Sheet2!BX:NB,$B238,0),"")</f>
        <v/>
      </c>
      <c r="J238" t="str">
        <f>IF(OR(HLOOKUP(J$2+$A238,Sheet2!BY:NC,$B238,0),HLOOKUP(J$2+$A238,Sheet2!BY:NC,$B238,0)&lt;&gt;""),HLOOKUP(J$2+$A238,Sheet2!BY:NC,$B238,0),"")</f>
        <v/>
      </c>
      <c r="K238" t="str">
        <f>IF(OR(HLOOKUP(K$2+$A238,Sheet2!BZ:ND,$B238,0),HLOOKUP(K$2+$A238,Sheet2!BZ:ND,$B238,0)&lt;&gt;""),HLOOKUP(K$2+$A238,Sheet2!BZ:ND,$B238,0),"")</f>
        <v/>
      </c>
      <c r="L238" t="str">
        <f>IF(OR(HLOOKUP(L$2+$A238,Sheet2!CA:NE,$B238,0),HLOOKUP(L$2+$A238,Sheet2!CA:NE,$B238,0)&lt;&gt;""),HLOOKUP(L$2+$A238,Sheet2!CA:NE,$B238,0),"")</f>
        <v/>
      </c>
      <c r="M238" t="str">
        <f>IF(OR(HLOOKUP(M$2+$A238,Sheet2!CB:NF,$B238,0),HLOOKUP(M$2+$A238,Sheet2!CB:NF,$B238,0)&lt;&gt;""),HLOOKUP(M$2+$A238,Sheet2!CB:NF,$B238,0),"")</f>
        <v/>
      </c>
    </row>
    <row r="239" spans="1:13" x14ac:dyDescent="0.25">
      <c r="A239" s="68">
        <f t="shared" si="33"/>
        <v>15</v>
      </c>
      <c r="B239" s="68">
        <f t="shared" si="34"/>
        <v>34</v>
      </c>
      <c r="C239" s="68">
        <f t="shared" si="36"/>
        <v>4</v>
      </c>
      <c r="D239" s="68">
        <f t="shared" si="35"/>
        <v>30</v>
      </c>
      <c r="E239" s="68">
        <f t="shared" si="37"/>
        <v>146</v>
      </c>
      <c r="F239" s="21" t="str">
        <f>VLOOKUP(D239,Sheet2!A:B,2)</f>
        <v>J19-0762</v>
      </c>
      <c r="G239" s="68" t="str">
        <f>VLOOKUP(F239,Sheet2!B:C,2,0)</f>
        <v>Covestro</v>
      </c>
      <c r="H239" s="68" t="str">
        <f>HLOOKUP(I$2+$A239,Sheet2!BX:NB,2,0)</f>
        <v>16-28 Feb 21</v>
      </c>
      <c r="I239" t="str">
        <f>IF(OR(HLOOKUP(I$2+$A239,Sheet2!BX:NB,$B239,0),HLOOKUP(I$2+$A239,Sheet2!BX:NB,$B239,0)&lt;&gt;""),HLOOKUP(I$2+$A239,Sheet2!BX:NB,$B239,0),"")</f>
        <v/>
      </c>
      <c r="J239" t="str">
        <f>IF(OR(HLOOKUP(J$2+$A239,Sheet2!BY:NC,$B239,0),HLOOKUP(J$2+$A239,Sheet2!BY:NC,$B239,0)&lt;&gt;""),HLOOKUP(J$2+$A239,Sheet2!BY:NC,$B239,0),"")</f>
        <v/>
      </c>
      <c r="K239" t="str">
        <f>IF(OR(HLOOKUP(K$2+$A239,Sheet2!BZ:ND,$B239,0),HLOOKUP(K$2+$A239,Sheet2!BZ:ND,$B239,0)&lt;&gt;""),HLOOKUP(K$2+$A239,Sheet2!BZ:ND,$B239,0),"")</f>
        <v/>
      </c>
      <c r="L239" t="str">
        <f>IF(OR(HLOOKUP(L$2+$A239,Sheet2!CA:NE,$B239,0),HLOOKUP(L$2+$A239,Sheet2!CA:NE,$B239,0)&lt;&gt;""),HLOOKUP(L$2+$A239,Sheet2!CA:NE,$B239,0),"")</f>
        <v/>
      </c>
      <c r="M239" t="str">
        <f>IF(OR(HLOOKUP(M$2+$A239,Sheet2!CB:NF,$B239,0),HLOOKUP(M$2+$A239,Sheet2!CB:NF,$B239,0)&lt;&gt;""),HLOOKUP(M$2+$A239,Sheet2!CB:NF,$B239,0),"")</f>
        <v/>
      </c>
    </row>
    <row r="240" spans="1:13" x14ac:dyDescent="0.25">
      <c r="A240" s="68">
        <f t="shared" si="33"/>
        <v>20</v>
      </c>
      <c r="B240" s="68">
        <f t="shared" si="34"/>
        <v>34</v>
      </c>
      <c r="C240" s="68">
        <f t="shared" si="36"/>
        <v>5</v>
      </c>
      <c r="D240" s="68">
        <f t="shared" si="35"/>
        <v>30</v>
      </c>
      <c r="E240" s="68">
        <f t="shared" si="37"/>
        <v>146</v>
      </c>
      <c r="F240" s="21" t="str">
        <f>VLOOKUP(D240,Sheet2!A:B,2)</f>
        <v>J19-0762</v>
      </c>
      <c r="G240" s="68" t="str">
        <f>VLOOKUP(F240,Sheet2!B:C,2,0)</f>
        <v>Covestro</v>
      </c>
      <c r="H240" s="68" t="str">
        <f>HLOOKUP(I$2+$A240,Sheet2!BX:NB,2,0)</f>
        <v>1-15 Mar 2021</v>
      </c>
      <c r="I240" t="str">
        <f>IF(OR(HLOOKUP(I$2+$A240,Sheet2!BX:NB,$B240,0),HLOOKUP(I$2+$A240,Sheet2!BX:NB,$B240,0)&lt;&gt;""),HLOOKUP(I$2+$A240,Sheet2!BX:NB,$B240,0),"")</f>
        <v/>
      </c>
      <c r="J240" t="str">
        <f>IF(OR(HLOOKUP(J$2+$A240,Sheet2!BY:NC,$B240,0),HLOOKUP(J$2+$A240,Sheet2!BY:NC,$B240,0)&lt;&gt;""),HLOOKUP(J$2+$A240,Sheet2!BY:NC,$B240,0),"")</f>
        <v/>
      </c>
      <c r="K240" t="str">
        <f>IF(OR(HLOOKUP(K$2+$A240,Sheet2!BZ:ND,$B240,0),HLOOKUP(K$2+$A240,Sheet2!BZ:ND,$B240,0)&lt;&gt;""),HLOOKUP(K$2+$A240,Sheet2!BZ:ND,$B240,0),"")</f>
        <v/>
      </c>
      <c r="L240" t="str">
        <f>IF(OR(HLOOKUP(L$2+$A240,Sheet2!CA:NE,$B240,0),HLOOKUP(L$2+$A240,Sheet2!CA:NE,$B240,0)&lt;&gt;""),HLOOKUP(L$2+$A240,Sheet2!CA:NE,$B240,0),"")</f>
        <v/>
      </c>
      <c r="M240" t="str">
        <f>IF(OR(HLOOKUP(M$2+$A240,Sheet2!CB:NF,$B240,0),HLOOKUP(M$2+$A240,Sheet2!CB:NF,$B240,0)&lt;&gt;""),HLOOKUP(M$2+$A240,Sheet2!CB:NF,$B240,0),"")</f>
        <v/>
      </c>
    </row>
    <row r="241" spans="1:13" x14ac:dyDescent="0.25">
      <c r="A241" s="68">
        <f t="shared" si="33"/>
        <v>25</v>
      </c>
      <c r="B241" s="68">
        <f t="shared" si="34"/>
        <v>34</v>
      </c>
      <c r="C241" s="68">
        <f t="shared" si="36"/>
        <v>6</v>
      </c>
      <c r="D241" s="68">
        <f t="shared" si="35"/>
        <v>30</v>
      </c>
      <c r="E241" s="68">
        <f t="shared" si="37"/>
        <v>146</v>
      </c>
      <c r="F241" s="21" t="str">
        <f>VLOOKUP(D241,Sheet2!A:B,2)</f>
        <v>J19-0762</v>
      </c>
      <c r="G241" s="68" t="str">
        <f>VLOOKUP(F241,Sheet2!B:C,2,0)</f>
        <v>Covestro</v>
      </c>
      <c r="H241" s="68" t="str">
        <f>HLOOKUP(I$2+$A241,Sheet2!BX:NB,2,0)</f>
        <v>16-31 Mar 21</v>
      </c>
      <c r="I241" t="str">
        <f>IF(OR(HLOOKUP(I$2+$A241,Sheet2!BX:NB,$B241,0),HLOOKUP(I$2+$A241,Sheet2!BX:NB,$B241,0)&lt;&gt;""),HLOOKUP(I$2+$A241,Sheet2!BX:NB,$B241,0),"")</f>
        <v/>
      </c>
      <c r="J241" t="str">
        <f>IF(OR(HLOOKUP(J$2+$A241,Sheet2!BY:NC,$B241,0),HLOOKUP(J$2+$A241,Sheet2!BY:NC,$B241,0)&lt;&gt;""),HLOOKUP(J$2+$A241,Sheet2!BY:NC,$B241,0),"")</f>
        <v/>
      </c>
      <c r="K241" t="str">
        <f>IF(OR(HLOOKUP(K$2+$A241,Sheet2!BZ:ND,$B241,0),HLOOKUP(K$2+$A241,Sheet2!BZ:ND,$B241,0)&lt;&gt;""),HLOOKUP(K$2+$A241,Sheet2!BZ:ND,$B241,0),"")</f>
        <v/>
      </c>
      <c r="L241" t="str">
        <f>IF(OR(HLOOKUP(L$2+$A241,Sheet2!CA:NE,$B241,0),HLOOKUP(L$2+$A241,Sheet2!CA:NE,$B241,0)&lt;&gt;""),HLOOKUP(L$2+$A241,Sheet2!CA:NE,$B241,0),"")</f>
        <v/>
      </c>
      <c r="M241" t="str">
        <f>IF(OR(HLOOKUP(M$2+$A241,Sheet2!CB:NF,$B241,0),HLOOKUP(M$2+$A241,Sheet2!CB:NF,$B241,0)&lt;&gt;""),HLOOKUP(M$2+$A241,Sheet2!CB:NF,$B241,0),"")</f>
        <v/>
      </c>
    </row>
    <row r="242" spans="1:13" x14ac:dyDescent="0.25">
      <c r="A242" s="68">
        <f t="shared" si="33"/>
        <v>30</v>
      </c>
      <c r="B242" s="68">
        <f t="shared" si="34"/>
        <v>34</v>
      </c>
      <c r="C242" s="68">
        <f t="shared" si="36"/>
        <v>7</v>
      </c>
      <c r="D242" s="68">
        <f t="shared" si="35"/>
        <v>30</v>
      </c>
      <c r="E242" s="68">
        <f t="shared" si="37"/>
        <v>146</v>
      </c>
      <c r="F242" s="21" t="str">
        <f>VLOOKUP(D242,Sheet2!A:B,2)</f>
        <v>J19-0762</v>
      </c>
      <c r="G242" s="68" t="str">
        <f>VLOOKUP(F242,Sheet2!B:C,2,0)</f>
        <v>Covestro</v>
      </c>
      <c r="H242" s="68" t="str">
        <f>HLOOKUP(I$2+$A242,Sheet2!BX:NB,2,0)</f>
        <v>1-15 April 21</v>
      </c>
      <c r="I242" t="str">
        <f>IF(OR(HLOOKUP(I$2+$A242,Sheet2!BX:NB,$B242,0),HLOOKUP(I$2+$A242,Sheet2!BX:NB,$B242,0)&lt;&gt;""),HLOOKUP(I$2+$A242,Sheet2!BX:NB,$B242,0),"")</f>
        <v/>
      </c>
      <c r="J242" t="str">
        <f>IF(OR(HLOOKUP(J$2+$A242,Sheet2!BY:NC,$B242,0),HLOOKUP(J$2+$A242,Sheet2!BY:NC,$B242,0)&lt;&gt;""),HLOOKUP(J$2+$A242,Sheet2!BY:NC,$B242,0),"")</f>
        <v/>
      </c>
      <c r="K242" t="str">
        <f>IF(OR(HLOOKUP(K$2+$A242,Sheet2!BZ:ND,$B242,0),HLOOKUP(K$2+$A242,Sheet2!BZ:ND,$B242,0)&lt;&gt;""),HLOOKUP(K$2+$A242,Sheet2!BZ:ND,$B242,0),"")</f>
        <v/>
      </c>
      <c r="L242" t="str">
        <f>IF(OR(HLOOKUP(L$2+$A242,Sheet2!CA:NE,$B242,0),HLOOKUP(L$2+$A242,Sheet2!CA:NE,$B242,0)&lt;&gt;""),HLOOKUP(L$2+$A242,Sheet2!CA:NE,$B242,0),"")</f>
        <v/>
      </c>
      <c r="M242" t="str">
        <f>IF(OR(HLOOKUP(M$2+$A242,Sheet2!CB:NF,$B242,0),HLOOKUP(M$2+$A242,Sheet2!CB:NF,$B242,0)&lt;&gt;""),HLOOKUP(M$2+$A242,Sheet2!CB:NF,$B242,0),"")</f>
        <v/>
      </c>
    </row>
    <row r="243" spans="1:13" x14ac:dyDescent="0.25">
      <c r="A243" s="68">
        <f t="shared" si="33"/>
        <v>35</v>
      </c>
      <c r="B243" s="68">
        <f t="shared" si="34"/>
        <v>34</v>
      </c>
      <c r="C243" s="68">
        <f t="shared" si="36"/>
        <v>8</v>
      </c>
      <c r="D243" s="68">
        <f t="shared" si="35"/>
        <v>30</v>
      </c>
      <c r="E243" s="68">
        <f t="shared" si="37"/>
        <v>146</v>
      </c>
      <c r="F243" s="21" t="str">
        <f>VLOOKUP(D243,Sheet2!A:B,2)</f>
        <v>J19-0762</v>
      </c>
      <c r="G243" s="68" t="str">
        <f>VLOOKUP(F243,Sheet2!B:C,2,0)</f>
        <v>Covestro</v>
      </c>
      <c r="H243" s="68" t="str">
        <f>HLOOKUP(I$2+$A243,Sheet2!BX:NB,2,0)</f>
        <v>16-30 April 21</v>
      </c>
      <c r="I243" t="str">
        <f>IF(OR(HLOOKUP(I$2+$A243,Sheet2!BX:NB,$B243,0),HLOOKUP(I$2+$A243,Sheet2!BX:NB,$B243,0)&lt;&gt;""),HLOOKUP(I$2+$A243,Sheet2!BX:NB,$B243,0),"")</f>
        <v/>
      </c>
      <c r="J243" t="str">
        <f>IF(OR(HLOOKUP(J$2+$A243,Sheet2!BY:NC,$B243,0),HLOOKUP(J$2+$A243,Sheet2!BY:NC,$B243,0)&lt;&gt;""),HLOOKUP(J$2+$A243,Sheet2!BY:NC,$B243,0),"")</f>
        <v/>
      </c>
      <c r="K243" t="str">
        <f>IF(OR(HLOOKUP(K$2+$A243,Sheet2!BZ:ND,$B243,0),HLOOKUP(K$2+$A243,Sheet2!BZ:ND,$B243,0)&lt;&gt;""),HLOOKUP(K$2+$A243,Sheet2!BZ:ND,$B243,0),"")</f>
        <v/>
      </c>
      <c r="L243" t="str">
        <f>IF(OR(HLOOKUP(L$2+$A243,Sheet2!CA:NE,$B243,0),HLOOKUP(L$2+$A243,Sheet2!CA:NE,$B243,0)&lt;&gt;""),HLOOKUP(L$2+$A243,Sheet2!CA:NE,$B243,0),"")</f>
        <v/>
      </c>
      <c r="M243" t="str">
        <f>IF(OR(HLOOKUP(M$2+$A243,Sheet2!CB:NF,$B243,0),HLOOKUP(M$2+$A243,Sheet2!CB:NF,$B243,0)&lt;&gt;""),HLOOKUP(M$2+$A243,Sheet2!CB:NF,$B243,0),"")</f>
        <v/>
      </c>
    </row>
    <row r="244" spans="1:13" x14ac:dyDescent="0.25">
      <c r="A244" s="68">
        <f t="shared" si="33"/>
        <v>0</v>
      </c>
      <c r="B244" s="68">
        <f t="shared" si="34"/>
        <v>35</v>
      </c>
      <c r="C244" s="68">
        <f t="shared" si="36"/>
        <v>1</v>
      </c>
      <c r="D244" s="68">
        <f t="shared" si="35"/>
        <v>31</v>
      </c>
      <c r="E244" s="68">
        <f t="shared" si="37"/>
        <v>151</v>
      </c>
      <c r="F244" s="21" t="str">
        <f>VLOOKUP(D244,Sheet2!A:B,2)</f>
        <v>J19-1491</v>
      </c>
      <c r="G244" s="68" t="str">
        <f>VLOOKUP(F244,Sheet2!B:C,2,0)</f>
        <v>SITEไบโอฟูเอล</v>
      </c>
      <c r="H244" s="68" t="str">
        <f>HLOOKUP(I$2+$A244,Sheet2!BX:NB,2,0)</f>
        <v>1-15 Jan 21</v>
      </c>
      <c r="I244" t="str">
        <f>IF(OR(HLOOKUP(I$2+$A244,Sheet2!BX:NB,$B244,0),HLOOKUP(I$2+$A244,Sheet2!BX:NB,$B244,0)&lt;&gt;""),HLOOKUP(I$2+$A244,Sheet2!BX:NB,$B244,0),"")</f>
        <v/>
      </c>
      <c r="J244" t="str">
        <f>IF(OR(HLOOKUP(J$2+$A244,Sheet2!BY:NC,$B244,0),HLOOKUP(J$2+$A244,Sheet2!BY:NC,$B244,0)&lt;&gt;""),HLOOKUP(J$2+$A244,Sheet2!BY:NC,$B244,0),"")</f>
        <v/>
      </c>
      <c r="K244" t="str">
        <f>IF(OR(HLOOKUP(K$2+$A244,Sheet2!BZ:ND,$B244,0),HLOOKUP(K$2+$A244,Sheet2!BZ:ND,$B244,0)&lt;&gt;""),HLOOKUP(K$2+$A244,Sheet2!BZ:ND,$B244,0),"")</f>
        <v/>
      </c>
      <c r="L244" t="str">
        <f>IF(OR(HLOOKUP(L$2+$A244,Sheet2!CA:NE,$B244,0),HLOOKUP(L$2+$A244,Sheet2!CA:NE,$B244,0)&lt;&gt;""),HLOOKUP(L$2+$A244,Sheet2!CA:NE,$B244,0),"")</f>
        <v/>
      </c>
      <c r="M244" t="str">
        <f>IF(OR(HLOOKUP(M$2+$A244,Sheet2!CB:NF,$B244,0),HLOOKUP(M$2+$A244,Sheet2!CB:NF,$B244,0)&lt;&gt;""),HLOOKUP(M$2+$A244,Sheet2!CB:NF,$B244,0),"")</f>
        <v/>
      </c>
    </row>
    <row r="245" spans="1:13" x14ac:dyDescent="0.25">
      <c r="A245" s="68">
        <f t="shared" si="33"/>
        <v>5</v>
      </c>
      <c r="B245" s="68">
        <f t="shared" si="34"/>
        <v>35</v>
      </c>
      <c r="C245" s="68">
        <f t="shared" si="36"/>
        <v>2</v>
      </c>
      <c r="D245" s="68">
        <f t="shared" si="35"/>
        <v>31</v>
      </c>
      <c r="E245" s="68">
        <f t="shared" si="37"/>
        <v>151</v>
      </c>
      <c r="F245" s="21" t="str">
        <f>VLOOKUP(D245,Sheet2!A:B,2)</f>
        <v>J19-1491</v>
      </c>
      <c r="G245" s="68" t="str">
        <f>VLOOKUP(F245,Sheet2!B:C,2,0)</f>
        <v>SITEไบโอฟูเอล</v>
      </c>
      <c r="H245" s="68" t="str">
        <f>HLOOKUP(I$2+$A245,Sheet2!BX:NB,2,0)</f>
        <v>16-31 Jan 21</v>
      </c>
      <c r="I245" t="str">
        <f>IF(OR(HLOOKUP(I$2+$A245,Sheet2!BX:NB,$B245,0),HLOOKUP(I$2+$A245,Sheet2!BX:NB,$B245,0)&lt;&gt;""),HLOOKUP(I$2+$A245,Sheet2!BX:NB,$B245,0),"")</f>
        <v/>
      </c>
      <c r="J245" t="str">
        <f>IF(OR(HLOOKUP(J$2+$A245,Sheet2!BY:NC,$B245,0),HLOOKUP(J$2+$A245,Sheet2!BY:NC,$B245,0)&lt;&gt;""),HLOOKUP(J$2+$A245,Sheet2!BY:NC,$B245,0),"")</f>
        <v/>
      </c>
      <c r="K245" t="str">
        <f>IF(OR(HLOOKUP(K$2+$A245,Sheet2!BZ:ND,$B245,0),HLOOKUP(K$2+$A245,Sheet2!BZ:ND,$B245,0)&lt;&gt;""),HLOOKUP(K$2+$A245,Sheet2!BZ:ND,$B245,0),"")</f>
        <v/>
      </c>
      <c r="L245" t="str">
        <f>IF(OR(HLOOKUP(L$2+$A245,Sheet2!CA:NE,$B245,0),HLOOKUP(L$2+$A245,Sheet2!CA:NE,$B245,0)&lt;&gt;""),HLOOKUP(L$2+$A245,Sheet2!CA:NE,$B245,0),"")</f>
        <v/>
      </c>
      <c r="M245" t="str">
        <f>IF(OR(HLOOKUP(M$2+$A245,Sheet2!CB:NF,$B245,0),HLOOKUP(M$2+$A245,Sheet2!CB:NF,$B245,0)&lt;&gt;""),HLOOKUP(M$2+$A245,Sheet2!CB:NF,$B245,0),"")</f>
        <v/>
      </c>
    </row>
    <row r="246" spans="1:13" x14ac:dyDescent="0.25">
      <c r="A246" s="68">
        <f t="shared" ref="A246:A309" si="38">IF(C246&lt;&gt;1,A245+5,0)</f>
        <v>10</v>
      </c>
      <c r="B246" s="68">
        <f t="shared" ref="B246:B309" si="39">IF(C246&lt;&gt;1,B245,B245+1)</f>
        <v>35</v>
      </c>
      <c r="C246" s="68">
        <f t="shared" si="36"/>
        <v>3</v>
      </c>
      <c r="D246" s="68">
        <f t="shared" ref="D246:D309" si="40">IF(C246=1,D245+1,D245)</f>
        <v>31</v>
      </c>
      <c r="E246" s="68">
        <f t="shared" si="37"/>
        <v>151</v>
      </c>
      <c r="F246" s="21" t="str">
        <f>VLOOKUP(D246,Sheet2!A:B,2)</f>
        <v>J19-1491</v>
      </c>
      <c r="G246" s="68" t="str">
        <f>VLOOKUP(F246,Sheet2!B:C,2,0)</f>
        <v>SITEไบโอฟูเอล</v>
      </c>
      <c r="H246" s="68" t="str">
        <f>HLOOKUP(I$2+$A246,Sheet2!BX:NB,2,0)</f>
        <v>1-15 Feb 21</v>
      </c>
      <c r="I246" t="str">
        <f>IF(OR(HLOOKUP(I$2+$A246,Sheet2!BX:NB,$B246,0),HLOOKUP(I$2+$A246,Sheet2!BX:NB,$B246,0)&lt;&gt;""),HLOOKUP(I$2+$A246,Sheet2!BX:NB,$B246,0),"")</f>
        <v/>
      </c>
      <c r="J246" t="str">
        <f>IF(OR(HLOOKUP(J$2+$A246,Sheet2!BY:NC,$B246,0),HLOOKUP(J$2+$A246,Sheet2!BY:NC,$B246,0)&lt;&gt;""),HLOOKUP(J$2+$A246,Sheet2!BY:NC,$B246,0),"")</f>
        <v/>
      </c>
      <c r="K246" t="str">
        <f>IF(OR(HLOOKUP(K$2+$A246,Sheet2!BZ:ND,$B246,0),HLOOKUP(K$2+$A246,Sheet2!BZ:ND,$B246,0)&lt;&gt;""),HLOOKUP(K$2+$A246,Sheet2!BZ:ND,$B246,0),"")</f>
        <v/>
      </c>
      <c r="L246" t="str">
        <f>IF(OR(HLOOKUP(L$2+$A246,Sheet2!CA:NE,$B246,0),HLOOKUP(L$2+$A246,Sheet2!CA:NE,$B246,0)&lt;&gt;""),HLOOKUP(L$2+$A246,Sheet2!CA:NE,$B246,0),"")</f>
        <v/>
      </c>
      <c r="M246" t="str">
        <f>IF(OR(HLOOKUP(M$2+$A246,Sheet2!CB:NF,$B246,0),HLOOKUP(M$2+$A246,Sheet2!CB:NF,$B246,0)&lt;&gt;""),HLOOKUP(M$2+$A246,Sheet2!CB:NF,$B246,0),"")</f>
        <v/>
      </c>
    </row>
    <row r="247" spans="1:13" x14ac:dyDescent="0.25">
      <c r="A247" s="68">
        <f t="shared" si="38"/>
        <v>15</v>
      </c>
      <c r="B247" s="68">
        <f t="shared" si="39"/>
        <v>35</v>
      </c>
      <c r="C247" s="68">
        <f t="shared" si="36"/>
        <v>4</v>
      </c>
      <c r="D247" s="68">
        <f t="shared" si="40"/>
        <v>31</v>
      </c>
      <c r="E247" s="68">
        <f t="shared" si="37"/>
        <v>151</v>
      </c>
      <c r="F247" s="21" t="str">
        <f>VLOOKUP(D247,Sheet2!A:B,2)</f>
        <v>J19-1491</v>
      </c>
      <c r="G247" s="68" t="str">
        <f>VLOOKUP(F247,Sheet2!B:C,2,0)</f>
        <v>SITEไบโอฟูเอล</v>
      </c>
      <c r="H247" s="68" t="str">
        <f>HLOOKUP(I$2+$A247,Sheet2!BX:NB,2,0)</f>
        <v>16-28 Feb 21</v>
      </c>
      <c r="I247" t="str">
        <f>IF(OR(HLOOKUP(I$2+$A247,Sheet2!BX:NB,$B247,0),HLOOKUP(I$2+$A247,Sheet2!BX:NB,$B247,0)&lt;&gt;""),HLOOKUP(I$2+$A247,Sheet2!BX:NB,$B247,0),"")</f>
        <v/>
      </c>
      <c r="J247" t="str">
        <f>IF(OR(HLOOKUP(J$2+$A247,Sheet2!BY:NC,$B247,0),HLOOKUP(J$2+$A247,Sheet2!BY:NC,$B247,0)&lt;&gt;""),HLOOKUP(J$2+$A247,Sheet2!BY:NC,$B247,0),"")</f>
        <v/>
      </c>
      <c r="K247" t="str">
        <f>IF(OR(HLOOKUP(K$2+$A247,Sheet2!BZ:ND,$B247,0),HLOOKUP(K$2+$A247,Sheet2!BZ:ND,$B247,0)&lt;&gt;""),HLOOKUP(K$2+$A247,Sheet2!BZ:ND,$B247,0),"")</f>
        <v/>
      </c>
      <c r="L247" t="str">
        <f>IF(OR(HLOOKUP(L$2+$A247,Sheet2!CA:NE,$B247,0),HLOOKUP(L$2+$A247,Sheet2!CA:NE,$B247,0)&lt;&gt;""),HLOOKUP(L$2+$A247,Sheet2!CA:NE,$B247,0),"")</f>
        <v/>
      </c>
      <c r="M247" t="str">
        <f>IF(OR(HLOOKUP(M$2+$A247,Sheet2!CB:NF,$B247,0),HLOOKUP(M$2+$A247,Sheet2!CB:NF,$B247,0)&lt;&gt;""),HLOOKUP(M$2+$A247,Sheet2!CB:NF,$B247,0),"")</f>
        <v/>
      </c>
    </row>
    <row r="248" spans="1:13" x14ac:dyDescent="0.25">
      <c r="A248" s="68">
        <f t="shared" si="38"/>
        <v>20</v>
      </c>
      <c r="B248" s="68">
        <f t="shared" si="39"/>
        <v>35</v>
      </c>
      <c r="C248" s="68">
        <f t="shared" si="36"/>
        <v>5</v>
      </c>
      <c r="D248" s="68">
        <f t="shared" si="40"/>
        <v>31</v>
      </c>
      <c r="E248" s="68">
        <f t="shared" si="37"/>
        <v>151</v>
      </c>
      <c r="F248" s="21" t="str">
        <f>VLOOKUP(D248,Sheet2!A:B,2)</f>
        <v>J19-1491</v>
      </c>
      <c r="G248" s="68" t="str">
        <f>VLOOKUP(F248,Sheet2!B:C,2,0)</f>
        <v>SITEไบโอฟูเอล</v>
      </c>
      <c r="H248" s="68" t="str">
        <f>HLOOKUP(I$2+$A248,Sheet2!BX:NB,2,0)</f>
        <v>1-15 Mar 2021</v>
      </c>
      <c r="I248" t="str">
        <f>IF(OR(HLOOKUP(I$2+$A248,Sheet2!BX:NB,$B248,0),HLOOKUP(I$2+$A248,Sheet2!BX:NB,$B248,0)&lt;&gt;""),HLOOKUP(I$2+$A248,Sheet2!BX:NB,$B248,0),"")</f>
        <v/>
      </c>
      <c r="J248" t="str">
        <f>IF(OR(HLOOKUP(J$2+$A248,Sheet2!BY:NC,$B248,0),HLOOKUP(J$2+$A248,Sheet2!BY:NC,$B248,0)&lt;&gt;""),HLOOKUP(J$2+$A248,Sheet2!BY:NC,$B248,0),"")</f>
        <v/>
      </c>
      <c r="K248" t="str">
        <f>IF(OR(HLOOKUP(K$2+$A248,Sheet2!BZ:ND,$B248,0),HLOOKUP(K$2+$A248,Sheet2!BZ:ND,$B248,0)&lt;&gt;""),HLOOKUP(K$2+$A248,Sheet2!BZ:ND,$B248,0),"")</f>
        <v/>
      </c>
      <c r="L248" t="str">
        <f>IF(OR(HLOOKUP(L$2+$A248,Sheet2!CA:NE,$B248,0),HLOOKUP(L$2+$A248,Sheet2!CA:NE,$B248,0)&lt;&gt;""),HLOOKUP(L$2+$A248,Sheet2!CA:NE,$B248,0),"")</f>
        <v/>
      </c>
      <c r="M248" t="str">
        <f>IF(OR(HLOOKUP(M$2+$A248,Sheet2!CB:NF,$B248,0),HLOOKUP(M$2+$A248,Sheet2!CB:NF,$B248,0)&lt;&gt;""),HLOOKUP(M$2+$A248,Sheet2!CB:NF,$B248,0),"")</f>
        <v/>
      </c>
    </row>
    <row r="249" spans="1:13" x14ac:dyDescent="0.25">
      <c r="A249" s="68">
        <f t="shared" si="38"/>
        <v>25</v>
      </c>
      <c r="B249" s="68">
        <f t="shared" si="39"/>
        <v>35</v>
      </c>
      <c r="C249" s="68">
        <f t="shared" si="36"/>
        <v>6</v>
      </c>
      <c r="D249" s="68">
        <f t="shared" si="40"/>
        <v>31</v>
      </c>
      <c r="E249" s="68">
        <f t="shared" si="37"/>
        <v>151</v>
      </c>
      <c r="F249" s="21" t="str">
        <f>VLOOKUP(D249,Sheet2!A:B,2)</f>
        <v>J19-1491</v>
      </c>
      <c r="G249" s="68" t="str">
        <f>VLOOKUP(F249,Sheet2!B:C,2,0)</f>
        <v>SITEไบโอฟูเอล</v>
      </c>
      <c r="H249" s="68" t="str">
        <f>HLOOKUP(I$2+$A249,Sheet2!BX:NB,2,0)</f>
        <v>16-31 Mar 21</v>
      </c>
      <c r="I249" t="str">
        <f>IF(OR(HLOOKUP(I$2+$A249,Sheet2!BX:NB,$B249,0),HLOOKUP(I$2+$A249,Sheet2!BX:NB,$B249,0)&lt;&gt;""),HLOOKUP(I$2+$A249,Sheet2!BX:NB,$B249,0),"")</f>
        <v/>
      </c>
      <c r="J249" t="str">
        <f>IF(OR(HLOOKUP(J$2+$A249,Sheet2!BY:NC,$B249,0),HLOOKUP(J$2+$A249,Sheet2!BY:NC,$B249,0)&lt;&gt;""),HLOOKUP(J$2+$A249,Sheet2!BY:NC,$B249,0),"")</f>
        <v/>
      </c>
      <c r="K249" t="str">
        <f>IF(OR(HLOOKUP(K$2+$A249,Sheet2!BZ:ND,$B249,0),HLOOKUP(K$2+$A249,Sheet2!BZ:ND,$B249,0)&lt;&gt;""),HLOOKUP(K$2+$A249,Sheet2!BZ:ND,$B249,0),"")</f>
        <v/>
      </c>
      <c r="L249" t="str">
        <f>IF(OR(HLOOKUP(L$2+$A249,Sheet2!CA:NE,$B249,0),HLOOKUP(L$2+$A249,Sheet2!CA:NE,$B249,0)&lt;&gt;""),HLOOKUP(L$2+$A249,Sheet2!CA:NE,$B249,0),"")</f>
        <v/>
      </c>
      <c r="M249" t="str">
        <f>IF(OR(HLOOKUP(M$2+$A249,Sheet2!CB:NF,$B249,0),HLOOKUP(M$2+$A249,Sheet2!CB:NF,$B249,0)&lt;&gt;""),HLOOKUP(M$2+$A249,Sheet2!CB:NF,$B249,0),"")</f>
        <v/>
      </c>
    </row>
    <row r="250" spans="1:13" x14ac:dyDescent="0.25">
      <c r="A250" s="68">
        <f t="shared" si="38"/>
        <v>30</v>
      </c>
      <c r="B250" s="68">
        <f t="shared" si="39"/>
        <v>35</v>
      </c>
      <c r="C250" s="68">
        <f t="shared" si="36"/>
        <v>7</v>
      </c>
      <c r="D250" s="68">
        <f t="shared" si="40"/>
        <v>31</v>
      </c>
      <c r="E250" s="68">
        <f t="shared" si="37"/>
        <v>151</v>
      </c>
      <c r="F250" s="21" t="str">
        <f>VLOOKUP(D250,Sheet2!A:B,2)</f>
        <v>J19-1491</v>
      </c>
      <c r="G250" s="68" t="str">
        <f>VLOOKUP(F250,Sheet2!B:C,2,0)</f>
        <v>SITEไบโอฟูเอล</v>
      </c>
      <c r="H250" s="68" t="str">
        <f>HLOOKUP(I$2+$A250,Sheet2!BX:NB,2,0)</f>
        <v>1-15 April 21</v>
      </c>
      <c r="I250" t="str">
        <f>IF(OR(HLOOKUP(I$2+$A250,Sheet2!BX:NB,$B250,0),HLOOKUP(I$2+$A250,Sheet2!BX:NB,$B250,0)&lt;&gt;""),HLOOKUP(I$2+$A250,Sheet2!BX:NB,$B250,0),"")</f>
        <v/>
      </c>
      <c r="J250" t="str">
        <f>IF(OR(HLOOKUP(J$2+$A250,Sheet2!BY:NC,$B250,0),HLOOKUP(J$2+$A250,Sheet2!BY:NC,$B250,0)&lt;&gt;""),HLOOKUP(J$2+$A250,Sheet2!BY:NC,$B250,0),"")</f>
        <v/>
      </c>
      <c r="K250" t="str">
        <f>IF(OR(HLOOKUP(K$2+$A250,Sheet2!BZ:ND,$B250,0),HLOOKUP(K$2+$A250,Sheet2!BZ:ND,$B250,0)&lt;&gt;""),HLOOKUP(K$2+$A250,Sheet2!BZ:ND,$B250,0),"")</f>
        <v/>
      </c>
      <c r="L250" t="str">
        <f>IF(OR(HLOOKUP(L$2+$A250,Sheet2!CA:NE,$B250,0),HLOOKUP(L$2+$A250,Sheet2!CA:NE,$B250,0)&lt;&gt;""),HLOOKUP(L$2+$A250,Sheet2!CA:NE,$B250,0),"")</f>
        <v/>
      </c>
      <c r="M250" t="str">
        <f>IF(OR(HLOOKUP(M$2+$A250,Sheet2!CB:NF,$B250,0),HLOOKUP(M$2+$A250,Sheet2!CB:NF,$B250,0)&lt;&gt;""),HLOOKUP(M$2+$A250,Sheet2!CB:NF,$B250,0),"")</f>
        <v/>
      </c>
    </row>
    <row r="251" spans="1:13" x14ac:dyDescent="0.25">
      <c r="A251" s="68">
        <f t="shared" si="38"/>
        <v>35</v>
      </c>
      <c r="B251" s="68">
        <f t="shared" si="39"/>
        <v>35</v>
      </c>
      <c r="C251" s="68">
        <f t="shared" si="36"/>
        <v>8</v>
      </c>
      <c r="D251" s="68">
        <f t="shared" si="40"/>
        <v>31</v>
      </c>
      <c r="E251" s="68">
        <f t="shared" si="37"/>
        <v>151</v>
      </c>
      <c r="F251" s="21" t="str">
        <f>VLOOKUP(D251,Sheet2!A:B,2)</f>
        <v>J19-1491</v>
      </c>
      <c r="G251" s="68" t="str">
        <f>VLOOKUP(F251,Sheet2!B:C,2,0)</f>
        <v>SITEไบโอฟูเอล</v>
      </c>
      <c r="H251" s="68" t="str">
        <f>HLOOKUP(I$2+$A251,Sheet2!BX:NB,2,0)</f>
        <v>16-30 April 21</v>
      </c>
      <c r="I251" t="str">
        <f>IF(OR(HLOOKUP(I$2+$A251,Sheet2!BX:NB,$B251,0),HLOOKUP(I$2+$A251,Sheet2!BX:NB,$B251,0)&lt;&gt;""),HLOOKUP(I$2+$A251,Sheet2!BX:NB,$B251,0),"")</f>
        <v/>
      </c>
      <c r="J251" t="str">
        <f>IF(OR(HLOOKUP(J$2+$A251,Sheet2!BY:NC,$B251,0),HLOOKUP(J$2+$A251,Sheet2!BY:NC,$B251,0)&lt;&gt;""),HLOOKUP(J$2+$A251,Sheet2!BY:NC,$B251,0),"")</f>
        <v/>
      </c>
      <c r="K251" t="str">
        <f>IF(OR(HLOOKUP(K$2+$A251,Sheet2!BZ:ND,$B251,0),HLOOKUP(K$2+$A251,Sheet2!BZ:ND,$B251,0)&lt;&gt;""),HLOOKUP(K$2+$A251,Sheet2!BZ:ND,$B251,0),"")</f>
        <v/>
      </c>
      <c r="L251" t="str">
        <f>IF(OR(HLOOKUP(L$2+$A251,Sheet2!CA:NE,$B251,0),HLOOKUP(L$2+$A251,Sheet2!CA:NE,$B251,0)&lt;&gt;""),HLOOKUP(L$2+$A251,Sheet2!CA:NE,$B251,0),"")</f>
        <v/>
      </c>
      <c r="M251" t="str">
        <f>IF(OR(HLOOKUP(M$2+$A251,Sheet2!CB:NF,$B251,0),HLOOKUP(M$2+$A251,Sheet2!CB:NF,$B251,0)&lt;&gt;""),HLOOKUP(M$2+$A251,Sheet2!CB:NF,$B251,0),"")</f>
        <v/>
      </c>
    </row>
    <row r="252" spans="1:13" x14ac:dyDescent="0.25">
      <c r="A252" s="68">
        <f t="shared" si="38"/>
        <v>0</v>
      </c>
      <c r="B252" s="68">
        <f t="shared" si="39"/>
        <v>36</v>
      </c>
      <c r="C252" s="68">
        <f t="shared" si="36"/>
        <v>1</v>
      </c>
      <c r="D252" s="68">
        <f t="shared" si="40"/>
        <v>32</v>
      </c>
      <c r="E252" s="68">
        <f t="shared" si="37"/>
        <v>156</v>
      </c>
      <c r="F252" s="21" t="str">
        <f>VLOOKUP(D252,Sheet2!A:B,2)</f>
        <v>J19-1330</v>
      </c>
      <c r="G252" s="68" t="str">
        <f>VLOOKUP(F252,Sheet2!B:C,2,0)</f>
        <v>SITEนต.สิงห์บุรี</v>
      </c>
      <c r="H252" s="68" t="str">
        <f>HLOOKUP(I$2+$A252,Sheet2!BX:NB,2,0)</f>
        <v>1-15 Jan 21</v>
      </c>
      <c r="I252" t="str">
        <f>IF(OR(HLOOKUP(I$2+$A252,Sheet2!BX:NB,$B252,0),HLOOKUP(I$2+$A252,Sheet2!BX:NB,$B252,0)&lt;&gt;""),HLOOKUP(I$2+$A252,Sheet2!BX:NB,$B252,0),"")</f>
        <v/>
      </c>
      <c r="J252" t="str">
        <f>IF(OR(HLOOKUP(J$2+$A252,Sheet2!BY:NC,$B252,0),HLOOKUP(J$2+$A252,Sheet2!BY:NC,$B252,0)&lt;&gt;""),HLOOKUP(J$2+$A252,Sheet2!BY:NC,$B252,0),"")</f>
        <v/>
      </c>
      <c r="K252" t="str">
        <f>IF(OR(HLOOKUP(K$2+$A252,Sheet2!BZ:ND,$B252,0),HLOOKUP(K$2+$A252,Sheet2!BZ:ND,$B252,0)&lt;&gt;""),HLOOKUP(K$2+$A252,Sheet2!BZ:ND,$B252,0),"")</f>
        <v/>
      </c>
      <c r="L252" t="str">
        <f>IF(OR(HLOOKUP(L$2+$A252,Sheet2!CA:NE,$B252,0),HLOOKUP(L$2+$A252,Sheet2!CA:NE,$B252,0)&lt;&gt;""),HLOOKUP(L$2+$A252,Sheet2!CA:NE,$B252,0),"")</f>
        <v/>
      </c>
      <c r="M252" t="str">
        <f>IF(OR(HLOOKUP(M$2+$A252,Sheet2!CB:NF,$B252,0),HLOOKUP(M$2+$A252,Sheet2!CB:NF,$B252,0)&lt;&gt;""),HLOOKUP(M$2+$A252,Sheet2!CB:NF,$B252,0),"")</f>
        <v/>
      </c>
    </row>
    <row r="253" spans="1:13" x14ac:dyDescent="0.25">
      <c r="A253" s="68">
        <f t="shared" si="38"/>
        <v>5</v>
      </c>
      <c r="B253" s="68">
        <f t="shared" si="39"/>
        <v>36</v>
      </c>
      <c r="C253" s="68">
        <f t="shared" si="36"/>
        <v>2</v>
      </c>
      <c r="D253" s="68">
        <f t="shared" si="40"/>
        <v>32</v>
      </c>
      <c r="E253" s="68">
        <f t="shared" si="37"/>
        <v>156</v>
      </c>
      <c r="F253" s="21" t="str">
        <f>VLOOKUP(D253,Sheet2!A:B,2)</f>
        <v>J19-1330</v>
      </c>
      <c r="G253" s="68" t="str">
        <f>VLOOKUP(F253,Sheet2!B:C,2,0)</f>
        <v>SITEนต.สิงห์บุรี</v>
      </c>
      <c r="H253" s="68" t="str">
        <f>HLOOKUP(I$2+$A253,Sheet2!BX:NB,2,0)</f>
        <v>16-31 Jan 21</v>
      </c>
      <c r="I253" t="str">
        <f>IF(OR(HLOOKUP(I$2+$A253,Sheet2!BX:NB,$B253,0),HLOOKUP(I$2+$A253,Sheet2!BX:NB,$B253,0)&lt;&gt;""),HLOOKUP(I$2+$A253,Sheet2!BX:NB,$B253,0),"")</f>
        <v/>
      </c>
      <c r="J253" t="str">
        <f>IF(OR(HLOOKUP(J$2+$A253,Sheet2!BY:NC,$B253,0),HLOOKUP(J$2+$A253,Sheet2!BY:NC,$B253,0)&lt;&gt;""),HLOOKUP(J$2+$A253,Sheet2!BY:NC,$B253,0),"")</f>
        <v/>
      </c>
      <c r="K253" t="str">
        <f>IF(OR(HLOOKUP(K$2+$A253,Sheet2!BZ:ND,$B253,0),HLOOKUP(K$2+$A253,Sheet2!BZ:ND,$B253,0)&lt;&gt;""),HLOOKUP(K$2+$A253,Sheet2!BZ:ND,$B253,0),"")</f>
        <v/>
      </c>
      <c r="L253" t="str">
        <f>IF(OR(HLOOKUP(L$2+$A253,Sheet2!CA:NE,$B253,0),HLOOKUP(L$2+$A253,Sheet2!CA:NE,$B253,0)&lt;&gt;""),HLOOKUP(L$2+$A253,Sheet2!CA:NE,$B253,0),"")</f>
        <v/>
      </c>
      <c r="M253" t="str">
        <f>IF(OR(HLOOKUP(M$2+$A253,Sheet2!CB:NF,$B253,0),HLOOKUP(M$2+$A253,Sheet2!CB:NF,$B253,0)&lt;&gt;""),HLOOKUP(M$2+$A253,Sheet2!CB:NF,$B253,0),"")</f>
        <v/>
      </c>
    </row>
    <row r="254" spans="1:13" x14ac:dyDescent="0.25">
      <c r="A254" s="68">
        <f t="shared" si="38"/>
        <v>10</v>
      </c>
      <c r="B254" s="68">
        <f t="shared" si="39"/>
        <v>36</v>
      </c>
      <c r="C254" s="68">
        <f t="shared" si="36"/>
        <v>3</v>
      </c>
      <c r="D254" s="68">
        <f t="shared" si="40"/>
        <v>32</v>
      </c>
      <c r="E254" s="68">
        <f t="shared" si="37"/>
        <v>156</v>
      </c>
      <c r="F254" s="21" t="str">
        <f>VLOOKUP(D254,Sheet2!A:B,2)</f>
        <v>J19-1330</v>
      </c>
      <c r="G254" s="68" t="str">
        <f>VLOOKUP(F254,Sheet2!B:C,2,0)</f>
        <v>SITEนต.สิงห์บุรี</v>
      </c>
      <c r="H254" s="68" t="str">
        <f>HLOOKUP(I$2+$A254,Sheet2!BX:NB,2,0)</f>
        <v>1-15 Feb 21</v>
      </c>
      <c r="I254" t="str">
        <f>IF(OR(HLOOKUP(I$2+$A254,Sheet2!BX:NB,$B254,0),HLOOKUP(I$2+$A254,Sheet2!BX:NB,$B254,0)&lt;&gt;""),HLOOKUP(I$2+$A254,Sheet2!BX:NB,$B254,0),"")</f>
        <v/>
      </c>
      <c r="J254" t="str">
        <f>IF(OR(HLOOKUP(J$2+$A254,Sheet2!BY:NC,$B254,0),HLOOKUP(J$2+$A254,Sheet2!BY:NC,$B254,0)&lt;&gt;""),HLOOKUP(J$2+$A254,Sheet2!BY:NC,$B254,0),"")</f>
        <v/>
      </c>
      <c r="K254" t="str">
        <f>IF(OR(HLOOKUP(K$2+$A254,Sheet2!BZ:ND,$B254,0),HLOOKUP(K$2+$A254,Sheet2!BZ:ND,$B254,0)&lt;&gt;""),HLOOKUP(K$2+$A254,Sheet2!BZ:ND,$B254,0),"")</f>
        <v/>
      </c>
      <c r="L254" t="str">
        <f>IF(OR(HLOOKUP(L$2+$A254,Sheet2!CA:NE,$B254,0),HLOOKUP(L$2+$A254,Sheet2!CA:NE,$B254,0)&lt;&gt;""),HLOOKUP(L$2+$A254,Sheet2!CA:NE,$B254,0),"")</f>
        <v/>
      </c>
      <c r="M254" t="str">
        <f>IF(OR(HLOOKUP(M$2+$A254,Sheet2!CB:NF,$B254,0),HLOOKUP(M$2+$A254,Sheet2!CB:NF,$B254,0)&lt;&gt;""),HLOOKUP(M$2+$A254,Sheet2!CB:NF,$B254,0),"")</f>
        <v/>
      </c>
    </row>
    <row r="255" spans="1:13" x14ac:dyDescent="0.25">
      <c r="A255" s="68">
        <f t="shared" si="38"/>
        <v>15</v>
      </c>
      <c r="B255" s="68">
        <f t="shared" si="39"/>
        <v>36</v>
      </c>
      <c r="C255" s="68">
        <f t="shared" si="36"/>
        <v>4</v>
      </c>
      <c r="D255" s="68">
        <f t="shared" si="40"/>
        <v>32</v>
      </c>
      <c r="E255" s="68">
        <f t="shared" si="37"/>
        <v>156</v>
      </c>
      <c r="F255" s="21" t="str">
        <f>VLOOKUP(D255,Sheet2!A:B,2)</f>
        <v>J19-1330</v>
      </c>
      <c r="G255" s="68" t="str">
        <f>VLOOKUP(F255,Sheet2!B:C,2,0)</f>
        <v>SITEนต.สิงห์บุรี</v>
      </c>
      <c r="H255" s="68" t="str">
        <f>HLOOKUP(I$2+$A255,Sheet2!BX:NB,2,0)</f>
        <v>16-28 Feb 21</v>
      </c>
      <c r="I255" t="str">
        <f>IF(OR(HLOOKUP(I$2+$A255,Sheet2!BX:NB,$B255,0),HLOOKUP(I$2+$A255,Sheet2!BX:NB,$B255,0)&lt;&gt;""),HLOOKUP(I$2+$A255,Sheet2!BX:NB,$B255,0),"")</f>
        <v/>
      </c>
      <c r="J255" t="str">
        <f>IF(OR(HLOOKUP(J$2+$A255,Sheet2!BY:NC,$B255,0),HLOOKUP(J$2+$A255,Sheet2!BY:NC,$B255,0)&lt;&gt;""),HLOOKUP(J$2+$A255,Sheet2!BY:NC,$B255,0),"")</f>
        <v/>
      </c>
      <c r="K255" t="str">
        <f>IF(OR(HLOOKUP(K$2+$A255,Sheet2!BZ:ND,$B255,0),HLOOKUP(K$2+$A255,Sheet2!BZ:ND,$B255,0)&lt;&gt;""),HLOOKUP(K$2+$A255,Sheet2!BZ:ND,$B255,0),"")</f>
        <v/>
      </c>
      <c r="L255" t="str">
        <f>IF(OR(HLOOKUP(L$2+$A255,Sheet2!CA:NE,$B255,0),HLOOKUP(L$2+$A255,Sheet2!CA:NE,$B255,0)&lt;&gt;""),HLOOKUP(L$2+$A255,Sheet2!CA:NE,$B255,0),"")</f>
        <v/>
      </c>
      <c r="M255" t="str">
        <f>IF(OR(HLOOKUP(M$2+$A255,Sheet2!CB:NF,$B255,0),HLOOKUP(M$2+$A255,Sheet2!CB:NF,$B255,0)&lt;&gt;""),HLOOKUP(M$2+$A255,Sheet2!CB:NF,$B255,0),"")</f>
        <v/>
      </c>
    </row>
    <row r="256" spans="1:13" x14ac:dyDescent="0.25">
      <c r="A256" s="68">
        <f t="shared" si="38"/>
        <v>20</v>
      </c>
      <c r="B256" s="68">
        <f t="shared" si="39"/>
        <v>36</v>
      </c>
      <c r="C256" s="68">
        <f t="shared" si="36"/>
        <v>5</v>
      </c>
      <c r="D256" s="68">
        <f t="shared" si="40"/>
        <v>32</v>
      </c>
      <c r="E256" s="68">
        <f t="shared" si="37"/>
        <v>156</v>
      </c>
      <c r="F256" s="21" t="str">
        <f>VLOOKUP(D256,Sheet2!A:B,2)</f>
        <v>J19-1330</v>
      </c>
      <c r="G256" s="68" t="str">
        <f>VLOOKUP(F256,Sheet2!B:C,2,0)</f>
        <v>SITEนต.สิงห์บุรี</v>
      </c>
      <c r="H256" s="68" t="str">
        <f>HLOOKUP(I$2+$A256,Sheet2!BX:NB,2,0)</f>
        <v>1-15 Mar 2021</v>
      </c>
      <c r="I256" t="str">
        <f>IF(OR(HLOOKUP(I$2+$A256,Sheet2!BX:NB,$B256,0),HLOOKUP(I$2+$A256,Sheet2!BX:NB,$B256,0)&lt;&gt;""),HLOOKUP(I$2+$A256,Sheet2!BX:NB,$B256,0),"")</f>
        <v/>
      </c>
      <c r="J256" t="str">
        <f>IF(OR(HLOOKUP(J$2+$A256,Sheet2!BY:NC,$B256,0),HLOOKUP(J$2+$A256,Sheet2!BY:NC,$B256,0)&lt;&gt;""),HLOOKUP(J$2+$A256,Sheet2!BY:NC,$B256,0),"")</f>
        <v/>
      </c>
      <c r="K256" t="str">
        <f>IF(OR(HLOOKUP(K$2+$A256,Sheet2!BZ:ND,$B256,0),HLOOKUP(K$2+$A256,Sheet2!BZ:ND,$B256,0)&lt;&gt;""),HLOOKUP(K$2+$A256,Sheet2!BZ:ND,$B256,0),"")</f>
        <v/>
      </c>
      <c r="L256" t="str">
        <f>IF(OR(HLOOKUP(L$2+$A256,Sheet2!CA:NE,$B256,0),HLOOKUP(L$2+$A256,Sheet2!CA:NE,$B256,0)&lt;&gt;""),HLOOKUP(L$2+$A256,Sheet2!CA:NE,$B256,0),"")</f>
        <v/>
      </c>
      <c r="M256" t="str">
        <f>IF(OR(HLOOKUP(M$2+$A256,Sheet2!CB:NF,$B256,0),HLOOKUP(M$2+$A256,Sheet2!CB:NF,$B256,0)&lt;&gt;""),HLOOKUP(M$2+$A256,Sheet2!CB:NF,$B256,0),"")</f>
        <v/>
      </c>
    </row>
    <row r="257" spans="1:13" x14ac:dyDescent="0.25">
      <c r="A257" s="68">
        <f t="shared" si="38"/>
        <v>25</v>
      </c>
      <c r="B257" s="68">
        <f t="shared" si="39"/>
        <v>36</v>
      </c>
      <c r="C257" s="68">
        <f t="shared" si="36"/>
        <v>6</v>
      </c>
      <c r="D257" s="68">
        <f t="shared" si="40"/>
        <v>32</v>
      </c>
      <c r="E257" s="68">
        <f t="shared" si="37"/>
        <v>156</v>
      </c>
      <c r="F257" s="21" t="str">
        <f>VLOOKUP(D257,Sheet2!A:B,2)</f>
        <v>J19-1330</v>
      </c>
      <c r="G257" s="68" t="str">
        <f>VLOOKUP(F257,Sheet2!B:C,2,0)</f>
        <v>SITEนต.สิงห์บุรี</v>
      </c>
      <c r="H257" s="68" t="str">
        <f>HLOOKUP(I$2+$A257,Sheet2!BX:NB,2,0)</f>
        <v>16-31 Mar 21</v>
      </c>
      <c r="I257" t="str">
        <f>IF(OR(HLOOKUP(I$2+$A257,Sheet2!BX:NB,$B257,0),HLOOKUP(I$2+$A257,Sheet2!BX:NB,$B257,0)&lt;&gt;""),HLOOKUP(I$2+$A257,Sheet2!BX:NB,$B257,0),"")</f>
        <v/>
      </c>
      <c r="J257" t="str">
        <f>IF(OR(HLOOKUP(J$2+$A257,Sheet2!BY:NC,$B257,0),HLOOKUP(J$2+$A257,Sheet2!BY:NC,$B257,0)&lt;&gt;""),HLOOKUP(J$2+$A257,Sheet2!BY:NC,$B257,0),"")</f>
        <v/>
      </c>
      <c r="K257" t="str">
        <f>IF(OR(HLOOKUP(K$2+$A257,Sheet2!BZ:ND,$B257,0),HLOOKUP(K$2+$A257,Sheet2!BZ:ND,$B257,0)&lt;&gt;""),HLOOKUP(K$2+$A257,Sheet2!BZ:ND,$B257,0),"")</f>
        <v/>
      </c>
      <c r="L257" t="str">
        <f>IF(OR(HLOOKUP(L$2+$A257,Sheet2!CA:NE,$B257,0),HLOOKUP(L$2+$A257,Sheet2!CA:NE,$B257,0)&lt;&gt;""),HLOOKUP(L$2+$A257,Sheet2!CA:NE,$B257,0),"")</f>
        <v/>
      </c>
      <c r="M257" t="str">
        <f>IF(OR(HLOOKUP(M$2+$A257,Sheet2!CB:NF,$B257,0),HLOOKUP(M$2+$A257,Sheet2!CB:NF,$B257,0)&lt;&gt;""),HLOOKUP(M$2+$A257,Sheet2!CB:NF,$B257,0),"")</f>
        <v/>
      </c>
    </row>
    <row r="258" spans="1:13" x14ac:dyDescent="0.25">
      <c r="A258" s="68">
        <f t="shared" si="38"/>
        <v>30</v>
      </c>
      <c r="B258" s="68">
        <f t="shared" si="39"/>
        <v>36</v>
      </c>
      <c r="C258" s="68">
        <f t="shared" si="36"/>
        <v>7</v>
      </c>
      <c r="D258" s="68">
        <f t="shared" si="40"/>
        <v>32</v>
      </c>
      <c r="E258" s="68">
        <f t="shared" si="37"/>
        <v>156</v>
      </c>
      <c r="F258" s="21" t="str">
        <f>VLOOKUP(D258,Sheet2!A:B,2)</f>
        <v>J19-1330</v>
      </c>
      <c r="G258" s="68" t="str">
        <f>VLOOKUP(F258,Sheet2!B:C,2,0)</f>
        <v>SITEนต.สิงห์บุรี</v>
      </c>
      <c r="H258" s="68" t="str">
        <f>HLOOKUP(I$2+$A258,Sheet2!BX:NB,2,0)</f>
        <v>1-15 April 21</v>
      </c>
      <c r="I258" t="str">
        <f>IF(OR(HLOOKUP(I$2+$A258,Sheet2!BX:NB,$B258,0),HLOOKUP(I$2+$A258,Sheet2!BX:NB,$B258,0)&lt;&gt;""),HLOOKUP(I$2+$A258,Sheet2!BX:NB,$B258,0),"")</f>
        <v/>
      </c>
      <c r="J258" t="str">
        <f>IF(OR(HLOOKUP(J$2+$A258,Sheet2!BY:NC,$B258,0),HLOOKUP(J$2+$A258,Sheet2!BY:NC,$B258,0)&lt;&gt;""),HLOOKUP(J$2+$A258,Sheet2!BY:NC,$B258,0),"")</f>
        <v/>
      </c>
      <c r="K258" t="str">
        <f>IF(OR(HLOOKUP(K$2+$A258,Sheet2!BZ:ND,$B258,0),HLOOKUP(K$2+$A258,Sheet2!BZ:ND,$B258,0)&lt;&gt;""),HLOOKUP(K$2+$A258,Sheet2!BZ:ND,$B258,0),"")</f>
        <v/>
      </c>
      <c r="L258" t="str">
        <f>IF(OR(HLOOKUP(L$2+$A258,Sheet2!CA:NE,$B258,0),HLOOKUP(L$2+$A258,Sheet2!CA:NE,$B258,0)&lt;&gt;""),HLOOKUP(L$2+$A258,Sheet2!CA:NE,$B258,0),"")</f>
        <v/>
      </c>
      <c r="M258" t="str">
        <f>IF(OR(HLOOKUP(M$2+$A258,Sheet2!CB:NF,$B258,0),HLOOKUP(M$2+$A258,Sheet2!CB:NF,$B258,0)&lt;&gt;""),HLOOKUP(M$2+$A258,Sheet2!CB:NF,$B258,0),"")</f>
        <v/>
      </c>
    </row>
    <row r="259" spans="1:13" x14ac:dyDescent="0.25">
      <c r="A259" s="68">
        <f t="shared" si="38"/>
        <v>35</v>
      </c>
      <c r="B259" s="68">
        <f t="shared" si="39"/>
        <v>36</v>
      </c>
      <c r="C259" s="68">
        <f t="shared" si="36"/>
        <v>8</v>
      </c>
      <c r="D259" s="68">
        <f t="shared" si="40"/>
        <v>32</v>
      </c>
      <c r="E259" s="68">
        <f t="shared" si="37"/>
        <v>156</v>
      </c>
      <c r="F259" s="21" t="str">
        <f>VLOOKUP(D259,Sheet2!A:B,2)</f>
        <v>J19-1330</v>
      </c>
      <c r="G259" s="68" t="str">
        <f>VLOOKUP(F259,Sheet2!B:C,2,0)</f>
        <v>SITEนต.สิงห์บุรี</v>
      </c>
      <c r="H259" s="68" t="str">
        <f>HLOOKUP(I$2+$A259,Sheet2!BX:NB,2,0)</f>
        <v>16-30 April 21</v>
      </c>
      <c r="I259" t="str">
        <f>IF(OR(HLOOKUP(I$2+$A259,Sheet2!BX:NB,$B259,0),HLOOKUP(I$2+$A259,Sheet2!BX:NB,$B259,0)&lt;&gt;""),HLOOKUP(I$2+$A259,Sheet2!BX:NB,$B259,0),"")</f>
        <v/>
      </c>
      <c r="J259" t="str">
        <f>IF(OR(HLOOKUP(J$2+$A259,Sheet2!BY:NC,$B259,0),HLOOKUP(J$2+$A259,Sheet2!BY:NC,$B259,0)&lt;&gt;""),HLOOKUP(J$2+$A259,Sheet2!BY:NC,$B259,0),"")</f>
        <v/>
      </c>
      <c r="K259" t="str">
        <f>IF(OR(HLOOKUP(K$2+$A259,Sheet2!BZ:ND,$B259,0),HLOOKUP(K$2+$A259,Sheet2!BZ:ND,$B259,0)&lt;&gt;""),HLOOKUP(K$2+$A259,Sheet2!BZ:ND,$B259,0),"")</f>
        <v/>
      </c>
      <c r="L259" t="str">
        <f>IF(OR(HLOOKUP(L$2+$A259,Sheet2!CA:NE,$B259,0),HLOOKUP(L$2+$A259,Sheet2!CA:NE,$B259,0)&lt;&gt;""),HLOOKUP(L$2+$A259,Sheet2!CA:NE,$B259,0),"")</f>
        <v/>
      </c>
      <c r="M259" t="str">
        <f>IF(OR(HLOOKUP(M$2+$A259,Sheet2!CB:NF,$B259,0),HLOOKUP(M$2+$A259,Sheet2!CB:NF,$B259,0)&lt;&gt;""),HLOOKUP(M$2+$A259,Sheet2!CB:NF,$B259,0),"")</f>
        <v/>
      </c>
    </row>
    <row r="260" spans="1:13" x14ac:dyDescent="0.25">
      <c r="A260" s="68">
        <f t="shared" si="38"/>
        <v>0</v>
      </c>
      <c r="B260" s="68">
        <f t="shared" si="39"/>
        <v>37</v>
      </c>
      <c r="C260" s="68">
        <f t="shared" si="36"/>
        <v>1</v>
      </c>
      <c r="D260" s="68">
        <f t="shared" si="40"/>
        <v>33</v>
      </c>
      <c r="E260" s="68">
        <f t="shared" si="37"/>
        <v>161</v>
      </c>
      <c r="F260" s="21" t="str">
        <f>VLOOKUP(D260,Sheet2!A:B,2)</f>
        <v>J20-0004</v>
      </c>
      <c r="G260" s="68" t="str">
        <f>VLOOKUP(F260,Sheet2!B:C,2,0)</f>
        <v>SITE Office</v>
      </c>
      <c r="H260" s="68" t="str">
        <f>HLOOKUP(I$2+$A260,Sheet2!BX:NB,2,0)</f>
        <v>1-15 Jan 21</v>
      </c>
      <c r="I260" t="str">
        <f>IF(OR(HLOOKUP(I$2+$A260,Sheet2!BX:NB,$B260,0),HLOOKUP(I$2+$A260,Sheet2!BX:NB,$B260,0)&lt;&gt;""),HLOOKUP(I$2+$A260,Sheet2!BX:NB,$B260,0),"")</f>
        <v/>
      </c>
      <c r="J260" t="str">
        <f>IF(OR(HLOOKUP(J$2+$A260,Sheet2!BY:NC,$B260,0),HLOOKUP(J$2+$A260,Sheet2!BY:NC,$B260,0)&lt;&gt;""),HLOOKUP(J$2+$A260,Sheet2!BY:NC,$B260,0),"")</f>
        <v/>
      </c>
      <c r="K260" t="str">
        <f>IF(OR(HLOOKUP(K$2+$A260,Sheet2!BZ:ND,$B260,0),HLOOKUP(K$2+$A260,Sheet2!BZ:ND,$B260,0)&lt;&gt;""),HLOOKUP(K$2+$A260,Sheet2!BZ:ND,$B260,0),"")</f>
        <v/>
      </c>
      <c r="L260" t="str">
        <f>IF(OR(HLOOKUP(L$2+$A260,Sheet2!CA:NE,$B260,0),HLOOKUP(L$2+$A260,Sheet2!CA:NE,$B260,0)&lt;&gt;""),HLOOKUP(L$2+$A260,Sheet2!CA:NE,$B260,0),"")</f>
        <v/>
      </c>
      <c r="M260" t="str">
        <f>IF(OR(HLOOKUP(M$2+$A260,Sheet2!CB:NF,$B260,0),HLOOKUP(M$2+$A260,Sheet2!CB:NF,$B260,0)&lt;&gt;""),HLOOKUP(M$2+$A260,Sheet2!CB:NF,$B260,0),"")</f>
        <v/>
      </c>
    </row>
    <row r="261" spans="1:13" x14ac:dyDescent="0.25">
      <c r="A261" s="68">
        <f t="shared" si="38"/>
        <v>5</v>
      </c>
      <c r="B261" s="68">
        <f t="shared" si="39"/>
        <v>37</v>
      </c>
      <c r="C261" s="68">
        <f t="shared" si="36"/>
        <v>2</v>
      </c>
      <c r="D261" s="68">
        <f t="shared" si="40"/>
        <v>33</v>
      </c>
      <c r="E261" s="68">
        <f t="shared" si="37"/>
        <v>161</v>
      </c>
      <c r="F261" s="21" t="str">
        <f>VLOOKUP(D261,Sheet2!A:B,2)</f>
        <v>J20-0004</v>
      </c>
      <c r="G261" s="68" t="str">
        <f>VLOOKUP(F261,Sheet2!B:C,2,0)</f>
        <v>SITE Office</v>
      </c>
      <c r="H261" s="68" t="str">
        <f>HLOOKUP(I$2+$A261,Sheet2!BX:NB,2,0)</f>
        <v>16-31 Jan 21</v>
      </c>
      <c r="I261" t="str">
        <f>IF(OR(HLOOKUP(I$2+$A261,Sheet2!BX:NB,$B261,0),HLOOKUP(I$2+$A261,Sheet2!BX:NB,$B261,0)&lt;&gt;""),HLOOKUP(I$2+$A261,Sheet2!BX:NB,$B261,0),"")</f>
        <v/>
      </c>
      <c r="J261" t="str">
        <f>IF(OR(HLOOKUP(J$2+$A261,Sheet2!BY:NC,$B261,0),HLOOKUP(J$2+$A261,Sheet2!BY:NC,$B261,0)&lt;&gt;""),HLOOKUP(J$2+$A261,Sheet2!BY:NC,$B261,0),"")</f>
        <v/>
      </c>
      <c r="K261" t="str">
        <f>IF(OR(HLOOKUP(K$2+$A261,Sheet2!BZ:ND,$B261,0),HLOOKUP(K$2+$A261,Sheet2!BZ:ND,$B261,0)&lt;&gt;""),HLOOKUP(K$2+$A261,Sheet2!BZ:ND,$B261,0),"")</f>
        <v/>
      </c>
      <c r="L261" t="str">
        <f>IF(OR(HLOOKUP(L$2+$A261,Sheet2!CA:NE,$B261,0),HLOOKUP(L$2+$A261,Sheet2!CA:NE,$B261,0)&lt;&gt;""),HLOOKUP(L$2+$A261,Sheet2!CA:NE,$B261,0),"")</f>
        <v/>
      </c>
      <c r="M261" t="str">
        <f>IF(OR(HLOOKUP(M$2+$A261,Sheet2!CB:NF,$B261,0),HLOOKUP(M$2+$A261,Sheet2!CB:NF,$B261,0)&lt;&gt;""),HLOOKUP(M$2+$A261,Sheet2!CB:NF,$B261,0),"")</f>
        <v/>
      </c>
    </row>
    <row r="262" spans="1:13" x14ac:dyDescent="0.25">
      <c r="A262" s="68">
        <f t="shared" si="38"/>
        <v>10</v>
      </c>
      <c r="B262" s="68">
        <f t="shared" si="39"/>
        <v>37</v>
      </c>
      <c r="C262" s="68">
        <f t="shared" si="36"/>
        <v>3</v>
      </c>
      <c r="D262" s="68">
        <f t="shared" si="40"/>
        <v>33</v>
      </c>
      <c r="E262" s="68">
        <f t="shared" si="37"/>
        <v>161</v>
      </c>
      <c r="F262" s="21" t="str">
        <f>VLOOKUP(D262,Sheet2!A:B,2)</f>
        <v>J20-0004</v>
      </c>
      <c r="G262" s="68" t="str">
        <f>VLOOKUP(F262,Sheet2!B:C,2,0)</f>
        <v>SITE Office</v>
      </c>
      <c r="H262" s="68" t="str">
        <f>HLOOKUP(I$2+$A262,Sheet2!BX:NB,2,0)</f>
        <v>1-15 Feb 21</v>
      </c>
      <c r="I262" t="str">
        <f>IF(OR(HLOOKUP(I$2+$A262,Sheet2!BX:NB,$B262,0),HLOOKUP(I$2+$A262,Sheet2!BX:NB,$B262,0)&lt;&gt;""),HLOOKUP(I$2+$A262,Sheet2!BX:NB,$B262,0),"")</f>
        <v/>
      </c>
      <c r="J262" t="str">
        <f>IF(OR(HLOOKUP(J$2+$A262,Sheet2!BY:NC,$B262,0),HLOOKUP(J$2+$A262,Sheet2!BY:NC,$B262,0)&lt;&gt;""),HLOOKUP(J$2+$A262,Sheet2!BY:NC,$B262,0),"")</f>
        <v/>
      </c>
      <c r="K262" t="str">
        <f>IF(OR(HLOOKUP(K$2+$A262,Sheet2!BZ:ND,$B262,0),HLOOKUP(K$2+$A262,Sheet2!BZ:ND,$B262,0)&lt;&gt;""),HLOOKUP(K$2+$A262,Sheet2!BZ:ND,$B262,0),"")</f>
        <v/>
      </c>
      <c r="L262" t="str">
        <f>IF(OR(HLOOKUP(L$2+$A262,Sheet2!CA:NE,$B262,0),HLOOKUP(L$2+$A262,Sheet2!CA:NE,$B262,0)&lt;&gt;""),HLOOKUP(L$2+$A262,Sheet2!CA:NE,$B262,0),"")</f>
        <v/>
      </c>
      <c r="M262" t="str">
        <f>IF(OR(HLOOKUP(M$2+$A262,Sheet2!CB:NF,$B262,0),HLOOKUP(M$2+$A262,Sheet2!CB:NF,$B262,0)&lt;&gt;""),HLOOKUP(M$2+$A262,Sheet2!CB:NF,$B262,0),"")</f>
        <v/>
      </c>
    </row>
    <row r="263" spans="1:13" x14ac:dyDescent="0.25">
      <c r="A263" s="68">
        <f t="shared" si="38"/>
        <v>15</v>
      </c>
      <c r="B263" s="68">
        <f t="shared" si="39"/>
        <v>37</v>
      </c>
      <c r="C263" s="68">
        <f t="shared" si="36"/>
        <v>4</v>
      </c>
      <c r="D263" s="68">
        <f t="shared" si="40"/>
        <v>33</v>
      </c>
      <c r="E263" s="68">
        <f t="shared" si="37"/>
        <v>161</v>
      </c>
      <c r="F263" s="21" t="str">
        <f>VLOOKUP(D263,Sheet2!A:B,2)</f>
        <v>J20-0004</v>
      </c>
      <c r="G263" s="68" t="str">
        <f>VLOOKUP(F263,Sheet2!B:C,2,0)</f>
        <v>SITE Office</v>
      </c>
      <c r="H263" s="68" t="str">
        <f>HLOOKUP(I$2+$A263,Sheet2!BX:NB,2,0)</f>
        <v>16-28 Feb 21</v>
      </c>
      <c r="I263" t="str">
        <f>IF(OR(HLOOKUP(I$2+$A263,Sheet2!BX:NB,$B263,0),HLOOKUP(I$2+$A263,Sheet2!BX:NB,$B263,0)&lt;&gt;""),HLOOKUP(I$2+$A263,Sheet2!BX:NB,$B263,0),"")</f>
        <v/>
      </c>
      <c r="J263" t="str">
        <f>IF(OR(HLOOKUP(J$2+$A263,Sheet2!BY:NC,$B263,0),HLOOKUP(J$2+$A263,Sheet2!BY:NC,$B263,0)&lt;&gt;""),HLOOKUP(J$2+$A263,Sheet2!BY:NC,$B263,0),"")</f>
        <v/>
      </c>
      <c r="K263" t="str">
        <f>IF(OR(HLOOKUP(K$2+$A263,Sheet2!BZ:ND,$B263,0),HLOOKUP(K$2+$A263,Sheet2!BZ:ND,$B263,0)&lt;&gt;""),HLOOKUP(K$2+$A263,Sheet2!BZ:ND,$B263,0),"")</f>
        <v/>
      </c>
      <c r="L263" t="str">
        <f>IF(OR(HLOOKUP(L$2+$A263,Sheet2!CA:NE,$B263,0),HLOOKUP(L$2+$A263,Sheet2!CA:NE,$B263,0)&lt;&gt;""),HLOOKUP(L$2+$A263,Sheet2!CA:NE,$B263,0),"")</f>
        <v/>
      </c>
      <c r="M263" t="str">
        <f>IF(OR(HLOOKUP(M$2+$A263,Sheet2!CB:NF,$B263,0),HLOOKUP(M$2+$A263,Sheet2!CB:NF,$B263,0)&lt;&gt;""),HLOOKUP(M$2+$A263,Sheet2!CB:NF,$B263,0),"")</f>
        <v/>
      </c>
    </row>
    <row r="264" spans="1:13" x14ac:dyDescent="0.25">
      <c r="A264" s="68">
        <f t="shared" si="38"/>
        <v>20</v>
      </c>
      <c r="B264" s="68">
        <f t="shared" si="39"/>
        <v>37</v>
      </c>
      <c r="C264" s="68">
        <f t="shared" si="36"/>
        <v>5</v>
      </c>
      <c r="D264" s="68">
        <f t="shared" si="40"/>
        <v>33</v>
      </c>
      <c r="E264" s="68">
        <f t="shared" si="37"/>
        <v>161</v>
      </c>
      <c r="F264" s="21" t="str">
        <f>VLOOKUP(D264,Sheet2!A:B,2)</f>
        <v>J20-0004</v>
      </c>
      <c r="G264" s="68" t="str">
        <f>VLOOKUP(F264,Sheet2!B:C,2,0)</f>
        <v>SITE Office</v>
      </c>
      <c r="H264" s="68" t="str">
        <f>HLOOKUP(I$2+$A264,Sheet2!BX:NB,2,0)</f>
        <v>1-15 Mar 2021</v>
      </c>
      <c r="I264" t="str">
        <f>IF(OR(HLOOKUP(I$2+$A264,Sheet2!BX:NB,$B264,0),HLOOKUP(I$2+$A264,Sheet2!BX:NB,$B264,0)&lt;&gt;""),HLOOKUP(I$2+$A264,Sheet2!BX:NB,$B264,0),"")</f>
        <v/>
      </c>
      <c r="J264" t="str">
        <f>IF(OR(HLOOKUP(J$2+$A264,Sheet2!BY:NC,$B264,0),HLOOKUP(J$2+$A264,Sheet2!BY:NC,$B264,0)&lt;&gt;""),HLOOKUP(J$2+$A264,Sheet2!BY:NC,$B264,0),"")</f>
        <v/>
      </c>
      <c r="K264" t="str">
        <f>IF(OR(HLOOKUP(K$2+$A264,Sheet2!BZ:ND,$B264,0),HLOOKUP(K$2+$A264,Sheet2!BZ:ND,$B264,0)&lt;&gt;""),HLOOKUP(K$2+$A264,Sheet2!BZ:ND,$B264,0),"")</f>
        <v/>
      </c>
      <c r="L264" t="str">
        <f>IF(OR(HLOOKUP(L$2+$A264,Sheet2!CA:NE,$B264,0),HLOOKUP(L$2+$A264,Sheet2!CA:NE,$B264,0)&lt;&gt;""),HLOOKUP(L$2+$A264,Sheet2!CA:NE,$B264,0),"")</f>
        <v/>
      </c>
      <c r="M264" t="str">
        <f>IF(OR(HLOOKUP(M$2+$A264,Sheet2!CB:NF,$B264,0),HLOOKUP(M$2+$A264,Sheet2!CB:NF,$B264,0)&lt;&gt;""),HLOOKUP(M$2+$A264,Sheet2!CB:NF,$B264,0),"")</f>
        <v/>
      </c>
    </row>
    <row r="265" spans="1:13" x14ac:dyDescent="0.25">
      <c r="A265" s="68">
        <f t="shared" si="38"/>
        <v>25</v>
      </c>
      <c r="B265" s="68">
        <f t="shared" si="39"/>
        <v>37</v>
      </c>
      <c r="C265" s="68">
        <f t="shared" si="36"/>
        <v>6</v>
      </c>
      <c r="D265" s="68">
        <f t="shared" si="40"/>
        <v>33</v>
      </c>
      <c r="E265" s="68">
        <f t="shared" si="37"/>
        <v>161</v>
      </c>
      <c r="F265" s="21" t="str">
        <f>VLOOKUP(D265,Sheet2!A:B,2)</f>
        <v>J20-0004</v>
      </c>
      <c r="G265" s="68" t="str">
        <f>VLOOKUP(F265,Sheet2!B:C,2,0)</f>
        <v>SITE Office</v>
      </c>
      <c r="H265" s="68" t="str">
        <f>HLOOKUP(I$2+$A265,Sheet2!BX:NB,2,0)</f>
        <v>16-31 Mar 21</v>
      </c>
      <c r="I265" t="str">
        <f>IF(OR(HLOOKUP(I$2+$A265,Sheet2!BX:NB,$B265,0),HLOOKUP(I$2+$A265,Sheet2!BX:NB,$B265,0)&lt;&gt;""),HLOOKUP(I$2+$A265,Sheet2!BX:NB,$B265,0),"")</f>
        <v/>
      </c>
      <c r="J265" t="str">
        <f>IF(OR(HLOOKUP(J$2+$A265,Sheet2!BY:NC,$B265,0),HLOOKUP(J$2+$A265,Sheet2!BY:NC,$B265,0)&lt;&gt;""),HLOOKUP(J$2+$A265,Sheet2!BY:NC,$B265,0),"")</f>
        <v/>
      </c>
      <c r="K265" t="str">
        <f>IF(OR(HLOOKUP(K$2+$A265,Sheet2!BZ:ND,$B265,0),HLOOKUP(K$2+$A265,Sheet2!BZ:ND,$B265,0)&lt;&gt;""),HLOOKUP(K$2+$A265,Sheet2!BZ:ND,$B265,0),"")</f>
        <v/>
      </c>
      <c r="L265" t="str">
        <f>IF(OR(HLOOKUP(L$2+$A265,Sheet2!CA:NE,$B265,0),HLOOKUP(L$2+$A265,Sheet2!CA:NE,$B265,0)&lt;&gt;""),HLOOKUP(L$2+$A265,Sheet2!CA:NE,$B265,0),"")</f>
        <v/>
      </c>
      <c r="M265" t="str">
        <f>IF(OR(HLOOKUP(M$2+$A265,Sheet2!CB:NF,$B265,0),HLOOKUP(M$2+$A265,Sheet2!CB:NF,$B265,0)&lt;&gt;""),HLOOKUP(M$2+$A265,Sheet2!CB:NF,$B265,0),"")</f>
        <v/>
      </c>
    </row>
    <row r="266" spans="1:13" x14ac:dyDescent="0.25">
      <c r="A266" s="68">
        <f t="shared" si="38"/>
        <v>30</v>
      </c>
      <c r="B266" s="68">
        <f t="shared" si="39"/>
        <v>37</v>
      </c>
      <c r="C266" s="68">
        <f t="shared" si="36"/>
        <v>7</v>
      </c>
      <c r="D266" s="68">
        <f t="shared" si="40"/>
        <v>33</v>
      </c>
      <c r="E266" s="68">
        <f t="shared" si="37"/>
        <v>161</v>
      </c>
      <c r="F266" s="21" t="str">
        <f>VLOOKUP(D266,Sheet2!A:B,2)</f>
        <v>J20-0004</v>
      </c>
      <c r="G266" s="68" t="str">
        <f>VLOOKUP(F266,Sheet2!B:C,2,0)</f>
        <v>SITE Office</v>
      </c>
      <c r="H266" s="68" t="str">
        <f>HLOOKUP(I$2+$A266,Sheet2!BX:NB,2,0)</f>
        <v>1-15 April 21</v>
      </c>
      <c r="I266" t="str">
        <f>IF(OR(HLOOKUP(I$2+$A266,Sheet2!BX:NB,$B266,0),HLOOKUP(I$2+$A266,Sheet2!BX:NB,$B266,0)&lt;&gt;""),HLOOKUP(I$2+$A266,Sheet2!BX:NB,$B266,0),"")</f>
        <v/>
      </c>
      <c r="J266" t="str">
        <f>IF(OR(HLOOKUP(J$2+$A266,Sheet2!BY:NC,$B266,0),HLOOKUP(J$2+$A266,Sheet2!BY:NC,$B266,0)&lt;&gt;""),HLOOKUP(J$2+$A266,Sheet2!BY:NC,$B266,0),"")</f>
        <v/>
      </c>
      <c r="K266" t="str">
        <f>IF(OR(HLOOKUP(K$2+$A266,Sheet2!BZ:ND,$B266,0),HLOOKUP(K$2+$A266,Sheet2!BZ:ND,$B266,0)&lt;&gt;""),HLOOKUP(K$2+$A266,Sheet2!BZ:ND,$B266,0),"")</f>
        <v/>
      </c>
      <c r="L266" t="str">
        <f>IF(OR(HLOOKUP(L$2+$A266,Sheet2!CA:NE,$B266,0),HLOOKUP(L$2+$A266,Sheet2!CA:NE,$B266,0)&lt;&gt;""),HLOOKUP(L$2+$A266,Sheet2!CA:NE,$B266,0),"")</f>
        <v/>
      </c>
      <c r="M266" t="str">
        <f>IF(OR(HLOOKUP(M$2+$A266,Sheet2!CB:NF,$B266,0),HLOOKUP(M$2+$A266,Sheet2!CB:NF,$B266,0)&lt;&gt;""),HLOOKUP(M$2+$A266,Sheet2!CB:NF,$B266,0),"")</f>
        <v/>
      </c>
    </row>
    <row r="267" spans="1:13" x14ac:dyDescent="0.25">
      <c r="A267" s="68">
        <f t="shared" si="38"/>
        <v>35</v>
      </c>
      <c r="B267" s="68">
        <f t="shared" si="39"/>
        <v>37</v>
      </c>
      <c r="C267" s="68">
        <f t="shared" si="36"/>
        <v>8</v>
      </c>
      <c r="D267" s="68">
        <f t="shared" si="40"/>
        <v>33</v>
      </c>
      <c r="E267" s="68">
        <f t="shared" si="37"/>
        <v>161</v>
      </c>
      <c r="F267" s="21" t="str">
        <f>VLOOKUP(D267,Sheet2!A:B,2)</f>
        <v>J20-0004</v>
      </c>
      <c r="G267" s="68" t="str">
        <f>VLOOKUP(F267,Sheet2!B:C,2,0)</f>
        <v>SITE Office</v>
      </c>
      <c r="H267" s="68" t="str">
        <f>HLOOKUP(I$2+$A267,Sheet2!BX:NB,2,0)</f>
        <v>16-30 April 21</v>
      </c>
      <c r="I267" t="str">
        <f>IF(OR(HLOOKUP(I$2+$A267,Sheet2!BX:NB,$B267,0),HLOOKUP(I$2+$A267,Sheet2!BX:NB,$B267,0)&lt;&gt;""),HLOOKUP(I$2+$A267,Sheet2!BX:NB,$B267,0),"")</f>
        <v/>
      </c>
      <c r="J267" t="str">
        <f>IF(OR(HLOOKUP(J$2+$A267,Sheet2!BY:NC,$B267,0),HLOOKUP(J$2+$A267,Sheet2!BY:NC,$B267,0)&lt;&gt;""),HLOOKUP(J$2+$A267,Sheet2!BY:NC,$B267,0),"")</f>
        <v/>
      </c>
      <c r="K267" t="str">
        <f>IF(OR(HLOOKUP(K$2+$A267,Sheet2!BZ:ND,$B267,0),HLOOKUP(K$2+$A267,Sheet2!BZ:ND,$B267,0)&lt;&gt;""),HLOOKUP(K$2+$A267,Sheet2!BZ:ND,$B267,0),"")</f>
        <v/>
      </c>
      <c r="L267" t="str">
        <f>IF(OR(HLOOKUP(L$2+$A267,Sheet2!CA:NE,$B267,0),HLOOKUP(L$2+$A267,Sheet2!CA:NE,$B267,0)&lt;&gt;""),HLOOKUP(L$2+$A267,Sheet2!CA:NE,$B267,0),"")</f>
        <v/>
      </c>
      <c r="M267" t="str">
        <f>IF(OR(HLOOKUP(M$2+$A267,Sheet2!CB:NF,$B267,0),HLOOKUP(M$2+$A267,Sheet2!CB:NF,$B267,0)&lt;&gt;""),HLOOKUP(M$2+$A267,Sheet2!CB:NF,$B267,0),"")</f>
        <v/>
      </c>
    </row>
    <row r="268" spans="1:13" x14ac:dyDescent="0.25">
      <c r="A268" s="68">
        <f t="shared" si="38"/>
        <v>0</v>
      </c>
      <c r="B268" s="68">
        <f t="shared" si="39"/>
        <v>38</v>
      </c>
      <c r="C268" s="68">
        <f t="shared" si="36"/>
        <v>1</v>
      </c>
      <c r="D268" s="68">
        <f t="shared" si="40"/>
        <v>34</v>
      </c>
      <c r="E268" s="68">
        <f t="shared" si="37"/>
        <v>166</v>
      </c>
      <c r="F268" s="21" t="str">
        <f>VLOOKUP(D268,Sheet2!A:B,2)</f>
        <v>J19-1304</v>
      </c>
      <c r="G268" s="68" t="str">
        <f>VLOOKUP(F268,Sheet2!B:C,2,0)</f>
        <v>TMMA Installation Work</v>
      </c>
      <c r="H268" s="68" t="str">
        <f>HLOOKUP(I$2+$A268,Sheet2!BX:NB,2,0)</f>
        <v>1-15 Jan 21</v>
      </c>
      <c r="I268" t="str">
        <f>IF(OR(HLOOKUP(I$2+$A268,Sheet2!BX:NB,$B268,0),HLOOKUP(I$2+$A268,Sheet2!BX:NB,$B268,0)&lt;&gt;""),HLOOKUP(I$2+$A268,Sheet2!BX:NB,$B268,0),"")</f>
        <v/>
      </c>
      <c r="J268" t="str">
        <f>IF(OR(HLOOKUP(J$2+$A268,Sheet2!BY:NC,$B268,0),HLOOKUP(J$2+$A268,Sheet2!BY:NC,$B268,0)&lt;&gt;""),HLOOKUP(J$2+$A268,Sheet2!BY:NC,$B268,0),"")</f>
        <v/>
      </c>
      <c r="K268" t="str">
        <f>IF(OR(HLOOKUP(K$2+$A268,Sheet2!BZ:ND,$B268,0),HLOOKUP(K$2+$A268,Sheet2!BZ:ND,$B268,0)&lt;&gt;""),HLOOKUP(K$2+$A268,Sheet2!BZ:ND,$B268,0),"")</f>
        <v/>
      </c>
      <c r="L268" t="str">
        <f>IF(OR(HLOOKUP(L$2+$A268,Sheet2!CA:NE,$B268,0),HLOOKUP(L$2+$A268,Sheet2!CA:NE,$B268,0)&lt;&gt;""),HLOOKUP(L$2+$A268,Sheet2!CA:NE,$B268,0),"")</f>
        <v/>
      </c>
      <c r="M268" t="str">
        <f>IF(OR(HLOOKUP(M$2+$A268,Sheet2!CB:NF,$B268,0),HLOOKUP(M$2+$A268,Sheet2!CB:NF,$B268,0)&lt;&gt;""),HLOOKUP(M$2+$A268,Sheet2!CB:NF,$B268,0),"")</f>
        <v/>
      </c>
    </row>
    <row r="269" spans="1:13" x14ac:dyDescent="0.25">
      <c r="A269" s="68">
        <f t="shared" si="38"/>
        <v>5</v>
      </c>
      <c r="B269" s="68">
        <f t="shared" si="39"/>
        <v>38</v>
      </c>
      <c r="C269" s="68">
        <f t="shared" ref="C269:C332" si="41">IF($C$3-C268=0,1,C268+1)</f>
        <v>2</v>
      </c>
      <c r="D269" s="68">
        <f t="shared" si="40"/>
        <v>34</v>
      </c>
      <c r="E269" s="68">
        <f t="shared" si="37"/>
        <v>166</v>
      </c>
      <c r="F269" s="21" t="str">
        <f>VLOOKUP(D269,Sheet2!A:B,2)</f>
        <v>J19-1304</v>
      </c>
      <c r="G269" s="68" t="str">
        <f>VLOOKUP(F269,Sheet2!B:C,2,0)</f>
        <v>TMMA Installation Work</v>
      </c>
      <c r="H269" s="68" t="str">
        <f>HLOOKUP(I$2+$A269,Sheet2!BX:NB,2,0)</f>
        <v>16-31 Jan 21</v>
      </c>
      <c r="I269" t="str">
        <f>IF(OR(HLOOKUP(I$2+$A269,Sheet2!BX:NB,$B269,0),HLOOKUP(I$2+$A269,Sheet2!BX:NB,$B269,0)&lt;&gt;""),HLOOKUP(I$2+$A269,Sheet2!BX:NB,$B269,0),"")</f>
        <v/>
      </c>
      <c r="J269" t="str">
        <f>IF(OR(HLOOKUP(J$2+$A269,Sheet2!BY:NC,$B269,0),HLOOKUP(J$2+$A269,Sheet2!BY:NC,$B269,0)&lt;&gt;""),HLOOKUP(J$2+$A269,Sheet2!BY:NC,$B269,0),"")</f>
        <v/>
      </c>
      <c r="K269" t="str">
        <f>IF(OR(HLOOKUP(K$2+$A269,Sheet2!BZ:ND,$B269,0),HLOOKUP(K$2+$A269,Sheet2!BZ:ND,$B269,0)&lt;&gt;""),HLOOKUP(K$2+$A269,Sheet2!BZ:ND,$B269,0),"")</f>
        <v/>
      </c>
      <c r="L269" t="str">
        <f>IF(OR(HLOOKUP(L$2+$A269,Sheet2!CA:NE,$B269,0),HLOOKUP(L$2+$A269,Sheet2!CA:NE,$B269,0)&lt;&gt;""),HLOOKUP(L$2+$A269,Sheet2!CA:NE,$B269,0),"")</f>
        <v/>
      </c>
      <c r="M269" t="str">
        <f>IF(OR(HLOOKUP(M$2+$A269,Sheet2!CB:NF,$B269,0),HLOOKUP(M$2+$A269,Sheet2!CB:NF,$B269,0)&lt;&gt;""),HLOOKUP(M$2+$A269,Sheet2!CB:NF,$B269,0),"")</f>
        <v/>
      </c>
    </row>
    <row r="270" spans="1:13" x14ac:dyDescent="0.25">
      <c r="A270" s="68">
        <f t="shared" si="38"/>
        <v>10</v>
      </c>
      <c r="B270" s="68">
        <f t="shared" si="39"/>
        <v>38</v>
      </c>
      <c r="C270" s="68">
        <f t="shared" si="41"/>
        <v>3</v>
      </c>
      <c r="D270" s="68">
        <f t="shared" si="40"/>
        <v>34</v>
      </c>
      <c r="E270" s="68">
        <f t="shared" si="37"/>
        <v>166</v>
      </c>
      <c r="F270" s="21" t="str">
        <f>VLOOKUP(D270,Sheet2!A:B,2)</f>
        <v>J19-1304</v>
      </c>
      <c r="G270" s="68" t="str">
        <f>VLOOKUP(F270,Sheet2!B:C,2,0)</f>
        <v>TMMA Installation Work</v>
      </c>
      <c r="H270" s="68" t="str">
        <f>HLOOKUP(I$2+$A270,Sheet2!BX:NB,2,0)</f>
        <v>1-15 Feb 21</v>
      </c>
      <c r="I270" t="str">
        <f>IF(OR(HLOOKUP(I$2+$A270,Sheet2!BX:NB,$B270,0),HLOOKUP(I$2+$A270,Sheet2!BX:NB,$B270,0)&lt;&gt;""),HLOOKUP(I$2+$A270,Sheet2!BX:NB,$B270,0),"")</f>
        <v/>
      </c>
      <c r="J270" t="str">
        <f>IF(OR(HLOOKUP(J$2+$A270,Sheet2!BY:NC,$B270,0),HLOOKUP(J$2+$A270,Sheet2!BY:NC,$B270,0)&lt;&gt;""),HLOOKUP(J$2+$A270,Sheet2!BY:NC,$B270,0),"")</f>
        <v/>
      </c>
      <c r="K270" t="str">
        <f>IF(OR(HLOOKUP(K$2+$A270,Sheet2!BZ:ND,$B270,0),HLOOKUP(K$2+$A270,Sheet2!BZ:ND,$B270,0)&lt;&gt;""),HLOOKUP(K$2+$A270,Sheet2!BZ:ND,$B270,0),"")</f>
        <v/>
      </c>
      <c r="L270" t="str">
        <f>IF(OR(HLOOKUP(L$2+$A270,Sheet2!CA:NE,$B270,0),HLOOKUP(L$2+$A270,Sheet2!CA:NE,$B270,0)&lt;&gt;""),HLOOKUP(L$2+$A270,Sheet2!CA:NE,$B270,0),"")</f>
        <v/>
      </c>
      <c r="M270" t="str">
        <f>IF(OR(HLOOKUP(M$2+$A270,Sheet2!CB:NF,$B270,0),HLOOKUP(M$2+$A270,Sheet2!CB:NF,$B270,0)&lt;&gt;""),HLOOKUP(M$2+$A270,Sheet2!CB:NF,$B270,0),"")</f>
        <v/>
      </c>
    </row>
    <row r="271" spans="1:13" x14ac:dyDescent="0.25">
      <c r="A271" s="68">
        <f t="shared" si="38"/>
        <v>15</v>
      </c>
      <c r="B271" s="68">
        <f t="shared" si="39"/>
        <v>38</v>
      </c>
      <c r="C271" s="68">
        <f t="shared" si="41"/>
        <v>4</v>
      </c>
      <c r="D271" s="68">
        <f t="shared" si="40"/>
        <v>34</v>
      </c>
      <c r="E271" s="68">
        <f t="shared" si="37"/>
        <v>166</v>
      </c>
      <c r="F271" s="21" t="str">
        <f>VLOOKUP(D271,Sheet2!A:B,2)</f>
        <v>J19-1304</v>
      </c>
      <c r="G271" s="68" t="str">
        <f>VLOOKUP(F271,Sheet2!B:C,2,0)</f>
        <v>TMMA Installation Work</v>
      </c>
      <c r="H271" s="68" t="str">
        <f>HLOOKUP(I$2+$A271,Sheet2!BX:NB,2,0)</f>
        <v>16-28 Feb 21</v>
      </c>
      <c r="I271" t="str">
        <f>IF(OR(HLOOKUP(I$2+$A271,Sheet2!BX:NB,$B271,0),HLOOKUP(I$2+$A271,Sheet2!BX:NB,$B271,0)&lt;&gt;""),HLOOKUP(I$2+$A271,Sheet2!BX:NB,$B271,0),"")</f>
        <v/>
      </c>
      <c r="J271" t="str">
        <f>IF(OR(HLOOKUP(J$2+$A271,Sheet2!BY:NC,$B271,0),HLOOKUP(J$2+$A271,Sheet2!BY:NC,$B271,0)&lt;&gt;""),HLOOKUP(J$2+$A271,Sheet2!BY:NC,$B271,0),"")</f>
        <v/>
      </c>
      <c r="K271" t="str">
        <f>IF(OR(HLOOKUP(K$2+$A271,Sheet2!BZ:ND,$B271,0),HLOOKUP(K$2+$A271,Sheet2!BZ:ND,$B271,0)&lt;&gt;""),HLOOKUP(K$2+$A271,Sheet2!BZ:ND,$B271,0),"")</f>
        <v/>
      </c>
      <c r="L271" t="str">
        <f>IF(OR(HLOOKUP(L$2+$A271,Sheet2!CA:NE,$B271,0),HLOOKUP(L$2+$A271,Sheet2!CA:NE,$B271,0)&lt;&gt;""),HLOOKUP(L$2+$A271,Sheet2!CA:NE,$B271,0),"")</f>
        <v/>
      </c>
      <c r="M271" t="str">
        <f>IF(OR(HLOOKUP(M$2+$A271,Sheet2!CB:NF,$B271,0),HLOOKUP(M$2+$A271,Sheet2!CB:NF,$B271,0)&lt;&gt;""),HLOOKUP(M$2+$A271,Sheet2!CB:NF,$B271,0),"")</f>
        <v/>
      </c>
    </row>
    <row r="272" spans="1:13" x14ac:dyDescent="0.25">
      <c r="A272" s="68">
        <f t="shared" si="38"/>
        <v>20</v>
      </c>
      <c r="B272" s="68">
        <f t="shared" si="39"/>
        <v>38</v>
      </c>
      <c r="C272" s="68">
        <f t="shared" si="41"/>
        <v>5</v>
      </c>
      <c r="D272" s="68">
        <f t="shared" si="40"/>
        <v>34</v>
      </c>
      <c r="E272" s="68">
        <f t="shared" si="37"/>
        <v>166</v>
      </c>
      <c r="F272" s="21" t="str">
        <f>VLOOKUP(D272,Sheet2!A:B,2)</f>
        <v>J19-1304</v>
      </c>
      <c r="G272" s="68" t="str">
        <f>VLOOKUP(F272,Sheet2!B:C,2,0)</f>
        <v>TMMA Installation Work</v>
      </c>
      <c r="H272" s="68" t="str">
        <f>HLOOKUP(I$2+$A272,Sheet2!BX:NB,2,0)</f>
        <v>1-15 Mar 2021</v>
      </c>
      <c r="I272" t="str">
        <f>IF(OR(HLOOKUP(I$2+$A272,Sheet2!BX:NB,$B272,0),HLOOKUP(I$2+$A272,Sheet2!BX:NB,$B272,0)&lt;&gt;""),HLOOKUP(I$2+$A272,Sheet2!BX:NB,$B272,0),"")</f>
        <v/>
      </c>
      <c r="J272" t="str">
        <f>IF(OR(HLOOKUP(J$2+$A272,Sheet2!BY:NC,$B272,0),HLOOKUP(J$2+$A272,Sheet2!BY:NC,$B272,0)&lt;&gt;""),HLOOKUP(J$2+$A272,Sheet2!BY:NC,$B272,0),"")</f>
        <v/>
      </c>
      <c r="K272" t="str">
        <f>IF(OR(HLOOKUP(K$2+$A272,Sheet2!BZ:ND,$B272,0),HLOOKUP(K$2+$A272,Sheet2!BZ:ND,$B272,0)&lt;&gt;""),HLOOKUP(K$2+$A272,Sheet2!BZ:ND,$B272,0),"")</f>
        <v/>
      </c>
      <c r="L272" t="str">
        <f>IF(OR(HLOOKUP(L$2+$A272,Sheet2!CA:NE,$B272,0),HLOOKUP(L$2+$A272,Sheet2!CA:NE,$B272,0)&lt;&gt;""),HLOOKUP(L$2+$A272,Sheet2!CA:NE,$B272,0),"")</f>
        <v/>
      </c>
      <c r="M272" t="str">
        <f>IF(OR(HLOOKUP(M$2+$A272,Sheet2!CB:NF,$B272,0),HLOOKUP(M$2+$A272,Sheet2!CB:NF,$B272,0)&lt;&gt;""),HLOOKUP(M$2+$A272,Sheet2!CB:NF,$B272,0),"")</f>
        <v/>
      </c>
    </row>
    <row r="273" spans="1:13" x14ac:dyDescent="0.25">
      <c r="A273" s="68">
        <f t="shared" si="38"/>
        <v>25</v>
      </c>
      <c r="B273" s="68">
        <f t="shared" si="39"/>
        <v>38</v>
      </c>
      <c r="C273" s="68">
        <f t="shared" si="41"/>
        <v>6</v>
      </c>
      <c r="D273" s="68">
        <f t="shared" si="40"/>
        <v>34</v>
      </c>
      <c r="E273" s="68">
        <f t="shared" si="37"/>
        <v>166</v>
      </c>
      <c r="F273" s="21" t="str">
        <f>VLOOKUP(D273,Sheet2!A:B,2)</f>
        <v>J19-1304</v>
      </c>
      <c r="G273" s="68" t="str">
        <f>VLOOKUP(F273,Sheet2!B:C,2,0)</f>
        <v>TMMA Installation Work</v>
      </c>
      <c r="H273" s="68" t="str">
        <f>HLOOKUP(I$2+$A273,Sheet2!BX:NB,2,0)</f>
        <v>16-31 Mar 21</v>
      </c>
      <c r="I273" t="str">
        <f>IF(OR(HLOOKUP(I$2+$A273,Sheet2!BX:NB,$B273,0),HLOOKUP(I$2+$A273,Sheet2!BX:NB,$B273,0)&lt;&gt;""),HLOOKUP(I$2+$A273,Sheet2!BX:NB,$B273,0),"")</f>
        <v/>
      </c>
      <c r="J273" t="str">
        <f>IF(OR(HLOOKUP(J$2+$A273,Sheet2!BY:NC,$B273,0),HLOOKUP(J$2+$A273,Sheet2!BY:NC,$B273,0)&lt;&gt;""),HLOOKUP(J$2+$A273,Sheet2!BY:NC,$B273,0),"")</f>
        <v/>
      </c>
      <c r="K273" t="str">
        <f>IF(OR(HLOOKUP(K$2+$A273,Sheet2!BZ:ND,$B273,0),HLOOKUP(K$2+$A273,Sheet2!BZ:ND,$B273,0)&lt;&gt;""),HLOOKUP(K$2+$A273,Sheet2!BZ:ND,$B273,0),"")</f>
        <v/>
      </c>
      <c r="L273" t="str">
        <f>IF(OR(HLOOKUP(L$2+$A273,Sheet2!CA:NE,$B273,0),HLOOKUP(L$2+$A273,Sheet2!CA:NE,$B273,0)&lt;&gt;""),HLOOKUP(L$2+$A273,Sheet2!CA:NE,$B273,0),"")</f>
        <v/>
      </c>
      <c r="M273" t="str">
        <f>IF(OR(HLOOKUP(M$2+$A273,Sheet2!CB:NF,$B273,0),HLOOKUP(M$2+$A273,Sheet2!CB:NF,$B273,0)&lt;&gt;""),HLOOKUP(M$2+$A273,Sheet2!CB:NF,$B273,0),"")</f>
        <v/>
      </c>
    </row>
    <row r="274" spans="1:13" x14ac:dyDescent="0.25">
      <c r="A274" s="68">
        <f t="shared" si="38"/>
        <v>30</v>
      </c>
      <c r="B274" s="68">
        <f t="shared" si="39"/>
        <v>38</v>
      </c>
      <c r="C274" s="68">
        <f t="shared" si="41"/>
        <v>7</v>
      </c>
      <c r="D274" s="68">
        <f t="shared" si="40"/>
        <v>34</v>
      </c>
      <c r="E274" s="68">
        <f t="shared" si="37"/>
        <v>166</v>
      </c>
      <c r="F274" s="21" t="str">
        <f>VLOOKUP(D274,Sheet2!A:B,2)</f>
        <v>J19-1304</v>
      </c>
      <c r="G274" s="68" t="str">
        <f>VLOOKUP(F274,Sheet2!B:C,2,0)</f>
        <v>TMMA Installation Work</v>
      </c>
      <c r="H274" s="68" t="str">
        <f>HLOOKUP(I$2+$A274,Sheet2!BX:NB,2,0)</f>
        <v>1-15 April 21</v>
      </c>
      <c r="I274" t="str">
        <f>IF(OR(HLOOKUP(I$2+$A274,Sheet2!BX:NB,$B274,0),HLOOKUP(I$2+$A274,Sheet2!BX:NB,$B274,0)&lt;&gt;""),HLOOKUP(I$2+$A274,Sheet2!BX:NB,$B274,0),"")</f>
        <v/>
      </c>
      <c r="J274" t="str">
        <f>IF(OR(HLOOKUP(J$2+$A274,Sheet2!BY:NC,$B274,0),HLOOKUP(J$2+$A274,Sheet2!BY:NC,$B274,0)&lt;&gt;""),HLOOKUP(J$2+$A274,Sheet2!BY:NC,$B274,0),"")</f>
        <v/>
      </c>
      <c r="K274" t="str">
        <f>IF(OR(HLOOKUP(K$2+$A274,Sheet2!BZ:ND,$B274,0),HLOOKUP(K$2+$A274,Sheet2!BZ:ND,$B274,0)&lt;&gt;""),HLOOKUP(K$2+$A274,Sheet2!BZ:ND,$B274,0),"")</f>
        <v/>
      </c>
      <c r="L274" t="str">
        <f>IF(OR(HLOOKUP(L$2+$A274,Sheet2!CA:NE,$B274,0),HLOOKUP(L$2+$A274,Sheet2!CA:NE,$B274,0)&lt;&gt;""),HLOOKUP(L$2+$A274,Sheet2!CA:NE,$B274,0),"")</f>
        <v/>
      </c>
      <c r="M274" t="str">
        <f>IF(OR(HLOOKUP(M$2+$A274,Sheet2!CB:NF,$B274,0),HLOOKUP(M$2+$A274,Sheet2!CB:NF,$B274,0)&lt;&gt;""),HLOOKUP(M$2+$A274,Sheet2!CB:NF,$B274,0),"")</f>
        <v/>
      </c>
    </row>
    <row r="275" spans="1:13" x14ac:dyDescent="0.25">
      <c r="A275" s="68">
        <f t="shared" si="38"/>
        <v>35</v>
      </c>
      <c r="B275" s="68">
        <f t="shared" si="39"/>
        <v>38</v>
      </c>
      <c r="C275" s="68">
        <f t="shared" si="41"/>
        <v>8</v>
      </c>
      <c r="D275" s="68">
        <f t="shared" si="40"/>
        <v>34</v>
      </c>
      <c r="E275" s="68">
        <f t="shared" si="37"/>
        <v>166</v>
      </c>
      <c r="F275" s="21" t="str">
        <f>VLOOKUP(D275,Sheet2!A:B,2)</f>
        <v>J19-1304</v>
      </c>
      <c r="G275" s="68" t="str">
        <f>VLOOKUP(F275,Sheet2!B:C,2,0)</f>
        <v>TMMA Installation Work</v>
      </c>
      <c r="H275" s="68" t="str">
        <f>HLOOKUP(I$2+$A275,Sheet2!BX:NB,2,0)</f>
        <v>16-30 April 21</v>
      </c>
      <c r="I275" t="str">
        <f>IF(OR(HLOOKUP(I$2+$A275,Sheet2!BX:NB,$B275,0),HLOOKUP(I$2+$A275,Sheet2!BX:NB,$B275,0)&lt;&gt;""),HLOOKUP(I$2+$A275,Sheet2!BX:NB,$B275,0),"")</f>
        <v/>
      </c>
      <c r="J275" t="str">
        <f>IF(OR(HLOOKUP(J$2+$A275,Sheet2!BY:NC,$B275,0),HLOOKUP(J$2+$A275,Sheet2!BY:NC,$B275,0)&lt;&gt;""),HLOOKUP(J$2+$A275,Sheet2!BY:NC,$B275,0),"")</f>
        <v/>
      </c>
      <c r="K275" t="str">
        <f>IF(OR(HLOOKUP(K$2+$A275,Sheet2!BZ:ND,$B275,0),HLOOKUP(K$2+$A275,Sheet2!BZ:ND,$B275,0)&lt;&gt;""),HLOOKUP(K$2+$A275,Sheet2!BZ:ND,$B275,0),"")</f>
        <v/>
      </c>
      <c r="L275" t="str">
        <f>IF(OR(HLOOKUP(L$2+$A275,Sheet2!CA:NE,$B275,0),HLOOKUP(L$2+$A275,Sheet2!CA:NE,$B275,0)&lt;&gt;""),HLOOKUP(L$2+$A275,Sheet2!CA:NE,$B275,0),"")</f>
        <v/>
      </c>
      <c r="M275" t="str">
        <f>IF(OR(HLOOKUP(M$2+$A275,Sheet2!CB:NF,$B275,0),HLOOKUP(M$2+$A275,Sheet2!CB:NF,$B275,0)&lt;&gt;""),HLOOKUP(M$2+$A275,Sheet2!CB:NF,$B275,0),"")</f>
        <v/>
      </c>
    </row>
    <row r="276" spans="1:13" x14ac:dyDescent="0.25">
      <c r="A276" s="68">
        <f t="shared" si="38"/>
        <v>0</v>
      </c>
      <c r="B276" s="68">
        <f t="shared" si="39"/>
        <v>39</v>
      </c>
      <c r="C276" s="68">
        <f t="shared" si="41"/>
        <v>1</v>
      </c>
      <c r="D276" s="68">
        <f t="shared" si="40"/>
        <v>35</v>
      </c>
      <c r="E276" s="68">
        <f t="shared" si="37"/>
        <v>171</v>
      </c>
      <c r="F276" s="21" t="str">
        <f>VLOOKUP(D276,Sheet2!A:B,2)</f>
        <v>J20-0103</v>
      </c>
      <c r="G276" s="68" t="str">
        <f>VLOOKUP(F276,Sheet2!B:C,2,0)</f>
        <v>Installation Flow Exaust Steam To Process (ครบุรี)</v>
      </c>
      <c r="H276" s="68" t="str">
        <f>HLOOKUP(I$2+$A276,Sheet2!BX:NB,2,0)</f>
        <v>1-15 Jan 21</v>
      </c>
      <c r="I276" t="str">
        <f>IF(OR(HLOOKUP(I$2+$A276,Sheet2!BX:NB,$B276,0),HLOOKUP(I$2+$A276,Sheet2!BX:NB,$B276,0)&lt;&gt;""),HLOOKUP(I$2+$A276,Sheet2!BX:NB,$B276,0),"")</f>
        <v/>
      </c>
      <c r="J276" t="str">
        <f>IF(OR(HLOOKUP(J$2+$A276,Sheet2!BY:NC,$B276,0),HLOOKUP(J$2+$A276,Sheet2!BY:NC,$B276,0)&lt;&gt;""),HLOOKUP(J$2+$A276,Sheet2!BY:NC,$B276,0),"")</f>
        <v/>
      </c>
      <c r="K276" t="str">
        <f>IF(OR(HLOOKUP(K$2+$A276,Sheet2!BZ:ND,$B276,0),HLOOKUP(K$2+$A276,Sheet2!BZ:ND,$B276,0)&lt;&gt;""),HLOOKUP(K$2+$A276,Sheet2!BZ:ND,$B276,0),"")</f>
        <v/>
      </c>
      <c r="L276" t="str">
        <f>IF(OR(HLOOKUP(L$2+$A276,Sheet2!CA:NE,$B276,0),HLOOKUP(L$2+$A276,Sheet2!CA:NE,$B276,0)&lt;&gt;""),HLOOKUP(L$2+$A276,Sheet2!CA:NE,$B276,0),"")</f>
        <v/>
      </c>
      <c r="M276" t="str">
        <f>IF(OR(HLOOKUP(M$2+$A276,Sheet2!CB:NF,$B276,0),HLOOKUP(M$2+$A276,Sheet2!CB:NF,$B276,0)&lt;&gt;""),HLOOKUP(M$2+$A276,Sheet2!CB:NF,$B276,0),"")</f>
        <v/>
      </c>
    </row>
    <row r="277" spans="1:13" x14ac:dyDescent="0.25">
      <c r="A277" s="68">
        <f t="shared" si="38"/>
        <v>5</v>
      </c>
      <c r="B277" s="68">
        <f t="shared" si="39"/>
        <v>39</v>
      </c>
      <c r="C277" s="68">
        <f t="shared" si="41"/>
        <v>2</v>
      </c>
      <c r="D277" s="68">
        <f t="shared" si="40"/>
        <v>35</v>
      </c>
      <c r="E277" s="68">
        <f t="shared" ref="E277:E340" si="42">IF(D277&lt;&gt;D276,E276+5,E276)</f>
        <v>171</v>
      </c>
      <c r="F277" s="21" t="str">
        <f>VLOOKUP(D277,Sheet2!A:B,2)</f>
        <v>J20-0103</v>
      </c>
      <c r="G277" s="68" t="str">
        <f>VLOOKUP(F277,Sheet2!B:C,2,0)</f>
        <v>Installation Flow Exaust Steam To Process (ครบุรี)</v>
      </c>
      <c r="H277" s="68" t="str">
        <f>HLOOKUP(I$2+$A277,Sheet2!BX:NB,2,0)</f>
        <v>16-31 Jan 21</v>
      </c>
      <c r="I277" t="str">
        <f>IF(OR(HLOOKUP(I$2+$A277,Sheet2!BX:NB,$B277,0),HLOOKUP(I$2+$A277,Sheet2!BX:NB,$B277,0)&lt;&gt;""),HLOOKUP(I$2+$A277,Sheet2!BX:NB,$B277,0),"")</f>
        <v/>
      </c>
      <c r="J277" t="str">
        <f>IF(OR(HLOOKUP(J$2+$A277,Sheet2!BY:NC,$B277,0),HLOOKUP(J$2+$A277,Sheet2!BY:NC,$B277,0)&lt;&gt;""),HLOOKUP(J$2+$A277,Sheet2!BY:NC,$B277,0),"")</f>
        <v/>
      </c>
      <c r="K277" t="str">
        <f>IF(OR(HLOOKUP(K$2+$A277,Sheet2!BZ:ND,$B277,0),HLOOKUP(K$2+$A277,Sheet2!BZ:ND,$B277,0)&lt;&gt;""),HLOOKUP(K$2+$A277,Sheet2!BZ:ND,$B277,0),"")</f>
        <v/>
      </c>
      <c r="L277" t="str">
        <f>IF(OR(HLOOKUP(L$2+$A277,Sheet2!CA:NE,$B277,0),HLOOKUP(L$2+$A277,Sheet2!CA:NE,$B277,0)&lt;&gt;""),HLOOKUP(L$2+$A277,Sheet2!CA:NE,$B277,0),"")</f>
        <v/>
      </c>
      <c r="M277" t="str">
        <f>IF(OR(HLOOKUP(M$2+$A277,Sheet2!CB:NF,$B277,0),HLOOKUP(M$2+$A277,Sheet2!CB:NF,$B277,0)&lt;&gt;""),HLOOKUP(M$2+$A277,Sheet2!CB:NF,$B277,0),"")</f>
        <v/>
      </c>
    </row>
    <row r="278" spans="1:13" x14ac:dyDescent="0.25">
      <c r="A278" s="68">
        <f t="shared" si="38"/>
        <v>10</v>
      </c>
      <c r="B278" s="68">
        <f t="shared" si="39"/>
        <v>39</v>
      </c>
      <c r="C278" s="68">
        <f t="shared" si="41"/>
        <v>3</v>
      </c>
      <c r="D278" s="68">
        <f t="shared" si="40"/>
        <v>35</v>
      </c>
      <c r="E278" s="68">
        <f t="shared" si="42"/>
        <v>171</v>
      </c>
      <c r="F278" s="21" t="str">
        <f>VLOOKUP(D278,Sheet2!A:B,2)</f>
        <v>J20-0103</v>
      </c>
      <c r="G278" s="68" t="str">
        <f>VLOOKUP(F278,Sheet2!B:C,2,0)</f>
        <v>Installation Flow Exaust Steam To Process (ครบุรี)</v>
      </c>
      <c r="H278" s="68" t="str">
        <f>HLOOKUP(I$2+$A278,Sheet2!BX:NB,2,0)</f>
        <v>1-15 Feb 21</v>
      </c>
      <c r="I278" t="str">
        <f>IF(OR(HLOOKUP(I$2+$A278,Sheet2!BX:NB,$B278,0),HLOOKUP(I$2+$A278,Sheet2!BX:NB,$B278,0)&lt;&gt;""),HLOOKUP(I$2+$A278,Sheet2!BX:NB,$B278,0),"")</f>
        <v/>
      </c>
      <c r="J278" t="str">
        <f>IF(OR(HLOOKUP(J$2+$A278,Sheet2!BY:NC,$B278,0),HLOOKUP(J$2+$A278,Sheet2!BY:NC,$B278,0)&lt;&gt;""),HLOOKUP(J$2+$A278,Sheet2!BY:NC,$B278,0),"")</f>
        <v/>
      </c>
      <c r="K278" t="str">
        <f>IF(OR(HLOOKUP(K$2+$A278,Sheet2!BZ:ND,$B278,0),HLOOKUP(K$2+$A278,Sheet2!BZ:ND,$B278,0)&lt;&gt;""),HLOOKUP(K$2+$A278,Sheet2!BZ:ND,$B278,0),"")</f>
        <v/>
      </c>
      <c r="L278" t="str">
        <f>IF(OR(HLOOKUP(L$2+$A278,Sheet2!CA:NE,$B278,0),HLOOKUP(L$2+$A278,Sheet2!CA:NE,$B278,0)&lt;&gt;""),HLOOKUP(L$2+$A278,Sheet2!CA:NE,$B278,0),"")</f>
        <v/>
      </c>
      <c r="M278" t="str">
        <f>IF(OR(HLOOKUP(M$2+$A278,Sheet2!CB:NF,$B278,0),HLOOKUP(M$2+$A278,Sheet2!CB:NF,$B278,0)&lt;&gt;""),HLOOKUP(M$2+$A278,Sheet2!CB:NF,$B278,0),"")</f>
        <v/>
      </c>
    </row>
    <row r="279" spans="1:13" x14ac:dyDescent="0.25">
      <c r="A279" s="68">
        <f t="shared" si="38"/>
        <v>15</v>
      </c>
      <c r="B279" s="68">
        <f t="shared" si="39"/>
        <v>39</v>
      </c>
      <c r="C279" s="68">
        <f t="shared" si="41"/>
        <v>4</v>
      </c>
      <c r="D279" s="68">
        <f t="shared" si="40"/>
        <v>35</v>
      </c>
      <c r="E279" s="68">
        <f t="shared" si="42"/>
        <v>171</v>
      </c>
      <c r="F279" s="21" t="str">
        <f>VLOOKUP(D279,Sheet2!A:B,2)</f>
        <v>J20-0103</v>
      </c>
      <c r="G279" s="68" t="str">
        <f>VLOOKUP(F279,Sheet2!B:C,2,0)</f>
        <v>Installation Flow Exaust Steam To Process (ครบุรี)</v>
      </c>
      <c r="H279" s="68" t="str">
        <f>HLOOKUP(I$2+$A279,Sheet2!BX:NB,2,0)</f>
        <v>16-28 Feb 21</v>
      </c>
      <c r="I279" t="str">
        <f>IF(OR(HLOOKUP(I$2+$A279,Sheet2!BX:NB,$B279,0),HLOOKUP(I$2+$A279,Sheet2!BX:NB,$B279,0)&lt;&gt;""),HLOOKUP(I$2+$A279,Sheet2!BX:NB,$B279,0),"")</f>
        <v/>
      </c>
      <c r="J279" t="str">
        <f>IF(OR(HLOOKUP(J$2+$A279,Sheet2!BY:NC,$B279,0),HLOOKUP(J$2+$A279,Sheet2!BY:NC,$B279,0)&lt;&gt;""),HLOOKUP(J$2+$A279,Sheet2!BY:NC,$B279,0),"")</f>
        <v/>
      </c>
      <c r="K279" t="str">
        <f>IF(OR(HLOOKUP(K$2+$A279,Sheet2!BZ:ND,$B279,0),HLOOKUP(K$2+$A279,Sheet2!BZ:ND,$B279,0)&lt;&gt;""),HLOOKUP(K$2+$A279,Sheet2!BZ:ND,$B279,0),"")</f>
        <v/>
      </c>
      <c r="L279" t="str">
        <f>IF(OR(HLOOKUP(L$2+$A279,Sheet2!CA:NE,$B279,0),HLOOKUP(L$2+$A279,Sheet2!CA:NE,$B279,0)&lt;&gt;""),HLOOKUP(L$2+$A279,Sheet2!CA:NE,$B279,0),"")</f>
        <v/>
      </c>
      <c r="M279" t="str">
        <f>IF(OR(HLOOKUP(M$2+$A279,Sheet2!CB:NF,$B279,0),HLOOKUP(M$2+$A279,Sheet2!CB:NF,$B279,0)&lt;&gt;""),HLOOKUP(M$2+$A279,Sheet2!CB:NF,$B279,0),"")</f>
        <v/>
      </c>
    </row>
    <row r="280" spans="1:13" x14ac:dyDescent="0.25">
      <c r="A280" s="68">
        <f t="shared" si="38"/>
        <v>20</v>
      </c>
      <c r="B280" s="68">
        <f t="shared" si="39"/>
        <v>39</v>
      </c>
      <c r="C280" s="68">
        <f t="shared" si="41"/>
        <v>5</v>
      </c>
      <c r="D280" s="68">
        <f t="shared" si="40"/>
        <v>35</v>
      </c>
      <c r="E280" s="68">
        <f t="shared" si="42"/>
        <v>171</v>
      </c>
      <c r="F280" s="21" t="str">
        <f>VLOOKUP(D280,Sheet2!A:B,2)</f>
        <v>J20-0103</v>
      </c>
      <c r="G280" s="68" t="str">
        <f>VLOOKUP(F280,Sheet2!B:C,2,0)</f>
        <v>Installation Flow Exaust Steam To Process (ครบุรี)</v>
      </c>
      <c r="H280" s="68" t="str">
        <f>HLOOKUP(I$2+$A280,Sheet2!BX:NB,2,0)</f>
        <v>1-15 Mar 2021</v>
      </c>
      <c r="I280" t="str">
        <f>IF(OR(HLOOKUP(I$2+$A280,Sheet2!BX:NB,$B280,0),HLOOKUP(I$2+$A280,Sheet2!BX:NB,$B280,0)&lt;&gt;""),HLOOKUP(I$2+$A280,Sheet2!BX:NB,$B280,0),"")</f>
        <v/>
      </c>
      <c r="J280" t="str">
        <f>IF(OR(HLOOKUP(J$2+$A280,Sheet2!BY:NC,$B280,0),HLOOKUP(J$2+$A280,Sheet2!BY:NC,$B280,0)&lt;&gt;""),HLOOKUP(J$2+$A280,Sheet2!BY:NC,$B280,0),"")</f>
        <v/>
      </c>
      <c r="K280" t="str">
        <f>IF(OR(HLOOKUP(K$2+$A280,Sheet2!BZ:ND,$B280,0),HLOOKUP(K$2+$A280,Sheet2!BZ:ND,$B280,0)&lt;&gt;""),HLOOKUP(K$2+$A280,Sheet2!BZ:ND,$B280,0),"")</f>
        <v/>
      </c>
      <c r="L280" t="str">
        <f>IF(OR(HLOOKUP(L$2+$A280,Sheet2!CA:NE,$B280,0),HLOOKUP(L$2+$A280,Sheet2!CA:NE,$B280,0)&lt;&gt;""),HLOOKUP(L$2+$A280,Sheet2!CA:NE,$B280,0),"")</f>
        <v/>
      </c>
      <c r="M280" t="str">
        <f>IF(OR(HLOOKUP(M$2+$A280,Sheet2!CB:NF,$B280,0),HLOOKUP(M$2+$A280,Sheet2!CB:NF,$B280,0)&lt;&gt;""),HLOOKUP(M$2+$A280,Sheet2!CB:NF,$B280,0),"")</f>
        <v/>
      </c>
    </row>
    <row r="281" spans="1:13" x14ac:dyDescent="0.25">
      <c r="A281" s="68">
        <f t="shared" si="38"/>
        <v>25</v>
      </c>
      <c r="B281" s="68">
        <f t="shared" si="39"/>
        <v>39</v>
      </c>
      <c r="C281" s="68">
        <f t="shared" si="41"/>
        <v>6</v>
      </c>
      <c r="D281" s="68">
        <f t="shared" si="40"/>
        <v>35</v>
      </c>
      <c r="E281" s="68">
        <f t="shared" si="42"/>
        <v>171</v>
      </c>
      <c r="F281" s="21" t="str">
        <f>VLOOKUP(D281,Sheet2!A:B,2)</f>
        <v>J20-0103</v>
      </c>
      <c r="G281" s="68" t="str">
        <f>VLOOKUP(F281,Sheet2!B:C,2,0)</f>
        <v>Installation Flow Exaust Steam To Process (ครบุรี)</v>
      </c>
      <c r="H281" s="68" t="str">
        <f>HLOOKUP(I$2+$A281,Sheet2!BX:NB,2,0)</f>
        <v>16-31 Mar 21</v>
      </c>
      <c r="I281" t="str">
        <f>IF(OR(HLOOKUP(I$2+$A281,Sheet2!BX:NB,$B281,0),HLOOKUP(I$2+$A281,Sheet2!BX:NB,$B281,0)&lt;&gt;""),HLOOKUP(I$2+$A281,Sheet2!BX:NB,$B281,0),"")</f>
        <v/>
      </c>
      <c r="J281" t="str">
        <f>IF(OR(HLOOKUP(J$2+$A281,Sheet2!BY:NC,$B281,0),HLOOKUP(J$2+$A281,Sheet2!BY:NC,$B281,0)&lt;&gt;""),HLOOKUP(J$2+$A281,Sheet2!BY:NC,$B281,0),"")</f>
        <v/>
      </c>
      <c r="K281" t="str">
        <f>IF(OR(HLOOKUP(K$2+$A281,Sheet2!BZ:ND,$B281,0),HLOOKUP(K$2+$A281,Sheet2!BZ:ND,$B281,0)&lt;&gt;""),HLOOKUP(K$2+$A281,Sheet2!BZ:ND,$B281,0),"")</f>
        <v/>
      </c>
      <c r="L281" t="str">
        <f>IF(OR(HLOOKUP(L$2+$A281,Sheet2!CA:NE,$B281,0),HLOOKUP(L$2+$A281,Sheet2!CA:NE,$B281,0)&lt;&gt;""),HLOOKUP(L$2+$A281,Sheet2!CA:NE,$B281,0),"")</f>
        <v/>
      </c>
      <c r="M281" t="str">
        <f>IF(OR(HLOOKUP(M$2+$A281,Sheet2!CB:NF,$B281,0),HLOOKUP(M$2+$A281,Sheet2!CB:NF,$B281,0)&lt;&gt;""),HLOOKUP(M$2+$A281,Sheet2!CB:NF,$B281,0),"")</f>
        <v/>
      </c>
    </row>
    <row r="282" spans="1:13" x14ac:dyDescent="0.25">
      <c r="A282" s="68">
        <f t="shared" si="38"/>
        <v>30</v>
      </c>
      <c r="B282" s="68">
        <f t="shared" si="39"/>
        <v>39</v>
      </c>
      <c r="C282" s="68">
        <f t="shared" si="41"/>
        <v>7</v>
      </c>
      <c r="D282" s="68">
        <f t="shared" si="40"/>
        <v>35</v>
      </c>
      <c r="E282" s="68">
        <f t="shared" si="42"/>
        <v>171</v>
      </c>
      <c r="F282" s="21" t="str">
        <f>VLOOKUP(D282,Sheet2!A:B,2)</f>
        <v>J20-0103</v>
      </c>
      <c r="G282" s="68" t="str">
        <f>VLOOKUP(F282,Sheet2!B:C,2,0)</f>
        <v>Installation Flow Exaust Steam To Process (ครบุรี)</v>
      </c>
      <c r="H282" s="68" t="str">
        <f>HLOOKUP(I$2+$A282,Sheet2!BX:NB,2,0)</f>
        <v>1-15 April 21</v>
      </c>
      <c r="I282" t="str">
        <f>IF(OR(HLOOKUP(I$2+$A282,Sheet2!BX:NB,$B282,0),HLOOKUP(I$2+$A282,Sheet2!BX:NB,$B282,0)&lt;&gt;""),HLOOKUP(I$2+$A282,Sheet2!BX:NB,$B282,0),"")</f>
        <v/>
      </c>
      <c r="J282" t="str">
        <f>IF(OR(HLOOKUP(J$2+$A282,Sheet2!BY:NC,$B282,0),HLOOKUP(J$2+$A282,Sheet2!BY:NC,$B282,0)&lt;&gt;""),HLOOKUP(J$2+$A282,Sheet2!BY:NC,$B282,0),"")</f>
        <v/>
      </c>
      <c r="K282" t="str">
        <f>IF(OR(HLOOKUP(K$2+$A282,Sheet2!BZ:ND,$B282,0),HLOOKUP(K$2+$A282,Sheet2!BZ:ND,$B282,0)&lt;&gt;""),HLOOKUP(K$2+$A282,Sheet2!BZ:ND,$B282,0),"")</f>
        <v/>
      </c>
      <c r="L282" t="str">
        <f>IF(OR(HLOOKUP(L$2+$A282,Sheet2!CA:NE,$B282,0),HLOOKUP(L$2+$A282,Sheet2!CA:NE,$B282,0)&lt;&gt;""),HLOOKUP(L$2+$A282,Sheet2!CA:NE,$B282,0),"")</f>
        <v/>
      </c>
      <c r="M282" t="str">
        <f>IF(OR(HLOOKUP(M$2+$A282,Sheet2!CB:NF,$B282,0),HLOOKUP(M$2+$A282,Sheet2!CB:NF,$B282,0)&lt;&gt;""),HLOOKUP(M$2+$A282,Sheet2!CB:NF,$B282,0),"")</f>
        <v/>
      </c>
    </row>
    <row r="283" spans="1:13" x14ac:dyDescent="0.25">
      <c r="A283" s="68">
        <f t="shared" si="38"/>
        <v>35</v>
      </c>
      <c r="B283" s="68">
        <f t="shared" si="39"/>
        <v>39</v>
      </c>
      <c r="C283" s="68">
        <f t="shared" si="41"/>
        <v>8</v>
      </c>
      <c r="D283" s="68">
        <f t="shared" si="40"/>
        <v>35</v>
      </c>
      <c r="E283" s="68">
        <f t="shared" si="42"/>
        <v>171</v>
      </c>
      <c r="F283" s="21" t="str">
        <f>VLOOKUP(D283,Sheet2!A:B,2)</f>
        <v>J20-0103</v>
      </c>
      <c r="G283" s="68" t="str">
        <f>VLOOKUP(F283,Sheet2!B:C,2,0)</f>
        <v>Installation Flow Exaust Steam To Process (ครบุรี)</v>
      </c>
      <c r="H283" s="68" t="str">
        <f>HLOOKUP(I$2+$A283,Sheet2!BX:NB,2,0)</f>
        <v>16-30 April 21</v>
      </c>
      <c r="I283" t="str">
        <f>IF(OR(HLOOKUP(I$2+$A283,Sheet2!BX:NB,$B283,0),HLOOKUP(I$2+$A283,Sheet2!BX:NB,$B283,0)&lt;&gt;""),HLOOKUP(I$2+$A283,Sheet2!BX:NB,$B283,0),"")</f>
        <v/>
      </c>
      <c r="J283" t="str">
        <f>IF(OR(HLOOKUP(J$2+$A283,Sheet2!BY:NC,$B283,0),HLOOKUP(J$2+$A283,Sheet2!BY:NC,$B283,0)&lt;&gt;""),HLOOKUP(J$2+$A283,Sheet2!BY:NC,$B283,0),"")</f>
        <v/>
      </c>
      <c r="K283" t="str">
        <f>IF(OR(HLOOKUP(K$2+$A283,Sheet2!BZ:ND,$B283,0),HLOOKUP(K$2+$A283,Sheet2!BZ:ND,$B283,0)&lt;&gt;""),HLOOKUP(K$2+$A283,Sheet2!BZ:ND,$B283,0),"")</f>
        <v/>
      </c>
      <c r="L283" t="str">
        <f>IF(OR(HLOOKUP(L$2+$A283,Sheet2!CA:NE,$B283,0),HLOOKUP(L$2+$A283,Sheet2!CA:NE,$B283,0)&lt;&gt;""),HLOOKUP(L$2+$A283,Sheet2!CA:NE,$B283,0),"")</f>
        <v/>
      </c>
      <c r="M283" t="str">
        <f>IF(OR(HLOOKUP(M$2+$A283,Sheet2!CB:NF,$B283,0),HLOOKUP(M$2+$A283,Sheet2!CB:NF,$B283,0)&lt;&gt;""),HLOOKUP(M$2+$A283,Sheet2!CB:NF,$B283,0),"")</f>
        <v/>
      </c>
    </row>
    <row r="284" spans="1:13" x14ac:dyDescent="0.25">
      <c r="A284" s="68">
        <f t="shared" si="38"/>
        <v>0</v>
      </c>
      <c r="B284" s="68">
        <f t="shared" si="39"/>
        <v>40</v>
      </c>
      <c r="C284" s="68">
        <f t="shared" si="41"/>
        <v>1</v>
      </c>
      <c r="D284" s="68">
        <f t="shared" si="40"/>
        <v>36</v>
      </c>
      <c r="E284" s="68">
        <f t="shared" si="42"/>
        <v>176</v>
      </c>
      <c r="F284" s="21" t="str">
        <f>VLOOKUP(D284,Sheet2!A:B,2)</f>
        <v>J19-1268</v>
      </c>
      <c r="G284" s="68" t="str">
        <f>VLOOKUP(F284,Sheet2!B:C,2,0)</f>
        <v>Cable pulling work at GC7</v>
      </c>
      <c r="H284" s="68" t="str">
        <f>HLOOKUP(I$2+$A284,Sheet2!BX:NB,2,0)</f>
        <v>1-15 Jan 21</v>
      </c>
      <c r="I284" t="str">
        <f>IF(OR(HLOOKUP(I$2+$A284,Sheet2!BX:NB,$B284,0),HLOOKUP(I$2+$A284,Sheet2!BX:NB,$B284,0)&lt;&gt;""),HLOOKUP(I$2+$A284,Sheet2!BX:NB,$B284,0),"")</f>
        <v/>
      </c>
      <c r="J284" t="str">
        <f>IF(OR(HLOOKUP(J$2+$A284,Sheet2!BY:NC,$B284,0),HLOOKUP(J$2+$A284,Sheet2!BY:NC,$B284,0)&lt;&gt;""),HLOOKUP(J$2+$A284,Sheet2!BY:NC,$B284,0),"")</f>
        <v/>
      </c>
      <c r="K284" t="str">
        <f>IF(OR(HLOOKUP(K$2+$A284,Sheet2!BZ:ND,$B284,0),HLOOKUP(K$2+$A284,Sheet2!BZ:ND,$B284,0)&lt;&gt;""),HLOOKUP(K$2+$A284,Sheet2!BZ:ND,$B284,0),"")</f>
        <v/>
      </c>
      <c r="L284" t="str">
        <f>IF(OR(HLOOKUP(L$2+$A284,Sheet2!CA:NE,$B284,0),HLOOKUP(L$2+$A284,Sheet2!CA:NE,$B284,0)&lt;&gt;""),HLOOKUP(L$2+$A284,Sheet2!CA:NE,$B284,0),"")</f>
        <v/>
      </c>
      <c r="M284" t="str">
        <f>IF(OR(HLOOKUP(M$2+$A284,Sheet2!CB:NF,$B284,0),HLOOKUP(M$2+$A284,Sheet2!CB:NF,$B284,0)&lt;&gt;""),HLOOKUP(M$2+$A284,Sheet2!CB:NF,$B284,0),"")</f>
        <v/>
      </c>
    </row>
    <row r="285" spans="1:13" x14ac:dyDescent="0.25">
      <c r="A285" s="68">
        <f t="shared" si="38"/>
        <v>5</v>
      </c>
      <c r="B285" s="68">
        <f t="shared" si="39"/>
        <v>40</v>
      </c>
      <c r="C285" s="68">
        <f t="shared" si="41"/>
        <v>2</v>
      </c>
      <c r="D285" s="68">
        <f t="shared" si="40"/>
        <v>36</v>
      </c>
      <c r="E285" s="68">
        <f t="shared" si="42"/>
        <v>176</v>
      </c>
      <c r="F285" s="21" t="str">
        <f>VLOOKUP(D285,Sheet2!A:B,2)</f>
        <v>J19-1268</v>
      </c>
      <c r="G285" s="68" t="str">
        <f>VLOOKUP(F285,Sheet2!B:C,2,0)</f>
        <v>Cable pulling work at GC7</v>
      </c>
      <c r="H285" s="68" t="str">
        <f>HLOOKUP(I$2+$A285,Sheet2!BX:NB,2,0)</f>
        <v>16-31 Jan 21</v>
      </c>
      <c r="I285" t="str">
        <f>IF(OR(HLOOKUP(I$2+$A285,Sheet2!BX:NB,$B285,0),HLOOKUP(I$2+$A285,Sheet2!BX:NB,$B285,0)&lt;&gt;""),HLOOKUP(I$2+$A285,Sheet2!BX:NB,$B285,0),"")</f>
        <v/>
      </c>
      <c r="J285" t="str">
        <f>IF(OR(HLOOKUP(J$2+$A285,Sheet2!BY:NC,$B285,0),HLOOKUP(J$2+$A285,Sheet2!BY:NC,$B285,0)&lt;&gt;""),HLOOKUP(J$2+$A285,Sheet2!BY:NC,$B285,0),"")</f>
        <v/>
      </c>
      <c r="K285" t="str">
        <f>IF(OR(HLOOKUP(K$2+$A285,Sheet2!BZ:ND,$B285,0),HLOOKUP(K$2+$A285,Sheet2!BZ:ND,$B285,0)&lt;&gt;""),HLOOKUP(K$2+$A285,Sheet2!BZ:ND,$B285,0),"")</f>
        <v/>
      </c>
      <c r="L285" t="str">
        <f>IF(OR(HLOOKUP(L$2+$A285,Sheet2!CA:NE,$B285,0),HLOOKUP(L$2+$A285,Sheet2!CA:NE,$B285,0)&lt;&gt;""),HLOOKUP(L$2+$A285,Sheet2!CA:NE,$B285,0),"")</f>
        <v/>
      </c>
      <c r="M285" t="str">
        <f>IF(OR(HLOOKUP(M$2+$A285,Sheet2!CB:NF,$B285,0),HLOOKUP(M$2+$A285,Sheet2!CB:NF,$B285,0)&lt;&gt;""),HLOOKUP(M$2+$A285,Sheet2!CB:NF,$B285,0),"")</f>
        <v/>
      </c>
    </row>
    <row r="286" spans="1:13" x14ac:dyDescent="0.25">
      <c r="A286" s="68">
        <f t="shared" si="38"/>
        <v>10</v>
      </c>
      <c r="B286" s="68">
        <f t="shared" si="39"/>
        <v>40</v>
      </c>
      <c r="C286" s="68">
        <f t="shared" si="41"/>
        <v>3</v>
      </c>
      <c r="D286" s="68">
        <f t="shared" si="40"/>
        <v>36</v>
      </c>
      <c r="E286" s="68">
        <f t="shared" si="42"/>
        <v>176</v>
      </c>
      <c r="F286" s="21" t="str">
        <f>VLOOKUP(D286,Sheet2!A:B,2)</f>
        <v>J19-1268</v>
      </c>
      <c r="G286" s="68" t="str">
        <f>VLOOKUP(F286,Sheet2!B:C,2,0)</f>
        <v>Cable pulling work at GC7</v>
      </c>
      <c r="H286" s="68" t="str">
        <f>HLOOKUP(I$2+$A286,Sheet2!BX:NB,2,0)</f>
        <v>1-15 Feb 21</v>
      </c>
      <c r="I286" t="str">
        <f>IF(OR(HLOOKUP(I$2+$A286,Sheet2!BX:NB,$B286,0),HLOOKUP(I$2+$A286,Sheet2!BX:NB,$B286,0)&lt;&gt;""),HLOOKUP(I$2+$A286,Sheet2!BX:NB,$B286,0),"")</f>
        <v/>
      </c>
      <c r="J286" t="str">
        <f>IF(OR(HLOOKUP(J$2+$A286,Sheet2!BY:NC,$B286,0),HLOOKUP(J$2+$A286,Sheet2!BY:NC,$B286,0)&lt;&gt;""),HLOOKUP(J$2+$A286,Sheet2!BY:NC,$B286,0),"")</f>
        <v/>
      </c>
      <c r="K286" t="str">
        <f>IF(OR(HLOOKUP(K$2+$A286,Sheet2!BZ:ND,$B286,0),HLOOKUP(K$2+$A286,Sheet2!BZ:ND,$B286,0)&lt;&gt;""),HLOOKUP(K$2+$A286,Sheet2!BZ:ND,$B286,0),"")</f>
        <v/>
      </c>
      <c r="L286" t="str">
        <f>IF(OR(HLOOKUP(L$2+$A286,Sheet2!CA:NE,$B286,0),HLOOKUP(L$2+$A286,Sheet2!CA:NE,$B286,0)&lt;&gt;""),HLOOKUP(L$2+$A286,Sheet2!CA:NE,$B286,0),"")</f>
        <v/>
      </c>
      <c r="M286" t="str">
        <f>IF(OR(HLOOKUP(M$2+$A286,Sheet2!CB:NF,$B286,0),HLOOKUP(M$2+$A286,Sheet2!CB:NF,$B286,0)&lt;&gt;""),HLOOKUP(M$2+$A286,Sheet2!CB:NF,$B286,0),"")</f>
        <v/>
      </c>
    </row>
    <row r="287" spans="1:13" x14ac:dyDescent="0.25">
      <c r="A287" s="68">
        <f t="shared" si="38"/>
        <v>15</v>
      </c>
      <c r="B287" s="68">
        <f t="shared" si="39"/>
        <v>40</v>
      </c>
      <c r="C287" s="68">
        <f t="shared" si="41"/>
        <v>4</v>
      </c>
      <c r="D287" s="68">
        <f t="shared" si="40"/>
        <v>36</v>
      </c>
      <c r="E287" s="68">
        <f t="shared" si="42"/>
        <v>176</v>
      </c>
      <c r="F287" s="21" t="str">
        <f>VLOOKUP(D287,Sheet2!A:B,2)</f>
        <v>J19-1268</v>
      </c>
      <c r="G287" s="68" t="str">
        <f>VLOOKUP(F287,Sheet2!B:C,2,0)</f>
        <v>Cable pulling work at GC7</v>
      </c>
      <c r="H287" s="68" t="str">
        <f>HLOOKUP(I$2+$A287,Sheet2!BX:NB,2,0)</f>
        <v>16-28 Feb 21</v>
      </c>
      <c r="I287" t="str">
        <f>IF(OR(HLOOKUP(I$2+$A287,Sheet2!BX:NB,$B287,0),HLOOKUP(I$2+$A287,Sheet2!BX:NB,$B287,0)&lt;&gt;""),HLOOKUP(I$2+$A287,Sheet2!BX:NB,$B287,0),"")</f>
        <v/>
      </c>
      <c r="J287" t="str">
        <f>IF(OR(HLOOKUP(J$2+$A287,Sheet2!BY:NC,$B287,0),HLOOKUP(J$2+$A287,Sheet2!BY:NC,$B287,0)&lt;&gt;""),HLOOKUP(J$2+$A287,Sheet2!BY:NC,$B287,0),"")</f>
        <v/>
      </c>
      <c r="K287" t="str">
        <f>IF(OR(HLOOKUP(K$2+$A287,Sheet2!BZ:ND,$B287,0),HLOOKUP(K$2+$A287,Sheet2!BZ:ND,$B287,0)&lt;&gt;""),HLOOKUP(K$2+$A287,Sheet2!BZ:ND,$B287,0),"")</f>
        <v/>
      </c>
      <c r="L287" t="str">
        <f>IF(OR(HLOOKUP(L$2+$A287,Sheet2!CA:NE,$B287,0),HLOOKUP(L$2+$A287,Sheet2!CA:NE,$B287,0)&lt;&gt;""),HLOOKUP(L$2+$A287,Sheet2!CA:NE,$B287,0),"")</f>
        <v/>
      </c>
      <c r="M287" t="str">
        <f>IF(OR(HLOOKUP(M$2+$A287,Sheet2!CB:NF,$B287,0),HLOOKUP(M$2+$A287,Sheet2!CB:NF,$B287,0)&lt;&gt;""),HLOOKUP(M$2+$A287,Sheet2!CB:NF,$B287,0),"")</f>
        <v/>
      </c>
    </row>
    <row r="288" spans="1:13" x14ac:dyDescent="0.25">
      <c r="A288" s="68">
        <f t="shared" si="38"/>
        <v>20</v>
      </c>
      <c r="B288" s="68">
        <f t="shared" si="39"/>
        <v>40</v>
      </c>
      <c r="C288" s="68">
        <f t="shared" si="41"/>
        <v>5</v>
      </c>
      <c r="D288" s="68">
        <f t="shared" si="40"/>
        <v>36</v>
      </c>
      <c r="E288" s="68">
        <f t="shared" si="42"/>
        <v>176</v>
      </c>
      <c r="F288" s="21" t="str">
        <f>VLOOKUP(D288,Sheet2!A:B,2)</f>
        <v>J19-1268</v>
      </c>
      <c r="G288" s="68" t="str">
        <f>VLOOKUP(F288,Sheet2!B:C,2,0)</f>
        <v>Cable pulling work at GC7</v>
      </c>
      <c r="H288" s="68" t="str">
        <f>HLOOKUP(I$2+$A288,Sheet2!BX:NB,2,0)</f>
        <v>1-15 Mar 2021</v>
      </c>
      <c r="I288" t="str">
        <f>IF(OR(HLOOKUP(I$2+$A288,Sheet2!BX:NB,$B288,0),HLOOKUP(I$2+$A288,Sheet2!BX:NB,$B288,0)&lt;&gt;""),HLOOKUP(I$2+$A288,Sheet2!BX:NB,$B288,0),"")</f>
        <v/>
      </c>
      <c r="J288" t="str">
        <f>IF(OR(HLOOKUP(J$2+$A288,Sheet2!BY:NC,$B288,0),HLOOKUP(J$2+$A288,Sheet2!BY:NC,$B288,0)&lt;&gt;""),HLOOKUP(J$2+$A288,Sheet2!BY:NC,$B288,0),"")</f>
        <v/>
      </c>
      <c r="K288" t="str">
        <f>IF(OR(HLOOKUP(K$2+$A288,Sheet2!BZ:ND,$B288,0),HLOOKUP(K$2+$A288,Sheet2!BZ:ND,$B288,0)&lt;&gt;""),HLOOKUP(K$2+$A288,Sheet2!BZ:ND,$B288,0),"")</f>
        <v/>
      </c>
      <c r="L288" t="str">
        <f>IF(OR(HLOOKUP(L$2+$A288,Sheet2!CA:NE,$B288,0),HLOOKUP(L$2+$A288,Sheet2!CA:NE,$B288,0)&lt;&gt;""),HLOOKUP(L$2+$A288,Sheet2!CA:NE,$B288,0),"")</f>
        <v/>
      </c>
      <c r="M288" t="str">
        <f>IF(OR(HLOOKUP(M$2+$A288,Sheet2!CB:NF,$B288,0),HLOOKUP(M$2+$A288,Sheet2!CB:NF,$B288,0)&lt;&gt;""),HLOOKUP(M$2+$A288,Sheet2!CB:NF,$B288,0),"")</f>
        <v/>
      </c>
    </row>
    <row r="289" spans="1:13" x14ac:dyDescent="0.25">
      <c r="A289" s="68">
        <f t="shared" si="38"/>
        <v>25</v>
      </c>
      <c r="B289" s="68">
        <f t="shared" si="39"/>
        <v>40</v>
      </c>
      <c r="C289" s="68">
        <f t="shared" si="41"/>
        <v>6</v>
      </c>
      <c r="D289" s="68">
        <f t="shared" si="40"/>
        <v>36</v>
      </c>
      <c r="E289" s="68">
        <f t="shared" si="42"/>
        <v>176</v>
      </c>
      <c r="F289" s="21" t="str">
        <f>VLOOKUP(D289,Sheet2!A:B,2)</f>
        <v>J19-1268</v>
      </c>
      <c r="G289" s="68" t="str">
        <f>VLOOKUP(F289,Sheet2!B:C,2,0)</f>
        <v>Cable pulling work at GC7</v>
      </c>
      <c r="H289" s="68" t="str">
        <f>HLOOKUP(I$2+$A289,Sheet2!BX:NB,2,0)</f>
        <v>16-31 Mar 21</v>
      </c>
      <c r="I289" t="str">
        <f>IF(OR(HLOOKUP(I$2+$A289,Sheet2!BX:NB,$B289,0),HLOOKUP(I$2+$A289,Sheet2!BX:NB,$B289,0)&lt;&gt;""),HLOOKUP(I$2+$A289,Sheet2!BX:NB,$B289,0),"")</f>
        <v/>
      </c>
      <c r="J289" t="str">
        <f>IF(OR(HLOOKUP(J$2+$A289,Sheet2!BY:NC,$B289,0),HLOOKUP(J$2+$A289,Sheet2!BY:NC,$B289,0)&lt;&gt;""),HLOOKUP(J$2+$A289,Sheet2!BY:NC,$B289,0),"")</f>
        <v/>
      </c>
      <c r="K289" t="str">
        <f>IF(OR(HLOOKUP(K$2+$A289,Sheet2!BZ:ND,$B289,0),HLOOKUP(K$2+$A289,Sheet2!BZ:ND,$B289,0)&lt;&gt;""),HLOOKUP(K$2+$A289,Sheet2!BZ:ND,$B289,0),"")</f>
        <v/>
      </c>
      <c r="L289" t="str">
        <f>IF(OR(HLOOKUP(L$2+$A289,Sheet2!CA:NE,$B289,0),HLOOKUP(L$2+$A289,Sheet2!CA:NE,$B289,0)&lt;&gt;""),HLOOKUP(L$2+$A289,Sheet2!CA:NE,$B289,0),"")</f>
        <v/>
      </c>
      <c r="M289" t="str">
        <f>IF(OR(HLOOKUP(M$2+$A289,Sheet2!CB:NF,$B289,0),HLOOKUP(M$2+$A289,Sheet2!CB:NF,$B289,0)&lt;&gt;""),HLOOKUP(M$2+$A289,Sheet2!CB:NF,$B289,0),"")</f>
        <v/>
      </c>
    </row>
    <row r="290" spans="1:13" x14ac:dyDescent="0.25">
      <c r="A290" s="68">
        <f t="shared" si="38"/>
        <v>30</v>
      </c>
      <c r="B290" s="68">
        <f t="shared" si="39"/>
        <v>40</v>
      </c>
      <c r="C290" s="68">
        <f t="shared" si="41"/>
        <v>7</v>
      </c>
      <c r="D290" s="68">
        <f t="shared" si="40"/>
        <v>36</v>
      </c>
      <c r="E290" s="68">
        <f t="shared" si="42"/>
        <v>176</v>
      </c>
      <c r="F290" s="21" t="str">
        <f>VLOOKUP(D290,Sheet2!A:B,2)</f>
        <v>J19-1268</v>
      </c>
      <c r="G290" s="68" t="str">
        <f>VLOOKUP(F290,Sheet2!B:C,2,0)</f>
        <v>Cable pulling work at GC7</v>
      </c>
      <c r="H290" s="68" t="str">
        <f>HLOOKUP(I$2+$A290,Sheet2!BX:NB,2,0)</f>
        <v>1-15 April 21</v>
      </c>
      <c r="I290" t="str">
        <f>IF(OR(HLOOKUP(I$2+$A290,Sheet2!BX:NB,$B290,0),HLOOKUP(I$2+$A290,Sheet2!BX:NB,$B290,0)&lt;&gt;""),HLOOKUP(I$2+$A290,Sheet2!BX:NB,$B290,0),"")</f>
        <v/>
      </c>
      <c r="J290" t="str">
        <f>IF(OR(HLOOKUP(J$2+$A290,Sheet2!BY:NC,$B290,0),HLOOKUP(J$2+$A290,Sheet2!BY:NC,$B290,0)&lt;&gt;""),HLOOKUP(J$2+$A290,Sheet2!BY:NC,$B290,0),"")</f>
        <v/>
      </c>
      <c r="K290" t="str">
        <f>IF(OR(HLOOKUP(K$2+$A290,Sheet2!BZ:ND,$B290,0),HLOOKUP(K$2+$A290,Sheet2!BZ:ND,$B290,0)&lt;&gt;""),HLOOKUP(K$2+$A290,Sheet2!BZ:ND,$B290,0),"")</f>
        <v/>
      </c>
      <c r="L290" t="str">
        <f>IF(OR(HLOOKUP(L$2+$A290,Sheet2!CA:NE,$B290,0),HLOOKUP(L$2+$A290,Sheet2!CA:NE,$B290,0)&lt;&gt;""),HLOOKUP(L$2+$A290,Sheet2!CA:NE,$B290,0),"")</f>
        <v/>
      </c>
      <c r="M290" t="str">
        <f>IF(OR(HLOOKUP(M$2+$A290,Sheet2!CB:NF,$B290,0),HLOOKUP(M$2+$A290,Sheet2!CB:NF,$B290,0)&lt;&gt;""),HLOOKUP(M$2+$A290,Sheet2!CB:NF,$B290,0),"")</f>
        <v/>
      </c>
    </row>
    <row r="291" spans="1:13" x14ac:dyDescent="0.25">
      <c r="A291" s="68">
        <f t="shared" si="38"/>
        <v>35</v>
      </c>
      <c r="B291" s="68">
        <f t="shared" si="39"/>
        <v>40</v>
      </c>
      <c r="C291" s="68">
        <f t="shared" si="41"/>
        <v>8</v>
      </c>
      <c r="D291" s="68">
        <f t="shared" si="40"/>
        <v>36</v>
      </c>
      <c r="E291" s="68">
        <f t="shared" si="42"/>
        <v>176</v>
      </c>
      <c r="F291" s="21" t="str">
        <f>VLOOKUP(D291,Sheet2!A:B,2)</f>
        <v>J19-1268</v>
      </c>
      <c r="G291" s="68" t="str">
        <f>VLOOKUP(F291,Sheet2!B:C,2,0)</f>
        <v>Cable pulling work at GC7</v>
      </c>
      <c r="H291" s="68" t="str">
        <f>HLOOKUP(I$2+$A291,Sheet2!BX:NB,2,0)</f>
        <v>16-30 April 21</v>
      </c>
      <c r="I291" t="str">
        <f>IF(OR(HLOOKUP(I$2+$A291,Sheet2!BX:NB,$B291,0),HLOOKUP(I$2+$A291,Sheet2!BX:NB,$B291,0)&lt;&gt;""),HLOOKUP(I$2+$A291,Sheet2!BX:NB,$B291,0),"")</f>
        <v/>
      </c>
      <c r="J291" t="str">
        <f>IF(OR(HLOOKUP(J$2+$A291,Sheet2!BY:NC,$B291,0),HLOOKUP(J$2+$A291,Sheet2!BY:NC,$B291,0)&lt;&gt;""),HLOOKUP(J$2+$A291,Sheet2!BY:NC,$B291,0),"")</f>
        <v/>
      </c>
      <c r="K291" t="str">
        <f>IF(OR(HLOOKUP(K$2+$A291,Sheet2!BZ:ND,$B291,0),HLOOKUP(K$2+$A291,Sheet2!BZ:ND,$B291,0)&lt;&gt;""),HLOOKUP(K$2+$A291,Sheet2!BZ:ND,$B291,0),"")</f>
        <v/>
      </c>
      <c r="L291" t="str">
        <f>IF(OR(HLOOKUP(L$2+$A291,Sheet2!CA:NE,$B291,0),HLOOKUP(L$2+$A291,Sheet2!CA:NE,$B291,0)&lt;&gt;""),HLOOKUP(L$2+$A291,Sheet2!CA:NE,$B291,0),"")</f>
        <v/>
      </c>
      <c r="M291" t="str">
        <f>IF(OR(HLOOKUP(M$2+$A291,Sheet2!CB:NF,$B291,0),HLOOKUP(M$2+$A291,Sheet2!CB:NF,$B291,0)&lt;&gt;""),HLOOKUP(M$2+$A291,Sheet2!CB:NF,$B291,0),"")</f>
        <v/>
      </c>
    </row>
    <row r="292" spans="1:13" x14ac:dyDescent="0.25">
      <c r="A292" s="68">
        <f t="shared" si="38"/>
        <v>0</v>
      </c>
      <c r="B292" s="68">
        <f t="shared" si="39"/>
        <v>41</v>
      </c>
      <c r="C292" s="68">
        <f t="shared" si="41"/>
        <v>1</v>
      </c>
      <c r="D292" s="68">
        <f t="shared" si="40"/>
        <v>37</v>
      </c>
      <c r="E292" s="68">
        <f t="shared" si="42"/>
        <v>181</v>
      </c>
      <c r="F292" s="21" t="str">
        <f>VLOOKUP(D292,Sheet2!A:B,2)</f>
        <v>J19-1187</v>
      </c>
      <c r="G292" s="68" t="str">
        <f>VLOOKUP(F292,Sheet2!B:C,2,0)</f>
        <v>Smart Factory Project BRAND'S Suntory (Thailand)</v>
      </c>
      <c r="H292" s="68" t="str">
        <f>HLOOKUP(I$2+$A292,Sheet2!BX:NB,2,0)</f>
        <v>1-15 Jan 21</v>
      </c>
      <c r="I292" t="str">
        <f>IF(OR(HLOOKUP(I$2+$A292,Sheet2!BX:NB,$B292,0),HLOOKUP(I$2+$A292,Sheet2!BX:NB,$B292,0)&lt;&gt;""),HLOOKUP(I$2+$A292,Sheet2!BX:NB,$B292,0),"")</f>
        <v/>
      </c>
      <c r="J292" t="str">
        <f>IF(OR(HLOOKUP(J$2+$A292,Sheet2!BY:NC,$B292,0),HLOOKUP(J$2+$A292,Sheet2!BY:NC,$B292,0)&lt;&gt;""),HLOOKUP(J$2+$A292,Sheet2!BY:NC,$B292,0),"")</f>
        <v/>
      </c>
      <c r="K292" t="str">
        <f>IF(OR(HLOOKUP(K$2+$A292,Sheet2!BZ:ND,$B292,0),HLOOKUP(K$2+$A292,Sheet2!BZ:ND,$B292,0)&lt;&gt;""),HLOOKUP(K$2+$A292,Sheet2!BZ:ND,$B292,0),"")</f>
        <v/>
      </c>
      <c r="L292" t="str">
        <f>IF(OR(HLOOKUP(L$2+$A292,Sheet2!CA:NE,$B292,0),HLOOKUP(L$2+$A292,Sheet2!CA:NE,$B292,0)&lt;&gt;""),HLOOKUP(L$2+$A292,Sheet2!CA:NE,$B292,0),"")</f>
        <v/>
      </c>
      <c r="M292" t="str">
        <f>IF(OR(HLOOKUP(M$2+$A292,Sheet2!CB:NF,$B292,0),HLOOKUP(M$2+$A292,Sheet2!CB:NF,$B292,0)&lt;&gt;""),HLOOKUP(M$2+$A292,Sheet2!CB:NF,$B292,0),"")</f>
        <v/>
      </c>
    </row>
    <row r="293" spans="1:13" x14ac:dyDescent="0.25">
      <c r="A293" s="68">
        <f t="shared" si="38"/>
        <v>5</v>
      </c>
      <c r="B293" s="68">
        <f t="shared" si="39"/>
        <v>41</v>
      </c>
      <c r="C293" s="68">
        <f t="shared" si="41"/>
        <v>2</v>
      </c>
      <c r="D293" s="68">
        <f t="shared" si="40"/>
        <v>37</v>
      </c>
      <c r="E293" s="68">
        <f t="shared" si="42"/>
        <v>181</v>
      </c>
      <c r="F293" s="21" t="str">
        <f>VLOOKUP(D293,Sheet2!A:B,2)</f>
        <v>J19-1187</v>
      </c>
      <c r="G293" s="68" t="str">
        <f>VLOOKUP(F293,Sheet2!B:C,2,0)</f>
        <v>Smart Factory Project BRAND'S Suntory (Thailand)</v>
      </c>
      <c r="H293" s="68" t="str">
        <f>HLOOKUP(I$2+$A293,Sheet2!BX:NB,2,0)</f>
        <v>16-31 Jan 21</v>
      </c>
      <c r="I293" t="str">
        <f>IF(OR(HLOOKUP(I$2+$A293,Sheet2!BX:NB,$B293,0),HLOOKUP(I$2+$A293,Sheet2!BX:NB,$B293,0)&lt;&gt;""),HLOOKUP(I$2+$A293,Sheet2!BX:NB,$B293,0),"")</f>
        <v/>
      </c>
      <c r="J293" t="str">
        <f>IF(OR(HLOOKUP(J$2+$A293,Sheet2!BY:NC,$B293,0),HLOOKUP(J$2+$A293,Sheet2!BY:NC,$B293,0)&lt;&gt;""),HLOOKUP(J$2+$A293,Sheet2!BY:NC,$B293,0),"")</f>
        <v/>
      </c>
      <c r="K293" t="str">
        <f>IF(OR(HLOOKUP(K$2+$A293,Sheet2!BZ:ND,$B293,0),HLOOKUP(K$2+$A293,Sheet2!BZ:ND,$B293,0)&lt;&gt;""),HLOOKUP(K$2+$A293,Sheet2!BZ:ND,$B293,0),"")</f>
        <v/>
      </c>
      <c r="L293" t="str">
        <f>IF(OR(HLOOKUP(L$2+$A293,Sheet2!CA:NE,$B293,0),HLOOKUP(L$2+$A293,Sheet2!CA:NE,$B293,0)&lt;&gt;""),HLOOKUP(L$2+$A293,Sheet2!CA:NE,$B293,0),"")</f>
        <v/>
      </c>
      <c r="M293" t="str">
        <f>IF(OR(HLOOKUP(M$2+$A293,Sheet2!CB:NF,$B293,0),HLOOKUP(M$2+$A293,Sheet2!CB:NF,$B293,0)&lt;&gt;""),HLOOKUP(M$2+$A293,Sheet2!CB:NF,$B293,0),"")</f>
        <v/>
      </c>
    </row>
    <row r="294" spans="1:13" x14ac:dyDescent="0.25">
      <c r="A294" s="68">
        <f t="shared" si="38"/>
        <v>10</v>
      </c>
      <c r="B294" s="68">
        <f t="shared" si="39"/>
        <v>41</v>
      </c>
      <c r="C294" s="68">
        <f t="shared" si="41"/>
        <v>3</v>
      </c>
      <c r="D294" s="68">
        <f t="shared" si="40"/>
        <v>37</v>
      </c>
      <c r="E294" s="68">
        <f t="shared" si="42"/>
        <v>181</v>
      </c>
      <c r="F294" s="21" t="str">
        <f>VLOOKUP(D294,Sheet2!A:B,2)</f>
        <v>J19-1187</v>
      </c>
      <c r="G294" s="68" t="str">
        <f>VLOOKUP(F294,Sheet2!B:C,2,0)</f>
        <v>Smart Factory Project BRAND'S Suntory (Thailand)</v>
      </c>
      <c r="H294" s="68" t="str">
        <f>HLOOKUP(I$2+$A294,Sheet2!BX:NB,2,0)</f>
        <v>1-15 Feb 21</v>
      </c>
      <c r="I294" t="str">
        <f>IF(OR(HLOOKUP(I$2+$A294,Sheet2!BX:NB,$B294,0),HLOOKUP(I$2+$A294,Sheet2!BX:NB,$B294,0)&lt;&gt;""),HLOOKUP(I$2+$A294,Sheet2!BX:NB,$B294,0),"")</f>
        <v/>
      </c>
      <c r="J294" t="str">
        <f>IF(OR(HLOOKUP(J$2+$A294,Sheet2!BY:NC,$B294,0),HLOOKUP(J$2+$A294,Sheet2!BY:NC,$B294,0)&lt;&gt;""),HLOOKUP(J$2+$A294,Sheet2!BY:NC,$B294,0),"")</f>
        <v/>
      </c>
      <c r="K294" t="str">
        <f>IF(OR(HLOOKUP(K$2+$A294,Sheet2!BZ:ND,$B294,0),HLOOKUP(K$2+$A294,Sheet2!BZ:ND,$B294,0)&lt;&gt;""),HLOOKUP(K$2+$A294,Sheet2!BZ:ND,$B294,0),"")</f>
        <v/>
      </c>
      <c r="L294" t="str">
        <f>IF(OR(HLOOKUP(L$2+$A294,Sheet2!CA:NE,$B294,0),HLOOKUP(L$2+$A294,Sheet2!CA:NE,$B294,0)&lt;&gt;""),HLOOKUP(L$2+$A294,Sheet2!CA:NE,$B294,0),"")</f>
        <v/>
      </c>
      <c r="M294" t="str">
        <f>IF(OR(HLOOKUP(M$2+$A294,Sheet2!CB:NF,$B294,0),HLOOKUP(M$2+$A294,Sheet2!CB:NF,$B294,0)&lt;&gt;""),HLOOKUP(M$2+$A294,Sheet2!CB:NF,$B294,0),"")</f>
        <v/>
      </c>
    </row>
    <row r="295" spans="1:13" x14ac:dyDescent="0.25">
      <c r="A295" s="68">
        <f t="shared" si="38"/>
        <v>15</v>
      </c>
      <c r="B295" s="68">
        <f t="shared" si="39"/>
        <v>41</v>
      </c>
      <c r="C295" s="68">
        <f t="shared" si="41"/>
        <v>4</v>
      </c>
      <c r="D295" s="68">
        <f t="shared" si="40"/>
        <v>37</v>
      </c>
      <c r="E295" s="68">
        <f t="shared" si="42"/>
        <v>181</v>
      </c>
      <c r="F295" s="21" t="str">
        <f>VLOOKUP(D295,Sheet2!A:B,2)</f>
        <v>J19-1187</v>
      </c>
      <c r="G295" s="68" t="str">
        <f>VLOOKUP(F295,Sheet2!B:C,2,0)</f>
        <v>Smart Factory Project BRAND'S Suntory (Thailand)</v>
      </c>
      <c r="H295" s="68" t="str">
        <f>HLOOKUP(I$2+$A295,Sheet2!BX:NB,2,0)</f>
        <v>16-28 Feb 21</v>
      </c>
      <c r="I295" t="str">
        <f>IF(OR(HLOOKUP(I$2+$A295,Sheet2!BX:NB,$B295,0),HLOOKUP(I$2+$A295,Sheet2!BX:NB,$B295,0)&lt;&gt;""),HLOOKUP(I$2+$A295,Sheet2!BX:NB,$B295,0),"")</f>
        <v/>
      </c>
      <c r="J295" t="str">
        <f>IF(OR(HLOOKUP(J$2+$A295,Sheet2!BY:NC,$B295,0),HLOOKUP(J$2+$A295,Sheet2!BY:NC,$B295,0)&lt;&gt;""),HLOOKUP(J$2+$A295,Sheet2!BY:NC,$B295,0),"")</f>
        <v/>
      </c>
      <c r="K295" t="str">
        <f>IF(OR(HLOOKUP(K$2+$A295,Sheet2!BZ:ND,$B295,0),HLOOKUP(K$2+$A295,Sheet2!BZ:ND,$B295,0)&lt;&gt;""),HLOOKUP(K$2+$A295,Sheet2!BZ:ND,$B295,0),"")</f>
        <v/>
      </c>
      <c r="L295" t="str">
        <f>IF(OR(HLOOKUP(L$2+$A295,Sheet2!CA:NE,$B295,0),HLOOKUP(L$2+$A295,Sheet2!CA:NE,$B295,0)&lt;&gt;""),HLOOKUP(L$2+$A295,Sheet2!CA:NE,$B295,0),"")</f>
        <v/>
      </c>
      <c r="M295" t="str">
        <f>IF(OR(HLOOKUP(M$2+$A295,Sheet2!CB:NF,$B295,0),HLOOKUP(M$2+$A295,Sheet2!CB:NF,$B295,0)&lt;&gt;""),HLOOKUP(M$2+$A295,Sheet2!CB:NF,$B295,0),"")</f>
        <v/>
      </c>
    </row>
    <row r="296" spans="1:13" x14ac:dyDescent="0.25">
      <c r="A296" s="68">
        <f t="shared" si="38"/>
        <v>20</v>
      </c>
      <c r="B296" s="68">
        <f t="shared" si="39"/>
        <v>41</v>
      </c>
      <c r="C296" s="68">
        <f t="shared" si="41"/>
        <v>5</v>
      </c>
      <c r="D296" s="68">
        <f t="shared" si="40"/>
        <v>37</v>
      </c>
      <c r="E296" s="68">
        <f t="shared" si="42"/>
        <v>181</v>
      </c>
      <c r="F296" s="21" t="str">
        <f>VLOOKUP(D296,Sheet2!A:B,2)</f>
        <v>J19-1187</v>
      </c>
      <c r="G296" s="68" t="str">
        <f>VLOOKUP(F296,Sheet2!B:C,2,0)</f>
        <v>Smart Factory Project BRAND'S Suntory (Thailand)</v>
      </c>
      <c r="H296" s="68" t="str">
        <f>HLOOKUP(I$2+$A296,Sheet2!BX:NB,2,0)</f>
        <v>1-15 Mar 2021</v>
      </c>
      <c r="I296" t="str">
        <f>IF(OR(HLOOKUP(I$2+$A296,Sheet2!BX:NB,$B296,0),HLOOKUP(I$2+$A296,Sheet2!BX:NB,$B296,0)&lt;&gt;""),HLOOKUP(I$2+$A296,Sheet2!BX:NB,$B296,0),"")</f>
        <v/>
      </c>
      <c r="J296" t="str">
        <f>IF(OR(HLOOKUP(J$2+$A296,Sheet2!BY:NC,$B296,0),HLOOKUP(J$2+$A296,Sheet2!BY:NC,$B296,0)&lt;&gt;""),HLOOKUP(J$2+$A296,Sheet2!BY:NC,$B296,0),"")</f>
        <v/>
      </c>
      <c r="K296" t="str">
        <f>IF(OR(HLOOKUP(K$2+$A296,Sheet2!BZ:ND,$B296,0),HLOOKUP(K$2+$A296,Sheet2!BZ:ND,$B296,0)&lt;&gt;""),HLOOKUP(K$2+$A296,Sheet2!BZ:ND,$B296,0),"")</f>
        <v/>
      </c>
      <c r="L296" t="str">
        <f>IF(OR(HLOOKUP(L$2+$A296,Sheet2!CA:NE,$B296,0),HLOOKUP(L$2+$A296,Sheet2!CA:NE,$B296,0)&lt;&gt;""),HLOOKUP(L$2+$A296,Sheet2!CA:NE,$B296,0),"")</f>
        <v/>
      </c>
      <c r="M296" t="str">
        <f>IF(OR(HLOOKUP(M$2+$A296,Sheet2!CB:NF,$B296,0),HLOOKUP(M$2+$A296,Sheet2!CB:NF,$B296,0)&lt;&gt;""),HLOOKUP(M$2+$A296,Sheet2!CB:NF,$B296,0),"")</f>
        <v/>
      </c>
    </row>
    <row r="297" spans="1:13" x14ac:dyDescent="0.25">
      <c r="A297" s="68">
        <f t="shared" si="38"/>
        <v>25</v>
      </c>
      <c r="B297" s="68">
        <f t="shared" si="39"/>
        <v>41</v>
      </c>
      <c r="C297" s="68">
        <f t="shared" si="41"/>
        <v>6</v>
      </c>
      <c r="D297" s="68">
        <f t="shared" si="40"/>
        <v>37</v>
      </c>
      <c r="E297" s="68">
        <f t="shared" si="42"/>
        <v>181</v>
      </c>
      <c r="F297" s="21" t="str">
        <f>VLOOKUP(D297,Sheet2!A:B,2)</f>
        <v>J19-1187</v>
      </c>
      <c r="G297" s="68" t="str">
        <f>VLOOKUP(F297,Sheet2!B:C,2,0)</f>
        <v>Smart Factory Project BRAND'S Suntory (Thailand)</v>
      </c>
      <c r="H297" s="68" t="str">
        <f>HLOOKUP(I$2+$A297,Sheet2!BX:NB,2,0)</f>
        <v>16-31 Mar 21</v>
      </c>
      <c r="I297" t="str">
        <f>IF(OR(HLOOKUP(I$2+$A297,Sheet2!BX:NB,$B297,0),HLOOKUP(I$2+$A297,Sheet2!BX:NB,$B297,0)&lt;&gt;""),HLOOKUP(I$2+$A297,Sheet2!BX:NB,$B297,0),"")</f>
        <v/>
      </c>
      <c r="J297" t="str">
        <f>IF(OR(HLOOKUP(J$2+$A297,Sheet2!BY:NC,$B297,0),HLOOKUP(J$2+$A297,Sheet2!BY:NC,$B297,0)&lt;&gt;""),HLOOKUP(J$2+$A297,Sheet2!BY:NC,$B297,0),"")</f>
        <v/>
      </c>
      <c r="K297" t="str">
        <f>IF(OR(HLOOKUP(K$2+$A297,Sheet2!BZ:ND,$B297,0),HLOOKUP(K$2+$A297,Sheet2!BZ:ND,$B297,0)&lt;&gt;""),HLOOKUP(K$2+$A297,Sheet2!BZ:ND,$B297,0),"")</f>
        <v/>
      </c>
      <c r="L297" t="str">
        <f>IF(OR(HLOOKUP(L$2+$A297,Sheet2!CA:NE,$B297,0),HLOOKUP(L$2+$A297,Sheet2!CA:NE,$B297,0)&lt;&gt;""),HLOOKUP(L$2+$A297,Sheet2!CA:NE,$B297,0),"")</f>
        <v/>
      </c>
      <c r="M297" t="str">
        <f>IF(OR(HLOOKUP(M$2+$A297,Sheet2!CB:NF,$B297,0),HLOOKUP(M$2+$A297,Sheet2!CB:NF,$B297,0)&lt;&gt;""),HLOOKUP(M$2+$A297,Sheet2!CB:NF,$B297,0),"")</f>
        <v/>
      </c>
    </row>
    <row r="298" spans="1:13" x14ac:dyDescent="0.25">
      <c r="A298" s="68">
        <f t="shared" si="38"/>
        <v>30</v>
      </c>
      <c r="B298" s="68">
        <f t="shared" si="39"/>
        <v>41</v>
      </c>
      <c r="C298" s="68">
        <f t="shared" si="41"/>
        <v>7</v>
      </c>
      <c r="D298" s="68">
        <f t="shared" si="40"/>
        <v>37</v>
      </c>
      <c r="E298" s="68">
        <f t="shared" si="42"/>
        <v>181</v>
      </c>
      <c r="F298" s="21" t="str">
        <f>VLOOKUP(D298,Sheet2!A:B,2)</f>
        <v>J19-1187</v>
      </c>
      <c r="G298" s="68" t="str">
        <f>VLOOKUP(F298,Sheet2!B:C,2,0)</f>
        <v>Smart Factory Project BRAND'S Suntory (Thailand)</v>
      </c>
      <c r="H298" s="68" t="str">
        <f>HLOOKUP(I$2+$A298,Sheet2!BX:NB,2,0)</f>
        <v>1-15 April 21</v>
      </c>
      <c r="I298" t="str">
        <f>IF(OR(HLOOKUP(I$2+$A298,Sheet2!BX:NB,$B298,0),HLOOKUP(I$2+$A298,Sheet2!BX:NB,$B298,0)&lt;&gt;""),HLOOKUP(I$2+$A298,Sheet2!BX:NB,$B298,0),"")</f>
        <v/>
      </c>
      <c r="J298" t="str">
        <f>IF(OR(HLOOKUP(J$2+$A298,Sheet2!BY:NC,$B298,0),HLOOKUP(J$2+$A298,Sheet2!BY:NC,$B298,0)&lt;&gt;""),HLOOKUP(J$2+$A298,Sheet2!BY:NC,$B298,0),"")</f>
        <v/>
      </c>
      <c r="K298" t="str">
        <f>IF(OR(HLOOKUP(K$2+$A298,Sheet2!BZ:ND,$B298,0),HLOOKUP(K$2+$A298,Sheet2!BZ:ND,$B298,0)&lt;&gt;""),HLOOKUP(K$2+$A298,Sheet2!BZ:ND,$B298,0),"")</f>
        <v/>
      </c>
      <c r="L298" t="str">
        <f>IF(OR(HLOOKUP(L$2+$A298,Sheet2!CA:NE,$B298,0),HLOOKUP(L$2+$A298,Sheet2!CA:NE,$B298,0)&lt;&gt;""),HLOOKUP(L$2+$A298,Sheet2!CA:NE,$B298,0),"")</f>
        <v/>
      </c>
      <c r="M298" t="str">
        <f>IF(OR(HLOOKUP(M$2+$A298,Sheet2!CB:NF,$B298,0),HLOOKUP(M$2+$A298,Sheet2!CB:NF,$B298,0)&lt;&gt;""),HLOOKUP(M$2+$A298,Sheet2!CB:NF,$B298,0),"")</f>
        <v/>
      </c>
    </row>
    <row r="299" spans="1:13" x14ac:dyDescent="0.25">
      <c r="A299" s="68">
        <f t="shared" si="38"/>
        <v>35</v>
      </c>
      <c r="B299" s="68">
        <f t="shared" si="39"/>
        <v>41</v>
      </c>
      <c r="C299" s="68">
        <f t="shared" si="41"/>
        <v>8</v>
      </c>
      <c r="D299" s="68">
        <f t="shared" si="40"/>
        <v>37</v>
      </c>
      <c r="E299" s="68">
        <f t="shared" si="42"/>
        <v>181</v>
      </c>
      <c r="F299" s="21" t="str">
        <f>VLOOKUP(D299,Sheet2!A:B,2)</f>
        <v>J19-1187</v>
      </c>
      <c r="G299" s="68" t="str">
        <f>VLOOKUP(F299,Sheet2!B:C,2,0)</f>
        <v>Smart Factory Project BRAND'S Suntory (Thailand)</v>
      </c>
      <c r="H299" s="68" t="str">
        <f>HLOOKUP(I$2+$A299,Sheet2!BX:NB,2,0)</f>
        <v>16-30 April 21</v>
      </c>
      <c r="I299" t="str">
        <f>IF(OR(HLOOKUP(I$2+$A299,Sheet2!BX:NB,$B299,0),HLOOKUP(I$2+$A299,Sheet2!BX:NB,$B299,0)&lt;&gt;""),HLOOKUP(I$2+$A299,Sheet2!BX:NB,$B299,0),"")</f>
        <v/>
      </c>
      <c r="J299" t="str">
        <f>IF(OR(HLOOKUP(J$2+$A299,Sheet2!BY:NC,$B299,0),HLOOKUP(J$2+$A299,Sheet2!BY:NC,$B299,0)&lt;&gt;""),HLOOKUP(J$2+$A299,Sheet2!BY:NC,$B299,0),"")</f>
        <v/>
      </c>
      <c r="K299" t="str">
        <f>IF(OR(HLOOKUP(K$2+$A299,Sheet2!BZ:ND,$B299,0),HLOOKUP(K$2+$A299,Sheet2!BZ:ND,$B299,0)&lt;&gt;""),HLOOKUP(K$2+$A299,Sheet2!BZ:ND,$B299,0),"")</f>
        <v/>
      </c>
      <c r="L299" t="str">
        <f>IF(OR(HLOOKUP(L$2+$A299,Sheet2!CA:NE,$B299,0),HLOOKUP(L$2+$A299,Sheet2!CA:NE,$B299,0)&lt;&gt;""),HLOOKUP(L$2+$A299,Sheet2!CA:NE,$B299,0),"")</f>
        <v/>
      </c>
      <c r="M299" t="str">
        <f>IF(OR(HLOOKUP(M$2+$A299,Sheet2!CB:NF,$B299,0),HLOOKUP(M$2+$A299,Sheet2!CB:NF,$B299,0)&lt;&gt;""),HLOOKUP(M$2+$A299,Sheet2!CB:NF,$B299,0),"")</f>
        <v/>
      </c>
    </row>
    <row r="300" spans="1:13" x14ac:dyDescent="0.25">
      <c r="A300" s="68">
        <f t="shared" si="38"/>
        <v>0</v>
      </c>
      <c r="B300" s="68">
        <f t="shared" si="39"/>
        <v>42</v>
      </c>
      <c r="C300" s="68">
        <f t="shared" si="41"/>
        <v>1</v>
      </c>
      <c r="D300" s="68">
        <f t="shared" si="40"/>
        <v>38</v>
      </c>
      <c r="E300" s="68">
        <f t="shared" si="42"/>
        <v>186</v>
      </c>
      <c r="F300" s="21" t="str">
        <f>VLOOKUP(D300,Sheet2!A:B,2)</f>
        <v>J19-1306</v>
      </c>
      <c r="G300" s="68" t="str">
        <f>VLOOKUP(F300,Sheet2!B:C,2,0)</f>
        <v>ONLINE MONITORING PROJECT</v>
      </c>
      <c r="H300" s="68" t="str">
        <f>HLOOKUP(I$2+$A300,Sheet2!BX:NB,2,0)</f>
        <v>1-15 Jan 21</v>
      </c>
      <c r="I300" t="str">
        <f>IF(OR(HLOOKUP(I$2+$A300,Sheet2!BX:NB,$B300,0),HLOOKUP(I$2+$A300,Sheet2!BX:NB,$B300,0)&lt;&gt;""),HLOOKUP(I$2+$A300,Sheet2!BX:NB,$B300,0),"")</f>
        <v/>
      </c>
      <c r="J300" t="str">
        <f>IF(OR(HLOOKUP(J$2+$A300,Sheet2!BY:NC,$B300,0),HLOOKUP(J$2+$A300,Sheet2!BY:NC,$B300,0)&lt;&gt;""),HLOOKUP(J$2+$A300,Sheet2!BY:NC,$B300,0),"")</f>
        <v/>
      </c>
      <c r="K300" t="str">
        <f>IF(OR(HLOOKUP(K$2+$A300,Sheet2!BZ:ND,$B300,0),HLOOKUP(K$2+$A300,Sheet2!BZ:ND,$B300,0)&lt;&gt;""),HLOOKUP(K$2+$A300,Sheet2!BZ:ND,$B300,0),"")</f>
        <v/>
      </c>
      <c r="L300" t="str">
        <f>IF(OR(HLOOKUP(L$2+$A300,Sheet2!CA:NE,$B300,0),HLOOKUP(L$2+$A300,Sheet2!CA:NE,$B300,0)&lt;&gt;""),HLOOKUP(L$2+$A300,Sheet2!CA:NE,$B300,0),"")</f>
        <v/>
      </c>
      <c r="M300" t="str">
        <f>IF(OR(HLOOKUP(M$2+$A300,Sheet2!CB:NF,$B300,0),HLOOKUP(M$2+$A300,Sheet2!CB:NF,$B300,0)&lt;&gt;""),HLOOKUP(M$2+$A300,Sheet2!CB:NF,$B300,0),"")</f>
        <v/>
      </c>
    </row>
    <row r="301" spans="1:13" x14ac:dyDescent="0.25">
      <c r="A301" s="68">
        <f t="shared" si="38"/>
        <v>5</v>
      </c>
      <c r="B301" s="68">
        <f t="shared" si="39"/>
        <v>42</v>
      </c>
      <c r="C301" s="68">
        <f t="shared" si="41"/>
        <v>2</v>
      </c>
      <c r="D301" s="68">
        <f t="shared" si="40"/>
        <v>38</v>
      </c>
      <c r="E301" s="68">
        <f t="shared" si="42"/>
        <v>186</v>
      </c>
      <c r="F301" s="21" t="str">
        <f>VLOOKUP(D301,Sheet2!A:B,2)</f>
        <v>J19-1306</v>
      </c>
      <c r="G301" s="68" t="str">
        <f>VLOOKUP(F301,Sheet2!B:C,2,0)</f>
        <v>ONLINE MONITORING PROJECT</v>
      </c>
      <c r="H301" s="68" t="str">
        <f>HLOOKUP(I$2+$A301,Sheet2!BX:NB,2,0)</f>
        <v>16-31 Jan 21</v>
      </c>
      <c r="I301" t="str">
        <f>IF(OR(HLOOKUP(I$2+$A301,Sheet2!BX:NB,$B301,0),HLOOKUP(I$2+$A301,Sheet2!BX:NB,$B301,0)&lt;&gt;""),HLOOKUP(I$2+$A301,Sheet2!BX:NB,$B301,0),"")</f>
        <v/>
      </c>
      <c r="J301" t="str">
        <f>IF(OR(HLOOKUP(J$2+$A301,Sheet2!BY:NC,$B301,0),HLOOKUP(J$2+$A301,Sheet2!BY:NC,$B301,0)&lt;&gt;""),HLOOKUP(J$2+$A301,Sheet2!BY:NC,$B301,0),"")</f>
        <v/>
      </c>
      <c r="K301" t="str">
        <f>IF(OR(HLOOKUP(K$2+$A301,Sheet2!BZ:ND,$B301,0),HLOOKUP(K$2+$A301,Sheet2!BZ:ND,$B301,0)&lt;&gt;""),HLOOKUP(K$2+$A301,Sheet2!BZ:ND,$B301,0),"")</f>
        <v/>
      </c>
      <c r="L301" t="str">
        <f>IF(OR(HLOOKUP(L$2+$A301,Sheet2!CA:NE,$B301,0),HLOOKUP(L$2+$A301,Sheet2!CA:NE,$B301,0)&lt;&gt;""),HLOOKUP(L$2+$A301,Sheet2!CA:NE,$B301,0),"")</f>
        <v/>
      </c>
      <c r="M301" t="str">
        <f>IF(OR(HLOOKUP(M$2+$A301,Sheet2!CB:NF,$B301,0),HLOOKUP(M$2+$A301,Sheet2!CB:NF,$B301,0)&lt;&gt;""),HLOOKUP(M$2+$A301,Sheet2!CB:NF,$B301,0),"")</f>
        <v/>
      </c>
    </row>
    <row r="302" spans="1:13" x14ac:dyDescent="0.25">
      <c r="A302" s="68">
        <f t="shared" si="38"/>
        <v>10</v>
      </c>
      <c r="B302" s="68">
        <f t="shared" si="39"/>
        <v>42</v>
      </c>
      <c r="C302" s="68">
        <f t="shared" si="41"/>
        <v>3</v>
      </c>
      <c r="D302" s="68">
        <f t="shared" si="40"/>
        <v>38</v>
      </c>
      <c r="E302" s="68">
        <f t="shared" si="42"/>
        <v>186</v>
      </c>
      <c r="F302" s="21" t="str">
        <f>VLOOKUP(D302,Sheet2!A:B,2)</f>
        <v>J19-1306</v>
      </c>
      <c r="G302" s="68" t="str">
        <f>VLOOKUP(F302,Sheet2!B:C,2,0)</f>
        <v>ONLINE MONITORING PROJECT</v>
      </c>
      <c r="H302" s="68" t="str">
        <f>HLOOKUP(I$2+$A302,Sheet2!BX:NB,2,0)</f>
        <v>1-15 Feb 21</v>
      </c>
      <c r="I302" t="str">
        <f>IF(OR(HLOOKUP(I$2+$A302,Sheet2!BX:NB,$B302,0),HLOOKUP(I$2+$A302,Sheet2!BX:NB,$B302,0)&lt;&gt;""),HLOOKUP(I$2+$A302,Sheet2!BX:NB,$B302,0),"")</f>
        <v/>
      </c>
      <c r="J302" t="str">
        <f>IF(OR(HLOOKUP(J$2+$A302,Sheet2!BY:NC,$B302,0),HLOOKUP(J$2+$A302,Sheet2!BY:NC,$B302,0)&lt;&gt;""),HLOOKUP(J$2+$A302,Sheet2!BY:NC,$B302,0),"")</f>
        <v/>
      </c>
      <c r="K302" t="str">
        <f>IF(OR(HLOOKUP(K$2+$A302,Sheet2!BZ:ND,$B302,0),HLOOKUP(K$2+$A302,Sheet2!BZ:ND,$B302,0)&lt;&gt;""),HLOOKUP(K$2+$A302,Sheet2!BZ:ND,$B302,0),"")</f>
        <v/>
      </c>
      <c r="L302" t="str">
        <f>IF(OR(HLOOKUP(L$2+$A302,Sheet2!CA:NE,$B302,0),HLOOKUP(L$2+$A302,Sheet2!CA:NE,$B302,0)&lt;&gt;""),HLOOKUP(L$2+$A302,Sheet2!CA:NE,$B302,0),"")</f>
        <v/>
      </c>
      <c r="M302" t="str">
        <f>IF(OR(HLOOKUP(M$2+$A302,Sheet2!CB:NF,$B302,0),HLOOKUP(M$2+$A302,Sheet2!CB:NF,$B302,0)&lt;&gt;""),HLOOKUP(M$2+$A302,Sheet2!CB:NF,$B302,0),"")</f>
        <v/>
      </c>
    </row>
    <row r="303" spans="1:13" x14ac:dyDescent="0.25">
      <c r="A303" s="68">
        <f t="shared" si="38"/>
        <v>15</v>
      </c>
      <c r="B303" s="68">
        <f t="shared" si="39"/>
        <v>42</v>
      </c>
      <c r="C303" s="68">
        <f t="shared" si="41"/>
        <v>4</v>
      </c>
      <c r="D303" s="68">
        <f t="shared" si="40"/>
        <v>38</v>
      </c>
      <c r="E303" s="68">
        <f t="shared" si="42"/>
        <v>186</v>
      </c>
      <c r="F303" s="21" t="str">
        <f>VLOOKUP(D303,Sheet2!A:B,2)</f>
        <v>J19-1306</v>
      </c>
      <c r="G303" s="68" t="str">
        <f>VLOOKUP(F303,Sheet2!B:C,2,0)</f>
        <v>ONLINE MONITORING PROJECT</v>
      </c>
      <c r="H303" s="68" t="str">
        <f>HLOOKUP(I$2+$A303,Sheet2!BX:NB,2,0)</f>
        <v>16-28 Feb 21</v>
      </c>
      <c r="I303" t="str">
        <f>IF(OR(HLOOKUP(I$2+$A303,Sheet2!BX:NB,$B303,0),HLOOKUP(I$2+$A303,Sheet2!BX:NB,$B303,0)&lt;&gt;""),HLOOKUP(I$2+$A303,Sheet2!BX:NB,$B303,0),"")</f>
        <v/>
      </c>
      <c r="J303" t="str">
        <f>IF(OR(HLOOKUP(J$2+$A303,Sheet2!BY:NC,$B303,0),HLOOKUP(J$2+$A303,Sheet2!BY:NC,$B303,0)&lt;&gt;""),HLOOKUP(J$2+$A303,Sheet2!BY:NC,$B303,0),"")</f>
        <v/>
      </c>
      <c r="K303" t="str">
        <f>IF(OR(HLOOKUP(K$2+$A303,Sheet2!BZ:ND,$B303,0),HLOOKUP(K$2+$A303,Sheet2!BZ:ND,$B303,0)&lt;&gt;""),HLOOKUP(K$2+$A303,Sheet2!BZ:ND,$B303,0),"")</f>
        <v/>
      </c>
      <c r="L303" t="str">
        <f>IF(OR(HLOOKUP(L$2+$A303,Sheet2!CA:NE,$B303,0),HLOOKUP(L$2+$A303,Sheet2!CA:NE,$B303,0)&lt;&gt;""),HLOOKUP(L$2+$A303,Sheet2!CA:NE,$B303,0),"")</f>
        <v/>
      </c>
      <c r="M303" t="str">
        <f>IF(OR(HLOOKUP(M$2+$A303,Sheet2!CB:NF,$B303,0),HLOOKUP(M$2+$A303,Sheet2!CB:NF,$B303,0)&lt;&gt;""),HLOOKUP(M$2+$A303,Sheet2!CB:NF,$B303,0),"")</f>
        <v/>
      </c>
    </row>
    <row r="304" spans="1:13" x14ac:dyDescent="0.25">
      <c r="A304" s="68">
        <f t="shared" si="38"/>
        <v>20</v>
      </c>
      <c r="B304" s="68">
        <f t="shared" si="39"/>
        <v>42</v>
      </c>
      <c r="C304" s="68">
        <f t="shared" si="41"/>
        <v>5</v>
      </c>
      <c r="D304" s="68">
        <f t="shared" si="40"/>
        <v>38</v>
      </c>
      <c r="E304" s="68">
        <f t="shared" si="42"/>
        <v>186</v>
      </c>
      <c r="F304" s="21" t="str">
        <f>VLOOKUP(D304,Sheet2!A:B,2)</f>
        <v>J19-1306</v>
      </c>
      <c r="G304" s="68" t="str">
        <f>VLOOKUP(F304,Sheet2!B:C,2,0)</f>
        <v>ONLINE MONITORING PROJECT</v>
      </c>
      <c r="H304" s="68" t="str">
        <f>HLOOKUP(I$2+$A304,Sheet2!BX:NB,2,0)</f>
        <v>1-15 Mar 2021</v>
      </c>
      <c r="I304" t="str">
        <f>IF(OR(HLOOKUP(I$2+$A304,Sheet2!BX:NB,$B304,0),HLOOKUP(I$2+$A304,Sheet2!BX:NB,$B304,0)&lt;&gt;""),HLOOKUP(I$2+$A304,Sheet2!BX:NB,$B304,0),"")</f>
        <v/>
      </c>
      <c r="J304" t="str">
        <f>IF(OR(HLOOKUP(J$2+$A304,Sheet2!BY:NC,$B304,0),HLOOKUP(J$2+$A304,Sheet2!BY:NC,$B304,0)&lt;&gt;""),HLOOKUP(J$2+$A304,Sheet2!BY:NC,$B304,0),"")</f>
        <v/>
      </c>
      <c r="K304" t="str">
        <f>IF(OR(HLOOKUP(K$2+$A304,Sheet2!BZ:ND,$B304,0),HLOOKUP(K$2+$A304,Sheet2!BZ:ND,$B304,0)&lt;&gt;""),HLOOKUP(K$2+$A304,Sheet2!BZ:ND,$B304,0),"")</f>
        <v/>
      </c>
      <c r="L304" t="str">
        <f>IF(OR(HLOOKUP(L$2+$A304,Sheet2!CA:NE,$B304,0),HLOOKUP(L$2+$A304,Sheet2!CA:NE,$B304,0)&lt;&gt;""),HLOOKUP(L$2+$A304,Sheet2!CA:NE,$B304,0),"")</f>
        <v/>
      </c>
      <c r="M304" t="str">
        <f>IF(OR(HLOOKUP(M$2+$A304,Sheet2!CB:NF,$B304,0),HLOOKUP(M$2+$A304,Sheet2!CB:NF,$B304,0)&lt;&gt;""),HLOOKUP(M$2+$A304,Sheet2!CB:NF,$B304,0),"")</f>
        <v/>
      </c>
    </row>
    <row r="305" spans="1:13" x14ac:dyDescent="0.25">
      <c r="A305" s="68">
        <f t="shared" si="38"/>
        <v>25</v>
      </c>
      <c r="B305" s="68">
        <f t="shared" si="39"/>
        <v>42</v>
      </c>
      <c r="C305" s="68">
        <f t="shared" si="41"/>
        <v>6</v>
      </c>
      <c r="D305" s="68">
        <f t="shared" si="40"/>
        <v>38</v>
      </c>
      <c r="E305" s="68">
        <f t="shared" si="42"/>
        <v>186</v>
      </c>
      <c r="F305" s="21" t="str">
        <f>VLOOKUP(D305,Sheet2!A:B,2)</f>
        <v>J19-1306</v>
      </c>
      <c r="G305" s="68" t="str">
        <f>VLOOKUP(F305,Sheet2!B:C,2,0)</f>
        <v>ONLINE MONITORING PROJECT</v>
      </c>
      <c r="H305" s="68" t="str">
        <f>HLOOKUP(I$2+$A305,Sheet2!BX:NB,2,0)</f>
        <v>16-31 Mar 21</v>
      </c>
      <c r="I305" t="str">
        <f>IF(OR(HLOOKUP(I$2+$A305,Sheet2!BX:NB,$B305,0),HLOOKUP(I$2+$A305,Sheet2!BX:NB,$B305,0)&lt;&gt;""),HLOOKUP(I$2+$A305,Sheet2!BX:NB,$B305,0),"")</f>
        <v/>
      </c>
      <c r="J305" t="str">
        <f>IF(OR(HLOOKUP(J$2+$A305,Sheet2!BY:NC,$B305,0),HLOOKUP(J$2+$A305,Sheet2!BY:NC,$B305,0)&lt;&gt;""),HLOOKUP(J$2+$A305,Sheet2!BY:NC,$B305,0),"")</f>
        <v/>
      </c>
      <c r="K305" t="str">
        <f>IF(OR(HLOOKUP(K$2+$A305,Sheet2!BZ:ND,$B305,0),HLOOKUP(K$2+$A305,Sheet2!BZ:ND,$B305,0)&lt;&gt;""),HLOOKUP(K$2+$A305,Sheet2!BZ:ND,$B305,0),"")</f>
        <v/>
      </c>
      <c r="L305" t="str">
        <f>IF(OR(HLOOKUP(L$2+$A305,Sheet2!CA:NE,$B305,0),HLOOKUP(L$2+$A305,Sheet2!CA:NE,$B305,0)&lt;&gt;""),HLOOKUP(L$2+$A305,Sheet2!CA:NE,$B305,0),"")</f>
        <v/>
      </c>
      <c r="M305" t="str">
        <f>IF(OR(HLOOKUP(M$2+$A305,Sheet2!CB:NF,$B305,0),HLOOKUP(M$2+$A305,Sheet2!CB:NF,$B305,0)&lt;&gt;""),HLOOKUP(M$2+$A305,Sheet2!CB:NF,$B305,0),"")</f>
        <v/>
      </c>
    </row>
    <row r="306" spans="1:13" x14ac:dyDescent="0.25">
      <c r="A306" s="68">
        <f t="shared" si="38"/>
        <v>30</v>
      </c>
      <c r="B306" s="68">
        <f t="shared" si="39"/>
        <v>42</v>
      </c>
      <c r="C306" s="68">
        <f t="shared" si="41"/>
        <v>7</v>
      </c>
      <c r="D306" s="68">
        <f t="shared" si="40"/>
        <v>38</v>
      </c>
      <c r="E306" s="68">
        <f t="shared" si="42"/>
        <v>186</v>
      </c>
      <c r="F306" s="21" t="str">
        <f>VLOOKUP(D306,Sheet2!A:B,2)</f>
        <v>J19-1306</v>
      </c>
      <c r="G306" s="68" t="str">
        <f>VLOOKUP(F306,Sheet2!B:C,2,0)</f>
        <v>ONLINE MONITORING PROJECT</v>
      </c>
      <c r="H306" s="68" t="str">
        <f>HLOOKUP(I$2+$A306,Sheet2!BX:NB,2,0)</f>
        <v>1-15 April 21</v>
      </c>
      <c r="I306" t="str">
        <f>IF(OR(HLOOKUP(I$2+$A306,Sheet2!BX:NB,$B306,0),HLOOKUP(I$2+$A306,Sheet2!BX:NB,$B306,0)&lt;&gt;""),HLOOKUP(I$2+$A306,Sheet2!BX:NB,$B306,0),"")</f>
        <v/>
      </c>
      <c r="J306" t="str">
        <f>IF(OR(HLOOKUP(J$2+$A306,Sheet2!BY:NC,$B306,0),HLOOKUP(J$2+$A306,Sheet2!BY:NC,$B306,0)&lt;&gt;""),HLOOKUP(J$2+$A306,Sheet2!BY:NC,$B306,0),"")</f>
        <v/>
      </c>
      <c r="K306" t="str">
        <f>IF(OR(HLOOKUP(K$2+$A306,Sheet2!BZ:ND,$B306,0),HLOOKUP(K$2+$A306,Sheet2!BZ:ND,$B306,0)&lt;&gt;""),HLOOKUP(K$2+$A306,Sheet2!BZ:ND,$B306,0),"")</f>
        <v/>
      </c>
      <c r="L306" t="str">
        <f>IF(OR(HLOOKUP(L$2+$A306,Sheet2!CA:NE,$B306,0),HLOOKUP(L$2+$A306,Sheet2!CA:NE,$B306,0)&lt;&gt;""),HLOOKUP(L$2+$A306,Sheet2!CA:NE,$B306,0),"")</f>
        <v/>
      </c>
      <c r="M306" t="str">
        <f>IF(OR(HLOOKUP(M$2+$A306,Sheet2!CB:NF,$B306,0),HLOOKUP(M$2+$A306,Sheet2!CB:NF,$B306,0)&lt;&gt;""),HLOOKUP(M$2+$A306,Sheet2!CB:NF,$B306,0),"")</f>
        <v/>
      </c>
    </row>
    <row r="307" spans="1:13" x14ac:dyDescent="0.25">
      <c r="A307" s="68">
        <f t="shared" si="38"/>
        <v>35</v>
      </c>
      <c r="B307" s="68">
        <f t="shared" si="39"/>
        <v>42</v>
      </c>
      <c r="C307" s="68">
        <f t="shared" si="41"/>
        <v>8</v>
      </c>
      <c r="D307" s="68">
        <f t="shared" si="40"/>
        <v>38</v>
      </c>
      <c r="E307" s="68">
        <f t="shared" si="42"/>
        <v>186</v>
      </c>
      <c r="F307" s="21" t="str">
        <f>VLOOKUP(D307,Sheet2!A:B,2)</f>
        <v>J19-1306</v>
      </c>
      <c r="G307" s="68" t="str">
        <f>VLOOKUP(F307,Sheet2!B:C,2,0)</f>
        <v>ONLINE MONITORING PROJECT</v>
      </c>
      <c r="H307" s="68" t="str">
        <f>HLOOKUP(I$2+$A307,Sheet2!BX:NB,2,0)</f>
        <v>16-30 April 21</v>
      </c>
      <c r="I307" t="str">
        <f>IF(OR(HLOOKUP(I$2+$A307,Sheet2!BX:NB,$B307,0),HLOOKUP(I$2+$A307,Sheet2!BX:NB,$B307,0)&lt;&gt;""),HLOOKUP(I$2+$A307,Sheet2!BX:NB,$B307,0),"")</f>
        <v/>
      </c>
      <c r="J307" t="str">
        <f>IF(OR(HLOOKUP(J$2+$A307,Sheet2!BY:NC,$B307,0),HLOOKUP(J$2+$A307,Sheet2!BY:NC,$B307,0)&lt;&gt;""),HLOOKUP(J$2+$A307,Sheet2!BY:NC,$B307,0),"")</f>
        <v/>
      </c>
      <c r="K307" t="str">
        <f>IF(OR(HLOOKUP(K$2+$A307,Sheet2!BZ:ND,$B307,0),HLOOKUP(K$2+$A307,Sheet2!BZ:ND,$B307,0)&lt;&gt;""),HLOOKUP(K$2+$A307,Sheet2!BZ:ND,$B307,0),"")</f>
        <v/>
      </c>
      <c r="L307" t="str">
        <f>IF(OR(HLOOKUP(L$2+$A307,Sheet2!CA:NE,$B307,0),HLOOKUP(L$2+$A307,Sheet2!CA:NE,$B307,0)&lt;&gt;""),HLOOKUP(L$2+$A307,Sheet2!CA:NE,$B307,0),"")</f>
        <v/>
      </c>
      <c r="M307" t="str">
        <f>IF(OR(HLOOKUP(M$2+$A307,Sheet2!CB:NF,$B307,0),HLOOKUP(M$2+$A307,Sheet2!CB:NF,$B307,0)&lt;&gt;""),HLOOKUP(M$2+$A307,Sheet2!CB:NF,$B307,0),"")</f>
        <v/>
      </c>
    </row>
    <row r="308" spans="1:13" x14ac:dyDescent="0.25">
      <c r="A308" s="68">
        <f t="shared" si="38"/>
        <v>0</v>
      </c>
      <c r="B308" s="68">
        <f t="shared" si="39"/>
        <v>43</v>
      </c>
      <c r="C308" s="68">
        <f t="shared" si="41"/>
        <v>1</v>
      </c>
      <c r="D308" s="68">
        <f t="shared" si="40"/>
        <v>39</v>
      </c>
      <c r="E308" s="68">
        <f t="shared" si="42"/>
        <v>191</v>
      </c>
      <c r="F308" s="21" t="str">
        <f>VLOOKUP(D308,Sheet2!A:B,2)</f>
        <v>J19-0915</v>
      </c>
      <c r="G308" s="68" t="str">
        <f>VLOOKUP(F308,Sheet2!B:C,2,0)</f>
        <v>Utility Improvement New Equipment for GC13(bor16)</v>
      </c>
      <c r="H308" s="68" t="str">
        <f>HLOOKUP(I$2+$A308,Sheet2!BX:NB,2,0)</f>
        <v>1-15 Jan 21</v>
      </c>
      <c r="I308" t="str">
        <f>IF(OR(HLOOKUP(I$2+$A308,Sheet2!BX:NB,$B308,0),HLOOKUP(I$2+$A308,Sheet2!BX:NB,$B308,0)&lt;&gt;""),HLOOKUP(I$2+$A308,Sheet2!BX:NB,$B308,0),"")</f>
        <v/>
      </c>
      <c r="J308" t="str">
        <f>IF(OR(HLOOKUP(J$2+$A308,Sheet2!BY:NC,$B308,0),HLOOKUP(J$2+$A308,Sheet2!BY:NC,$B308,0)&lt;&gt;""),HLOOKUP(J$2+$A308,Sheet2!BY:NC,$B308,0),"")</f>
        <v/>
      </c>
      <c r="K308" t="str">
        <f>IF(OR(HLOOKUP(K$2+$A308,Sheet2!BZ:ND,$B308,0),HLOOKUP(K$2+$A308,Sheet2!BZ:ND,$B308,0)&lt;&gt;""),HLOOKUP(K$2+$A308,Sheet2!BZ:ND,$B308,0),"")</f>
        <v/>
      </c>
      <c r="L308" t="str">
        <f>IF(OR(HLOOKUP(L$2+$A308,Sheet2!CA:NE,$B308,0),HLOOKUP(L$2+$A308,Sheet2!CA:NE,$B308,0)&lt;&gt;""),HLOOKUP(L$2+$A308,Sheet2!CA:NE,$B308,0),"")</f>
        <v/>
      </c>
      <c r="M308" t="str">
        <f>IF(OR(HLOOKUP(M$2+$A308,Sheet2!CB:NF,$B308,0),HLOOKUP(M$2+$A308,Sheet2!CB:NF,$B308,0)&lt;&gt;""),HLOOKUP(M$2+$A308,Sheet2!CB:NF,$B308,0),"")</f>
        <v/>
      </c>
    </row>
    <row r="309" spans="1:13" x14ac:dyDescent="0.25">
      <c r="A309" s="68">
        <f t="shared" si="38"/>
        <v>5</v>
      </c>
      <c r="B309" s="68">
        <f t="shared" si="39"/>
        <v>43</v>
      </c>
      <c r="C309" s="68">
        <f t="shared" si="41"/>
        <v>2</v>
      </c>
      <c r="D309" s="68">
        <f t="shared" si="40"/>
        <v>39</v>
      </c>
      <c r="E309" s="68">
        <f t="shared" si="42"/>
        <v>191</v>
      </c>
      <c r="F309" s="21" t="str">
        <f>VLOOKUP(D309,Sheet2!A:B,2)</f>
        <v>J19-0915</v>
      </c>
      <c r="G309" s="68" t="str">
        <f>VLOOKUP(F309,Sheet2!B:C,2,0)</f>
        <v>Utility Improvement New Equipment for GC13(bor16)</v>
      </c>
      <c r="H309" s="68" t="str">
        <f>HLOOKUP(I$2+$A309,Sheet2!BX:NB,2,0)</f>
        <v>16-31 Jan 21</v>
      </c>
      <c r="I309" t="str">
        <f>IF(OR(HLOOKUP(I$2+$A309,Sheet2!BX:NB,$B309,0),HLOOKUP(I$2+$A309,Sheet2!BX:NB,$B309,0)&lt;&gt;""),HLOOKUP(I$2+$A309,Sheet2!BX:NB,$B309,0),"")</f>
        <v/>
      </c>
      <c r="J309" t="str">
        <f>IF(OR(HLOOKUP(J$2+$A309,Sheet2!BY:NC,$B309,0),HLOOKUP(J$2+$A309,Sheet2!BY:NC,$B309,0)&lt;&gt;""),HLOOKUP(J$2+$A309,Sheet2!BY:NC,$B309,0),"")</f>
        <v/>
      </c>
      <c r="K309" t="str">
        <f>IF(OR(HLOOKUP(K$2+$A309,Sheet2!BZ:ND,$B309,0),HLOOKUP(K$2+$A309,Sheet2!BZ:ND,$B309,0)&lt;&gt;""),HLOOKUP(K$2+$A309,Sheet2!BZ:ND,$B309,0),"")</f>
        <v/>
      </c>
      <c r="L309" t="str">
        <f>IF(OR(HLOOKUP(L$2+$A309,Sheet2!CA:NE,$B309,0),HLOOKUP(L$2+$A309,Sheet2!CA:NE,$B309,0)&lt;&gt;""),HLOOKUP(L$2+$A309,Sheet2!CA:NE,$B309,0),"")</f>
        <v/>
      </c>
      <c r="M309" t="str">
        <f>IF(OR(HLOOKUP(M$2+$A309,Sheet2!CB:NF,$B309,0),HLOOKUP(M$2+$A309,Sheet2!CB:NF,$B309,0)&lt;&gt;""),HLOOKUP(M$2+$A309,Sheet2!CB:NF,$B309,0),"")</f>
        <v/>
      </c>
    </row>
    <row r="310" spans="1:13" x14ac:dyDescent="0.25">
      <c r="A310" s="68">
        <f t="shared" ref="A310:A373" si="43">IF(C310&lt;&gt;1,A309+5,0)</f>
        <v>10</v>
      </c>
      <c r="B310" s="68">
        <f t="shared" ref="B310:B373" si="44">IF(C310&lt;&gt;1,B309,B309+1)</f>
        <v>43</v>
      </c>
      <c r="C310" s="68">
        <f t="shared" si="41"/>
        <v>3</v>
      </c>
      <c r="D310" s="68">
        <f t="shared" ref="D310:D373" si="45">IF(C310=1,D309+1,D309)</f>
        <v>39</v>
      </c>
      <c r="E310" s="68">
        <f t="shared" si="42"/>
        <v>191</v>
      </c>
      <c r="F310" s="21" t="str">
        <f>VLOOKUP(D310,Sheet2!A:B,2)</f>
        <v>J19-0915</v>
      </c>
      <c r="G310" s="68" t="str">
        <f>VLOOKUP(F310,Sheet2!B:C,2,0)</f>
        <v>Utility Improvement New Equipment for GC13(bor16)</v>
      </c>
      <c r="H310" s="68" t="str">
        <f>HLOOKUP(I$2+$A310,Sheet2!BX:NB,2,0)</f>
        <v>1-15 Feb 21</v>
      </c>
      <c r="I310" t="str">
        <f>IF(OR(HLOOKUP(I$2+$A310,Sheet2!BX:NB,$B310,0),HLOOKUP(I$2+$A310,Sheet2!BX:NB,$B310,0)&lt;&gt;""),HLOOKUP(I$2+$A310,Sheet2!BX:NB,$B310,0),"")</f>
        <v/>
      </c>
      <c r="J310" t="str">
        <f>IF(OR(HLOOKUP(J$2+$A310,Sheet2!BY:NC,$B310,0),HLOOKUP(J$2+$A310,Sheet2!BY:NC,$B310,0)&lt;&gt;""),HLOOKUP(J$2+$A310,Sheet2!BY:NC,$B310,0),"")</f>
        <v/>
      </c>
      <c r="K310" t="str">
        <f>IF(OR(HLOOKUP(K$2+$A310,Sheet2!BZ:ND,$B310,0),HLOOKUP(K$2+$A310,Sheet2!BZ:ND,$B310,0)&lt;&gt;""),HLOOKUP(K$2+$A310,Sheet2!BZ:ND,$B310,0),"")</f>
        <v/>
      </c>
      <c r="L310" t="str">
        <f>IF(OR(HLOOKUP(L$2+$A310,Sheet2!CA:NE,$B310,0),HLOOKUP(L$2+$A310,Sheet2!CA:NE,$B310,0)&lt;&gt;""),HLOOKUP(L$2+$A310,Sheet2!CA:NE,$B310,0),"")</f>
        <v/>
      </c>
      <c r="M310" t="str">
        <f>IF(OR(HLOOKUP(M$2+$A310,Sheet2!CB:NF,$B310,0),HLOOKUP(M$2+$A310,Sheet2!CB:NF,$B310,0)&lt;&gt;""),HLOOKUP(M$2+$A310,Sheet2!CB:NF,$B310,0),"")</f>
        <v/>
      </c>
    </row>
    <row r="311" spans="1:13" x14ac:dyDescent="0.25">
      <c r="A311" s="68">
        <f t="shared" si="43"/>
        <v>15</v>
      </c>
      <c r="B311" s="68">
        <f t="shared" si="44"/>
        <v>43</v>
      </c>
      <c r="C311" s="68">
        <f t="shared" si="41"/>
        <v>4</v>
      </c>
      <c r="D311" s="68">
        <f t="shared" si="45"/>
        <v>39</v>
      </c>
      <c r="E311" s="68">
        <f t="shared" si="42"/>
        <v>191</v>
      </c>
      <c r="F311" s="21" t="str">
        <f>VLOOKUP(D311,Sheet2!A:B,2)</f>
        <v>J19-0915</v>
      </c>
      <c r="G311" s="68" t="str">
        <f>VLOOKUP(F311,Sheet2!B:C,2,0)</f>
        <v>Utility Improvement New Equipment for GC13(bor16)</v>
      </c>
      <c r="H311" s="68" t="str">
        <f>HLOOKUP(I$2+$A311,Sheet2!BX:NB,2,0)</f>
        <v>16-28 Feb 21</v>
      </c>
      <c r="I311" t="str">
        <f>IF(OR(HLOOKUP(I$2+$A311,Sheet2!BX:NB,$B311,0),HLOOKUP(I$2+$A311,Sheet2!BX:NB,$B311,0)&lt;&gt;""),HLOOKUP(I$2+$A311,Sheet2!BX:NB,$B311,0),"")</f>
        <v/>
      </c>
      <c r="J311" t="str">
        <f>IF(OR(HLOOKUP(J$2+$A311,Sheet2!BY:NC,$B311,0),HLOOKUP(J$2+$A311,Sheet2!BY:NC,$B311,0)&lt;&gt;""),HLOOKUP(J$2+$A311,Sheet2!BY:NC,$B311,0),"")</f>
        <v/>
      </c>
      <c r="K311" t="str">
        <f>IF(OR(HLOOKUP(K$2+$A311,Sheet2!BZ:ND,$B311,0),HLOOKUP(K$2+$A311,Sheet2!BZ:ND,$B311,0)&lt;&gt;""),HLOOKUP(K$2+$A311,Sheet2!BZ:ND,$B311,0),"")</f>
        <v/>
      </c>
      <c r="L311" t="str">
        <f>IF(OR(HLOOKUP(L$2+$A311,Sheet2!CA:NE,$B311,0),HLOOKUP(L$2+$A311,Sheet2!CA:NE,$B311,0)&lt;&gt;""),HLOOKUP(L$2+$A311,Sheet2!CA:NE,$B311,0),"")</f>
        <v/>
      </c>
      <c r="M311" t="str">
        <f>IF(OR(HLOOKUP(M$2+$A311,Sheet2!CB:NF,$B311,0),HLOOKUP(M$2+$A311,Sheet2!CB:NF,$B311,0)&lt;&gt;""),HLOOKUP(M$2+$A311,Sheet2!CB:NF,$B311,0),"")</f>
        <v/>
      </c>
    </row>
    <row r="312" spans="1:13" x14ac:dyDescent="0.25">
      <c r="A312" s="68">
        <f t="shared" si="43"/>
        <v>20</v>
      </c>
      <c r="B312" s="68">
        <f t="shared" si="44"/>
        <v>43</v>
      </c>
      <c r="C312" s="68">
        <f t="shared" si="41"/>
        <v>5</v>
      </c>
      <c r="D312" s="68">
        <f t="shared" si="45"/>
        <v>39</v>
      </c>
      <c r="E312" s="68">
        <f t="shared" si="42"/>
        <v>191</v>
      </c>
      <c r="F312" s="21" t="str">
        <f>VLOOKUP(D312,Sheet2!A:B,2)</f>
        <v>J19-0915</v>
      </c>
      <c r="G312" s="68" t="str">
        <f>VLOOKUP(F312,Sheet2!B:C,2,0)</f>
        <v>Utility Improvement New Equipment for GC13(bor16)</v>
      </c>
      <c r="H312" s="68" t="str">
        <f>HLOOKUP(I$2+$A312,Sheet2!BX:NB,2,0)</f>
        <v>1-15 Mar 2021</v>
      </c>
      <c r="I312" t="str">
        <f>IF(OR(HLOOKUP(I$2+$A312,Sheet2!BX:NB,$B312,0),HLOOKUP(I$2+$A312,Sheet2!BX:NB,$B312,0)&lt;&gt;""),HLOOKUP(I$2+$A312,Sheet2!BX:NB,$B312,0),"")</f>
        <v/>
      </c>
      <c r="J312" t="str">
        <f>IF(OR(HLOOKUP(J$2+$A312,Sheet2!BY:NC,$B312,0),HLOOKUP(J$2+$A312,Sheet2!BY:NC,$B312,0)&lt;&gt;""),HLOOKUP(J$2+$A312,Sheet2!BY:NC,$B312,0),"")</f>
        <v/>
      </c>
      <c r="K312" t="str">
        <f>IF(OR(HLOOKUP(K$2+$A312,Sheet2!BZ:ND,$B312,0),HLOOKUP(K$2+$A312,Sheet2!BZ:ND,$B312,0)&lt;&gt;""),HLOOKUP(K$2+$A312,Sheet2!BZ:ND,$B312,0),"")</f>
        <v/>
      </c>
      <c r="L312" t="str">
        <f>IF(OR(HLOOKUP(L$2+$A312,Sheet2!CA:NE,$B312,0),HLOOKUP(L$2+$A312,Sheet2!CA:NE,$B312,0)&lt;&gt;""),HLOOKUP(L$2+$A312,Sheet2!CA:NE,$B312,0),"")</f>
        <v/>
      </c>
      <c r="M312" t="str">
        <f>IF(OR(HLOOKUP(M$2+$A312,Sheet2!CB:NF,$B312,0),HLOOKUP(M$2+$A312,Sheet2!CB:NF,$B312,0)&lt;&gt;""),HLOOKUP(M$2+$A312,Sheet2!CB:NF,$B312,0),"")</f>
        <v/>
      </c>
    </row>
    <row r="313" spans="1:13" x14ac:dyDescent="0.25">
      <c r="A313" s="68">
        <f t="shared" si="43"/>
        <v>25</v>
      </c>
      <c r="B313" s="68">
        <f t="shared" si="44"/>
        <v>43</v>
      </c>
      <c r="C313" s="68">
        <f t="shared" si="41"/>
        <v>6</v>
      </c>
      <c r="D313" s="68">
        <f t="shared" si="45"/>
        <v>39</v>
      </c>
      <c r="E313" s="68">
        <f t="shared" si="42"/>
        <v>191</v>
      </c>
      <c r="F313" s="21" t="str">
        <f>VLOOKUP(D313,Sheet2!A:B,2)</f>
        <v>J19-0915</v>
      </c>
      <c r="G313" s="68" t="str">
        <f>VLOOKUP(F313,Sheet2!B:C,2,0)</f>
        <v>Utility Improvement New Equipment for GC13(bor16)</v>
      </c>
      <c r="H313" s="68" t="str">
        <f>HLOOKUP(I$2+$A313,Sheet2!BX:NB,2,0)</f>
        <v>16-31 Mar 21</v>
      </c>
      <c r="I313" t="str">
        <f>IF(OR(HLOOKUP(I$2+$A313,Sheet2!BX:NB,$B313,0),HLOOKUP(I$2+$A313,Sheet2!BX:NB,$B313,0)&lt;&gt;""),HLOOKUP(I$2+$A313,Sheet2!BX:NB,$B313,0),"")</f>
        <v/>
      </c>
      <c r="J313" t="str">
        <f>IF(OR(HLOOKUP(J$2+$A313,Sheet2!BY:NC,$B313,0),HLOOKUP(J$2+$A313,Sheet2!BY:NC,$B313,0)&lt;&gt;""),HLOOKUP(J$2+$A313,Sheet2!BY:NC,$B313,0),"")</f>
        <v/>
      </c>
      <c r="K313" t="str">
        <f>IF(OR(HLOOKUP(K$2+$A313,Sheet2!BZ:ND,$B313,0),HLOOKUP(K$2+$A313,Sheet2!BZ:ND,$B313,0)&lt;&gt;""),HLOOKUP(K$2+$A313,Sheet2!BZ:ND,$B313,0),"")</f>
        <v/>
      </c>
      <c r="L313" t="str">
        <f>IF(OR(HLOOKUP(L$2+$A313,Sheet2!CA:NE,$B313,0),HLOOKUP(L$2+$A313,Sheet2!CA:NE,$B313,0)&lt;&gt;""),HLOOKUP(L$2+$A313,Sheet2!CA:NE,$B313,0),"")</f>
        <v/>
      </c>
      <c r="M313" t="str">
        <f>IF(OR(HLOOKUP(M$2+$A313,Sheet2!CB:NF,$B313,0),HLOOKUP(M$2+$A313,Sheet2!CB:NF,$B313,0)&lt;&gt;""),HLOOKUP(M$2+$A313,Sheet2!CB:NF,$B313,0),"")</f>
        <v/>
      </c>
    </row>
    <row r="314" spans="1:13" x14ac:dyDescent="0.25">
      <c r="A314" s="68">
        <f t="shared" si="43"/>
        <v>30</v>
      </c>
      <c r="B314" s="68">
        <f t="shared" si="44"/>
        <v>43</v>
      </c>
      <c r="C314" s="68">
        <f t="shared" si="41"/>
        <v>7</v>
      </c>
      <c r="D314" s="68">
        <f t="shared" si="45"/>
        <v>39</v>
      </c>
      <c r="E314" s="68">
        <f t="shared" si="42"/>
        <v>191</v>
      </c>
      <c r="F314" s="21" t="str">
        <f>VLOOKUP(D314,Sheet2!A:B,2)</f>
        <v>J19-0915</v>
      </c>
      <c r="G314" s="68" t="str">
        <f>VLOOKUP(F314,Sheet2!B:C,2,0)</f>
        <v>Utility Improvement New Equipment for GC13(bor16)</v>
      </c>
      <c r="H314" s="68" t="str">
        <f>HLOOKUP(I$2+$A314,Sheet2!BX:NB,2,0)</f>
        <v>1-15 April 21</v>
      </c>
      <c r="I314" t="str">
        <f>IF(OR(HLOOKUP(I$2+$A314,Sheet2!BX:NB,$B314,0),HLOOKUP(I$2+$A314,Sheet2!BX:NB,$B314,0)&lt;&gt;""),HLOOKUP(I$2+$A314,Sheet2!BX:NB,$B314,0),"")</f>
        <v/>
      </c>
      <c r="J314" t="str">
        <f>IF(OR(HLOOKUP(J$2+$A314,Sheet2!BY:NC,$B314,0),HLOOKUP(J$2+$A314,Sheet2!BY:NC,$B314,0)&lt;&gt;""),HLOOKUP(J$2+$A314,Sheet2!BY:NC,$B314,0),"")</f>
        <v/>
      </c>
      <c r="K314" t="str">
        <f>IF(OR(HLOOKUP(K$2+$A314,Sheet2!BZ:ND,$B314,0),HLOOKUP(K$2+$A314,Sheet2!BZ:ND,$B314,0)&lt;&gt;""),HLOOKUP(K$2+$A314,Sheet2!BZ:ND,$B314,0),"")</f>
        <v/>
      </c>
      <c r="L314" t="str">
        <f>IF(OR(HLOOKUP(L$2+$A314,Sheet2!CA:NE,$B314,0),HLOOKUP(L$2+$A314,Sheet2!CA:NE,$B314,0)&lt;&gt;""),HLOOKUP(L$2+$A314,Sheet2!CA:NE,$B314,0),"")</f>
        <v/>
      </c>
      <c r="M314" t="str">
        <f>IF(OR(HLOOKUP(M$2+$A314,Sheet2!CB:NF,$B314,0),HLOOKUP(M$2+$A314,Sheet2!CB:NF,$B314,0)&lt;&gt;""),HLOOKUP(M$2+$A314,Sheet2!CB:NF,$B314,0),"")</f>
        <v/>
      </c>
    </row>
    <row r="315" spans="1:13" x14ac:dyDescent="0.25">
      <c r="A315" s="68">
        <f t="shared" si="43"/>
        <v>35</v>
      </c>
      <c r="B315" s="68">
        <f t="shared" si="44"/>
        <v>43</v>
      </c>
      <c r="C315" s="68">
        <f t="shared" si="41"/>
        <v>8</v>
      </c>
      <c r="D315" s="68">
        <f t="shared" si="45"/>
        <v>39</v>
      </c>
      <c r="E315" s="68">
        <f t="shared" si="42"/>
        <v>191</v>
      </c>
      <c r="F315" s="21" t="str">
        <f>VLOOKUP(D315,Sheet2!A:B,2)</f>
        <v>J19-0915</v>
      </c>
      <c r="G315" s="68" t="str">
        <f>VLOOKUP(F315,Sheet2!B:C,2,0)</f>
        <v>Utility Improvement New Equipment for GC13(bor16)</v>
      </c>
      <c r="H315" s="68" t="str">
        <f>HLOOKUP(I$2+$A315,Sheet2!BX:NB,2,0)</f>
        <v>16-30 April 21</v>
      </c>
      <c r="I315" t="str">
        <f>IF(OR(HLOOKUP(I$2+$A315,Sheet2!BX:NB,$B315,0),HLOOKUP(I$2+$A315,Sheet2!BX:NB,$B315,0)&lt;&gt;""),HLOOKUP(I$2+$A315,Sheet2!BX:NB,$B315,0),"")</f>
        <v/>
      </c>
      <c r="J315" t="str">
        <f>IF(OR(HLOOKUP(J$2+$A315,Sheet2!BY:NC,$B315,0),HLOOKUP(J$2+$A315,Sheet2!BY:NC,$B315,0)&lt;&gt;""),HLOOKUP(J$2+$A315,Sheet2!BY:NC,$B315,0),"")</f>
        <v/>
      </c>
      <c r="K315" t="str">
        <f>IF(OR(HLOOKUP(K$2+$A315,Sheet2!BZ:ND,$B315,0),HLOOKUP(K$2+$A315,Sheet2!BZ:ND,$B315,0)&lt;&gt;""),HLOOKUP(K$2+$A315,Sheet2!BZ:ND,$B315,0),"")</f>
        <v/>
      </c>
      <c r="L315" t="str">
        <f>IF(OR(HLOOKUP(L$2+$A315,Sheet2!CA:NE,$B315,0),HLOOKUP(L$2+$A315,Sheet2!CA:NE,$B315,0)&lt;&gt;""),HLOOKUP(L$2+$A315,Sheet2!CA:NE,$B315,0),"")</f>
        <v/>
      </c>
      <c r="M315" t="str">
        <f>IF(OR(HLOOKUP(M$2+$A315,Sheet2!CB:NF,$B315,0),HLOOKUP(M$2+$A315,Sheet2!CB:NF,$B315,0)&lt;&gt;""),HLOOKUP(M$2+$A315,Sheet2!CB:NF,$B315,0),"")</f>
        <v/>
      </c>
    </row>
    <row r="316" spans="1:13" x14ac:dyDescent="0.25">
      <c r="A316" s="68">
        <f t="shared" si="43"/>
        <v>0</v>
      </c>
      <c r="B316" s="68">
        <f t="shared" si="44"/>
        <v>44</v>
      </c>
      <c r="C316" s="68">
        <f t="shared" si="41"/>
        <v>1</v>
      </c>
      <c r="D316" s="68">
        <f t="shared" si="45"/>
        <v>40</v>
      </c>
      <c r="E316" s="68">
        <f t="shared" si="42"/>
        <v>196</v>
      </c>
      <c r="F316" s="21" t="str">
        <f>VLOOKUP(D316,Sheet2!A:B,2)</f>
        <v>J19-0838</v>
      </c>
      <c r="G316" s="68" t="str">
        <f>VLOOKUP(F316,Sheet2!B:C,2,0)</f>
        <v>Installation Temporary JB &amp; Gas detector ( 10sets</v>
      </c>
      <c r="H316" s="68" t="str">
        <f>HLOOKUP(I$2+$A316,Sheet2!BX:NB,2,0)</f>
        <v>1-15 Jan 21</v>
      </c>
      <c r="I316" t="str">
        <f>IF(OR(HLOOKUP(I$2+$A316,Sheet2!BX:NB,$B316,0),HLOOKUP(I$2+$A316,Sheet2!BX:NB,$B316,0)&lt;&gt;""),HLOOKUP(I$2+$A316,Sheet2!BX:NB,$B316,0),"")</f>
        <v/>
      </c>
      <c r="J316" t="str">
        <f>IF(OR(HLOOKUP(J$2+$A316,Sheet2!BY:NC,$B316,0),HLOOKUP(J$2+$A316,Sheet2!BY:NC,$B316,0)&lt;&gt;""),HLOOKUP(J$2+$A316,Sheet2!BY:NC,$B316,0),"")</f>
        <v/>
      </c>
      <c r="K316" t="str">
        <f>IF(OR(HLOOKUP(K$2+$A316,Sheet2!BZ:ND,$B316,0),HLOOKUP(K$2+$A316,Sheet2!BZ:ND,$B316,0)&lt;&gt;""),HLOOKUP(K$2+$A316,Sheet2!BZ:ND,$B316,0),"")</f>
        <v/>
      </c>
      <c r="L316" t="str">
        <f>IF(OR(HLOOKUP(L$2+$A316,Sheet2!CA:NE,$B316,0),HLOOKUP(L$2+$A316,Sheet2!CA:NE,$B316,0)&lt;&gt;""),HLOOKUP(L$2+$A316,Sheet2!CA:NE,$B316,0),"")</f>
        <v/>
      </c>
      <c r="M316" t="str">
        <f>IF(OR(HLOOKUP(M$2+$A316,Sheet2!CB:NF,$B316,0),HLOOKUP(M$2+$A316,Sheet2!CB:NF,$B316,0)&lt;&gt;""),HLOOKUP(M$2+$A316,Sheet2!CB:NF,$B316,0),"")</f>
        <v/>
      </c>
    </row>
    <row r="317" spans="1:13" x14ac:dyDescent="0.25">
      <c r="A317" s="68">
        <f t="shared" si="43"/>
        <v>5</v>
      </c>
      <c r="B317" s="68">
        <f t="shared" si="44"/>
        <v>44</v>
      </c>
      <c r="C317" s="68">
        <f t="shared" si="41"/>
        <v>2</v>
      </c>
      <c r="D317" s="68">
        <f t="shared" si="45"/>
        <v>40</v>
      </c>
      <c r="E317" s="68">
        <f t="shared" si="42"/>
        <v>196</v>
      </c>
      <c r="F317" s="21" t="str">
        <f>VLOOKUP(D317,Sheet2!A:B,2)</f>
        <v>J19-0838</v>
      </c>
      <c r="G317" s="68" t="str">
        <f>VLOOKUP(F317,Sheet2!B:C,2,0)</f>
        <v>Installation Temporary JB &amp; Gas detector ( 10sets</v>
      </c>
      <c r="H317" s="68" t="str">
        <f>HLOOKUP(I$2+$A317,Sheet2!BX:NB,2,0)</f>
        <v>16-31 Jan 21</v>
      </c>
      <c r="I317" t="str">
        <f>IF(OR(HLOOKUP(I$2+$A317,Sheet2!BX:NB,$B317,0),HLOOKUP(I$2+$A317,Sheet2!BX:NB,$B317,0)&lt;&gt;""),HLOOKUP(I$2+$A317,Sheet2!BX:NB,$B317,0),"")</f>
        <v/>
      </c>
      <c r="J317" t="str">
        <f>IF(OR(HLOOKUP(J$2+$A317,Sheet2!BY:NC,$B317,0),HLOOKUP(J$2+$A317,Sheet2!BY:NC,$B317,0)&lt;&gt;""),HLOOKUP(J$2+$A317,Sheet2!BY:NC,$B317,0),"")</f>
        <v/>
      </c>
      <c r="K317" t="str">
        <f>IF(OR(HLOOKUP(K$2+$A317,Sheet2!BZ:ND,$B317,0),HLOOKUP(K$2+$A317,Sheet2!BZ:ND,$B317,0)&lt;&gt;""),HLOOKUP(K$2+$A317,Sheet2!BZ:ND,$B317,0),"")</f>
        <v/>
      </c>
      <c r="L317" t="str">
        <f>IF(OR(HLOOKUP(L$2+$A317,Sheet2!CA:NE,$B317,0),HLOOKUP(L$2+$A317,Sheet2!CA:NE,$B317,0)&lt;&gt;""),HLOOKUP(L$2+$A317,Sheet2!CA:NE,$B317,0),"")</f>
        <v/>
      </c>
      <c r="M317" t="str">
        <f>IF(OR(HLOOKUP(M$2+$A317,Sheet2!CB:NF,$B317,0),HLOOKUP(M$2+$A317,Sheet2!CB:NF,$B317,0)&lt;&gt;""),HLOOKUP(M$2+$A317,Sheet2!CB:NF,$B317,0),"")</f>
        <v/>
      </c>
    </row>
    <row r="318" spans="1:13" x14ac:dyDescent="0.25">
      <c r="A318" s="68">
        <f t="shared" si="43"/>
        <v>10</v>
      </c>
      <c r="B318" s="68">
        <f t="shared" si="44"/>
        <v>44</v>
      </c>
      <c r="C318" s="68">
        <f t="shared" si="41"/>
        <v>3</v>
      </c>
      <c r="D318" s="68">
        <f t="shared" si="45"/>
        <v>40</v>
      </c>
      <c r="E318" s="68">
        <f t="shared" si="42"/>
        <v>196</v>
      </c>
      <c r="F318" s="21" t="str">
        <f>VLOOKUP(D318,Sheet2!A:B,2)</f>
        <v>J19-0838</v>
      </c>
      <c r="G318" s="68" t="str">
        <f>VLOOKUP(F318,Sheet2!B:C,2,0)</f>
        <v>Installation Temporary JB &amp; Gas detector ( 10sets</v>
      </c>
      <c r="H318" s="68" t="str">
        <f>HLOOKUP(I$2+$A318,Sheet2!BX:NB,2,0)</f>
        <v>1-15 Feb 21</v>
      </c>
      <c r="I318" t="str">
        <f>IF(OR(HLOOKUP(I$2+$A318,Sheet2!BX:NB,$B318,0),HLOOKUP(I$2+$A318,Sheet2!BX:NB,$B318,0)&lt;&gt;""),HLOOKUP(I$2+$A318,Sheet2!BX:NB,$B318,0),"")</f>
        <v/>
      </c>
      <c r="J318" t="str">
        <f>IF(OR(HLOOKUP(J$2+$A318,Sheet2!BY:NC,$B318,0),HLOOKUP(J$2+$A318,Sheet2!BY:NC,$B318,0)&lt;&gt;""),HLOOKUP(J$2+$A318,Sheet2!BY:NC,$B318,0),"")</f>
        <v/>
      </c>
      <c r="K318" t="str">
        <f>IF(OR(HLOOKUP(K$2+$A318,Sheet2!BZ:ND,$B318,0),HLOOKUP(K$2+$A318,Sheet2!BZ:ND,$B318,0)&lt;&gt;""),HLOOKUP(K$2+$A318,Sheet2!BZ:ND,$B318,0),"")</f>
        <v/>
      </c>
      <c r="L318" t="str">
        <f>IF(OR(HLOOKUP(L$2+$A318,Sheet2!CA:NE,$B318,0),HLOOKUP(L$2+$A318,Sheet2!CA:NE,$B318,0)&lt;&gt;""),HLOOKUP(L$2+$A318,Sheet2!CA:NE,$B318,0),"")</f>
        <v/>
      </c>
      <c r="M318" t="str">
        <f>IF(OR(HLOOKUP(M$2+$A318,Sheet2!CB:NF,$B318,0),HLOOKUP(M$2+$A318,Sheet2!CB:NF,$B318,0)&lt;&gt;""),HLOOKUP(M$2+$A318,Sheet2!CB:NF,$B318,0),"")</f>
        <v/>
      </c>
    </row>
    <row r="319" spans="1:13" x14ac:dyDescent="0.25">
      <c r="A319" s="68">
        <f t="shared" si="43"/>
        <v>15</v>
      </c>
      <c r="B319" s="68">
        <f t="shared" si="44"/>
        <v>44</v>
      </c>
      <c r="C319" s="68">
        <f t="shared" si="41"/>
        <v>4</v>
      </c>
      <c r="D319" s="68">
        <f t="shared" si="45"/>
        <v>40</v>
      </c>
      <c r="E319" s="68">
        <f t="shared" si="42"/>
        <v>196</v>
      </c>
      <c r="F319" s="21" t="str">
        <f>VLOOKUP(D319,Sheet2!A:B,2)</f>
        <v>J19-0838</v>
      </c>
      <c r="G319" s="68" t="str">
        <f>VLOOKUP(F319,Sheet2!B:C,2,0)</f>
        <v>Installation Temporary JB &amp; Gas detector ( 10sets</v>
      </c>
      <c r="H319" s="68" t="str">
        <f>HLOOKUP(I$2+$A319,Sheet2!BX:NB,2,0)</f>
        <v>16-28 Feb 21</v>
      </c>
      <c r="I319" t="str">
        <f>IF(OR(HLOOKUP(I$2+$A319,Sheet2!BX:NB,$B319,0),HLOOKUP(I$2+$A319,Sheet2!BX:NB,$B319,0)&lt;&gt;""),HLOOKUP(I$2+$A319,Sheet2!BX:NB,$B319,0),"")</f>
        <v/>
      </c>
      <c r="J319" t="str">
        <f>IF(OR(HLOOKUP(J$2+$A319,Sheet2!BY:NC,$B319,0),HLOOKUP(J$2+$A319,Sheet2!BY:NC,$B319,0)&lt;&gt;""),HLOOKUP(J$2+$A319,Sheet2!BY:NC,$B319,0),"")</f>
        <v/>
      </c>
      <c r="K319" t="str">
        <f>IF(OR(HLOOKUP(K$2+$A319,Sheet2!BZ:ND,$B319,0),HLOOKUP(K$2+$A319,Sheet2!BZ:ND,$B319,0)&lt;&gt;""),HLOOKUP(K$2+$A319,Sheet2!BZ:ND,$B319,0),"")</f>
        <v/>
      </c>
      <c r="L319" t="str">
        <f>IF(OR(HLOOKUP(L$2+$A319,Sheet2!CA:NE,$B319,0),HLOOKUP(L$2+$A319,Sheet2!CA:NE,$B319,0)&lt;&gt;""),HLOOKUP(L$2+$A319,Sheet2!CA:NE,$B319,0),"")</f>
        <v/>
      </c>
      <c r="M319" t="str">
        <f>IF(OR(HLOOKUP(M$2+$A319,Sheet2!CB:NF,$B319,0),HLOOKUP(M$2+$A319,Sheet2!CB:NF,$B319,0)&lt;&gt;""),HLOOKUP(M$2+$A319,Sheet2!CB:NF,$B319,0),"")</f>
        <v/>
      </c>
    </row>
    <row r="320" spans="1:13" x14ac:dyDescent="0.25">
      <c r="A320" s="68">
        <f t="shared" si="43"/>
        <v>20</v>
      </c>
      <c r="B320" s="68">
        <f t="shared" si="44"/>
        <v>44</v>
      </c>
      <c r="C320" s="68">
        <f t="shared" si="41"/>
        <v>5</v>
      </c>
      <c r="D320" s="68">
        <f t="shared" si="45"/>
        <v>40</v>
      </c>
      <c r="E320" s="68">
        <f t="shared" si="42"/>
        <v>196</v>
      </c>
      <c r="F320" s="21" t="str">
        <f>VLOOKUP(D320,Sheet2!A:B,2)</f>
        <v>J19-0838</v>
      </c>
      <c r="G320" s="68" t="str">
        <f>VLOOKUP(F320,Sheet2!B:C,2,0)</f>
        <v>Installation Temporary JB &amp; Gas detector ( 10sets</v>
      </c>
      <c r="H320" s="68" t="str">
        <f>HLOOKUP(I$2+$A320,Sheet2!BX:NB,2,0)</f>
        <v>1-15 Mar 2021</v>
      </c>
      <c r="I320" t="str">
        <f>IF(OR(HLOOKUP(I$2+$A320,Sheet2!BX:NB,$B320,0),HLOOKUP(I$2+$A320,Sheet2!BX:NB,$B320,0)&lt;&gt;""),HLOOKUP(I$2+$A320,Sheet2!BX:NB,$B320,0),"")</f>
        <v/>
      </c>
      <c r="J320" t="str">
        <f>IF(OR(HLOOKUP(J$2+$A320,Sheet2!BY:NC,$B320,0),HLOOKUP(J$2+$A320,Sheet2!BY:NC,$B320,0)&lt;&gt;""),HLOOKUP(J$2+$A320,Sheet2!BY:NC,$B320,0),"")</f>
        <v/>
      </c>
      <c r="K320" t="str">
        <f>IF(OR(HLOOKUP(K$2+$A320,Sheet2!BZ:ND,$B320,0),HLOOKUP(K$2+$A320,Sheet2!BZ:ND,$B320,0)&lt;&gt;""),HLOOKUP(K$2+$A320,Sheet2!BZ:ND,$B320,0),"")</f>
        <v/>
      </c>
      <c r="L320" t="str">
        <f>IF(OR(HLOOKUP(L$2+$A320,Sheet2!CA:NE,$B320,0),HLOOKUP(L$2+$A320,Sheet2!CA:NE,$B320,0)&lt;&gt;""),HLOOKUP(L$2+$A320,Sheet2!CA:NE,$B320,0),"")</f>
        <v/>
      </c>
      <c r="M320" t="str">
        <f>IF(OR(HLOOKUP(M$2+$A320,Sheet2!CB:NF,$B320,0),HLOOKUP(M$2+$A320,Sheet2!CB:NF,$B320,0)&lt;&gt;""),HLOOKUP(M$2+$A320,Sheet2!CB:NF,$B320,0),"")</f>
        <v/>
      </c>
    </row>
    <row r="321" spans="1:13" x14ac:dyDescent="0.25">
      <c r="A321" s="68">
        <f t="shared" si="43"/>
        <v>25</v>
      </c>
      <c r="B321" s="68">
        <f t="shared" si="44"/>
        <v>44</v>
      </c>
      <c r="C321" s="68">
        <f t="shared" si="41"/>
        <v>6</v>
      </c>
      <c r="D321" s="68">
        <f t="shared" si="45"/>
        <v>40</v>
      </c>
      <c r="E321" s="68">
        <f t="shared" si="42"/>
        <v>196</v>
      </c>
      <c r="F321" s="21" t="str">
        <f>VLOOKUP(D321,Sheet2!A:B,2)</f>
        <v>J19-0838</v>
      </c>
      <c r="G321" s="68" t="str">
        <f>VLOOKUP(F321,Sheet2!B:C,2,0)</f>
        <v>Installation Temporary JB &amp; Gas detector ( 10sets</v>
      </c>
      <c r="H321" s="68" t="str">
        <f>HLOOKUP(I$2+$A321,Sheet2!BX:NB,2,0)</f>
        <v>16-31 Mar 21</v>
      </c>
      <c r="I321" t="str">
        <f>IF(OR(HLOOKUP(I$2+$A321,Sheet2!BX:NB,$B321,0),HLOOKUP(I$2+$A321,Sheet2!BX:NB,$B321,0)&lt;&gt;""),HLOOKUP(I$2+$A321,Sheet2!BX:NB,$B321,0),"")</f>
        <v/>
      </c>
      <c r="J321" t="str">
        <f>IF(OR(HLOOKUP(J$2+$A321,Sheet2!BY:NC,$B321,0),HLOOKUP(J$2+$A321,Sheet2!BY:NC,$B321,0)&lt;&gt;""),HLOOKUP(J$2+$A321,Sheet2!BY:NC,$B321,0),"")</f>
        <v/>
      </c>
      <c r="K321" t="str">
        <f>IF(OR(HLOOKUP(K$2+$A321,Sheet2!BZ:ND,$B321,0),HLOOKUP(K$2+$A321,Sheet2!BZ:ND,$B321,0)&lt;&gt;""),HLOOKUP(K$2+$A321,Sheet2!BZ:ND,$B321,0),"")</f>
        <v/>
      </c>
      <c r="L321" t="str">
        <f>IF(OR(HLOOKUP(L$2+$A321,Sheet2!CA:NE,$B321,0),HLOOKUP(L$2+$A321,Sheet2!CA:NE,$B321,0)&lt;&gt;""),HLOOKUP(L$2+$A321,Sheet2!CA:NE,$B321,0),"")</f>
        <v/>
      </c>
      <c r="M321" t="str">
        <f>IF(OR(HLOOKUP(M$2+$A321,Sheet2!CB:NF,$B321,0),HLOOKUP(M$2+$A321,Sheet2!CB:NF,$B321,0)&lt;&gt;""),HLOOKUP(M$2+$A321,Sheet2!CB:NF,$B321,0),"")</f>
        <v/>
      </c>
    </row>
    <row r="322" spans="1:13" x14ac:dyDescent="0.25">
      <c r="A322" s="68">
        <f t="shared" si="43"/>
        <v>30</v>
      </c>
      <c r="B322" s="68">
        <f t="shared" si="44"/>
        <v>44</v>
      </c>
      <c r="C322" s="68">
        <f t="shared" si="41"/>
        <v>7</v>
      </c>
      <c r="D322" s="68">
        <f t="shared" si="45"/>
        <v>40</v>
      </c>
      <c r="E322" s="68">
        <f t="shared" si="42"/>
        <v>196</v>
      </c>
      <c r="F322" s="21" t="str">
        <f>VLOOKUP(D322,Sheet2!A:B,2)</f>
        <v>J19-0838</v>
      </c>
      <c r="G322" s="68" t="str">
        <f>VLOOKUP(F322,Sheet2!B:C,2,0)</f>
        <v>Installation Temporary JB &amp; Gas detector ( 10sets</v>
      </c>
      <c r="H322" s="68" t="str">
        <f>HLOOKUP(I$2+$A322,Sheet2!BX:NB,2,0)</f>
        <v>1-15 April 21</v>
      </c>
      <c r="I322" t="str">
        <f>IF(OR(HLOOKUP(I$2+$A322,Sheet2!BX:NB,$B322,0),HLOOKUP(I$2+$A322,Sheet2!BX:NB,$B322,0)&lt;&gt;""),HLOOKUP(I$2+$A322,Sheet2!BX:NB,$B322,0),"")</f>
        <v/>
      </c>
      <c r="J322" t="str">
        <f>IF(OR(HLOOKUP(J$2+$A322,Sheet2!BY:NC,$B322,0),HLOOKUP(J$2+$A322,Sheet2!BY:NC,$B322,0)&lt;&gt;""),HLOOKUP(J$2+$A322,Sheet2!BY:NC,$B322,0),"")</f>
        <v/>
      </c>
      <c r="K322" t="str">
        <f>IF(OR(HLOOKUP(K$2+$A322,Sheet2!BZ:ND,$B322,0),HLOOKUP(K$2+$A322,Sheet2!BZ:ND,$B322,0)&lt;&gt;""),HLOOKUP(K$2+$A322,Sheet2!BZ:ND,$B322,0),"")</f>
        <v/>
      </c>
      <c r="L322" t="str">
        <f>IF(OR(HLOOKUP(L$2+$A322,Sheet2!CA:NE,$B322,0),HLOOKUP(L$2+$A322,Sheet2!CA:NE,$B322,0)&lt;&gt;""),HLOOKUP(L$2+$A322,Sheet2!CA:NE,$B322,0),"")</f>
        <v/>
      </c>
      <c r="M322" t="str">
        <f>IF(OR(HLOOKUP(M$2+$A322,Sheet2!CB:NF,$B322,0),HLOOKUP(M$2+$A322,Sheet2!CB:NF,$B322,0)&lt;&gt;""),HLOOKUP(M$2+$A322,Sheet2!CB:NF,$B322,0),"")</f>
        <v/>
      </c>
    </row>
    <row r="323" spans="1:13" x14ac:dyDescent="0.25">
      <c r="A323" s="68">
        <f t="shared" si="43"/>
        <v>35</v>
      </c>
      <c r="B323" s="68">
        <f t="shared" si="44"/>
        <v>44</v>
      </c>
      <c r="C323" s="68">
        <f t="shared" si="41"/>
        <v>8</v>
      </c>
      <c r="D323" s="68">
        <f t="shared" si="45"/>
        <v>40</v>
      </c>
      <c r="E323" s="68">
        <f t="shared" si="42"/>
        <v>196</v>
      </c>
      <c r="F323" s="21" t="str">
        <f>VLOOKUP(D323,Sheet2!A:B,2)</f>
        <v>J19-0838</v>
      </c>
      <c r="G323" s="68" t="str">
        <f>VLOOKUP(F323,Sheet2!B:C,2,0)</f>
        <v>Installation Temporary JB &amp; Gas detector ( 10sets</v>
      </c>
      <c r="H323" s="68" t="str">
        <f>HLOOKUP(I$2+$A323,Sheet2!BX:NB,2,0)</f>
        <v>16-30 April 21</v>
      </c>
      <c r="I323" t="str">
        <f>IF(OR(HLOOKUP(I$2+$A323,Sheet2!BX:NB,$B323,0),HLOOKUP(I$2+$A323,Sheet2!BX:NB,$B323,0)&lt;&gt;""),HLOOKUP(I$2+$A323,Sheet2!BX:NB,$B323,0),"")</f>
        <v/>
      </c>
      <c r="J323" t="str">
        <f>IF(OR(HLOOKUP(J$2+$A323,Sheet2!BY:NC,$B323,0),HLOOKUP(J$2+$A323,Sheet2!BY:NC,$B323,0)&lt;&gt;""),HLOOKUP(J$2+$A323,Sheet2!BY:NC,$B323,0),"")</f>
        <v/>
      </c>
      <c r="K323" t="str">
        <f>IF(OR(HLOOKUP(K$2+$A323,Sheet2!BZ:ND,$B323,0),HLOOKUP(K$2+$A323,Sheet2!BZ:ND,$B323,0)&lt;&gt;""),HLOOKUP(K$2+$A323,Sheet2!BZ:ND,$B323,0),"")</f>
        <v/>
      </c>
      <c r="L323" t="str">
        <f>IF(OR(HLOOKUP(L$2+$A323,Sheet2!CA:NE,$B323,0),HLOOKUP(L$2+$A323,Sheet2!CA:NE,$B323,0)&lt;&gt;""),HLOOKUP(L$2+$A323,Sheet2!CA:NE,$B323,0),"")</f>
        <v/>
      </c>
      <c r="M323" t="str">
        <f>IF(OR(HLOOKUP(M$2+$A323,Sheet2!CB:NF,$B323,0),HLOOKUP(M$2+$A323,Sheet2!CB:NF,$B323,0)&lt;&gt;""),HLOOKUP(M$2+$A323,Sheet2!CB:NF,$B323,0),"")</f>
        <v/>
      </c>
    </row>
    <row r="324" spans="1:13" x14ac:dyDescent="0.25">
      <c r="A324" s="68">
        <f t="shared" si="43"/>
        <v>0</v>
      </c>
      <c r="B324" s="68">
        <f t="shared" si="44"/>
        <v>45</v>
      </c>
      <c r="C324" s="68">
        <f t="shared" si="41"/>
        <v>1</v>
      </c>
      <c r="D324" s="68">
        <f t="shared" si="45"/>
        <v>41</v>
      </c>
      <c r="E324" s="68">
        <f t="shared" si="42"/>
        <v>201</v>
      </c>
      <c r="F324" s="21" t="str">
        <f>VLOOKUP(D324,Sheet2!A:B,2)</f>
        <v>J19-0615</v>
      </c>
      <c r="G324" s="68" t="str">
        <f>VLOOKUP(F324,Sheet2!B:C,2,0)</f>
        <v xml:space="preserve">Project ORU </v>
      </c>
      <c r="H324" s="68" t="str">
        <f>HLOOKUP(I$2+$A324,Sheet2!BX:NB,2,0)</f>
        <v>1-15 Jan 21</v>
      </c>
      <c r="I324" t="str">
        <f>IF(OR(HLOOKUP(I$2+$A324,Sheet2!BX:NB,$B324,0),HLOOKUP(I$2+$A324,Sheet2!BX:NB,$B324,0)&lt;&gt;""),HLOOKUP(I$2+$A324,Sheet2!BX:NB,$B324,0),"")</f>
        <v/>
      </c>
      <c r="J324" t="str">
        <f>IF(OR(HLOOKUP(J$2+$A324,Sheet2!BY:NC,$B324,0),HLOOKUP(J$2+$A324,Sheet2!BY:NC,$B324,0)&lt;&gt;""),HLOOKUP(J$2+$A324,Sheet2!BY:NC,$B324,0),"")</f>
        <v/>
      </c>
      <c r="K324" t="str">
        <f>IF(OR(HLOOKUP(K$2+$A324,Sheet2!BZ:ND,$B324,0),HLOOKUP(K$2+$A324,Sheet2!BZ:ND,$B324,0)&lt;&gt;""),HLOOKUP(K$2+$A324,Sheet2!BZ:ND,$B324,0),"")</f>
        <v/>
      </c>
      <c r="L324" t="str">
        <f>IF(OR(HLOOKUP(L$2+$A324,Sheet2!CA:NE,$B324,0),HLOOKUP(L$2+$A324,Sheet2!CA:NE,$B324,0)&lt;&gt;""),HLOOKUP(L$2+$A324,Sheet2!CA:NE,$B324,0),"")</f>
        <v/>
      </c>
      <c r="M324" t="str">
        <f>IF(OR(HLOOKUP(M$2+$A324,Sheet2!CB:NF,$B324,0),HLOOKUP(M$2+$A324,Sheet2!CB:NF,$B324,0)&lt;&gt;""),HLOOKUP(M$2+$A324,Sheet2!CB:NF,$B324,0),"")</f>
        <v/>
      </c>
    </row>
    <row r="325" spans="1:13" x14ac:dyDescent="0.25">
      <c r="A325" s="68">
        <f t="shared" si="43"/>
        <v>5</v>
      </c>
      <c r="B325" s="68">
        <f t="shared" si="44"/>
        <v>45</v>
      </c>
      <c r="C325" s="68">
        <f t="shared" si="41"/>
        <v>2</v>
      </c>
      <c r="D325" s="68">
        <f t="shared" si="45"/>
        <v>41</v>
      </c>
      <c r="E325" s="68">
        <f t="shared" si="42"/>
        <v>201</v>
      </c>
      <c r="F325" s="21" t="str">
        <f>VLOOKUP(D325,Sheet2!A:B,2)</f>
        <v>J19-0615</v>
      </c>
      <c r="G325" s="68" t="str">
        <f>VLOOKUP(F325,Sheet2!B:C,2,0)</f>
        <v xml:space="preserve">Project ORU </v>
      </c>
      <c r="H325" s="68" t="str">
        <f>HLOOKUP(I$2+$A325,Sheet2!BX:NB,2,0)</f>
        <v>16-31 Jan 21</v>
      </c>
      <c r="I325" t="str">
        <f>IF(OR(HLOOKUP(I$2+$A325,Sheet2!BX:NB,$B325,0),HLOOKUP(I$2+$A325,Sheet2!BX:NB,$B325,0)&lt;&gt;""),HLOOKUP(I$2+$A325,Sheet2!BX:NB,$B325,0),"")</f>
        <v/>
      </c>
      <c r="J325" t="str">
        <f>IF(OR(HLOOKUP(J$2+$A325,Sheet2!BY:NC,$B325,0),HLOOKUP(J$2+$A325,Sheet2!BY:NC,$B325,0)&lt;&gt;""),HLOOKUP(J$2+$A325,Sheet2!BY:NC,$B325,0),"")</f>
        <v/>
      </c>
      <c r="K325" t="str">
        <f>IF(OR(HLOOKUP(K$2+$A325,Sheet2!BZ:ND,$B325,0),HLOOKUP(K$2+$A325,Sheet2!BZ:ND,$B325,0)&lt;&gt;""),HLOOKUP(K$2+$A325,Sheet2!BZ:ND,$B325,0),"")</f>
        <v/>
      </c>
      <c r="L325" t="str">
        <f>IF(OR(HLOOKUP(L$2+$A325,Sheet2!CA:NE,$B325,0),HLOOKUP(L$2+$A325,Sheet2!CA:NE,$B325,0)&lt;&gt;""),HLOOKUP(L$2+$A325,Sheet2!CA:NE,$B325,0),"")</f>
        <v/>
      </c>
      <c r="M325" t="str">
        <f>IF(OR(HLOOKUP(M$2+$A325,Sheet2!CB:NF,$B325,0),HLOOKUP(M$2+$A325,Sheet2!CB:NF,$B325,0)&lt;&gt;""),HLOOKUP(M$2+$A325,Sheet2!CB:NF,$B325,0),"")</f>
        <v/>
      </c>
    </row>
    <row r="326" spans="1:13" x14ac:dyDescent="0.25">
      <c r="A326" s="68">
        <f t="shared" si="43"/>
        <v>10</v>
      </c>
      <c r="B326" s="68">
        <f t="shared" si="44"/>
        <v>45</v>
      </c>
      <c r="C326" s="68">
        <f t="shared" si="41"/>
        <v>3</v>
      </c>
      <c r="D326" s="68">
        <f t="shared" si="45"/>
        <v>41</v>
      </c>
      <c r="E326" s="68">
        <f t="shared" si="42"/>
        <v>201</v>
      </c>
      <c r="F326" s="21" t="str">
        <f>VLOOKUP(D326,Sheet2!A:B,2)</f>
        <v>J19-0615</v>
      </c>
      <c r="G326" s="68" t="str">
        <f>VLOOKUP(F326,Sheet2!B:C,2,0)</f>
        <v xml:space="preserve">Project ORU </v>
      </c>
      <c r="H326" s="68" t="str">
        <f>HLOOKUP(I$2+$A326,Sheet2!BX:NB,2,0)</f>
        <v>1-15 Feb 21</v>
      </c>
      <c r="I326" t="str">
        <f>IF(OR(HLOOKUP(I$2+$A326,Sheet2!BX:NB,$B326,0),HLOOKUP(I$2+$A326,Sheet2!BX:NB,$B326,0)&lt;&gt;""),HLOOKUP(I$2+$A326,Sheet2!BX:NB,$B326,0),"")</f>
        <v/>
      </c>
      <c r="J326" t="str">
        <f>IF(OR(HLOOKUP(J$2+$A326,Sheet2!BY:NC,$B326,0),HLOOKUP(J$2+$A326,Sheet2!BY:NC,$B326,0)&lt;&gt;""),HLOOKUP(J$2+$A326,Sheet2!BY:NC,$B326,0),"")</f>
        <v/>
      </c>
      <c r="K326" t="str">
        <f>IF(OR(HLOOKUP(K$2+$A326,Sheet2!BZ:ND,$B326,0),HLOOKUP(K$2+$A326,Sheet2!BZ:ND,$B326,0)&lt;&gt;""),HLOOKUP(K$2+$A326,Sheet2!BZ:ND,$B326,0),"")</f>
        <v/>
      </c>
      <c r="L326" t="str">
        <f>IF(OR(HLOOKUP(L$2+$A326,Sheet2!CA:NE,$B326,0),HLOOKUP(L$2+$A326,Sheet2!CA:NE,$B326,0)&lt;&gt;""),HLOOKUP(L$2+$A326,Sheet2!CA:NE,$B326,0),"")</f>
        <v/>
      </c>
      <c r="M326" t="str">
        <f>IF(OR(HLOOKUP(M$2+$A326,Sheet2!CB:NF,$B326,0),HLOOKUP(M$2+$A326,Sheet2!CB:NF,$B326,0)&lt;&gt;""),HLOOKUP(M$2+$A326,Sheet2!CB:NF,$B326,0),"")</f>
        <v/>
      </c>
    </row>
    <row r="327" spans="1:13" x14ac:dyDescent="0.25">
      <c r="A327" s="68">
        <f t="shared" si="43"/>
        <v>15</v>
      </c>
      <c r="B327" s="68">
        <f t="shared" si="44"/>
        <v>45</v>
      </c>
      <c r="C327" s="68">
        <f t="shared" si="41"/>
        <v>4</v>
      </c>
      <c r="D327" s="68">
        <f t="shared" si="45"/>
        <v>41</v>
      </c>
      <c r="E327" s="68">
        <f t="shared" si="42"/>
        <v>201</v>
      </c>
      <c r="F327" s="21" t="str">
        <f>VLOOKUP(D327,Sheet2!A:B,2)</f>
        <v>J19-0615</v>
      </c>
      <c r="G327" s="68" t="str">
        <f>VLOOKUP(F327,Sheet2!B:C,2,0)</f>
        <v xml:space="preserve">Project ORU </v>
      </c>
      <c r="H327" s="68" t="str">
        <f>HLOOKUP(I$2+$A327,Sheet2!BX:NB,2,0)</f>
        <v>16-28 Feb 21</v>
      </c>
      <c r="I327" t="str">
        <f>IF(OR(HLOOKUP(I$2+$A327,Sheet2!BX:NB,$B327,0),HLOOKUP(I$2+$A327,Sheet2!BX:NB,$B327,0)&lt;&gt;""),HLOOKUP(I$2+$A327,Sheet2!BX:NB,$B327,0),"")</f>
        <v/>
      </c>
      <c r="J327" t="str">
        <f>IF(OR(HLOOKUP(J$2+$A327,Sheet2!BY:NC,$B327,0),HLOOKUP(J$2+$A327,Sheet2!BY:NC,$B327,0)&lt;&gt;""),HLOOKUP(J$2+$A327,Sheet2!BY:NC,$B327,0),"")</f>
        <v/>
      </c>
      <c r="K327" t="str">
        <f>IF(OR(HLOOKUP(K$2+$A327,Sheet2!BZ:ND,$B327,0),HLOOKUP(K$2+$A327,Sheet2!BZ:ND,$B327,0)&lt;&gt;""),HLOOKUP(K$2+$A327,Sheet2!BZ:ND,$B327,0),"")</f>
        <v/>
      </c>
      <c r="L327" t="str">
        <f>IF(OR(HLOOKUP(L$2+$A327,Sheet2!CA:NE,$B327,0),HLOOKUP(L$2+$A327,Sheet2!CA:NE,$B327,0)&lt;&gt;""),HLOOKUP(L$2+$A327,Sheet2!CA:NE,$B327,0),"")</f>
        <v/>
      </c>
      <c r="M327" t="str">
        <f>IF(OR(HLOOKUP(M$2+$A327,Sheet2!CB:NF,$B327,0),HLOOKUP(M$2+$A327,Sheet2!CB:NF,$B327,0)&lt;&gt;""),HLOOKUP(M$2+$A327,Sheet2!CB:NF,$B327,0),"")</f>
        <v/>
      </c>
    </row>
    <row r="328" spans="1:13" x14ac:dyDescent="0.25">
      <c r="A328" s="68">
        <f t="shared" si="43"/>
        <v>20</v>
      </c>
      <c r="B328" s="68">
        <f t="shared" si="44"/>
        <v>45</v>
      </c>
      <c r="C328" s="68">
        <f t="shared" si="41"/>
        <v>5</v>
      </c>
      <c r="D328" s="68">
        <f t="shared" si="45"/>
        <v>41</v>
      </c>
      <c r="E328" s="68">
        <f t="shared" si="42"/>
        <v>201</v>
      </c>
      <c r="F328" s="21" t="str">
        <f>VLOOKUP(D328,Sheet2!A:B,2)</f>
        <v>J19-0615</v>
      </c>
      <c r="G328" s="68" t="str">
        <f>VLOOKUP(F328,Sheet2!B:C,2,0)</f>
        <v xml:space="preserve">Project ORU </v>
      </c>
      <c r="H328" s="68" t="str">
        <f>HLOOKUP(I$2+$A328,Sheet2!BX:NB,2,0)</f>
        <v>1-15 Mar 2021</v>
      </c>
      <c r="I328" t="str">
        <f>IF(OR(HLOOKUP(I$2+$A328,Sheet2!BX:NB,$B328,0),HLOOKUP(I$2+$A328,Sheet2!BX:NB,$B328,0)&lt;&gt;""),HLOOKUP(I$2+$A328,Sheet2!BX:NB,$B328,0),"")</f>
        <v/>
      </c>
      <c r="J328" t="str">
        <f>IF(OR(HLOOKUP(J$2+$A328,Sheet2!BY:NC,$B328,0),HLOOKUP(J$2+$A328,Sheet2!BY:NC,$B328,0)&lt;&gt;""),HLOOKUP(J$2+$A328,Sheet2!BY:NC,$B328,0),"")</f>
        <v/>
      </c>
      <c r="K328" t="str">
        <f>IF(OR(HLOOKUP(K$2+$A328,Sheet2!BZ:ND,$B328,0),HLOOKUP(K$2+$A328,Sheet2!BZ:ND,$B328,0)&lt;&gt;""),HLOOKUP(K$2+$A328,Sheet2!BZ:ND,$B328,0),"")</f>
        <v/>
      </c>
      <c r="L328" t="str">
        <f>IF(OR(HLOOKUP(L$2+$A328,Sheet2!CA:NE,$B328,0),HLOOKUP(L$2+$A328,Sheet2!CA:NE,$B328,0)&lt;&gt;""),HLOOKUP(L$2+$A328,Sheet2!CA:NE,$B328,0),"")</f>
        <v/>
      </c>
      <c r="M328" t="str">
        <f>IF(OR(HLOOKUP(M$2+$A328,Sheet2!CB:NF,$B328,0),HLOOKUP(M$2+$A328,Sheet2!CB:NF,$B328,0)&lt;&gt;""),HLOOKUP(M$2+$A328,Sheet2!CB:NF,$B328,0),"")</f>
        <v/>
      </c>
    </row>
    <row r="329" spans="1:13" x14ac:dyDescent="0.25">
      <c r="A329" s="68">
        <f t="shared" si="43"/>
        <v>25</v>
      </c>
      <c r="B329" s="68">
        <f t="shared" si="44"/>
        <v>45</v>
      </c>
      <c r="C329" s="68">
        <f t="shared" si="41"/>
        <v>6</v>
      </c>
      <c r="D329" s="68">
        <f t="shared" si="45"/>
        <v>41</v>
      </c>
      <c r="E329" s="68">
        <f t="shared" si="42"/>
        <v>201</v>
      </c>
      <c r="F329" s="21" t="str">
        <f>VLOOKUP(D329,Sheet2!A:B,2)</f>
        <v>J19-0615</v>
      </c>
      <c r="G329" s="68" t="str">
        <f>VLOOKUP(F329,Sheet2!B:C,2,0)</f>
        <v xml:space="preserve">Project ORU </v>
      </c>
      <c r="H329" s="68" t="str">
        <f>HLOOKUP(I$2+$A329,Sheet2!BX:NB,2,0)</f>
        <v>16-31 Mar 21</v>
      </c>
      <c r="I329" t="str">
        <f>IF(OR(HLOOKUP(I$2+$A329,Sheet2!BX:NB,$B329,0),HLOOKUP(I$2+$A329,Sheet2!BX:NB,$B329,0)&lt;&gt;""),HLOOKUP(I$2+$A329,Sheet2!BX:NB,$B329,0),"")</f>
        <v/>
      </c>
      <c r="J329" t="str">
        <f>IF(OR(HLOOKUP(J$2+$A329,Sheet2!BY:NC,$B329,0),HLOOKUP(J$2+$A329,Sheet2!BY:NC,$B329,0)&lt;&gt;""),HLOOKUP(J$2+$A329,Sheet2!BY:NC,$B329,0),"")</f>
        <v/>
      </c>
      <c r="K329" t="str">
        <f>IF(OR(HLOOKUP(K$2+$A329,Sheet2!BZ:ND,$B329,0),HLOOKUP(K$2+$A329,Sheet2!BZ:ND,$B329,0)&lt;&gt;""),HLOOKUP(K$2+$A329,Sheet2!BZ:ND,$B329,0),"")</f>
        <v/>
      </c>
      <c r="L329" t="str">
        <f>IF(OR(HLOOKUP(L$2+$A329,Sheet2!CA:NE,$B329,0),HLOOKUP(L$2+$A329,Sheet2!CA:NE,$B329,0)&lt;&gt;""),HLOOKUP(L$2+$A329,Sheet2!CA:NE,$B329,0),"")</f>
        <v/>
      </c>
      <c r="M329" t="str">
        <f>IF(OR(HLOOKUP(M$2+$A329,Sheet2!CB:NF,$B329,0),HLOOKUP(M$2+$A329,Sheet2!CB:NF,$B329,0)&lt;&gt;""),HLOOKUP(M$2+$A329,Sheet2!CB:NF,$B329,0),"")</f>
        <v/>
      </c>
    </row>
    <row r="330" spans="1:13" x14ac:dyDescent="0.25">
      <c r="A330" s="68">
        <f t="shared" si="43"/>
        <v>30</v>
      </c>
      <c r="B330" s="68">
        <f t="shared" si="44"/>
        <v>45</v>
      </c>
      <c r="C330" s="68">
        <f t="shared" si="41"/>
        <v>7</v>
      </c>
      <c r="D330" s="68">
        <f t="shared" si="45"/>
        <v>41</v>
      </c>
      <c r="E330" s="68">
        <f t="shared" si="42"/>
        <v>201</v>
      </c>
      <c r="F330" s="21" t="str">
        <f>VLOOKUP(D330,Sheet2!A:B,2)</f>
        <v>J19-0615</v>
      </c>
      <c r="G330" s="68" t="str">
        <f>VLOOKUP(F330,Sheet2!B:C,2,0)</f>
        <v xml:space="preserve">Project ORU </v>
      </c>
      <c r="H330" s="68" t="str">
        <f>HLOOKUP(I$2+$A330,Sheet2!BX:NB,2,0)</f>
        <v>1-15 April 21</v>
      </c>
      <c r="I330" t="str">
        <f>IF(OR(HLOOKUP(I$2+$A330,Sheet2!BX:NB,$B330,0),HLOOKUP(I$2+$A330,Sheet2!BX:NB,$B330,0)&lt;&gt;""),HLOOKUP(I$2+$A330,Sheet2!BX:NB,$B330,0),"")</f>
        <v/>
      </c>
      <c r="J330" t="str">
        <f>IF(OR(HLOOKUP(J$2+$A330,Sheet2!BY:NC,$B330,0),HLOOKUP(J$2+$A330,Sheet2!BY:NC,$B330,0)&lt;&gt;""),HLOOKUP(J$2+$A330,Sheet2!BY:NC,$B330,0),"")</f>
        <v/>
      </c>
      <c r="K330" t="str">
        <f>IF(OR(HLOOKUP(K$2+$A330,Sheet2!BZ:ND,$B330,0),HLOOKUP(K$2+$A330,Sheet2!BZ:ND,$B330,0)&lt;&gt;""),HLOOKUP(K$2+$A330,Sheet2!BZ:ND,$B330,0),"")</f>
        <v/>
      </c>
      <c r="L330" t="str">
        <f>IF(OR(HLOOKUP(L$2+$A330,Sheet2!CA:NE,$B330,0),HLOOKUP(L$2+$A330,Sheet2!CA:NE,$B330,0)&lt;&gt;""),HLOOKUP(L$2+$A330,Sheet2!CA:NE,$B330,0),"")</f>
        <v/>
      </c>
      <c r="M330" t="str">
        <f>IF(OR(HLOOKUP(M$2+$A330,Sheet2!CB:NF,$B330,0),HLOOKUP(M$2+$A330,Sheet2!CB:NF,$B330,0)&lt;&gt;""),HLOOKUP(M$2+$A330,Sheet2!CB:NF,$B330,0),"")</f>
        <v/>
      </c>
    </row>
    <row r="331" spans="1:13" x14ac:dyDescent="0.25">
      <c r="A331" s="68">
        <f t="shared" si="43"/>
        <v>35</v>
      </c>
      <c r="B331" s="68">
        <f t="shared" si="44"/>
        <v>45</v>
      </c>
      <c r="C331" s="68">
        <f t="shared" si="41"/>
        <v>8</v>
      </c>
      <c r="D331" s="68">
        <f t="shared" si="45"/>
        <v>41</v>
      </c>
      <c r="E331" s="68">
        <f t="shared" si="42"/>
        <v>201</v>
      </c>
      <c r="F331" s="21" t="str">
        <f>VLOOKUP(D331,Sheet2!A:B,2)</f>
        <v>J19-0615</v>
      </c>
      <c r="G331" s="68" t="str">
        <f>VLOOKUP(F331,Sheet2!B:C,2,0)</f>
        <v xml:space="preserve">Project ORU </v>
      </c>
      <c r="H331" s="68" t="str">
        <f>HLOOKUP(I$2+$A331,Sheet2!BX:NB,2,0)</f>
        <v>16-30 April 21</v>
      </c>
      <c r="I331" t="str">
        <f>IF(OR(HLOOKUP(I$2+$A331,Sheet2!BX:NB,$B331,0),HLOOKUP(I$2+$A331,Sheet2!BX:NB,$B331,0)&lt;&gt;""),HLOOKUP(I$2+$A331,Sheet2!BX:NB,$B331,0),"")</f>
        <v/>
      </c>
      <c r="J331" t="str">
        <f>IF(OR(HLOOKUP(J$2+$A331,Sheet2!BY:NC,$B331,0),HLOOKUP(J$2+$A331,Sheet2!BY:NC,$B331,0)&lt;&gt;""),HLOOKUP(J$2+$A331,Sheet2!BY:NC,$B331,0),"")</f>
        <v/>
      </c>
      <c r="K331" t="str">
        <f>IF(OR(HLOOKUP(K$2+$A331,Sheet2!BZ:ND,$B331,0),HLOOKUP(K$2+$A331,Sheet2!BZ:ND,$B331,0)&lt;&gt;""),HLOOKUP(K$2+$A331,Sheet2!BZ:ND,$B331,0),"")</f>
        <v/>
      </c>
      <c r="L331" t="str">
        <f>IF(OR(HLOOKUP(L$2+$A331,Sheet2!CA:NE,$B331,0),HLOOKUP(L$2+$A331,Sheet2!CA:NE,$B331,0)&lt;&gt;""),HLOOKUP(L$2+$A331,Sheet2!CA:NE,$B331,0),"")</f>
        <v/>
      </c>
      <c r="M331" t="str">
        <f>IF(OR(HLOOKUP(M$2+$A331,Sheet2!CB:NF,$B331,0),HLOOKUP(M$2+$A331,Sheet2!CB:NF,$B331,0)&lt;&gt;""),HLOOKUP(M$2+$A331,Sheet2!CB:NF,$B331,0),"")</f>
        <v/>
      </c>
    </row>
    <row r="332" spans="1:13" x14ac:dyDescent="0.25">
      <c r="A332" s="68">
        <f t="shared" si="43"/>
        <v>0</v>
      </c>
      <c r="B332" s="68">
        <f t="shared" si="44"/>
        <v>46</v>
      </c>
      <c r="C332" s="68">
        <f t="shared" si="41"/>
        <v>1</v>
      </c>
      <c r="D332" s="68">
        <f t="shared" si="45"/>
        <v>42</v>
      </c>
      <c r="E332" s="68">
        <f t="shared" si="42"/>
        <v>206</v>
      </c>
      <c r="F332" s="21" t="str">
        <f>VLOOKUP(D332,Sheet2!A:B,2)</f>
        <v>J20-0318</v>
      </c>
      <c r="G332" s="68" t="str">
        <f>VLOOKUP(F332,Sheet2!B:C,2,0)</f>
        <v>Instrument Shut Down PM.Calibration and Verify</v>
      </c>
      <c r="H332" s="68" t="str">
        <f>HLOOKUP(I$2+$A332,Sheet2!BX:NB,2,0)</f>
        <v>1-15 Jan 21</v>
      </c>
      <c r="I332" t="str">
        <f>IF(OR(HLOOKUP(I$2+$A332,Sheet2!BX:NB,$B332,0),HLOOKUP(I$2+$A332,Sheet2!BX:NB,$B332,0)&lt;&gt;""),HLOOKUP(I$2+$A332,Sheet2!BX:NB,$B332,0),"")</f>
        <v/>
      </c>
      <c r="J332" t="str">
        <f>IF(OR(HLOOKUP(J$2+$A332,Sheet2!BY:NC,$B332,0),HLOOKUP(J$2+$A332,Sheet2!BY:NC,$B332,0)&lt;&gt;""),HLOOKUP(J$2+$A332,Sheet2!BY:NC,$B332,0),"")</f>
        <v/>
      </c>
      <c r="K332" t="str">
        <f>IF(OR(HLOOKUP(K$2+$A332,Sheet2!BZ:ND,$B332,0),HLOOKUP(K$2+$A332,Sheet2!BZ:ND,$B332,0)&lt;&gt;""),HLOOKUP(K$2+$A332,Sheet2!BZ:ND,$B332,0),"")</f>
        <v/>
      </c>
      <c r="L332" t="str">
        <f>IF(OR(HLOOKUP(L$2+$A332,Sheet2!CA:NE,$B332,0),HLOOKUP(L$2+$A332,Sheet2!CA:NE,$B332,0)&lt;&gt;""),HLOOKUP(L$2+$A332,Sheet2!CA:NE,$B332,0),"")</f>
        <v/>
      </c>
      <c r="M332" t="str">
        <f>IF(OR(HLOOKUP(M$2+$A332,Sheet2!CB:NF,$B332,0),HLOOKUP(M$2+$A332,Sheet2!CB:NF,$B332,0)&lt;&gt;""),HLOOKUP(M$2+$A332,Sheet2!CB:NF,$B332,0),"")</f>
        <v/>
      </c>
    </row>
    <row r="333" spans="1:13" x14ac:dyDescent="0.25">
      <c r="A333" s="68">
        <f t="shared" si="43"/>
        <v>5</v>
      </c>
      <c r="B333" s="68">
        <f t="shared" si="44"/>
        <v>46</v>
      </c>
      <c r="C333" s="68">
        <f t="shared" ref="C333:C396" si="46">IF($C$3-C332=0,1,C332+1)</f>
        <v>2</v>
      </c>
      <c r="D333" s="68">
        <f t="shared" si="45"/>
        <v>42</v>
      </c>
      <c r="E333" s="68">
        <f t="shared" si="42"/>
        <v>206</v>
      </c>
      <c r="F333" s="21" t="str">
        <f>VLOOKUP(D333,Sheet2!A:B,2)</f>
        <v>J20-0318</v>
      </c>
      <c r="G333" s="68" t="str">
        <f>VLOOKUP(F333,Sheet2!B:C,2,0)</f>
        <v>Instrument Shut Down PM.Calibration and Verify</v>
      </c>
      <c r="H333" s="68" t="str">
        <f>HLOOKUP(I$2+$A333,Sheet2!BX:NB,2,0)</f>
        <v>16-31 Jan 21</v>
      </c>
      <c r="I333" t="str">
        <f>IF(OR(HLOOKUP(I$2+$A333,Sheet2!BX:NB,$B333,0),HLOOKUP(I$2+$A333,Sheet2!BX:NB,$B333,0)&lt;&gt;""),HLOOKUP(I$2+$A333,Sheet2!BX:NB,$B333,0),"")</f>
        <v/>
      </c>
      <c r="J333" t="str">
        <f>IF(OR(HLOOKUP(J$2+$A333,Sheet2!BY:NC,$B333,0),HLOOKUP(J$2+$A333,Sheet2!BY:NC,$B333,0)&lt;&gt;""),HLOOKUP(J$2+$A333,Sheet2!BY:NC,$B333,0),"")</f>
        <v/>
      </c>
      <c r="K333" t="str">
        <f>IF(OR(HLOOKUP(K$2+$A333,Sheet2!BZ:ND,$B333,0),HLOOKUP(K$2+$A333,Sheet2!BZ:ND,$B333,0)&lt;&gt;""),HLOOKUP(K$2+$A333,Sheet2!BZ:ND,$B333,0),"")</f>
        <v/>
      </c>
      <c r="L333" t="str">
        <f>IF(OR(HLOOKUP(L$2+$A333,Sheet2!CA:NE,$B333,0),HLOOKUP(L$2+$A333,Sheet2!CA:NE,$B333,0)&lt;&gt;""),HLOOKUP(L$2+$A333,Sheet2!CA:NE,$B333,0),"")</f>
        <v/>
      </c>
      <c r="M333" t="str">
        <f>IF(OR(HLOOKUP(M$2+$A333,Sheet2!CB:NF,$B333,0),HLOOKUP(M$2+$A333,Sheet2!CB:NF,$B333,0)&lt;&gt;""),HLOOKUP(M$2+$A333,Sheet2!CB:NF,$B333,0),"")</f>
        <v/>
      </c>
    </row>
    <row r="334" spans="1:13" x14ac:dyDescent="0.25">
      <c r="A334" s="68">
        <f t="shared" si="43"/>
        <v>10</v>
      </c>
      <c r="B334" s="68">
        <f t="shared" si="44"/>
        <v>46</v>
      </c>
      <c r="C334" s="68">
        <f t="shared" si="46"/>
        <v>3</v>
      </c>
      <c r="D334" s="68">
        <f t="shared" si="45"/>
        <v>42</v>
      </c>
      <c r="E334" s="68">
        <f t="shared" si="42"/>
        <v>206</v>
      </c>
      <c r="F334" s="21" t="str">
        <f>VLOOKUP(D334,Sheet2!A:B,2)</f>
        <v>J20-0318</v>
      </c>
      <c r="G334" s="68" t="str">
        <f>VLOOKUP(F334,Sheet2!B:C,2,0)</f>
        <v>Instrument Shut Down PM.Calibration and Verify</v>
      </c>
      <c r="H334" s="68" t="str">
        <f>HLOOKUP(I$2+$A334,Sheet2!BX:NB,2,0)</f>
        <v>1-15 Feb 21</v>
      </c>
      <c r="I334" t="str">
        <f>IF(OR(HLOOKUP(I$2+$A334,Sheet2!BX:NB,$B334,0),HLOOKUP(I$2+$A334,Sheet2!BX:NB,$B334,0)&lt;&gt;""),HLOOKUP(I$2+$A334,Sheet2!BX:NB,$B334,0),"")</f>
        <v/>
      </c>
      <c r="J334" t="str">
        <f>IF(OR(HLOOKUP(J$2+$A334,Sheet2!BY:NC,$B334,0),HLOOKUP(J$2+$A334,Sheet2!BY:NC,$B334,0)&lt;&gt;""),HLOOKUP(J$2+$A334,Sheet2!BY:NC,$B334,0),"")</f>
        <v/>
      </c>
      <c r="K334" t="str">
        <f>IF(OR(HLOOKUP(K$2+$A334,Sheet2!BZ:ND,$B334,0),HLOOKUP(K$2+$A334,Sheet2!BZ:ND,$B334,0)&lt;&gt;""),HLOOKUP(K$2+$A334,Sheet2!BZ:ND,$B334,0),"")</f>
        <v/>
      </c>
      <c r="L334" t="str">
        <f>IF(OR(HLOOKUP(L$2+$A334,Sheet2!CA:NE,$B334,0),HLOOKUP(L$2+$A334,Sheet2!CA:NE,$B334,0)&lt;&gt;""),HLOOKUP(L$2+$A334,Sheet2!CA:NE,$B334,0),"")</f>
        <v/>
      </c>
      <c r="M334" t="str">
        <f>IF(OR(HLOOKUP(M$2+$A334,Sheet2!CB:NF,$B334,0),HLOOKUP(M$2+$A334,Sheet2!CB:NF,$B334,0)&lt;&gt;""),HLOOKUP(M$2+$A334,Sheet2!CB:NF,$B334,0),"")</f>
        <v/>
      </c>
    </row>
    <row r="335" spans="1:13" x14ac:dyDescent="0.25">
      <c r="A335" s="68">
        <f t="shared" si="43"/>
        <v>15</v>
      </c>
      <c r="B335" s="68">
        <f t="shared" si="44"/>
        <v>46</v>
      </c>
      <c r="C335" s="68">
        <f t="shared" si="46"/>
        <v>4</v>
      </c>
      <c r="D335" s="68">
        <f t="shared" si="45"/>
        <v>42</v>
      </c>
      <c r="E335" s="68">
        <f t="shared" si="42"/>
        <v>206</v>
      </c>
      <c r="F335" s="21" t="str">
        <f>VLOOKUP(D335,Sheet2!A:B,2)</f>
        <v>J20-0318</v>
      </c>
      <c r="G335" s="68" t="str">
        <f>VLOOKUP(F335,Sheet2!B:C,2,0)</f>
        <v>Instrument Shut Down PM.Calibration and Verify</v>
      </c>
      <c r="H335" s="68" t="str">
        <f>HLOOKUP(I$2+$A335,Sheet2!BX:NB,2,0)</f>
        <v>16-28 Feb 21</v>
      </c>
      <c r="I335" t="str">
        <f>IF(OR(HLOOKUP(I$2+$A335,Sheet2!BX:NB,$B335,0),HLOOKUP(I$2+$A335,Sheet2!BX:NB,$B335,0)&lt;&gt;""),HLOOKUP(I$2+$A335,Sheet2!BX:NB,$B335,0),"")</f>
        <v/>
      </c>
      <c r="J335" t="str">
        <f>IF(OR(HLOOKUP(J$2+$A335,Sheet2!BY:NC,$B335,0),HLOOKUP(J$2+$A335,Sheet2!BY:NC,$B335,0)&lt;&gt;""),HLOOKUP(J$2+$A335,Sheet2!BY:NC,$B335,0),"")</f>
        <v/>
      </c>
      <c r="K335" t="str">
        <f>IF(OR(HLOOKUP(K$2+$A335,Sheet2!BZ:ND,$B335,0),HLOOKUP(K$2+$A335,Sheet2!BZ:ND,$B335,0)&lt;&gt;""),HLOOKUP(K$2+$A335,Sheet2!BZ:ND,$B335,0),"")</f>
        <v/>
      </c>
      <c r="L335" t="str">
        <f>IF(OR(HLOOKUP(L$2+$A335,Sheet2!CA:NE,$B335,0),HLOOKUP(L$2+$A335,Sheet2!CA:NE,$B335,0)&lt;&gt;""),HLOOKUP(L$2+$A335,Sheet2!CA:NE,$B335,0),"")</f>
        <v/>
      </c>
      <c r="M335" t="str">
        <f>IF(OR(HLOOKUP(M$2+$A335,Sheet2!CB:NF,$B335,0),HLOOKUP(M$2+$A335,Sheet2!CB:NF,$B335,0)&lt;&gt;""),HLOOKUP(M$2+$A335,Sheet2!CB:NF,$B335,0),"")</f>
        <v/>
      </c>
    </row>
    <row r="336" spans="1:13" x14ac:dyDescent="0.25">
      <c r="A336" s="68">
        <f t="shared" si="43"/>
        <v>20</v>
      </c>
      <c r="B336" s="68">
        <f t="shared" si="44"/>
        <v>46</v>
      </c>
      <c r="C336" s="68">
        <f t="shared" si="46"/>
        <v>5</v>
      </c>
      <c r="D336" s="68">
        <f t="shared" si="45"/>
        <v>42</v>
      </c>
      <c r="E336" s="68">
        <f t="shared" si="42"/>
        <v>206</v>
      </c>
      <c r="F336" s="21" t="str">
        <f>VLOOKUP(D336,Sheet2!A:B,2)</f>
        <v>J20-0318</v>
      </c>
      <c r="G336" s="68" t="str">
        <f>VLOOKUP(F336,Sheet2!B:C,2,0)</f>
        <v>Instrument Shut Down PM.Calibration and Verify</v>
      </c>
      <c r="H336" s="68" t="str">
        <f>HLOOKUP(I$2+$A336,Sheet2!BX:NB,2,0)</f>
        <v>1-15 Mar 2021</v>
      </c>
      <c r="I336" t="str">
        <f>IF(OR(HLOOKUP(I$2+$A336,Sheet2!BX:NB,$B336,0),HLOOKUP(I$2+$A336,Sheet2!BX:NB,$B336,0)&lt;&gt;""),HLOOKUP(I$2+$A336,Sheet2!BX:NB,$B336,0),"")</f>
        <v/>
      </c>
      <c r="J336" t="str">
        <f>IF(OR(HLOOKUP(J$2+$A336,Sheet2!BY:NC,$B336,0),HLOOKUP(J$2+$A336,Sheet2!BY:NC,$B336,0)&lt;&gt;""),HLOOKUP(J$2+$A336,Sheet2!BY:NC,$B336,0),"")</f>
        <v/>
      </c>
      <c r="K336" t="str">
        <f>IF(OR(HLOOKUP(K$2+$A336,Sheet2!BZ:ND,$B336,0),HLOOKUP(K$2+$A336,Sheet2!BZ:ND,$B336,0)&lt;&gt;""),HLOOKUP(K$2+$A336,Sheet2!BZ:ND,$B336,0),"")</f>
        <v/>
      </c>
      <c r="L336" t="str">
        <f>IF(OR(HLOOKUP(L$2+$A336,Sheet2!CA:NE,$B336,0),HLOOKUP(L$2+$A336,Sheet2!CA:NE,$B336,0)&lt;&gt;""),HLOOKUP(L$2+$A336,Sheet2!CA:NE,$B336,0),"")</f>
        <v/>
      </c>
      <c r="M336" t="str">
        <f>IF(OR(HLOOKUP(M$2+$A336,Sheet2!CB:NF,$B336,0),HLOOKUP(M$2+$A336,Sheet2!CB:NF,$B336,0)&lt;&gt;""),HLOOKUP(M$2+$A336,Sheet2!CB:NF,$B336,0),"")</f>
        <v/>
      </c>
    </row>
    <row r="337" spans="1:13" x14ac:dyDescent="0.25">
      <c r="A337" s="68">
        <f t="shared" si="43"/>
        <v>25</v>
      </c>
      <c r="B337" s="68">
        <f t="shared" si="44"/>
        <v>46</v>
      </c>
      <c r="C337" s="68">
        <f t="shared" si="46"/>
        <v>6</v>
      </c>
      <c r="D337" s="68">
        <f t="shared" si="45"/>
        <v>42</v>
      </c>
      <c r="E337" s="68">
        <f t="shared" si="42"/>
        <v>206</v>
      </c>
      <c r="F337" s="21" t="str">
        <f>VLOOKUP(D337,Sheet2!A:B,2)</f>
        <v>J20-0318</v>
      </c>
      <c r="G337" s="68" t="str">
        <f>VLOOKUP(F337,Sheet2!B:C,2,0)</f>
        <v>Instrument Shut Down PM.Calibration and Verify</v>
      </c>
      <c r="H337" s="68" t="str">
        <f>HLOOKUP(I$2+$A337,Sheet2!BX:NB,2,0)</f>
        <v>16-31 Mar 21</v>
      </c>
      <c r="I337" t="str">
        <f>IF(OR(HLOOKUP(I$2+$A337,Sheet2!BX:NB,$B337,0),HLOOKUP(I$2+$A337,Sheet2!BX:NB,$B337,0)&lt;&gt;""),HLOOKUP(I$2+$A337,Sheet2!BX:NB,$B337,0),"")</f>
        <v/>
      </c>
      <c r="J337" t="str">
        <f>IF(OR(HLOOKUP(J$2+$A337,Sheet2!BY:NC,$B337,0),HLOOKUP(J$2+$A337,Sheet2!BY:NC,$B337,0)&lt;&gt;""),HLOOKUP(J$2+$A337,Sheet2!BY:NC,$B337,0),"")</f>
        <v/>
      </c>
      <c r="K337" t="str">
        <f>IF(OR(HLOOKUP(K$2+$A337,Sheet2!BZ:ND,$B337,0),HLOOKUP(K$2+$A337,Sheet2!BZ:ND,$B337,0)&lt;&gt;""),HLOOKUP(K$2+$A337,Sheet2!BZ:ND,$B337,0),"")</f>
        <v/>
      </c>
      <c r="L337" t="str">
        <f>IF(OR(HLOOKUP(L$2+$A337,Sheet2!CA:NE,$B337,0),HLOOKUP(L$2+$A337,Sheet2!CA:NE,$B337,0)&lt;&gt;""),HLOOKUP(L$2+$A337,Sheet2!CA:NE,$B337,0),"")</f>
        <v/>
      </c>
      <c r="M337" t="str">
        <f>IF(OR(HLOOKUP(M$2+$A337,Sheet2!CB:NF,$B337,0),HLOOKUP(M$2+$A337,Sheet2!CB:NF,$B337,0)&lt;&gt;""),HLOOKUP(M$2+$A337,Sheet2!CB:NF,$B337,0),"")</f>
        <v/>
      </c>
    </row>
    <row r="338" spans="1:13" x14ac:dyDescent="0.25">
      <c r="A338" s="68">
        <f t="shared" si="43"/>
        <v>30</v>
      </c>
      <c r="B338" s="68">
        <f t="shared" si="44"/>
        <v>46</v>
      </c>
      <c r="C338" s="68">
        <f t="shared" si="46"/>
        <v>7</v>
      </c>
      <c r="D338" s="68">
        <f t="shared" si="45"/>
        <v>42</v>
      </c>
      <c r="E338" s="68">
        <f t="shared" si="42"/>
        <v>206</v>
      </c>
      <c r="F338" s="21" t="str">
        <f>VLOOKUP(D338,Sheet2!A:B,2)</f>
        <v>J20-0318</v>
      </c>
      <c r="G338" s="68" t="str">
        <f>VLOOKUP(F338,Sheet2!B:C,2,0)</f>
        <v>Instrument Shut Down PM.Calibration and Verify</v>
      </c>
      <c r="H338" s="68" t="str">
        <f>HLOOKUP(I$2+$A338,Sheet2!BX:NB,2,0)</f>
        <v>1-15 April 21</v>
      </c>
      <c r="I338" t="str">
        <f>IF(OR(HLOOKUP(I$2+$A338,Sheet2!BX:NB,$B338,0),HLOOKUP(I$2+$A338,Sheet2!BX:NB,$B338,0)&lt;&gt;""),HLOOKUP(I$2+$A338,Sheet2!BX:NB,$B338,0),"")</f>
        <v/>
      </c>
      <c r="J338" t="str">
        <f>IF(OR(HLOOKUP(J$2+$A338,Sheet2!BY:NC,$B338,0),HLOOKUP(J$2+$A338,Sheet2!BY:NC,$B338,0)&lt;&gt;""),HLOOKUP(J$2+$A338,Sheet2!BY:NC,$B338,0),"")</f>
        <v/>
      </c>
      <c r="K338" t="str">
        <f>IF(OR(HLOOKUP(K$2+$A338,Sheet2!BZ:ND,$B338,0),HLOOKUP(K$2+$A338,Sheet2!BZ:ND,$B338,0)&lt;&gt;""),HLOOKUP(K$2+$A338,Sheet2!BZ:ND,$B338,0),"")</f>
        <v/>
      </c>
      <c r="L338" t="str">
        <f>IF(OR(HLOOKUP(L$2+$A338,Sheet2!CA:NE,$B338,0),HLOOKUP(L$2+$A338,Sheet2!CA:NE,$B338,0)&lt;&gt;""),HLOOKUP(L$2+$A338,Sheet2!CA:NE,$B338,0),"")</f>
        <v/>
      </c>
      <c r="M338" t="str">
        <f>IF(OR(HLOOKUP(M$2+$A338,Sheet2!CB:NF,$B338,0),HLOOKUP(M$2+$A338,Sheet2!CB:NF,$B338,0)&lt;&gt;""),HLOOKUP(M$2+$A338,Sheet2!CB:NF,$B338,0),"")</f>
        <v/>
      </c>
    </row>
    <row r="339" spans="1:13" x14ac:dyDescent="0.25">
      <c r="A339" s="68">
        <f t="shared" si="43"/>
        <v>35</v>
      </c>
      <c r="B339" s="68">
        <f t="shared" si="44"/>
        <v>46</v>
      </c>
      <c r="C339" s="68">
        <f t="shared" si="46"/>
        <v>8</v>
      </c>
      <c r="D339" s="68">
        <f t="shared" si="45"/>
        <v>42</v>
      </c>
      <c r="E339" s="68">
        <f t="shared" si="42"/>
        <v>206</v>
      </c>
      <c r="F339" s="21" t="str">
        <f>VLOOKUP(D339,Sheet2!A:B,2)</f>
        <v>J20-0318</v>
      </c>
      <c r="G339" s="68" t="str">
        <f>VLOOKUP(F339,Sheet2!B:C,2,0)</f>
        <v>Instrument Shut Down PM.Calibration and Verify</v>
      </c>
      <c r="H339" s="68" t="str">
        <f>HLOOKUP(I$2+$A339,Sheet2!BX:NB,2,0)</f>
        <v>16-30 April 21</v>
      </c>
      <c r="I339" t="str">
        <f>IF(OR(HLOOKUP(I$2+$A339,Sheet2!BX:NB,$B339,0),HLOOKUP(I$2+$A339,Sheet2!BX:NB,$B339,0)&lt;&gt;""),HLOOKUP(I$2+$A339,Sheet2!BX:NB,$B339,0),"")</f>
        <v/>
      </c>
      <c r="J339" t="str">
        <f>IF(OR(HLOOKUP(J$2+$A339,Sheet2!BY:NC,$B339,0),HLOOKUP(J$2+$A339,Sheet2!BY:NC,$B339,0)&lt;&gt;""),HLOOKUP(J$2+$A339,Sheet2!BY:NC,$B339,0),"")</f>
        <v/>
      </c>
      <c r="K339" t="str">
        <f>IF(OR(HLOOKUP(K$2+$A339,Sheet2!BZ:ND,$B339,0),HLOOKUP(K$2+$A339,Sheet2!BZ:ND,$B339,0)&lt;&gt;""),HLOOKUP(K$2+$A339,Sheet2!BZ:ND,$B339,0),"")</f>
        <v/>
      </c>
      <c r="L339" t="str">
        <f>IF(OR(HLOOKUP(L$2+$A339,Sheet2!CA:NE,$B339,0),HLOOKUP(L$2+$A339,Sheet2!CA:NE,$B339,0)&lt;&gt;""),HLOOKUP(L$2+$A339,Sheet2!CA:NE,$B339,0),"")</f>
        <v/>
      </c>
      <c r="M339" t="str">
        <f>IF(OR(HLOOKUP(M$2+$A339,Sheet2!CB:NF,$B339,0),HLOOKUP(M$2+$A339,Sheet2!CB:NF,$B339,0)&lt;&gt;""),HLOOKUP(M$2+$A339,Sheet2!CB:NF,$B339,0),"")</f>
        <v/>
      </c>
    </row>
    <row r="340" spans="1:13" x14ac:dyDescent="0.25">
      <c r="A340" s="68">
        <f t="shared" si="43"/>
        <v>0</v>
      </c>
      <c r="B340" s="68">
        <f t="shared" si="44"/>
        <v>47</v>
      </c>
      <c r="C340" s="68">
        <f t="shared" si="46"/>
        <v>1</v>
      </c>
      <c r="D340" s="68">
        <f t="shared" si="45"/>
        <v>43</v>
      </c>
      <c r="E340" s="68">
        <f t="shared" si="42"/>
        <v>211</v>
      </c>
      <c r="F340" s="21" t="str">
        <f>VLOOKUP(D340,Sheet2!A:B,2)</f>
        <v>J20-0122</v>
      </c>
      <c r="G340" s="68" t="str">
        <f>VLOOKUP(F340,Sheet2!B:C,2,0)</f>
        <v>Fiber Optic Cable Installation Work</v>
      </c>
      <c r="H340" s="68" t="str">
        <f>HLOOKUP(I$2+$A340,Sheet2!BX:NB,2,0)</f>
        <v>1-15 Jan 21</v>
      </c>
      <c r="I340" t="str">
        <f>IF(OR(HLOOKUP(I$2+$A340,Sheet2!BX:NB,$B340,0),HLOOKUP(I$2+$A340,Sheet2!BX:NB,$B340,0)&lt;&gt;""),HLOOKUP(I$2+$A340,Sheet2!BX:NB,$B340,0),"")</f>
        <v/>
      </c>
      <c r="J340" t="str">
        <f>IF(OR(HLOOKUP(J$2+$A340,Sheet2!BY:NC,$B340,0),HLOOKUP(J$2+$A340,Sheet2!BY:NC,$B340,0)&lt;&gt;""),HLOOKUP(J$2+$A340,Sheet2!BY:NC,$B340,0),"")</f>
        <v/>
      </c>
      <c r="K340" t="str">
        <f>IF(OR(HLOOKUP(K$2+$A340,Sheet2!BZ:ND,$B340,0),HLOOKUP(K$2+$A340,Sheet2!BZ:ND,$B340,0)&lt;&gt;""),HLOOKUP(K$2+$A340,Sheet2!BZ:ND,$B340,0),"")</f>
        <v/>
      </c>
      <c r="L340" t="str">
        <f>IF(OR(HLOOKUP(L$2+$A340,Sheet2!CA:NE,$B340,0),HLOOKUP(L$2+$A340,Sheet2!CA:NE,$B340,0)&lt;&gt;""),HLOOKUP(L$2+$A340,Sheet2!CA:NE,$B340,0),"")</f>
        <v/>
      </c>
      <c r="M340" t="str">
        <f>IF(OR(HLOOKUP(M$2+$A340,Sheet2!CB:NF,$B340,0),HLOOKUP(M$2+$A340,Sheet2!CB:NF,$B340,0)&lt;&gt;""),HLOOKUP(M$2+$A340,Sheet2!CB:NF,$B340,0),"")</f>
        <v/>
      </c>
    </row>
    <row r="341" spans="1:13" x14ac:dyDescent="0.25">
      <c r="A341" s="68">
        <f t="shared" si="43"/>
        <v>5</v>
      </c>
      <c r="B341" s="68">
        <f t="shared" si="44"/>
        <v>47</v>
      </c>
      <c r="C341" s="68">
        <f t="shared" si="46"/>
        <v>2</v>
      </c>
      <c r="D341" s="68">
        <f t="shared" si="45"/>
        <v>43</v>
      </c>
      <c r="E341" s="68">
        <f t="shared" ref="E341:E404" si="47">IF(D341&lt;&gt;D340,E340+5,E340)</f>
        <v>211</v>
      </c>
      <c r="F341" s="21" t="str">
        <f>VLOOKUP(D341,Sheet2!A:B,2)</f>
        <v>J20-0122</v>
      </c>
      <c r="G341" s="68" t="str">
        <f>VLOOKUP(F341,Sheet2!B:C,2,0)</f>
        <v>Fiber Optic Cable Installation Work</v>
      </c>
      <c r="H341" s="68" t="str">
        <f>HLOOKUP(I$2+$A341,Sheet2!BX:NB,2,0)</f>
        <v>16-31 Jan 21</v>
      </c>
      <c r="I341" t="str">
        <f>IF(OR(HLOOKUP(I$2+$A341,Sheet2!BX:NB,$B341,0),HLOOKUP(I$2+$A341,Sheet2!BX:NB,$B341,0)&lt;&gt;""),HLOOKUP(I$2+$A341,Sheet2!BX:NB,$B341,0),"")</f>
        <v/>
      </c>
      <c r="J341" t="str">
        <f>IF(OR(HLOOKUP(J$2+$A341,Sheet2!BY:NC,$B341,0),HLOOKUP(J$2+$A341,Sheet2!BY:NC,$B341,0)&lt;&gt;""),HLOOKUP(J$2+$A341,Sheet2!BY:NC,$B341,0),"")</f>
        <v/>
      </c>
      <c r="K341" t="str">
        <f>IF(OR(HLOOKUP(K$2+$A341,Sheet2!BZ:ND,$B341,0),HLOOKUP(K$2+$A341,Sheet2!BZ:ND,$B341,0)&lt;&gt;""),HLOOKUP(K$2+$A341,Sheet2!BZ:ND,$B341,0),"")</f>
        <v/>
      </c>
      <c r="L341" t="str">
        <f>IF(OR(HLOOKUP(L$2+$A341,Sheet2!CA:NE,$B341,0),HLOOKUP(L$2+$A341,Sheet2!CA:NE,$B341,0)&lt;&gt;""),HLOOKUP(L$2+$A341,Sheet2!CA:NE,$B341,0),"")</f>
        <v/>
      </c>
      <c r="M341" t="str">
        <f>IF(OR(HLOOKUP(M$2+$A341,Sheet2!CB:NF,$B341,0),HLOOKUP(M$2+$A341,Sheet2!CB:NF,$B341,0)&lt;&gt;""),HLOOKUP(M$2+$A341,Sheet2!CB:NF,$B341,0),"")</f>
        <v/>
      </c>
    </row>
    <row r="342" spans="1:13" x14ac:dyDescent="0.25">
      <c r="A342" s="68">
        <f t="shared" si="43"/>
        <v>10</v>
      </c>
      <c r="B342" s="68">
        <f t="shared" si="44"/>
        <v>47</v>
      </c>
      <c r="C342" s="68">
        <f t="shared" si="46"/>
        <v>3</v>
      </c>
      <c r="D342" s="68">
        <f t="shared" si="45"/>
        <v>43</v>
      </c>
      <c r="E342" s="68">
        <f t="shared" si="47"/>
        <v>211</v>
      </c>
      <c r="F342" s="21" t="str">
        <f>VLOOKUP(D342,Sheet2!A:B,2)</f>
        <v>J20-0122</v>
      </c>
      <c r="G342" s="68" t="str">
        <f>VLOOKUP(F342,Sheet2!B:C,2,0)</f>
        <v>Fiber Optic Cable Installation Work</v>
      </c>
      <c r="H342" s="68" t="str">
        <f>HLOOKUP(I$2+$A342,Sheet2!BX:NB,2,0)</f>
        <v>1-15 Feb 21</v>
      </c>
      <c r="I342" t="str">
        <f>IF(OR(HLOOKUP(I$2+$A342,Sheet2!BX:NB,$B342,0),HLOOKUP(I$2+$A342,Sheet2!BX:NB,$B342,0)&lt;&gt;""),HLOOKUP(I$2+$A342,Sheet2!BX:NB,$B342,0),"")</f>
        <v/>
      </c>
      <c r="J342" t="str">
        <f>IF(OR(HLOOKUP(J$2+$A342,Sheet2!BY:NC,$B342,0),HLOOKUP(J$2+$A342,Sheet2!BY:NC,$B342,0)&lt;&gt;""),HLOOKUP(J$2+$A342,Sheet2!BY:NC,$B342,0),"")</f>
        <v/>
      </c>
      <c r="K342" t="str">
        <f>IF(OR(HLOOKUP(K$2+$A342,Sheet2!BZ:ND,$B342,0),HLOOKUP(K$2+$A342,Sheet2!BZ:ND,$B342,0)&lt;&gt;""),HLOOKUP(K$2+$A342,Sheet2!BZ:ND,$B342,0),"")</f>
        <v/>
      </c>
      <c r="L342" t="str">
        <f>IF(OR(HLOOKUP(L$2+$A342,Sheet2!CA:NE,$B342,0),HLOOKUP(L$2+$A342,Sheet2!CA:NE,$B342,0)&lt;&gt;""),HLOOKUP(L$2+$A342,Sheet2!CA:NE,$B342,0),"")</f>
        <v/>
      </c>
      <c r="M342" t="str">
        <f>IF(OR(HLOOKUP(M$2+$A342,Sheet2!CB:NF,$B342,0),HLOOKUP(M$2+$A342,Sheet2!CB:NF,$B342,0)&lt;&gt;""),HLOOKUP(M$2+$A342,Sheet2!CB:NF,$B342,0),"")</f>
        <v/>
      </c>
    </row>
    <row r="343" spans="1:13" x14ac:dyDescent="0.25">
      <c r="A343" s="68">
        <f t="shared" si="43"/>
        <v>15</v>
      </c>
      <c r="B343" s="68">
        <f t="shared" si="44"/>
        <v>47</v>
      </c>
      <c r="C343" s="68">
        <f t="shared" si="46"/>
        <v>4</v>
      </c>
      <c r="D343" s="68">
        <f t="shared" si="45"/>
        <v>43</v>
      </c>
      <c r="E343" s="68">
        <f t="shared" si="47"/>
        <v>211</v>
      </c>
      <c r="F343" s="21" t="str">
        <f>VLOOKUP(D343,Sheet2!A:B,2)</f>
        <v>J20-0122</v>
      </c>
      <c r="G343" s="68" t="str">
        <f>VLOOKUP(F343,Sheet2!B:C,2,0)</f>
        <v>Fiber Optic Cable Installation Work</v>
      </c>
      <c r="H343" s="68" t="str">
        <f>HLOOKUP(I$2+$A343,Sheet2!BX:NB,2,0)</f>
        <v>16-28 Feb 21</v>
      </c>
      <c r="I343" t="str">
        <f>IF(OR(HLOOKUP(I$2+$A343,Sheet2!BX:NB,$B343,0),HLOOKUP(I$2+$A343,Sheet2!BX:NB,$B343,0)&lt;&gt;""),HLOOKUP(I$2+$A343,Sheet2!BX:NB,$B343,0),"")</f>
        <v/>
      </c>
      <c r="J343" t="str">
        <f>IF(OR(HLOOKUP(J$2+$A343,Sheet2!BY:NC,$B343,0),HLOOKUP(J$2+$A343,Sheet2!BY:NC,$B343,0)&lt;&gt;""),HLOOKUP(J$2+$A343,Sheet2!BY:NC,$B343,0),"")</f>
        <v/>
      </c>
      <c r="K343" t="str">
        <f>IF(OR(HLOOKUP(K$2+$A343,Sheet2!BZ:ND,$B343,0),HLOOKUP(K$2+$A343,Sheet2!BZ:ND,$B343,0)&lt;&gt;""),HLOOKUP(K$2+$A343,Sheet2!BZ:ND,$B343,0),"")</f>
        <v/>
      </c>
      <c r="L343" t="str">
        <f>IF(OR(HLOOKUP(L$2+$A343,Sheet2!CA:NE,$B343,0),HLOOKUP(L$2+$A343,Sheet2!CA:NE,$B343,0)&lt;&gt;""),HLOOKUP(L$2+$A343,Sheet2!CA:NE,$B343,0),"")</f>
        <v/>
      </c>
      <c r="M343" t="str">
        <f>IF(OR(HLOOKUP(M$2+$A343,Sheet2!CB:NF,$B343,0),HLOOKUP(M$2+$A343,Sheet2!CB:NF,$B343,0)&lt;&gt;""),HLOOKUP(M$2+$A343,Sheet2!CB:NF,$B343,0),"")</f>
        <v/>
      </c>
    </row>
    <row r="344" spans="1:13" x14ac:dyDescent="0.25">
      <c r="A344" s="68">
        <f t="shared" si="43"/>
        <v>20</v>
      </c>
      <c r="B344" s="68">
        <f t="shared" si="44"/>
        <v>47</v>
      </c>
      <c r="C344" s="68">
        <f t="shared" si="46"/>
        <v>5</v>
      </c>
      <c r="D344" s="68">
        <f t="shared" si="45"/>
        <v>43</v>
      </c>
      <c r="E344" s="68">
        <f t="shared" si="47"/>
        <v>211</v>
      </c>
      <c r="F344" s="21" t="str">
        <f>VLOOKUP(D344,Sheet2!A:B,2)</f>
        <v>J20-0122</v>
      </c>
      <c r="G344" s="68" t="str">
        <f>VLOOKUP(F344,Sheet2!B:C,2,0)</f>
        <v>Fiber Optic Cable Installation Work</v>
      </c>
      <c r="H344" s="68" t="str">
        <f>HLOOKUP(I$2+$A344,Sheet2!BX:NB,2,0)</f>
        <v>1-15 Mar 2021</v>
      </c>
      <c r="I344" t="str">
        <f>IF(OR(HLOOKUP(I$2+$A344,Sheet2!BX:NB,$B344,0),HLOOKUP(I$2+$A344,Sheet2!BX:NB,$B344,0)&lt;&gt;""),HLOOKUP(I$2+$A344,Sheet2!BX:NB,$B344,0),"")</f>
        <v/>
      </c>
      <c r="J344" t="str">
        <f>IF(OR(HLOOKUP(J$2+$A344,Sheet2!BY:NC,$B344,0),HLOOKUP(J$2+$A344,Sheet2!BY:NC,$B344,0)&lt;&gt;""),HLOOKUP(J$2+$A344,Sheet2!BY:NC,$B344,0),"")</f>
        <v/>
      </c>
      <c r="K344" t="str">
        <f>IF(OR(HLOOKUP(K$2+$A344,Sheet2!BZ:ND,$B344,0),HLOOKUP(K$2+$A344,Sheet2!BZ:ND,$B344,0)&lt;&gt;""),HLOOKUP(K$2+$A344,Sheet2!BZ:ND,$B344,0),"")</f>
        <v/>
      </c>
      <c r="L344" t="str">
        <f>IF(OR(HLOOKUP(L$2+$A344,Sheet2!CA:NE,$B344,0),HLOOKUP(L$2+$A344,Sheet2!CA:NE,$B344,0)&lt;&gt;""),HLOOKUP(L$2+$A344,Sheet2!CA:NE,$B344,0),"")</f>
        <v/>
      </c>
      <c r="M344" t="str">
        <f>IF(OR(HLOOKUP(M$2+$A344,Sheet2!CB:NF,$B344,0),HLOOKUP(M$2+$A344,Sheet2!CB:NF,$B344,0)&lt;&gt;""),HLOOKUP(M$2+$A344,Sheet2!CB:NF,$B344,0),"")</f>
        <v/>
      </c>
    </row>
    <row r="345" spans="1:13" x14ac:dyDescent="0.25">
      <c r="A345" s="68">
        <f t="shared" si="43"/>
        <v>25</v>
      </c>
      <c r="B345" s="68">
        <f t="shared" si="44"/>
        <v>47</v>
      </c>
      <c r="C345" s="68">
        <f t="shared" si="46"/>
        <v>6</v>
      </c>
      <c r="D345" s="68">
        <f t="shared" si="45"/>
        <v>43</v>
      </c>
      <c r="E345" s="68">
        <f t="shared" si="47"/>
        <v>211</v>
      </c>
      <c r="F345" s="21" t="str">
        <f>VLOOKUP(D345,Sheet2!A:B,2)</f>
        <v>J20-0122</v>
      </c>
      <c r="G345" s="68" t="str">
        <f>VLOOKUP(F345,Sheet2!B:C,2,0)</f>
        <v>Fiber Optic Cable Installation Work</v>
      </c>
      <c r="H345" s="68" t="str">
        <f>HLOOKUP(I$2+$A345,Sheet2!BX:NB,2,0)</f>
        <v>16-31 Mar 21</v>
      </c>
      <c r="I345" t="str">
        <f>IF(OR(HLOOKUP(I$2+$A345,Sheet2!BX:NB,$B345,0),HLOOKUP(I$2+$A345,Sheet2!BX:NB,$B345,0)&lt;&gt;""),HLOOKUP(I$2+$A345,Sheet2!BX:NB,$B345,0),"")</f>
        <v/>
      </c>
      <c r="J345" t="str">
        <f>IF(OR(HLOOKUP(J$2+$A345,Sheet2!BY:NC,$B345,0),HLOOKUP(J$2+$A345,Sheet2!BY:NC,$B345,0)&lt;&gt;""),HLOOKUP(J$2+$A345,Sheet2!BY:NC,$B345,0),"")</f>
        <v/>
      </c>
      <c r="K345" t="str">
        <f>IF(OR(HLOOKUP(K$2+$A345,Sheet2!BZ:ND,$B345,0),HLOOKUP(K$2+$A345,Sheet2!BZ:ND,$B345,0)&lt;&gt;""),HLOOKUP(K$2+$A345,Sheet2!BZ:ND,$B345,0),"")</f>
        <v/>
      </c>
      <c r="L345" t="str">
        <f>IF(OR(HLOOKUP(L$2+$A345,Sheet2!CA:NE,$B345,0),HLOOKUP(L$2+$A345,Sheet2!CA:NE,$B345,0)&lt;&gt;""),HLOOKUP(L$2+$A345,Sheet2!CA:NE,$B345,0),"")</f>
        <v/>
      </c>
      <c r="M345" t="str">
        <f>IF(OR(HLOOKUP(M$2+$A345,Sheet2!CB:NF,$B345,0),HLOOKUP(M$2+$A345,Sheet2!CB:NF,$B345,0)&lt;&gt;""),HLOOKUP(M$2+$A345,Sheet2!CB:NF,$B345,0),"")</f>
        <v/>
      </c>
    </row>
    <row r="346" spans="1:13" x14ac:dyDescent="0.25">
      <c r="A346" s="68">
        <f t="shared" si="43"/>
        <v>30</v>
      </c>
      <c r="B346" s="68">
        <f t="shared" si="44"/>
        <v>47</v>
      </c>
      <c r="C346" s="68">
        <f t="shared" si="46"/>
        <v>7</v>
      </c>
      <c r="D346" s="68">
        <f t="shared" si="45"/>
        <v>43</v>
      </c>
      <c r="E346" s="68">
        <f t="shared" si="47"/>
        <v>211</v>
      </c>
      <c r="F346" s="21" t="str">
        <f>VLOOKUP(D346,Sheet2!A:B,2)</f>
        <v>J20-0122</v>
      </c>
      <c r="G346" s="68" t="str">
        <f>VLOOKUP(F346,Sheet2!B:C,2,0)</f>
        <v>Fiber Optic Cable Installation Work</v>
      </c>
      <c r="H346" s="68" t="str">
        <f>HLOOKUP(I$2+$A346,Sheet2!BX:NB,2,0)</f>
        <v>1-15 April 21</v>
      </c>
      <c r="I346" t="str">
        <f>IF(OR(HLOOKUP(I$2+$A346,Sheet2!BX:NB,$B346,0),HLOOKUP(I$2+$A346,Sheet2!BX:NB,$B346,0)&lt;&gt;""),HLOOKUP(I$2+$A346,Sheet2!BX:NB,$B346,0),"")</f>
        <v/>
      </c>
      <c r="J346" t="str">
        <f>IF(OR(HLOOKUP(J$2+$A346,Sheet2!BY:NC,$B346,0),HLOOKUP(J$2+$A346,Sheet2!BY:NC,$B346,0)&lt;&gt;""),HLOOKUP(J$2+$A346,Sheet2!BY:NC,$B346,0),"")</f>
        <v/>
      </c>
      <c r="K346" t="str">
        <f>IF(OR(HLOOKUP(K$2+$A346,Sheet2!BZ:ND,$B346,0),HLOOKUP(K$2+$A346,Sheet2!BZ:ND,$B346,0)&lt;&gt;""),HLOOKUP(K$2+$A346,Sheet2!BZ:ND,$B346,0),"")</f>
        <v/>
      </c>
      <c r="L346" t="str">
        <f>IF(OR(HLOOKUP(L$2+$A346,Sheet2!CA:NE,$B346,0),HLOOKUP(L$2+$A346,Sheet2!CA:NE,$B346,0)&lt;&gt;""),HLOOKUP(L$2+$A346,Sheet2!CA:NE,$B346,0),"")</f>
        <v/>
      </c>
      <c r="M346" t="str">
        <f>IF(OR(HLOOKUP(M$2+$A346,Sheet2!CB:NF,$B346,0),HLOOKUP(M$2+$A346,Sheet2!CB:NF,$B346,0)&lt;&gt;""),HLOOKUP(M$2+$A346,Sheet2!CB:NF,$B346,0),"")</f>
        <v/>
      </c>
    </row>
    <row r="347" spans="1:13" x14ac:dyDescent="0.25">
      <c r="A347" s="68">
        <f t="shared" si="43"/>
        <v>35</v>
      </c>
      <c r="B347" s="68">
        <f t="shared" si="44"/>
        <v>47</v>
      </c>
      <c r="C347" s="68">
        <f t="shared" si="46"/>
        <v>8</v>
      </c>
      <c r="D347" s="68">
        <f t="shared" si="45"/>
        <v>43</v>
      </c>
      <c r="E347" s="68">
        <f t="shared" si="47"/>
        <v>211</v>
      </c>
      <c r="F347" s="21" t="str">
        <f>VLOOKUP(D347,Sheet2!A:B,2)</f>
        <v>J20-0122</v>
      </c>
      <c r="G347" s="68" t="str">
        <f>VLOOKUP(F347,Sheet2!B:C,2,0)</f>
        <v>Fiber Optic Cable Installation Work</v>
      </c>
      <c r="H347" s="68" t="str">
        <f>HLOOKUP(I$2+$A347,Sheet2!BX:NB,2,0)</f>
        <v>16-30 April 21</v>
      </c>
      <c r="I347" t="str">
        <f>IF(OR(HLOOKUP(I$2+$A347,Sheet2!BX:NB,$B347,0),HLOOKUP(I$2+$A347,Sheet2!BX:NB,$B347,0)&lt;&gt;""),HLOOKUP(I$2+$A347,Sheet2!BX:NB,$B347,0),"")</f>
        <v/>
      </c>
      <c r="J347" t="str">
        <f>IF(OR(HLOOKUP(J$2+$A347,Sheet2!BY:NC,$B347,0),HLOOKUP(J$2+$A347,Sheet2!BY:NC,$B347,0)&lt;&gt;""),HLOOKUP(J$2+$A347,Sheet2!BY:NC,$B347,0),"")</f>
        <v/>
      </c>
      <c r="K347" t="str">
        <f>IF(OR(HLOOKUP(K$2+$A347,Sheet2!BZ:ND,$B347,0),HLOOKUP(K$2+$A347,Sheet2!BZ:ND,$B347,0)&lt;&gt;""),HLOOKUP(K$2+$A347,Sheet2!BZ:ND,$B347,0),"")</f>
        <v/>
      </c>
      <c r="L347" t="str">
        <f>IF(OR(HLOOKUP(L$2+$A347,Sheet2!CA:NE,$B347,0),HLOOKUP(L$2+$A347,Sheet2!CA:NE,$B347,0)&lt;&gt;""),HLOOKUP(L$2+$A347,Sheet2!CA:NE,$B347,0),"")</f>
        <v/>
      </c>
      <c r="M347" t="str">
        <f>IF(OR(HLOOKUP(M$2+$A347,Sheet2!CB:NF,$B347,0),HLOOKUP(M$2+$A347,Sheet2!CB:NF,$B347,0)&lt;&gt;""),HLOOKUP(M$2+$A347,Sheet2!CB:NF,$B347,0),"")</f>
        <v/>
      </c>
    </row>
    <row r="348" spans="1:13" x14ac:dyDescent="0.25">
      <c r="A348" s="68">
        <f t="shared" si="43"/>
        <v>0</v>
      </c>
      <c r="B348" s="68">
        <f t="shared" si="44"/>
        <v>48</v>
      </c>
      <c r="C348" s="68">
        <f t="shared" si="46"/>
        <v>1</v>
      </c>
      <c r="D348" s="68">
        <f t="shared" si="45"/>
        <v>44</v>
      </c>
      <c r="E348" s="68">
        <f t="shared" si="47"/>
        <v>216</v>
      </c>
      <c r="F348" s="21" t="str">
        <f>VLOOKUP(D348,Sheet2!A:B,2)</f>
        <v>J20-0231</v>
      </c>
      <c r="G348" s="68" t="str">
        <f>VLOOKUP(F348,Sheet2!B:C,2,0)</f>
        <v>Project GC7</v>
      </c>
      <c r="H348" s="68" t="str">
        <f>HLOOKUP(I$2+$A348,Sheet2!BX:NB,2,0)</f>
        <v>1-15 Jan 21</v>
      </c>
      <c r="I348" t="str">
        <f>IF(OR(HLOOKUP(I$2+$A348,Sheet2!BX:NB,$B348,0),HLOOKUP(I$2+$A348,Sheet2!BX:NB,$B348,0)&lt;&gt;""),HLOOKUP(I$2+$A348,Sheet2!BX:NB,$B348,0),"")</f>
        <v/>
      </c>
      <c r="J348" t="str">
        <f>IF(OR(HLOOKUP(J$2+$A348,Sheet2!BY:NC,$B348,0),HLOOKUP(J$2+$A348,Sheet2!BY:NC,$B348,0)&lt;&gt;""),HLOOKUP(J$2+$A348,Sheet2!BY:NC,$B348,0),"")</f>
        <v/>
      </c>
      <c r="K348" t="str">
        <f>IF(OR(HLOOKUP(K$2+$A348,Sheet2!BZ:ND,$B348,0),HLOOKUP(K$2+$A348,Sheet2!BZ:ND,$B348,0)&lt;&gt;""),HLOOKUP(K$2+$A348,Sheet2!BZ:ND,$B348,0),"")</f>
        <v/>
      </c>
      <c r="L348" t="str">
        <f>IF(OR(HLOOKUP(L$2+$A348,Sheet2!CA:NE,$B348,0),HLOOKUP(L$2+$A348,Sheet2!CA:NE,$B348,0)&lt;&gt;""),HLOOKUP(L$2+$A348,Sheet2!CA:NE,$B348,0),"")</f>
        <v/>
      </c>
      <c r="M348" t="str">
        <f>IF(OR(HLOOKUP(M$2+$A348,Sheet2!CB:NF,$B348,0),HLOOKUP(M$2+$A348,Sheet2!CB:NF,$B348,0)&lt;&gt;""),HLOOKUP(M$2+$A348,Sheet2!CB:NF,$B348,0),"")</f>
        <v/>
      </c>
    </row>
    <row r="349" spans="1:13" x14ac:dyDescent="0.25">
      <c r="A349" s="68">
        <f t="shared" si="43"/>
        <v>5</v>
      </c>
      <c r="B349" s="68">
        <f t="shared" si="44"/>
        <v>48</v>
      </c>
      <c r="C349" s="68">
        <f t="shared" si="46"/>
        <v>2</v>
      </c>
      <c r="D349" s="68">
        <f t="shared" si="45"/>
        <v>44</v>
      </c>
      <c r="E349" s="68">
        <f t="shared" si="47"/>
        <v>216</v>
      </c>
      <c r="F349" s="21" t="str">
        <f>VLOOKUP(D349,Sheet2!A:B,2)</f>
        <v>J20-0231</v>
      </c>
      <c r="G349" s="68" t="str">
        <f>VLOOKUP(F349,Sheet2!B:C,2,0)</f>
        <v>Project GC7</v>
      </c>
      <c r="H349" s="68" t="str">
        <f>HLOOKUP(I$2+$A349,Sheet2!BX:NB,2,0)</f>
        <v>16-31 Jan 21</v>
      </c>
      <c r="I349" t="str">
        <f>IF(OR(HLOOKUP(I$2+$A349,Sheet2!BX:NB,$B349,0),HLOOKUP(I$2+$A349,Sheet2!BX:NB,$B349,0)&lt;&gt;""),HLOOKUP(I$2+$A349,Sheet2!BX:NB,$B349,0),"")</f>
        <v/>
      </c>
      <c r="J349" t="str">
        <f>IF(OR(HLOOKUP(J$2+$A349,Sheet2!BY:NC,$B349,0),HLOOKUP(J$2+$A349,Sheet2!BY:NC,$B349,0)&lt;&gt;""),HLOOKUP(J$2+$A349,Sheet2!BY:NC,$B349,0),"")</f>
        <v/>
      </c>
      <c r="K349" t="str">
        <f>IF(OR(HLOOKUP(K$2+$A349,Sheet2!BZ:ND,$B349,0),HLOOKUP(K$2+$A349,Sheet2!BZ:ND,$B349,0)&lt;&gt;""),HLOOKUP(K$2+$A349,Sheet2!BZ:ND,$B349,0),"")</f>
        <v/>
      </c>
      <c r="L349" t="str">
        <f>IF(OR(HLOOKUP(L$2+$A349,Sheet2!CA:NE,$B349,0),HLOOKUP(L$2+$A349,Sheet2!CA:NE,$B349,0)&lt;&gt;""),HLOOKUP(L$2+$A349,Sheet2!CA:NE,$B349,0),"")</f>
        <v/>
      </c>
      <c r="M349" t="str">
        <f>IF(OR(HLOOKUP(M$2+$A349,Sheet2!CB:NF,$B349,0),HLOOKUP(M$2+$A349,Sheet2!CB:NF,$B349,0)&lt;&gt;""),HLOOKUP(M$2+$A349,Sheet2!CB:NF,$B349,0),"")</f>
        <v/>
      </c>
    </row>
    <row r="350" spans="1:13" x14ac:dyDescent="0.25">
      <c r="A350" s="68">
        <f t="shared" si="43"/>
        <v>10</v>
      </c>
      <c r="B350" s="68">
        <f t="shared" si="44"/>
        <v>48</v>
      </c>
      <c r="C350" s="68">
        <f t="shared" si="46"/>
        <v>3</v>
      </c>
      <c r="D350" s="68">
        <f t="shared" si="45"/>
        <v>44</v>
      </c>
      <c r="E350" s="68">
        <f t="shared" si="47"/>
        <v>216</v>
      </c>
      <c r="F350" s="21" t="str">
        <f>VLOOKUP(D350,Sheet2!A:B,2)</f>
        <v>J20-0231</v>
      </c>
      <c r="G350" s="68" t="str">
        <f>VLOOKUP(F350,Sheet2!B:C,2,0)</f>
        <v>Project GC7</v>
      </c>
      <c r="H350" s="68" t="str">
        <f>HLOOKUP(I$2+$A350,Sheet2!BX:NB,2,0)</f>
        <v>1-15 Feb 21</v>
      </c>
      <c r="I350" t="str">
        <f>IF(OR(HLOOKUP(I$2+$A350,Sheet2!BX:NB,$B350,0),HLOOKUP(I$2+$A350,Sheet2!BX:NB,$B350,0)&lt;&gt;""),HLOOKUP(I$2+$A350,Sheet2!BX:NB,$B350,0),"")</f>
        <v/>
      </c>
      <c r="J350" t="str">
        <f>IF(OR(HLOOKUP(J$2+$A350,Sheet2!BY:NC,$B350,0),HLOOKUP(J$2+$A350,Sheet2!BY:NC,$B350,0)&lt;&gt;""),HLOOKUP(J$2+$A350,Sheet2!BY:NC,$B350,0),"")</f>
        <v/>
      </c>
      <c r="K350" t="str">
        <f>IF(OR(HLOOKUP(K$2+$A350,Sheet2!BZ:ND,$B350,0),HLOOKUP(K$2+$A350,Sheet2!BZ:ND,$B350,0)&lt;&gt;""),HLOOKUP(K$2+$A350,Sheet2!BZ:ND,$B350,0),"")</f>
        <v/>
      </c>
      <c r="L350" t="str">
        <f>IF(OR(HLOOKUP(L$2+$A350,Sheet2!CA:NE,$B350,0),HLOOKUP(L$2+$A350,Sheet2!CA:NE,$B350,0)&lt;&gt;""),HLOOKUP(L$2+$A350,Sheet2!CA:NE,$B350,0),"")</f>
        <v/>
      </c>
      <c r="M350" t="str">
        <f>IF(OR(HLOOKUP(M$2+$A350,Sheet2!CB:NF,$B350,0),HLOOKUP(M$2+$A350,Sheet2!CB:NF,$B350,0)&lt;&gt;""),HLOOKUP(M$2+$A350,Sheet2!CB:NF,$B350,0),"")</f>
        <v/>
      </c>
    </row>
    <row r="351" spans="1:13" x14ac:dyDescent="0.25">
      <c r="A351" s="68">
        <f t="shared" si="43"/>
        <v>15</v>
      </c>
      <c r="B351" s="68">
        <f t="shared" si="44"/>
        <v>48</v>
      </c>
      <c r="C351" s="68">
        <f t="shared" si="46"/>
        <v>4</v>
      </c>
      <c r="D351" s="68">
        <f t="shared" si="45"/>
        <v>44</v>
      </c>
      <c r="E351" s="68">
        <f t="shared" si="47"/>
        <v>216</v>
      </c>
      <c r="F351" s="21" t="str">
        <f>VLOOKUP(D351,Sheet2!A:B,2)</f>
        <v>J20-0231</v>
      </c>
      <c r="G351" s="68" t="str">
        <f>VLOOKUP(F351,Sheet2!B:C,2,0)</f>
        <v>Project GC7</v>
      </c>
      <c r="H351" s="68" t="str">
        <f>HLOOKUP(I$2+$A351,Sheet2!BX:NB,2,0)</f>
        <v>16-28 Feb 21</v>
      </c>
      <c r="I351" t="str">
        <f>IF(OR(HLOOKUP(I$2+$A351,Sheet2!BX:NB,$B351,0),HLOOKUP(I$2+$A351,Sheet2!BX:NB,$B351,0)&lt;&gt;""),HLOOKUP(I$2+$A351,Sheet2!BX:NB,$B351,0),"")</f>
        <v/>
      </c>
      <c r="J351" t="str">
        <f>IF(OR(HLOOKUP(J$2+$A351,Sheet2!BY:NC,$B351,0),HLOOKUP(J$2+$A351,Sheet2!BY:NC,$B351,0)&lt;&gt;""),HLOOKUP(J$2+$A351,Sheet2!BY:NC,$B351,0),"")</f>
        <v/>
      </c>
      <c r="K351" t="str">
        <f>IF(OR(HLOOKUP(K$2+$A351,Sheet2!BZ:ND,$B351,0),HLOOKUP(K$2+$A351,Sheet2!BZ:ND,$B351,0)&lt;&gt;""),HLOOKUP(K$2+$A351,Sheet2!BZ:ND,$B351,0),"")</f>
        <v/>
      </c>
      <c r="L351" t="str">
        <f>IF(OR(HLOOKUP(L$2+$A351,Sheet2!CA:NE,$B351,0),HLOOKUP(L$2+$A351,Sheet2!CA:NE,$B351,0)&lt;&gt;""),HLOOKUP(L$2+$A351,Sheet2!CA:NE,$B351,0),"")</f>
        <v/>
      </c>
      <c r="M351" t="str">
        <f>IF(OR(HLOOKUP(M$2+$A351,Sheet2!CB:NF,$B351,0),HLOOKUP(M$2+$A351,Sheet2!CB:NF,$B351,0)&lt;&gt;""),HLOOKUP(M$2+$A351,Sheet2!CB:NF,$B351,0),"")</f>
        <v/>
      </c>
    </row>
    <row r="352" spans="1:13" x14ac:dyDescent="0.25">
      <c r="A352" s="68">
        <f t="shared" si="43"/>
        <v>20</v>
      </c>
      <c r="B352" s="68">
        <f t="shared" si="44"/>
        <v>48</v>
      </c>
      <c r="C352" s="68">
        <f t="shared" si="46"/>
        <v>5</v>
      </c>
      <c r="D352" s="68">
        <f t="shared" si="45"/>
        <v>44</v>
      </c>
      <c r="E352" s="68">
        <f t="shared" si="47"/>
        <v>216</v>
      </c>
      <c r="F352" s="21" t="str">
        <f>VLOOKUP(D352,Sheet2!A:B,2)</f>
        <v>J20-0231</v>
      </c>
      <c r="G352" s="68" t="str">
        <f>VLOOKUP(F352,Sheet2!B:C,2,0)</f>
        <v>Project GC7</v>
      </c>
      <c r="H352" s="68" t="str">
        <f>HLOOKUP(I$2+$A352,Sheet2!BX:NB,2,0)</f>
        <v>1-15 Mar 2021</v>
      </c>
      <c r="I352" t="str">
        <f>IF(OR(HLOOKUP(I$2+$A352,Sheet2!BX:NB,$B352,0),HLOOKUP(I$2+$A352,Sheet2!BX:NB,$B352,0)&lt;&gt;""),HLOOKUP(I$2+$A352,Sheet2!BX:NB,$B352,0),"")</f>
        <v/>
      </c>
      <c r="J352" t="str">
        <f>IF(OR(HLOOKUP(J$2+$A352,Sheet2!BY:NC,$B352,0),HLOOKUP(J$2+$A352,Sheet2!BY:NC,$B352,0)&lt;&gt;""),HLOOKUP(J$2+$A352,Sheet2!BY:NC,$B352,0),"")</f>
        <v/>
      </c>
      <c r="K352" t="str">
        <f>IF(OR(HLOOKUP(K$2+$A352,Sheet2!BZ:ND,$B352,0),HLOOKUP(K$2+$A352,Sheet2!BZ:ND,$B352,0)&lt;&gt;""),HLOOKUP(K$2+$A352,Sheet2!BZ:ND,$B352,0),"")</f>
        <v/>
      </c>
      <c r="L352" t="str">
        <f>IF(OR(HLOOKUP(L$2+$A352,Sheet2!CA:NE,$B352,0),HLOOKUP(L$2+$A352,Sheet2!CA:NE,$B352,0)&lt;&gt;""),HLOOKUP(L$2+$A352,Sheet2!CA:NE,$B352,0),"")</f>
        <v/>
      </c>
      <c r="M352" t="str">
        <f>IF(OR(HLOOKUP(M$2+$A352,Sheet2!CB:NF,$B352,0),HLOOKUP(M$2+$A352,Sheet2!CB:NF,$B352,0)&lt;&gt;""),HLOOKUP(M$2+$A352,Sheet2!CB:NF,$B352,0),"")</f>
        <v/>
      </c>
    </row>
    <row r="353" spans="1:13" x14ac:dyDescent="0.25">
      <c r="A353" s="68">
        <f t="shared" si="43"/>
        <v>25</v>
      </c>
      <c r="B353" s="68">
        <f t="shared" si="44"/>
        <v>48</v>
      </c>
      <c r="C353" s="68">
        <f t="shared" si="46"/>
        <v>6</v>
      </c>
      <c r="D353" s="68">
        <f t="shared" si="45"/>
        <v>44</v>
      </c>
      <c r="E353" s="68">
        <f t="shared" si="47"/>
        <v>216</v>
      </c>
      <c r="F353" s="21" t="str">
        <f>VLOOKUP(D353,Sheet2!A:B,2)</f>
        <v>J20-0231</v>
      </c>
      <c r="G353" s="68" t="str">
        <f>VLOOKUP(F353,Sheet2!B:C,2,0)</f>
        <v>Project GC7</v>
      </c>
      <c r="H353" s="68" t="str">
        <f>HLOOKUP(I$2+$A353,Sheet2!BX:NB,2,0)</f>
        <v>16-31 Mar 21</v>
      </c>
      <c r="I353" t="str">
        <f>IF(OR(HLOOKUP(I$2+$A353,Sheet2!BX:NB,$B353,0),HLOOKUP(I$2+$A353,Sheet2!BX:NB,$B353,0)&lt;&gt;""),HLOOKUP(I$2+$A353,Sheet2!BX:NB,$B353,0),"")</f>
        <v/>
      </c>
      <c r="J353" t="str">
        <f>IF(OR(HLOOKUP(J$2+$A353,Sheet2!BY:NC,$B353,0),HLOOKUP(J$2+$A353,Sheet2!BY:NC,$B353,0)&lt;&gt;""),HLOOKUP(J$2+$A353,Sheet2!BY:NC,$B353,0),"")</f>
        <v/>
      </c>
      <c r="K353" t="str">
        <f>IF(OR(HLOOKUP(K$2+$A353,Sheet2!BZ:ND,$B353,0),HLOOKUP(K$2+$A353,Sheet2!BZ:ND,$B353,0)&lt;&gt;""),HLOOKUP(K$2+$A353,Sheet2!BZ:ND,$B353,0),"")</f>
        <v/>
      </c>
      <c r="L353" t="str">
        <f>IF(OR(HLOOKUP(L$2+$A353,Sheet2!CA:NE,$B353,0),HLOOKUP(L$2+$A353,Sheet2!CA:NE,$B353,0)&lt;&gt;""),HLOOKUP(L$2+$A353,Sheet2!CA:NE,$B353,0),"")</f>
        <v/>
      </c>
      <c r="M353" t="str">
        <f>IF(OR(HLOOKUP(M$2+$A353,Sheet2!CB:NF,$B353,0),HLOOKUP(M$2+$A353,Sheet2!CB:NF,$B353,0)&lt;&gt;""),HLOOKUP(M$2+$A353,Sheet2!CB:NF,$B353,0),"")</f>
        <v/>
      </c>
    </row>
    <row r="354" spans="1:13" x14ac:dyDescent="0.25">
      <c r="A354" s="68">
        <f t="shared" si="43"/>
        <v>30</v>
      </c>
      <c r="B354" s="68">
        <f t="shared" si="44"/>
        <v>48</v>
      </c>
      <c r="C354" s="68">
        <f t="shared" si="46"/>
        <v>7</v>
      </c>
      <c r="D354" s="68">
        <f t="shared" si="45"/>
        <v>44</v>
      </c>
      <c r="E354" s="68">
        <f t="shared" si="47"/>
        <v>216</v>
      </c>
      <c r="F354" s="21" t="str">
        <f>VLOOKUP(D354,Sheet2!A:B,2)</f>
        <v>J20-0231</v>
      </c>
      <c r="G354" s="68" t="str">
        <f>VLOOKUP(F354,Sheet2!B:C,2,0)</f>
        <v>Project GC7</v>
      </c>
      <c r="H354" s="68" t="str">
        <f>HLOOKUP(I$2+$A354,Sheet2!BX:NB,2,0)</f>
        <v>1-15 April 21</v>
      </c>
      <c r="I354" t="str">
        <f>IF(OR(HLOOKUP(I$2+$A354,Sheet2!BX:NB,$B354,0),HLOOKUP(I$2+$A354,Sheet2!BX:NB,$B354,0)&lt;&gt;""),HLOOKUP(I$2+$A354,Sheet2!BX:NB,$B354,0),"")</f>
        <v/>
      </c>
      <c r="J354" t="str">
        <f>IF(OR(HLOOKUP(J$2+$A354,Sheet2!BY:NC,$B354,0),HLOOKUP(J$2+$A354,Sheet2!BY:NC,$B354,0)&lt;&gt;""),HLOOKUP(J$2+$A354,Sheet2!BY:NC,$B354,0),"")</f>
        <v/>
      </c>
      <c r="K354" t="str">
        <f>IF(OR(HLOOKUP(K$2+$A354,Sheet2!BZ:ND,$B354,0),HLOOKUP(K$2+$A354,Sheet2!BZ:ND,$B354,0)&lt;&gt;""),HLOOKUP(K$2+$A354,Sheet2!BZ:ND,$B354,0),"")</f>
        <v/>
      </c>
      <c r="L354" t="str">
        <f>IF(OR(HLOOKUP(L$2+$A354,Sheet2!CA:NE,$B354,0),HLOOKUP(L$2+$A354,Sheet2!CA:NE,$B354,0)&lt;&gt;""),HLOOKUP(L$2+$A354,Sheet2!CA:NE,$B354,0),"")</f>
        <v/>
      </c>
      <c r="M354" t="str">
        <f>IF(OR(HLOOKUP(M$2+$A354,Sheet2!CB:NF,$B354,0),HLOOKUP(M$2+$A354,Sheet2!CB:NF,$B354,0)&lt;&gt;""),HLOOKUP(M$2+$A354,Sheet2!CB:NF,$B354,0),"")</f>
        <v/>
      </c>
    </row>
    <row r="355" spans="1:13" x14ac:dyDescent="0.25">
      <c r="A355" s="68">
        <f t="shared" si="43"/>
        <v>35</v>
      </c>
      <c r="B355" s="68">
        <f t="shared" si="44"/>
        <v>48</v>
      </c>
      <c r="C355" s="68">
        <f t="shared" si="46"/>
        <v>8</v>
      </c>
      <c r="D355" s="68">
        <f t="shared" si="45"/>
        <v>44</v>
      </c>
      <c r="E355" s="68">
        <f t="shared" si="47"/>
        <v>216</v>
      </c>
      <c r="F355" s="21" t="str">
        <f>VLOOKUP(D355,Sheet2!A:B,2)</f>
        <v>J20-0231</v>
      </c>
      <c r="G355" s="68" t="str">
        <f>VLOOKUP(F355,Sheet2!B:C,2,0)</f>
        <v>Project GC7</v>
      </c>
      <c r="H355" s="68" t="str">
        <f>HLOOKUP(I$2+$A355,Sheet2!BX:NB,2,0)</f>
        <v>16-30 April 21</v>
      </c>
      <c r="I355" t="str">
        <f>IF(OR(HLOOKUP(I$2+$A355,Sheet2!BX:NB,$B355,0),HLOOKUP(I$2+$A355,Sheet2!BX:NB,$B355,0)&lt;&gt;""),HLOOKUP(I$2+$A355,Sheet2!BX:NB,$B355,0),"")</f>
        <v/>
      </c>
      <c r="J355" t="str">
        <f>IF(OR(HLOOKUP(J$2+$A355,Sheet2!BY:NC,$B355,0),HLOOKUP(J$2+$A355,Sheet2!BY:NC,$B355,0)&lt;&gt;""),HLOOKUP(J$2+$A355,Sheet2!BY:NC,$B355,0),"")</f>
        <v/>
      </c>
      <c r="K355" t="str">
        <f>IF(OR(HLOOKUP(K$2+$A355,Sheet2!BZ:ND,$B355,0),HLOOKUP(K$2+$A355,Sheet2!BZ:ND,$B355,0)&lt;&gt;""),HLOOKUP(K$2+$A355,Sheet2!BZ:ND,$B355,0),"")</f>
        <v/>
      </c>
      <c r="L355" t="str">
        <f>IF(OR(HLOOKUP(L$2+$A355,Sheet2!CA:NE,$B355,0),HLOOKUP(L$2+$A355,Sheet2!CA:NE,$B355,0)&lt;&gt;""),HLOOKUP(L$2+$A355,Sheet2!CA:NE,$B355,0),"")</f>
        <v/>
      </c>
      <c r="M355" t="str">
        <f>IF(OR(HLOOKUP(M$2+$A355,Sheet2!CB:NF,$B355,0),HLOOKUP(M$2+$A355,Sheet2!CB:NF,$B355,0)&lt;&gt;""),HLOOKUP(M$2+$A355,Sheet2!CB:NF,$B355,0),"")</f>
        <v/>
      </c>
    </row>
    <row r="356" spans="1:13" x14ac:dyDescent="0.25">
      <c r="A356" s="68">
        <f t="shared" si="43"/>
        <v>0</v>
      </c>
      <c r="B356" s="68">
        <f t="shared" si="44"/>
        <v>49</v>
      </c>
      <c r="C356" s="68">
        <f t="shared" si="46"/>
        <v>1</v>
      </c>
      <c r="D356" s="68">
        <f t="shared" si="45"/>
        <v>45</v>
      </c>
      <c r="E356" s="68">
        <f t="shared" si="47"/>
        <v>221</v>
      </c>
      <c r="F356" s="21" t="str">
        <f>VLOOKUP(D356,Sheet2!A:B,2)</f>
        <v>J19-1151</v>
      </c>
      <c r="G356" s="68" t="str">
        <f>VLOOKUP(F356,Sheet2!B:C,2,0)</f>
        <v>ETP T5527 Observation Basin  &amp; New Treated efflue</v>
      </c>
      <c r="H356" s="68" t="str">
        <f>HLOOKUP(I$2+$A356,Sheet2!BX:NB,2,0)</f>
        <v>1-15 Jan 21</v>
      </c>
      <c r="I356" t="str">
        <f>IF(OR(HLOOKUP(I$2+$A356,Sheet2!BX:NB,$B356,0),HLOOKUP(I$2+$A356,Sheet2!BX:NB,$B356,0)&lt;&gt;""),HLOOKUP(I$2+$A356,Sheet2!BX:NB,$B356,0),"")</f>
        <v/>
      </c>
      <c r="J356" t="str">
        <f>IF(OR(HLOOKUP(J$2+$A356,Sheet2!BY:NC,$B356,0),HLOOKUP(J$2+$A356,Sheet2!BY:NC,$B356,0)&lt;&gt;""),HLOOKUP(J$2+$A356,Sheet2!BY:NC,$B356,0),"")</f>
        <v/>
      </c>
      <c r="K356" t="str">
        <f>IF(OR(HLOOKUP(K$2+$A356,Sheet2!BZ:ND,$B356,0),HLOOKUP(K$2+$A356,Sheet2!BZ:ND,$B356,0)&lt;&gt;""),HLOOKUP(K$2+$A356,Sheet2!BZ:ND,$B356,0),"")</f>
        <v/>
      </c>
      <c r="L356" t="str">
        <f>IF(OR(HLOOKUP(L$2+$A356,Sheet2!CA:NE,$B356,0),HLOOKUP(L$2+$A356,Sheet2!CA:NE,$B356,0)&lt;&gt;""),HLOOKUP(L$2+$A356,Sheet2!CA:NE,$B356,0),"")</f>
        <v/>
      </c>
      <c r="M356" t="str">
        <f>IF(OR(HLOOKUP(M$2+$A356,Sheet2!CB:NF,$B356,0),HLOOKUP(M$2+$A356,Sheet2!CB:NF,$B356,0)&lt;&gt;""),HLOOKUP(M$2+$A356,Sheet2!CB:NF,$B356,0),"")</f>
        <v/>
      </c>
    </row>
    <row r="357" spans="1:13" x14ac:dyDescent="0.25">
      <c r="A357" s="68">
        <f t="shared" si="43"/>
        <v>5</v>
      </c>
      <c r="B357" s="68">
        <f t="shared" si="44"/>
        <v>49</v>
      </c>
      <c r="C357" s="68">
        <f t="shared" si="46"/>
        <v>2</v>
      </c>
      <c r="D357" s="68">
        <f t="shared" si="45"/>
        <v>45</v>
      </c>
      <c r="E357" s="68">
        <f t="shared" si="47"/>
        <v>221</v>
      </c>
      <c r="F357" s="21" t="str">
        <f>VLOOKUP(D357,Sheet2!A:B,2)</f>
        <v>J19-1151</v>
      </c>
      <c r="G357" s="68" t="str">
        <f>VLOOKUP(F357,Sheet2!B:C,2,0)</f>
        <v>ETP T5527 Observation Basin  &amp; New Treated efflue</v>
      </c>
      <c r="H357" s="68" t="str">
        <f>HLOOKUP(I$2+$A357,Sheet2!BX:NB,2,0)</f>
        <v>16-31 Jan 21</v>
      </c>
      <c r="I357" t="str">
        <f>IF(OR(HLOOKUP(I$2+$A357,Sheet2!BX:NB,$B357,0),HLOOKUP(I$2+$A357,Sheet2!BX:NB,$B357,0)&lt;&gt;""),HLOOKUP(I$2+$A357,Sheet2!BX:NB,$B357,0),"")</f>
        <v/>
      </c>
      <c r="J357" t="str">
        <f>IF(OR(HLOOKUP(J$2+$A357,Sheet2!BY:NC,$B357,0),HLOOKUP(J$2+$A357,Sheet2!BY:NC,$B357,0)&lt;&gt;""),HLOOKUP(J$2+$A357,Sheet2!BY:NC,$B357,0),"")</f>
        <v/>
      </c>
      <c r="K357" t="str">
        <f>IF(OR(HLOOKUP(K$2+$A357,Sheet2!BZ:ND,$B357,0),HLOOKUP(K$2+$A357,Sheet2!BZ:ND,$B357,0)&lt;&gt;""),HLOOKUP(K$2+$A357,Sheet2!BZ:ND,$B357,0),"")</f>
        <v/>
      </c>
      <c r="L357" t="str">
        <f>IF(OR(HLOOKUP(L$2+$A357,Sheet2!CA:NE,$B357,0),HLOOKUP(L$2+$A357,Sheet2!CA:NE,$B357,0)&lt;&gt;""),HLOOKUP(L$2+$A357,Sheet2!CA:NE,$B357,0),"")</f>
        <v/>
      </c>
      <c r="M357" t="str">
        <f>IF(OR(HLOOKUP(M$2+$A357,Sheet2!CB:NF,$B357,0),HLOOKUP(M$2+$A357,Sheet2!CB:NF,$B357,0)&lt;&gt;""),HLOOKUP(M$2+$A357,Sheet2!CB:NF,$B357,0),"")</f>
        <v/>
      </c>
    </row>
    <row r="358" spans="1:13" x14ac:dyDescent="0.25">
      <c r="A358" s="68">
        <f t="shared" si="43"/>
        <v>10</v>
      </c>
      <c r="B358" s="68">
        <f t="shared" si="44"/>
        <v>49</v>
      </c>
      <c r="C358" s="68">
        <f t="shared" si="46"/>
        <v>3</v>
      </c>
      <c r="D358" s="68">
        <f t="shared" si="45"/>
        <v>45</v>
      </c>
      <c r="E358" s="68">
        <f t="shared" si="47"/>
        <v>221</v>
      </c>
      <c r="F358" s="21" t="str">
        <f>VLOOKUP(D358,Sheet2!A:B,2)</f>
        <v>J19-1151</v>
      </c>
      <c r="G358" s="68" t="str">
        <f>VLOOKUP(F358,Sheet2!B:C,2,0)</f>
        <v>ETP T5527 Observation Basin  &amp; New Treated efflue</v>
      </c>
      <c r="H358" s="68" t="str">
        <f>HLOOKUP(I$2+$A358,Sheet2!BX:NB,2,0)</f>
        <v>1-15 Feb 21</v>
      </c>
      <c r="I358" t="str">
        <f>IF(OR(HLOOKUP(I$2+$A358,Sheet2!BX:NB,$B358,0),HLOOKUP(I$2+$A358,Sheet2!BX:NB,$B358,0)&lt;&gt;""),HLOOKUP(I$2+$A358,Sheet2!BX:NB,$B358,0),"")</f>
        <v/>
      </c>
      <c r="J358" t="str">
        <f>IF(OR(HLOOKUP(J$2+$A358,Sheet2!BY:NC,$B358,0),HLOOKUP(J$2+$A358,Sheet2!BY:NC,$B358,0)&lt;&gt;""),HLOOKUP(J$2+$A358,Sheet2!BY:NC,$B358,0),"")</f>
        <v/>
      </c>
      <c r="K358" t="str">
        <f>IF(OR(HLOOKUP(K$2+$A358,Sheet2!BZ:ND,$B358,0),HLOOKUP(K$2+$A358,Sheet2!BZ:ND,$B358,0)&lt;&gt;""),HLOOKUP(K$2+$A358,Sheet2!BZ:ND,$B358,0),"")</f>
        <v/>
      </c>
      <c r="L358" t="str">
        <f>IF(OR(HLOOKUP(L$2+$A358,Sheet2!CA:NE,$B358,0),HLOOKUP(L$2+$A358,Sheet2!CA:NE,$B358,0)&lt;&gt;""),HLOOKUP(L$2+$A358,Sheet2!CA:NE,$B358,0),"")</f>
        <v/>
      </c>
      <c r="M358" t="str">
        <f>IF(OR(HLOOKUP(M$2+$A358,Sheet2!CB:NF,$B358,0),HLOOKUP(M$2+$A358,Sheet2!CB:NF,$B358,0)&lt;&gt;""),HLOOKUP(M$2+$A358,Sheet2!CB:NF,$B358,0),"")</f>
        <v/>
      </c>
    </row>
    <row r="359" spans="1:13" x14ac:dyDescent="0.25">
      <c r="A359" s="68">
        <f t="shared" si="43"/>
        <v>15</v>
      </c>
      <c r="B359" s="68">
        <f t="shared" si="44"/>
        <v>49</v>
      </c>
      <c r="C359" s="68">
        <f t="shared" si="46"/>
        <v>4</v>
      </c>
      <c r="D359" s="68">
        <f t="shared" si="45"/>
        <v>45</v>
      </c>
      <c r="E359" s="68">
        <f t="shared" si="47"/>
        <v>221</v>
      </c>
      <c r="F359" s="21" t="str">
        <f>VLOOKUP(D359,Sheet2!A:B,2)</f>
        <v>J19-1151</v>
      </c>
      <c r="G359" s="68" t="str">
        <f>VLOOKUP(F359,Sheet2!B:C,2,0)</f>
        <v>ETP T5527 Observation Basin  &amp; New Treated efflue</v>
      </c>
      <c r="H359" s="68" t="str">
        <f>HLOOKUP(I$2+$A359,Sheet2!BX:NB,2,0)</f>
        <v>16-28 Feb 21</v>
      </c>
      <c r="I359" t="str">
        <f>IF(OR(HLOOKUP(I$2+$A359,Sheet2!BX:NB,$B359,0),HLOOKUP(I$2+$A359,Sheet2!BX:NB,$B359,0)&lt;&gt;""),HLOOKUP(I$2+$A359,Sheet2!BX:NB,$B359,0),"")</f>
        <v/>
      </c>
      <c r="J359" t="str">
        <f>IF(OR(HLOOKUP(J$2+$A359,Sheet2!BY:NC,$B359,0),HLOOKUP(J$2+$A359,Sheet2!BY:NC,$B359,0)&lt;&gt;""),HLOOKUP(J$2+$A359,Sheet2!BY:NC,$B359,0),"")</f>
        <v/>
      </c>
      <c r="K359" t="str">
        <f>IF(OR(HLOOKUP(K$2+$A359,Sheet2!BZ:ND,$B359,0),HLOOKUP(K$2+$A359,Sheet2!BZ:ND,$B359,0)&lt;&gt;""),HLOOKUP(K$2+$A359,Sheet2!BZ:ND,$B359,0),"")</f>
        <v/>
      </c>
      <c r="L359" t="str">
        <f>IF(OR(HLOOKUP(L$2+$A359,Sheet2!CA:NE,$B359,0),HLOOKUP(L$2+$A359,Sheet2!CA:NE,$B359,0)&lt;&gt;""),HLOOKUP(L$2+$A359,Sheet2!CA:NE,$B359,0),"")</f>
        <v/>
      </c>
      <c r="M359" t="str">
        <f>IF(OR(HLOOKUP(M$2+$A359,Sheet2!CB:NF,$B359,0),HLOOKUP(M$2+$A359,Sheet2!CB:NF,$B359,0)&lt;&gt;""),HLOOKUP(M$2+$A359,Sheet2!CB:NF,$B359,0),"")</f>
        <v/>
      </c>
    </row>
    <row r="360" spans="1:13" x14ac:dyDescent="0.25">
      <c r="A360" s="68">
        <f t="shared" si="43"/>
        <v>20</v>
      </c>
      <c r="B360" s="68">
        <f t="shared" si="44"/>
        <v>49</v>
      </c>
      <c r="C360" s="68">
        <f t="shared" si="46"/>
        <v>5</v>
      </c>
      <c r="D360" s="68">
        <f t="shared" si="45"/>
        <v>45</v>
      </c>
      <c r="E360" s="68">
        <f t="shared" si="47"/>
        <v>221</v>
      </c>
      <c r="F360" s="21" t="str">
        <f>VLOOKUP(D360,Sheet2!A:B,2)</f>
        <v>J19-1151</v>
      </c>
      <c r="G360" s="68" t="str">
        <f>VLOOKUP(F360,Sheet2!B:C,2,0)</f>
        <v>ETP T5527 Observation Basin  &amp; New Treated efflue</v>
      </c>
      <c r="H360" s="68" t="str">
        <f>HLOOKUP(I$2+$A360,Sheet2!BX:NB,2,0)</f>
        <v>1-15 Mar 2021</v>
      </c>
      <c r="I360" t="str">
        <f>IF(OR(HLOOKUP(I$2+$A360,Sheet2!BX:NB,$B360,0),HLOOKUP(I$2+$A360,Sheet2!BX:NB,$B360,0)&lt;&gt;""),HLOOKUP(I$2+$A360,Sheet2!BX:NB,$B360,0),"")</f>
        <v/>
      </c>
      <c r="J360" t="str">
        <f>IF(OR(HLOOKUP(J$2+$A360,Sheet2!BY:NC,$B360,0),HLOOKUP(J$2+$A360,Sheet2!BY:NC,$B360,0)&lt;&gt;""),HLOOKUP(J$2+$A360,Sheet2!BY:NC,$B360,0),"")</f>
        <v/>
      </c>
      <c r="K360" t="str">
        <f>IF(OR(HLOOKUP(K$2+$A360,Sheet2!BZ:ND,$B360,0),HLOOKUP(K$2+$A360,Sheet2!BZ:ND,$B360,0)&lt;&gt;""),HLOOKUP(K$2+$A360,Sheet2!BZ:ND,$B360,0),"")</f>
        <v/>
      </c>
      <c r="L360" t="str">
        <f>IF(OR(HLOOKUP(L$2+$A360,Sheet2!CA:NE,$B360,0),HLOOKUP(L$2+$A360,Sheet2!CA:NE,$B360,0)&lt;&gt;""),HLOOKUP(L$2+$A360,Sheet2!CA:NE,$B360,0),"")</f>
        <v/>
      </c>
      <c r="M360" t="str">
        <f>IF(OR(HLOOKUP(M$2+$A360,Sheet2!CB:NF,$B360,0),HLOOKUP(M$2+$A360,Sheet2!CB:NF,$B360,0)&lt;&gt;""),HLOOKUP(M$2+$A360,Sheet2!CB:NF,$B360,0),"")</f>
        <v/>
      </c>
    </row>
    <row r="361" spans="1:13" x14ac:dyDescent="0.25">
      <c r="A361" s="68">
        <f t="shared" si="43"/>
        <v>25</v>
      </c>
      <c r="B361" s="68">
        <f t="shared" si="44"/>
        <v>49</v>
      </c>
      <c r="C361" s="68">
        <f t="shared" si="46"/>
        <v>6</v>
      </c>
      <c r="D361" s="68">
        <f t="shared" si="45"/>
        <v>45</v>
      </c>
      <c r="E361" s="68">
        <f t="shared" si="47"/>
        <v>221</v>
      </c>
      <c r="F361" s="21" t="str">
        <f>VLOOKUP(D361,Sheet2!A:B,2)</f>
        <v>J19-1151</v>
      </c>
      <c r="G361" s="68" t="str">
        <f>VLOOKUP(F361,Sheet2!B:C,2,0)</f>
        <v>ETP T5527 Observation Basin  &amp; New Treated efflue</v>
      </c>
      <c r="H361" s="68" t="str">
        <f>HLOOKUP(I$2+$A361,Sheet2!BX:NB,2,0)</f>
        <v>16-31 Mar 21</v>
      </c>
      <c r="I361" t="str">
        <f>IF(OR(HLOOKUP(I$2+$A361,Sheet2!BX:NB,$B361,0),HLOOKUP(I$2+$A361,Sheet2!BX:NB,$B361,0)&lt;&gt;""),HLOOKUP(I$2+$A361,Sheet2!BX:NB,$B361,0),"")</f>
        <v/>
      </c>
      <c r="J361" t="str">
        <f>IF(OR(HLOOKUP(J$2+$A361,Sheet2!BY:NC,$B361,0),HLOOKUP(J$2+$A361,Sheet2!BY:NC,$B361,0)&lt;&gt;""),HLOOKUP(J$2+$A361,Sheet2!BY:NC,$B361,0),"")</f>
        <v/>
      </c>
      <c r="K361" t="str">
        <f>IF(OR(HLOOKUP(K$2+$A361,Sheet2!BZ:ND,$B361,0),HLOOKUP(K$2+$A361,Sheet2!BZ:ND,$B361,0)&lt;&gt;""),HLOOKUP(K$2+$A361,Sheet2!BZ:ND,$B361,0),"")</f>
        <v/>
      </c>
      <c r="L361" t="str">
        <f>IF(OR(HLOOKUP(L$2+$A361,Sheet2!CA:NE,$B361,0),HLOOKUP(L$2+$A361,Sheet2!CA:NE,$B361,0)&lt;&gt;""),HLOOKUP(L$2+$A361,Sheet2!CA:NE,$B361,0),"")</f>
        <v/>
      </c>
      <c r="M361" t="str">
        <f>IF(OR(HLOOKUP(M$2+$A361,Sheet2!CB:NF,$B361,0),HLOOKUP(M$2+$A361,Sheet2!CB:NF,$B361,0)&lt;&gt;""),HLOOKUP(M$2+$A361,Sheet2!CB:NF,$B361,0),"")</f>
        <v/>
      </c>
    </row>
    <row r="362" spans="1:13" x14ac:dyDescent="0.25">
      <c r="A362" s="68">
        <f t="shared" si="43"/>
        <v>30</v>
      </c>
      <c r="B362" s="68">
        <f t="shared" si="44"/>
        <v>49</v>
      </c>
      <c r="C362" s="68">
        <f t="shared" si="46"/>
        <v>7</v>
      </c>
      <c r="D362" s="68">
        <f t="shared" si="45"/>
        <v>45</v>
      </c>
      <c r="E362" s="68">
        <f t="shared" si="47"/>
        <v>221</v>
      </c>
      <c r="F362" s="21" t="str">
        <f>VLOOKUP(D362,Sheet2!A:B,2)</f>
        <v>J19-1151</v>
      </c>
      <c r="G362" s="68" t="str">
        <f>VLOOKUP(F362,Sheet2!B:C,2,0)</f>
        <v>ETP T5527 Observation Basin  &amp; New Treated efflue</v>
      </c>
      <c r="H362" s="68" t="str">
        <f>HLOOKUP(I$2+$A362,Sheet2!BX:NB,2,0)</f>
        <v>1-15 April 21</v>
      </c>
      <c r="I362" t="str">
        <f>IF(OR(HLOOKUP(I$2+$A362,Sheet2!BX:NB,$B362,0),HLOOKUP(I$2+$A362,Sheet2!BX:NB,$B362,0)&lt;&gt;""),HLOOKUP(I$2+$A362,Sheet2!BX:NB,$B362,0),"")</f>
        <v/>
      </c>
      <c r="J362" t="str">
        <f>IF(OR(HLOOKUP(J$2+$A362,Sheet2!BY:NC,$B362,0),HLOOKUP(J$2+$A362,Sheet2!BY:NC,$B362,0)&lt;&gt;""),HLOOKUP(J$2+$A362,Sheet2!BY:NC,$B362,0),"")</f>
        <v/>
      </c>
      <c r="K362" t="str">
        <f>IF(OR(HLOOKUP(K$2+$A362,Sheet2!BZ:ND,$B362,0),HLOOKUP(K$2+$A362,Sheet2!BZ:ND,$B362,0)&lt;&gt;""),HLOOKUP(K$2+$A362,Sheet2!BZ:ND,$B362,0),"")</f>
        <v/>
      </c>
      <c r="L362" t="str">
        <f>IF(OR(HLOOKUP(L$2+$A362,Sheet2!CA:NE,$B362,0),HLOOKUP(L$2+$A362,Sheet2!CA:NE,$B362,0)&lt;&gt;""),HLOOKUP(L$2+$A362,Sheet2!CA:NE,$B362,0),"")</f>
        <v/>
      </c>
      <c r="M362" t="str">
        <f>IF(OR(HLOOKUP(M$2+$A362,Sheet2!CB:NF,$B362,0),HLOOKUP(M$2+$A362,Sheet2!CB:NF,$B362,0)&lt;&gt;""),HLOOKUP(M$2+$A362,Sheet2!CB:NF,$B362,0),"")</f>
        <v/>
      </c>
    </row>
    <row r="363" spans="1:13" x14ac:dyDescent="0.25">
      <c r="A363" s="68">
        <f t="shared" si="43"/>
        <v>35</v>
      </c>
      <c r="B363" s="68">
        <f t="shared" si="44"/>
        <v>49</v>
      </c>
      <c r="C363" s="68">
        <f t="shared" si="46"/>
        <v>8</v>
      </c>
      <c r="D363" s="68">
        <f t="shared" si="45"/>
        <v>45</v>
      </c>
      <c r="E363" s="68">
        <f t="shared" si="47"/>
        <v>221</v>
      </c>
      <c r="F363" s="21" t="str">
        <f>VLOOKUP(D363,Sheet2!A:B,2)</f>
        <v>J19-1151</v>
      </c>
      <c r="G363" s="68" t="str">
        <f>VLOOKUP(F363,Sheet2!B:C,2,0)</f>
        <v>ETP T5527 Observation Basin  &amp; New Treated efflue</v>
      </c>
      <c r="H363" s="68" t="str">
        <f>HLOOKUP(I$2+$A363,Sheet2!BX:NB,2,0)</f>
        <v>16-30 April 21</v>
      </c>
      <c r="I363" t="str">
        <f>IF(OR(HLOOKUP(I$2+$A363,Sheet2!BX:NB,$B363,0),HLOOKUP(I$2+$A363,Sheet2!BX:NB,$B363,0)&lt;&gt;""),HLOOKUP(I$2+$A363,Sheet2!BX:NB,$B363,0),"")</f>
        <v/>
      </c>
      <c r="J363" t="str">
        <f>IF(OR(HLOOKUP(J$2+$A363,Sheet2!BY:NC,$B363,0),HLOOKUP(J$2+$A363,Sheet2!BY:NC,$B363,0)&lt;&gt;""),HLOOKUP(J$2+$A363,Sheet2!BY:NC,$B363,0),"")</f>
        <v/>
      </c>
      <c r="K363" t="str">
        <f>IF(OR(HLOOKUP(K$2+$A363,Sheet2!BZ:ND,$B363,0),HLOOKUP(K$2+$A363,Sheet2!BZ:ND,$B363,0)&lt;&gt;""),HLOOKUP(K$2+$A363,Sheet2!BZ:ND,$B363,0),"")</f>
        <v/>
      </c>
      <c r="L363" t="str">
        <f>IF(OR(HLOOKUP(L$2+$A363,Sheet2!CA:NE,$B363,0),HLOOKUP(L$2+$A363,Sheet2!CA:NE,$B363,0)&lt;&gt;""),HLOOKUP(L$2+$A363,Sheet2!CA:NE,$B363,0),"")</f>
        <v/>
      </c>
      <c r="M363" t="str">
        <f>IF(OR(HLOOKUP(M$2+$A363,Sheet2!CB:NF,$B363,0),HLOOKUP(M$2+$A363,Sheet2!CB:NF,$B363,0)&lt;&gt;""),HLOOKUP(M$2+$A363,Sheet2!CB:NF,$B363,0),"")</f>
        <v/>
      </c>
    </row>
    <row r="364" spans="1:13" x14ac:dyDescent="0.25">
      <c r="A364" s="68">
        <f t="shared" si="43"/>
        <v>0</v>
      </c>
      <c r="B364" s="68">
        <f t="shared" si="44"/>
        <v>50</v>
      </c>
      <c r="C364" s="68">
        <f t="shared" si="46"/>
        <v>1</v>
      </c>
      <c r="D364" s="68">
        <f t="shared" si="45"/>
        <v>46</v>
      </c>
      <c r="E364" s="68">
        <f t="shared" si="47"/>
        <v>226</v>
      </c>
      <c r="F364" s="21" t="str">
        <f>VLOOKUP(D364,Sheet2!A:B,2)</f>
        <v>J20-0420</v>
      </c>
      <c r="G364" s="68" t="str">
        <f>VLOOKUP(F364,Sheet2!B:C,2,0)</f>
        <v>INSTALL INSTRUMENT &amp; ELECTRICAL I-19-135 ROC_MOCD2</v>
      </c>
      <c r="H364" s="68" t="str">
        <f>HLOOKUP(I$2+$A364,Sheet2!BX:NB,2,0)</f>
        <v>1-15 Jan 21</v>
      </c>
      <c r="I364" t="str">
        <f>IF(OR(HLOOKUP(I$2+$A364,Sheet2!BX:NB,$B364,0),HLOOKUP(I$2+$A364,Sheet2!BX:NB,$B364,0)&lt;&gt;""),HLOOKUP(I$2+$A364,Sheet2!BX:NB,$B364,0),"")</f>
        <v/>
      </c>
      <c r="J364" t="str">
        <f>IF(OR(HLOOKUP(J$2+$A364,Sheet2!BY:NC,$B364,0),HLOOKUP(J$2+$A364,Sheet2!BY:NC,$B364,0)&lt;&gt;""),HLOOKUP(J$2+$A364,Sheet2!BY:NC,$B364,0),"")</f>
        <v/>
      </c>
      <c r="K364" t="str">
        <f>IF(OR(HLOOKUP(K$2+$A364,Sheet2!BZ:ND,$B364,0),HLOOKUP(K$2+$A364,Sheet2!BZ:ND,$B364,0)&lt;&gt;""),HLOOKUP(K$2+$A364,Sheet2!BZ:ND,$B364,0),"")</f>
        <v/>
      </c>
      <c r="L364" t="str">
        <f>IF(OR(HLOOKUP(L$2+$A364,Sheet2!CA:NE,$B364,0),HLOOKUP(L$2+$A364,Sheet2!CA:NE,$B364,0)&lt;&gt;""),HLOOKUP(L$2+$A364,Sheet2!CA:NE,$B364,0),"")</f>
        <v/>
      </c>
      <c r="M364" t="str">
        <f>IF(OR(HLOOKUP(M$2+$A364,Sheet2!CB:NF,$B364,0),HLOOKUP(M$2+$A364,Sheet2!CB:NF,$B364,0)&lt;&gt;""),HLOOKUP(M$2+$A364,Sheet2!CB:NF,$B364,0),"")</f>
        <v/>
      </c>
    </row>
    <row r="365" spans="1:13" x14ac:dyDescent="0.25">
      <c r="A365" s="68">
        <f t="shared" si="43"/>
        <v>5</v>
      </c>
      <c r="B365" s="68">
        <f t="shared" si="44"/>
        <v>50</v>
      </c>
      <c r="C365" s="68">
        <f t="shared" si="46"/>
        <v>2</v>
      </c>
      <c r="D365" s="68">
        <f t="shared" si="45"/>
        <v>46</v>
      </c>
      <c r="E365" s="68">
        <f t="shared" si="47"/>
        <v>226</v>
      </c>
      <c r="F365" s="21" t="str">
        <f>VLOOKUP(D365,Sheet2!A:B,2)</f>
        <v>J20-0420</v>
      </c>
      <c r="G365" s="68" t="str">
        <f>VLOOKUP(F365,Sheet2!B:C,2,0)</f>
        <v>INSTALL INSTRUMENT &amp; ELECTRICAL I-19-135 ROC_MOCD2</v>
      </c>
      <c r="H365" s="68" t="str">
        <f>HLOOKUP(I$2+$A365,Sheet2!BX:NB,2,0)</f>
        <v>16-31 Jan 21</v>
      </c>
      <c r="I365" t="str">
        <f>IF(OR(HLOOKUP(I$2+$A365,Sheet2!BX:NB,$B365,0),HLOOKUP(I$2+$A365,Sheet2!BX:NB,$B365,0)&lt;&gt;""),HLOOKUP(I$2+$A365,Sheet2!BX:NB,$B365,0),"")</f>
        <v/>
      </c>
      <c r="J365" t="str">
        <f>IF(OR(HLOOKUP(J$2+$A365,Sheet2!BY:NC,$B365,0),HLOOKUP(J$2+$A365,Sheet2!BY:NC,$B365,0)&lt;&gt;""),HLOOKUP(J$2+$A365,Sheet2!BY:NC,$B365,0),"")</f>
        <v/>
      </c>
      <c r="K365" t="str">
        <f>IF(OR(HLOOKUP(K$2+$A365,Sheet2!BZ:ND,$B365,0),HLOOKUP(K$2+$A365,Sheet2!BZ:ND,$B365,0)&lt;&gt;""),HLOOKUP(K$2+$A365,Sheet2!BZ:ND,$B365,0),"")</f>
        <v/>
      </c>
      <c r="L365" t="str">
        <f>IF(OR(HLOOKUP(L$2+$A365,Sheet2!CA:NE,$B365,0),HLOOKUP(L$2+$A365,Sheet2!CA:NE,$B365,0)&lt;&gt;""),HLOOKUP(L$2+$A365,Sheet2!CA:NE,$B365,0),"")</f>
        <v/>
      </c>
      <c r="M365" t="str">
        <f>IF(OR(HLOOKUP(M$2+$A365,Sheet2!CB:NF,$B365,0),HLOOKUP(M$2+$A365,Sheet2!CB:NF,$B365,0)&lt;&gt;""),HLOOKUP(M$2+$A365,Sheet2!CB:NF,$B365,0),"")</f>
        <v/>
      </c>
    </row>
    <row r="366" spans="1:13" x14ac:dyDescent="0.25">
      <c r="A366" s="68">
        <f t="shared" si="43"/>
        <v>10</v>
      </c>
      <c r="B366" s="68">
        <f t="shared" si="44"/>
        <v>50</v>
      </c>
      <c r="C366" s="68">
        <f t="shared" si="46"/>
        <v>3</v>
      </c>
      <c r="D366" s="68">
        <f t="shared" si="45"/>
        <v>46</v>
      </c>
      <c r="E366" s="68">
        <f t="shared" si="47"/>
        <v>226</v>
      </c>
      <c r="F366" s="21" t="str">
        <f>VLOOKUP(D366,Sheet2!A:B,2)</f>
        <v>J20-0420</v>
      </c>
      <c r="G366" s="68" t="str">
        <f>VLOOKUP(F366,Sheet2!B:C,2,0)</f>
        <v>INSTALL INSTRUMENT &amp; ELECTRICAL I-19-135 ROC_MOCD2</v>
      </c>
      <c r="H366" s="68" t="str">
        <f>HLOOKUP(I$2+$A366,Sheet2!BX:NB,2,0)</f>
        <v>1-15 Feb 21</v>
      </c>
      <c r="I366" t="str">
        <f>IF(OR(HLOOKUP(I$2+$A366,Sheet2!BX:NB,$B366,0),HLOOKUP(I$2+$A366,Sheet2!BX:NB,$B366,0)&lt;&gt;""),HLOOKUP(I$2+$A366,Sheet2!BX:NB,$B366,0),"")</f>
        <v/>
      </c>
      <c r="J366" t="str">
        <f>IF(OR(HLOOKUP(J$2+$A366,Sheet2!BY:NC,$B366,0),HLOOKUP(J$2+$A366,Sheet2!BY:NC,$B366,0)&lt;&gt;""),HLOOKUP(J$2+$A366,Sheet2!BY:NC,$B366,0),"")</f>
        <v/>
      </c>
      <c r="K366" t="str">
        <f>IF(OR(HLOOKUP(K$2+$A366,Sheet2!BZ:ND,$B366,0),HLOOKUP(K$2+$A366,Sheet2!BZ:ND,$B366,0)&lt;&gt;""),HLOOKUP(K$2+$A366,Sheet2!BZ:ND,$B366,0),"")</f>
        <v/>
      </c>
      <c r="L366" t="str">
        <f>IF(OR(HLOOKUP(L$2+$A366,Sheet2!CA:NE,$B366,0),HLOOKUP(L$2+$A366,Sheet2!CA:NE,$B366,0)&lt;&gt;""),HLOOKUP(L$2+$A366,Sheet2!CA:NE,$B366,0),"")</f>
        <v/>
      </c>
      <c r="M366" t="str">
        <f>IF(OR(HLOOKUP(M$2+$A366,Sheet2!CB:NF,$B366,0),HLOOKUP(M$2+$A366,Sheet2!CB:NF,$B366,0)&lt;&gt;""),HLOOKUP(M$2+$A366,Sheet2!CB:NF,$B366,0),"")</f>
        <v/>
      </c>
    </row>
    <row r="367" spans="1:13" x14ac:dyDescent="0.25">
      <c r="A367" s="68">
        <f t="shared" si="43"/>
        <v>15</v>
      </c>
      <c r="B367" s="68">
        <f t="shared" si="44"/>
        <v>50</v>
      </c>
      <c r="C367" s="68">
        <f t="shared" si="46"/>
        <v>4</v>
      </c>
      <c r="D367" s="68">
        <f t="shared" si="45"/>
        <v>46</v>
      </c>
      <c r="E367" s="68">
        <f t="shared" si="47"/>
        <v>226</v>
      </c>
      <c r="F367" s="21" t="str">
        <f>VLOOKUP(D367,Sheet2!A:B,2)</f>
        <v>J20-0420</v>
      </c>
      <c r="G367" s="68" t="str">
        <f>VLOOKUP(F367,Sheet2!B:C,2,0)</f>
        <v>INSTALL INSTRUMENT &amp; ELECTRICAL I-19-135 ROC_MOCD2</v>
      </c>
      <c r="H367" s="68" t="str">
        <f>HLOOKUP(I$2+$A367,Sheet2!BX:NB,2,0)</f>
        <v>16-28 Feb 21</v>
      </c>
      <c r="I367" t="str">
        <f>IF(OR(HLOOKUP(I$2+$A367,Sheet2!BX:NB,$B367,0),HLOOKUP(I$2+$A367,Sheet2!BX:NB,$B367,0)&lt;&gt;""),HLOOKUP(I$2+$A367,Sheet2!BX:NB,$B367,0),"")</f>
        <v/>
      </c>
      <c r="J367" t="str">
        <f>IF(OR(HLOOKUP(J$2+$A367,Sheet2!BY:NC,$B367,0),HLOOKUP(J$2+$A367,Sheet2!BY:NC,$B367,0)&lt;&gt;""),HLOOKUP(J$2+$A367,Sheet2!BY:NC,$B367,0),"")</f>
        <v/>
      </c>
      <c r="K367" t="str">
        <f>IF(OR(HLOOKUP(K$2+$A367,Sheet2!BZ:ND,$B367,0),HLOOKUP(K$2+$A367,Sheet2!BZ:ND,$B367,0)&lt;&gt;""),HLOOKUP(K$2+$A367,Sheet2!BZ:ND,$B367,0),"")</f>
        <v/>
      </c>
      <c r="L367" t="str">
        <f>IF(OR(HLOOKUP(L$2+$A367,Sheet2!CA:NE,$B367,0),HLOOKUP(L$2+$A367,Sheet2!CA:NE,$B367,0)&lt;&gt;""),HLOOKUP(L$2+$A367,Sheet2!CA:NE,$B367,0),"")</f>
        <v/>
      </c>
      <c r="M367" t="str">
        <f>IF(OR(HLOOKUP(M$2+$A367,Sheet2!CB:NF,$B367,0),HLOOKUP(M$2+$A367,Sheet2!CB:NF,$B367,0)&lt;&gt;""),HLOOKUP(M$2+$A367,Sheet2!CB:NF,$B367,0),"")</f>
        <v/>
      </c>
    </row>
    <row r="368" spans="1:13" x14ac:dyDescent="0.25">
      <c r="A368" s="68">
        <f t="shared" si="43"/>
        <v>20</v>
      </c>
      <c r="B368" s="68">
        <f t="shared" si="44"/>
        <v>50</v>
      </c>
      <c r="C368" s="68">
        <f t="shared" si="46"/>
        <v>5</v>
      </c>
      <c r="D368" s="68">
        <f t="shared" si="45"/>
        <v>46</v>
      </c>
      <c r="E368" s="68">
        <f t="shared" si="47"/>
        <v>226</v>
      </c>
      <c r="F368" s="21" t="str">
        <f>VLOOKUP(D368,Sheet2!A:B,2)</f>
        <v>J20-0420</v>
      </c>
      <c r="G368" s="68" t="str">
        <f>VLOOKUP(F368,Sheet2!B:C,2,0)</f>
        <v>INSTALL INSTRUMENT &amp; ELECTRICAL I-19-135 ROC_MOCD2</v>
      </c>
      <c r="H368" s="68" t="str">
        <f>HLOOKUP(I$2+$A368,Sheet2!BX:NB,2,0)</f>
        <v>1-15 Mar 2021</v>
      </c>
      <c r="I368" t="str">
        <f>IF(OR(HLOOKUP(I$2+$A368,Sheet2!BX:NB,$B368,0),HLOOKUP(I$2+$A368,Sheet2!BX:NB,$B368,0)&lt;&gt;""),HLOOKUP(I$2+$A368,Sheet2!BX:NB,$B368,0),"")</f>
        <v/>
      </c>
      <c r="J368" t="str">
        <f>IF(OR(HLOOKUP(J$2+$A368,Sheet2!BY:NC,$B368,0),HLOOKUP(J$2+$A368,Sheet2!BY:NC,$B368,0)&lt;&gt;""),HLOOKUP(J$2+$A368,Sheet2!BY:NC,$B368,0),"")</f>
        <v/>
      </c>
      <c r="K368" t="str">
        <f>IF(OR(HLOOKUP(K$2+$A368,Sheet2!BZ:ND,$B368,0),HLOOKUP(K$2+$A368,Sheet2!BZ:ND,$B368,0)&lt;&gt;""),HLOOKUP(K$2+$A368,Sheet2!BZ:ND,$B368,0),"")</f>
        <v/>
      </c>
      <c r="L368" t="str">
        <f>IF(OR(HLOOKUP(L$2+$A368,Sheet2!CA:NE,$B368,0),HLOOKUP(L$2+$A368,Sheet2!CA:NE,$B368,0)&lt;&gt;""),HLOOKUP(L$2+$A368,Sheet2!CA:NE,$B368,0),"")</f>
        <v/>
      </c>
      <c r="M368" t="str">
        <f>IF(OR(HLOOKUP(M$2+$A368,Sheet2!CB:NF,$B368,0),HLOOKUP(M$2+$A368,Sheet2!CB:NF,$B368,0)&lt;&gt;""),HLOOKUP(M$2+$A368,Sheet2!CB:NF,$B368,0),"")</f>
        <v/>
      </c>
    </row>
    <row r="369" spans="1:13" x14ac:dyDescent="0.25">
      <c r="A369" s="68">
        <f t="shared" si="43"/>
        <v>25</v>
      </c>
      <c r="B369" s="68">
        <f t="shared" si="44"/>
        <v>50</v>
      </c>
      <c r="C369" s="68">
        <f t="shared" si="46"/>
        <v>6</v>
      </c>
      <c r="D369" s="68">
        <f t="shared" si="45"/>
        <v>46</v>
      </c>
      <c r="E369" s="68">
        <f t="shared" si="47"/>
        <v>226</v>
      </c>
      <c r="F369" s="21" t="str">
        <f>VLOOKUP(D369,Sheet2!A:B,2)</f>
        <v>J20-0420</v>
      </c>
      <c r="G369" s="68" t="str">
        <f>VLOOKUP(F369,Sheet2!B:C,2,0)</f>
        <v>INSTALL INSTRUMENT &amp; ELECTRICAL I-19-135 ROC_MOCD2</v>
      </c>
      <c r="H369" s="68" t="str">
        <f>HLOOKUP(I$2+$A369,Sheet2!BX:NB,2,0)</f>
        <v>16-31 Mar 21</v>
      </c>
      <c r="I369" t="str">
        <f>IF(OR(HLOOKUP(I$2+$A369,Sheet2!BX:NB,$B369,0),HLOOKUP(I$2+$A369,Sheet2!BX:NB,$B369,0)&lt;&gt;""),HLOOKUP(I$2+$A369,Sheet2!BX:NB,$B369,0),"")</f>
        <v/>
      </c>
      <c r="J369" t="str">
        <f>IF(OR(HLOOKUP(J$2+$A369,Sheet2!BY:NC,$B369,0),HLOOKUP(J$2+$A369,Sheet2!BY:NC,$B369,0)&lt;&gt;""),HLOOKUP(J$2+$A369,Sheet2!BY:NC,$B369,0),"")</f>
        <v/>
      </c>
      <c r="K369" t="str">
        <f>IF(OR(HLOOKUP(K$2+$A369,Sheet2!BZ:ND,$B369,0),HLOOKUP(K$2+$A369,Sheet2!BZ:ND,$B369,0)&lt;&gt;""),HLOOKUP(K$2+$A369,Sheet2!BZ:ND,$B369,0),"")</f>
        <v/>
      </c>
      <c r="L369" t="str">
        <f>IF(OR(HLOOKUP(L$2+$A369,Sheet2!CA:NE,$B369,0),HLOOKUP(L$2+$A369,Sheet2!CA:NE,$B369,0)&lt;&gt;""),HLOOKUP(L$2+$A369,Sheet2!CA:NE,$B369,0),"")</f>
        <v/>
      </c>
      <c r="M369" t="str">
        <f>IF(OR(HLOOKUP(M$2+$A369,Sheet2!CB:NF,$B369,0),HLOOKUP(M$2+$A369,Sheet2!CB:NF,$B369,0)&lt;&gt;""),HLOOKUP(M$2+$A369,Sheet2!CB:NF,$B369,0),"")</f>
        <v/>
      </c>
    </row>
    <row r="370" spans="1:13" x14ac:dyDescent="0.25">
      <c r="A370" s="68">
        <f t="shared" si="43"/>
        <v>30</v>
      </c>
      <c r="B370" s="68">
        <f t="shared" si="44"/>
        <v>50</v>
      </c>
      <c r="C370" s="68">
        <f t="shared" si="46"/>
        <v>7</v>
      </c>
      <c r="D370" s="68">
        <f t="shared" si="45"/>
        <v>46</v>
      </c>
      <c r="E370" s="68">
        <f t="shared" si="47"/>
        <v>226</v>
      </c>
      <c r="F370" s="21" t="str">
        <f>VLOOKUP(D370,Sheet2!A:B,2)</f>
        <v>J20-0420</v>
      </c>
      <c r="G370" s="68" t="str">
        <f>VLOOKUP(F370,Sheet2!B:C,2,0)</f>
        <v>INSTALL INSTRUMENT &amp; ELECTRICAL I-19-135 ROC_MOCD2</v>
      </c>
      <c r="H370" s="68" t="str">
        <f>HLOOKUP(I$2+$A370,Sheet2!BX:NB,2,0)</f>
        <v>1-15 April 21</v>
      </c>
      <c r="I370" t="str">
        <f>IF(OR(HLOOKUP(I$2+$A370,Sheet2!BX:NB,$B370,0),HLOOKUP(I$2+$A370,Sheet2!BX:NB,$B370,0)&lt;&gt;""),HLOOKUP(I$2+$A370,Sheet2!BX:NB,$B370,0),"")</f>
        <v/>
      </c>
      <c r="J370" t="str">
        <f>IF(OR(HLOOKUP(J$2+$A370,Sheet2!BY:NC,$B370,0),HLOOKUP(J$2+$A370,Sheet2!BY:NC,$B370,0)&lt;&gt;""),HLOOKUP(J$2+$A370,Sheet2!BY:NC,$B370,0),"")</f>
        <v/>
      </c>
      <c r="K370" t="str">
        <f>IF(OR(HLOOKUP(K$2+$A370,Sheet2!BZ:ND,$B370,0),HLOOKUP(K$2+$A370,Sheet2!BZ:ND,$B370,0)&lt;&gt;""),HLOOKUP(K$2+$A370,Sheet2!BZ:ND,$B370,0),"")</f>
        <v/>
      </c>
      <c r="L370" t="str">
        <f>IF(OR(HLOOKUP(L$2+$A370,Sheet2!CA:NE,$B370,0),HLOOKUP(L$2+$A370,Sheet2!CA:NE,$B370,0)&lt;&gt;""),HLOOKUP(L$2+$A370,Sheet2!CA:NE,$B370,0),"")</f>
        <v/>
      </c>
      <c r="M370" t="str">
        <f>IF(OR(HLOOKUP(M$2+$A370,Sheet2!CB:NF,$B370,0),HLOOKUP(M$2+$A370,Sheet2!CB:NF,$B370,0)&lt;&gt;""),HLOOKUP(M$2+$A370,Sheet2!CB:NF,$B370,0),"")</f>
        <v/>
      </c>
    </row>
    <row r="371" spans="1:13" x14ac:dyDescent="0.25">
      <c r="A371" s="68">
        <f t="shared" si="43"/>
        <v>35</v>
      </c>
      <c r="B371" s="68">
        <f t="shared" si="44"/>
        <v>50</v>
      </c>
      <c r="C371" s="68">
        <f t="shared" si="46"/>
        <v>8</v>
      </c>
      <c r="D371" s="68">
        <f t="shared" si="45"/>
        <v>46</v>
      </c>
      <c r="E371" s="68">
        <f t="shared" si="47"/>
        <v>226</v>
      </c>
      <c r="F371" s="21" t="str">
        <f>VLOOKUP(D371,Sheet2!A:B,2)</f>
        <v>J20-0420</v>
      </c>
      <c r="G371" s="68" t="str">
        <f>VLOOKUP(F371,Sheet2!B:C,2,0)</f>
        <v>INSTALL INSTRUMENT &amp; ELECTRICAL I-19-135 ROC_MOCD2</v>
      </c>
      <c r="H371" s="68" t="str">
        <f>HLOOKUP(I$2+$A371,Sheet2!BX:NB,2,0)</f>
        <v>16-30 April 21</v>
      </c>
      <c r="I371" t="str">
        <f>IF(OR(HLOOKUP(I$2+$A371,Sheet2!BX:NB,$B371,0),HLOOKUP(I$2+$A371,Sheet2!BX:NB,$B371,0)&lt;&gt;""),HLOOKUP(I$2+$A371,Sheet2!BX:NB,$B371,0),"")</f>
        <v/>
      </c>
      <c r="J371" t="str">
        <f>IF(OR(HLOOKUP(J$2+$A371,Sheet2!BY:NC,$B371,0),HLOOKUP(J$2+$A371,Sheet2!BY:NC,$B371,0)&lt;&gt;""),HLOOKUP(J$2+$A371,Sheet2!BY:NC,$B371,0),"")</f>
        <v/>
      </c>
      <c r="K371" t="str">
        <f>IF(OR(HLOOKUP(K$2+$A371,Sheet2!BZ:ND,$B371,0),HLOOKUP(K$2+$A371,Sheet2!BZ:ND,$B371,0)&lt;&gt;""),HLOOKUP(K$2+$A371,Sheet2!BZ:ND,$B371,0),"")</f>
        <v/>
      </c>
      <c r="L371" t="str">
        <f>IF(OR(HLOOKUP(L$2+$A371,Sheet2!CA:NE,$B371,0),HLOOKUP(L$2+$A371,Sheet2!CA:NE,$B371,0)&lt;&gt;""),HLOOKUP(L$2+$A371,Sheet2!CA:NE,$B371,0),"")</f>
        <v/>
      </c>
      <c r="M371" t="str">
        <f>IF(OR(HLOOKUP(M$2+$A371,Sheet2!CB:NF,$B371,0),HLOOKUP(M$2+$A371,Sheet2!CB:NF,$B371,0)&lt;&gt;""),HLOOKUP(M$2+$A371,Sheet2!CB:NF,$B371,0),"")</f>
        <v/>
      </c>
    </row>
    <row r="372" spans="1:13" x14ac:dyDescent="0.25">
      <c r="A372" s="68">
        <f t="shared" si="43"/>
        <v>0</v>
      </c>
      <c r="B372" s="68">
        <f t="shared" si="44"/>
        <v>51</v>
      </c>
      <c r="C372" s="68">
        <f t="shared" si="46"/>
        <v>1</v>
      </c>
      <c r="D372" s="68">
        <f t="shared" si="45"/>
        <v>47</v>
      </c>
      <c r="E372" s="68">
        <f t="shared" si="47"/>
        <v>231</v>
      </c>
      <c r="F372" s="21" t="str">
        <f>VLOOKUP(D372,Sheet2!A:B,2)</f>
        <v>J19-0827</v>
      </c>
      <c r="G372" s="68" t="str">
        <f>VLOOKUP(F372,Sheet2!B:C,2,0)</f>
        <v>INSTALLATION VIBRATION FOE SENSOR(PATHUMTHANI)</v>
      </c>
      <c r="H372" s="68" t="str">
        <f>HLOOKUP(I$2+$A372,Sheet2!BX:NB,2,0)</f>
        <v>1-15 Jan 21</v>
      </c>
      <c r="I372" t="str">
        <f>IF(OR(HLOOKUP(I$2+$A372,Sheet2!BX:NB,$B372,0),HLOOKUP(I$2+$A372,Sheet2!BX:NB,$B372,0)&lt;&gt;""),HLOOKUP(I$2+$A372,Sheet2!BX:NB,$B372,0),"")</f>
        <v/>
      </c>
      <c r="J372" t="str">
        <f>IF(OR(HLOOKUP(J$2+$A372,Sheet2!BY:NC,$B372,0),HLOOKUP(J$2+$A372,Sheet2!BY:NC,$B372,0)&lt;&gt;""),HLOOKUP(J$2+$A372,Sheet2!BY:NC,$B372,0),"")</f>
        <v/>
      </c>
      <c r="K372" t="str">
        <f>IF(OR(HLOOKUP(K$2+$A372,Sheet2!BZ:ND,$B372,0),HLOOKUP(K$2+$A372,Sheet2!BZ:ND,$B372,0)&lt;&gt;""),HLOOKUP(K$2+$A372,Sheet2!BZ:ND,$B372,0),"")</f>
        <v/>
      </c>
      <c r="L372" t="str">
        <f>IF(OR(HLOOKUP(L$2+$A372,Sheet2!CA:NE,$B372,0),HLOOKUP(L$2+$A372,Sheet2!CA:NE,$B372,0)&lt;&gt;""),HLOOKUP(L$2+$A372,Sheet2!CA:NE,$B372,0),"")</f>
        <v/>
      </c>
      <c r="M372" t="str">
        <f>IF(OR(HLOOKUP(M$2+$A372,Sheet2!CB:NF,$B372,0),HLOOKUP(M$2+$A372,Sheet2!CB:NF,$B372,0)&lt;&gt;""),HLOOKUP(M$2+$A372,Sheet2!CB:NF,$B372,0),"")</f>
        <v/>
      </c>
    </row>
    <row r="373" spans="1:13" x14ac:dyDescent="0.25">
      <c r="A373" s="68">
        <f t="shared" si="43"/>
        <v>5</v>
      </c>
      <c r="B373" s="68">
        <f t="shared" si="44"/>
        <v>51</v>
      </c>
      <c r="C373" s="68">
        <f t="shared" si="46"/>
        <v>2</v>
      </c>
      <c r="D373" s="68">
        <f t="shared" si="45"/>
        <v>47</v>
      </c>
      <c r="E373" s="68">
        <f t="shared" si="47"/>
        <v>231</v>
      </c>
      <c r="F373" s="21" t="str">
        <f>VLOOKUP(D373,Sheet2!A:B,2)</f>
        <v>J19-0827</v>
      </c>
      <c r="G373" s="68" t="str">
        <f>VLOOKUP(F373,Sheet2!B:C,2,0)</f>
        <v>INSTALLATION VIBRATION FOE SENSOR(PATHUMTHANI)</v>
      </c>
      <c r="H373" s="68" t="str">
        <f>HLOOKUP(I$2+$A373,Sheet2!BX:NB,2,0)</f>
        <v>16-31 Jan 21</v>
      </c>
      <c r="I373" t="str">
        <f>IF(OR(HLOOKUP(I$2+$A373,Sheet2!BX:NB,$B373,0),HLOOKUP(I$2+$A373,Sheet2!BX:NB,$B373,0)&lt;&gt;""),HLOOKUP(I$2+$A373,Sheet2!BX:NB,$B373,0),"")</f>
        <v/>
      </c>
      <c r="J373" t="str">
        <f>IF(OR(HLOOKUP(J$2+$A373,Sheet2!BY:NC,$B373,0),HLOOKUP(J$2+$A373,Sheet2!BY:NC,$B373,0)&lt;&gt;""),HLOOKUP(J$2+$A373,Sheet2!BY:NC,$B373,0),"")</f>
        <v/>
      </c>
      <c r="K373" t="str">
        <f>IF(OR(HLOOKUP(K$2+$A373,Sheet2!BZ:ND,$B373,0),HLOOKUP(K$2+$A373,Sheet2!BZ:ND,$B373,0)&lt;&gt;""),HLOOKUP(K$2+$A373,Sheet2!BZ:ND,$B373,0),"")</f>
        <v/>
      </c>
      <c r="L373" t="str">
        <f>IF(OR(HLOOKUP(L$2+$A373,Sheet2!CA:NE,$B373,0),HLOOKUP(L$2+$A373,Sheet2!CA:NE,$B373,0)&lt;&gt;""),HLOOKUP(L$2+$A373,Sheet2!CA:NE,$B373,0),"")</f>
        <v/>
      </c>
      <c r="M373" t="str">
        <f>IF(OR(HLOOKUP(M$2+$A373,Sheet2!CB:NF,$B373,0),HLOOKUP(M$2+$A373,Sheet2!CB:NF,$B373,0)&lt;&gt;""),HLOOKUP(M$2+$A373,Sheet2!CB:NF,$B373,0),"")</f>
        <v/>
      </c>
    </row>
    <row r="374" spans="1:13" x14ac:dyDescent="0.25">
      <c r="A374" s="68">
        <f t="shared" ref="A374:A437" si="48">IF(C374&lt;&gt;1,A373+5,0)</f>
        <v>10</v>
      </c>
      <c r="B374" s="68">
        <f t="shared" ref="B374:B437" si="49">IF(C374&lt;&gt;1,B373,B373+1)</f>
        <v>51</v>
      </c>
      <c r="C374" s="68">
        <f t="shared" si="46"/>
        <v>3</v>
      </c>
      <c r="D374" s="68">
        <f t="shared" ref="D374:D437" si="50">IF(C374=1,D373+1,D373)</f>
        <v>47</v>
      </c>
      <c r="E374" s="68">
        <f t="shared" si="47"/>
        <v>231</v>
      </c>
      <c r="F374" s="21" t="str">
        <f>VLOOKUP(D374,Sheet2!A:B,2)</f>
        <v>J19-0827</v>
      </c>
      <c r="G374" s="68" t="str">
        <f>VLOOKUP(F374,Sheet2!B:C,2,0)</f>
        <v>INSTALLATION VIBRATION FOE SENSOR(PATHUMTHANI)</v>
      </c>
      <c r="H374" s="68" t="str">
        <f>HLOOKUP(I$2+$A374,Sheet2!BX:NB,2,0)</f>
        <v>1-15 Feb 21</v>
      </c>
      <c r="I374" t="str">
        <f>IF(OR(HLOOKUP(I$2+$A374,Sheet2!BX:NB,$B374,0),HLOOKUP(I$2+$A374,Sheet2!BX:NB,$B374,0)&lt;&gt;""),HLOOKUP(I$2+$A374,Sheet2!BX:NB,$B374,0),"")</f>
        <v/>
      </c>
      <c r="J374" t="str">
        <f>IF(OR(HLOOKUP(J$2+$A374,Sheet2!BY:NC,$B374,0),HLOOKUP(J$2+$A374,Sheet2!BY:NC,$B374,0)&lt;&gt;""),HLOOKUP(J$2+$A374,Sheet2!BY:NC,$B374,0),"")</f>
        <v/>
      </c>
      <c r="K374" t="str">
        <f>IF(OR(HLOOKUP(K$2+$A374,Sheet2!BZ:ND,$B374,0),HLOOKUP(K$2+$A374,Sheet2!BZ:ND,$B374,0)&lt;&gt;""),HLOOKUP(K$2+$A374,Sheet2!BZ:ND,$B374,0),"")</f>
        <v/>
      </c>
      <c r="L374" t="str">
        <f>IF(OR(HLOOKUP(L$2+$A374,Sheet2!CA:NE,$B374,0),HLOOKUP(L$2+$A374,Sheet2!CA:NE,$B374,0)&lt;&gt;""),HLOOKUP(L$2+$A374,Sheet2!CA:NE,$B374,0),"")</f>
        <v/>
      </c>
      <c r="M374" t="str">
        <f>IF(OR(HLOOKUP(M$2+$A374,Sheet2!CB:NF,$B374,0),HLOOKUP(M$2+$A374,Sheet2!CB:NF,$B374,0)&lt;&gt;""),HLOOKUP(M$2+$A374,Sheet2!CB:NF,$B374,0),"")</f>
        <v/>
      </c>
    </row>
    <row r="375" spans="1:13" x14ac:dyDescent="0.25">
      <c r="A375" s="68">
        <f t="shared" si="48"/>
        <v>15</v>
      </c>
      <c r="B375" s="68">
        <f t="shared" si="49"/>
        <v>51</v>
      </c>
      <c r="C375" s="68">
        <f t="shared" si="46"/>
        <v>4</v>
      </c>
      <c r="D375" s="68">
        <f t="shared" si="50"/>
        <v>47</v>
      </c>
      <c r="E375" s="68">
        <f t="shared" si="47"/>
        <v>231</v>
      </c>
      <c r="F375" s="21" t="str">
        <f>VLOOKUP(D375,Sheet2!A:B,2)</f>
        <v>J19-0827</v>
      </c>
      <c r="G375" s="68" t="str">
        <f>VLOOKUP(F375,Sheet2!B:C,2,0)</f>
        <v>INSTALLATION VIBRATION FOE SENSOR(PATHUMTHANI)</v>
      </c>
      <c r="H375" s="68" t="str">
        <f>HLOOKUP(I$2+$A375,Sheet2!BX:NB,2,0)</f>
        <v>16-28 Feb 21</v>
      </c>
      <c r="I375" t="str">
        <f>IF(OR(HLOOKUP(I$2+$A375,Sheet2!BX:NB,$B375,0),HLOOKUP(I$2+$A375,Sheet2!BX:NB,$B375,0)&lt;&gt;""),HLOOKUP(I$2+$A375,Sheet2!BX:NB,$B375,0),"")</f>
        <v/>
      </c>
      <c r="J375" t="str">
        <f>IF(OR(HLOOKUP(J$2+$A375,Sheet2!BY:NC,$B375,0),HLOOKUP(J$2+$A375,Sheet2!BY:NC,$B375,0)&lt;&gt;""),HLOOKUP(J$2+$A375,Sheet2!BY:NC,$B375,0),"")</f>
        <v/>
      </c>
      <c r="K375" t="str">
        <f>IF(OR(HLOOKUP(K$2+$A375,Sheet2!BZ:ND,$B375,0),HLOOKUP(K$2+$A375,Sheet2!BZ:ND,$B375,0)&lt;&gt;""),HLOOKUP(K$2+$A375,Sheet2!BZ:ND,$B375,0),"")</f>
        <v/>
      </c>
      <c r="L375" t="str">
        <f>IF(OR(HLOOKUP(L$2+$A375,Sheet2!CA:NE,$B375,0),HLOOKUP(L$2+$A375,Sheet2!CA:NE,$B375,0)&lt;&gt;""),HLOOKUP(L$2+$A375,Sheet2!CA:NE,$B375,0),"")</f>
        <v/>
      </c>
      <c r="M375" t="str">
        <f>IF(OR(HLOOKUP(M$2+$A375,Sheet2!CB:NF,$B375,0),HLOOKUP(M$2+$A375,Sheet2!CB:NF,$B375,0)&lt;&gt;""),HLOOKUP(M$2+$A375,Sheet2!CB:NF,$B375,0),"")</f>
        <v/>
      </c>
    </row>
    <row r="376" spans="1:13" x14ac:dyDescent="0.25">
      <c r="A376" s="68">
        <f t="shared" si="48"/>
        <v>20</v>
      </c>
      <c r="B376" s="68">
        <f t="shared" si="49"/>
        <v>51</v>
      </c>
      <c r="C376" s="68">
        <f t="shared" si="46"/>
        <v>5</v>
      </c>
      <c r="D376" s="68">
        <f t="shared" si="50"/>
        <v>47</v>
      </c>
      <c r="E376" s="68">
        <f t="shared" si="47"/>
        <v>231</v>
      </c>
      <c r="F376" s="21" t="str">
        <f>VLOOKUP(D376,Sheet2!A:B,2)</f>
        <v>J19-0827</v>
      </c>
      <c r="G376" s="68" t="str">
        <f>VLOOKUP(F376,Sheet2!B:C,2,0)</f>
        <v>INSTALLATION VIBRATION FOE SENSOR(PATHUMTHANI)</v>
      </c>
      <c r="H376" s="68" t="str">
        <f>HLOOKUP(I$2+$A376,Sheet2!BX:NB,2,0)</f>
        <v>1-15 Mar 2021</v>
      </c>
      <c r="I376" t="str">
        <f>IF(OR(HLOOKUP(I$2+$A376,Sheet2!BX:NB,$B376,0),HLOOKUP(I$2+$A376,Sheet2!BX:NB,$B376,0)&lt;&gt;""),HLOOKUP(I$2+$A376,Sheet2!BX:NB,$B376,0),"")</f>
        <v/>
      </c>
      <c r="J376" t="str">
        <f>IF(OR(HLOOKUP(J$2+$A376,Sheet2!BY:NC,$B376,0),HLOOKUP(J$2+$A376,Sheet2!BY:NC,$B376,0)&lt;&gt;""),HLOOKUP(J$2+$A376,Sheet2!BY:NC,$B376,0),"")</f>
        <v/>
      </c>
      <c r="K376" t="str">
        <f>IF(OR(HLOOKUP(K$2+$A376,Sheet2!BZ:ND,$B376,0),HLOOKUP(K$2+$A376,Sheet2!BZ:ND,$B376,0)&lt;&gt;""),HLOOKUP(K$2+$A376,Sheet2!BZ:ND,$B376,0),"")</f>
        <v/>
      </c>
      <c r="L376" t="str">
        <f>IF(OR(HLOOKUP(L$2+$A376,Sheet2!CA:NE,$B376,0),HLOOKUP(L$2+$A376,Sheet2!CA:NE,$B376,0)&lt;&gt;""),HLOOKUP(L$2+$A376,Sheet2!CA:NE,$B376,0),"")</f>
        <v/>
      </c>
      <c r="M376" t="str">
        <f>IF(OR(HLOOKUP(M$2+$A376,Sheet2!CB:NF,$B376,0),HLOOKUP(M$2+$A376,Sheet2!CB:NF,$B376,0)&lt;&gt;""),HLOOKUP(M$2+$A376,Sheet2!CB:NF,$B376,0),"")</f>
        <v/>
      </c>
    </row>
    <row r="377" spans="1:13" x14ac:dyDescent="0.25">
      <c r="A377" s="68">
        <f t="shared" si="48"/>
        <v>25</v>
      </c>
      <c r="B377" s="68">
        <f t="shared" si="49"/>
        <v>51</v>
      </c>
      <c r="C377" s="68">
        <f t="shared" si="46"/>
        <v>6</v>
      </c>
      <c r="D377" s="68">
        <f t="shared" si="50"/>
        <v>47</v>
      </c>
      <c r="E377" s="68">
        <f t="shared" si="47"/>
        <v>231</v>
      </c>
      <c r="F377" s="21" t="str">
        <f>VLOOKUP(D377,Sheet2!A:B,2)</f>
        <v>J19-0827</v>
      </c>
      <c r="G377" s="68" t="str">
        <f>VLOOKUP(F377,Sheet2!B:C,2,0)</f>
        <v>INSTALLATION VIBRATION FOE SENSOR(PATHUMTHANI)</v>
      </c>
      <c r="H377" s="68" t="str">
        <f>HLOOKUP(I$2+$A377,Sheet2!BX:NB,2,0)</f>
        <v>16-31 Mar 21</v>
      </c>
      <c r="I377" t="str">
        <f>IF(OR(HLOOKUP(I$2+$A377,Sheet2!BX:NB,$B377,0),HLOOKUP(I$2+$A377,Sheet2!BX:NB,$B377,0)&lt;&gt;""),HLOOKUP(I$2+$A377,Sheet2!BX:NB,$B377,0),"")</f>
        <v/>
      </c>
      <c r="J377" t="str">
        <f>IF(OR(HLOOKUP(J$2+$A377,Sheet2!BY:NC,$B377,0),HLOOKUP(J$2+$A377,Sheet2!BY:NC,$B377,0)&lt;&gt;""),HLOOKUP(J$2+$A377,Sheet2!BY:NC,$B377,0),"")</f>
        <v/>
      </c>
      <c r="K377" t="str">
        <f>IF(OR(HLOOKUP(K$2+$A377,Sheet2!BZ:ND,$B377,0),HLOOKUP(K$2+$A377,Sheet2!BZ:ND,$B377,0)&lt;&gt;""),HLOOKUP(K$2+$A377,Sheet2!BZ:ND,$B377,0),"")</f>
        <v/>
      </c>
      <c r="L377" t="str">
        <f>IF(OR(HLOOKUP(L$2+$A377,Sheet2!CA:NE,$B377,0),HLOOKUP(L$2+$A377,Sheet2!CA:NE,$B377,0)&lt;&gt;""),HLOOKUP(L$2+$A377,Sheet2!CA:NE,$B377,0),"")</f>
        <v/>
      </c>
      <c r="M377" t="str">
        <f>IF(OR(HLOOKUP(M$2+$A377,Sheet2!CB:NF,$B377,0),HLOOKUP(M$2+$A377,Sheet2!CB:NF,$B377,0)&lt;&gt;""),HLOOKUP(M$2+$A377,Sheet2!CB:NF,$B377,0),"")</f>
        <v/>
      </c>
    </row>
    <row r="378" spans="1:13" x14ac:dyDescent="0.25">
      <c r="A378" s="68">
        <f t="shared" si="48"/>
        <v>30</v>
      </c>
      <c r="B378" s="68">
        <f t="shared" si="49"/>
        <v>51</v>
      </c>
      <c r="C378" s="68">
        <f t="shared" si="46"/>
        <v>7</v>
      </c>
      <c r="D378" s="68">
        <f t="shared" si="50"/>
        <v>47</v>
      </c>
      <c r="E378" s="68">
        <f t="shared" si="47"/>
        <v>231</v>
      </c>
      <c r="F378" s="21" t="str">
        <f>VLOOKUP(D378,Sheet2!A:B,2)</f>
        <v>J19-0827</v>
      </c>
      <c r="G378" s="68" t="str">
        <f>VLOOKUP(F378,Sheet2!B:C,2,0)</f>
        <v>INSTALLATION VIBRATION FOE SENSOR(PATHUMTHANI)</v>
      </c>
      <c r="H378" s="68" t="str">
        <f>HLOOKUP(I$2+$A378,Sheet2!BX:NB,2,0)</f>
        <v>1-15 April 21</v>
      </c>
      <c r="I378" t="str">
        <f>IF(OR(HLOOKUP(I$2+$A378,Sheet2!BX:NB,$B378,0),HLOOKUP(I$2+$A378,Sheet2!BX:NB,$B378,0)&lt;&gt;""),HLOOKUP(I$2+$A378,Sheet2!BX:NB,$B378,0),"")</f>
        <v/>
      </c>
      <c r="J378" t="str">
        <f>IF(OR(HLOOKUP(J$2+$A378,Sheet2!BY:NC,$B378,0),HLOOKUP(J$2+$A378,Sheet2!BY:NC,$B378,0)&lt;&gt;""),HLOOKUP(J$2+$A378,Sheet2!BY:NC,$B378,0),"")</f>
        <v/>
      </c>
      <c r="K378" t="str">
        <f>IF(OR(HLOOKUP(K$2+$A378,Sheet2!BZ:ND,$B378,0),HLOOKUP(K$2+$A378,Sheet2!BZ:ND,$B378,0)&lt;&gt;""),HLOOKUP(K$2+$A378,Sheet2!BZ:ND,$B378,0),"")</f>
        <v/>
      </c>
      <c r="L378" t="str">
        <f>IF(OR(HLOOKUP(L$2+$A378,Sheet2!CA:NE,$B378,0),HLOOKUP(L$2+$A378,Sheet2!CA:NE,$B378,0)&lt;&gt;""),HLOOKUP(L$2+$A378,Sheet2!CA:NE,$B378,0),"")</f>
        <v/>
      </c>
      <c r="M378" t="str">
        <f>IF(OR(HLOOKUP(M$2+$A378,Sheet2!CB:NF,$B378,0),HLOOKUP(M$2+$A378,Sheet2!CB:NF,$B378,0)&lt;&gt;""),HLOOKUP(M$2+$A378,Sheet2!CB:NF,$B378,0),"")</f>
        <v/>
      </c>
    </row>
    <row r="379" spans="1:13" x14ac:dyDescent="0.25">
      <c r="A379" s="68">
        <f t="shared" si="48"/>
        <v>35</v>
      </c>
      <c r="B379" s="68">
        <f t="shared" si="49"/>
        <v>51</v>
      </c>
      <c r="C379" s="68">
        <f t="shared" si="46"/>
        <v>8</v>
      </c>
      <c r="D379" s="68">
        <f t="shared" si="50"/>
        <v>47</v>
      </c>
      <c r="E379" s="68">
        <f t="shared" si="47"/>
        <v>231</v>
      </c>
      <c r="F379" s="21" t="str">
        <f>VLOOKUP(D379,Sheet2!A:B,2)</f>
        <v>J19-0827</v>
      </c>
      <c r="G379" s="68" t="str">
        <f>VLOOKUP(F379,Sheet2!B:C,2,0)</f>
        <v>INSTALLATION VIBRATION FOE SENSOR(PATHUMTHANI)</v>
      </c>
      <c r="H379" s="68" t="str">
        <f>HLOOKUP(I$2+$A379,Sheet2!BX:NB,2,0)</f>
        <v>16-30 April 21</v>
      </c>
      <c r="I379" t="str">
        <f>IF(OR(HLOOKUP(I$2+$A379,Sheet2!BX:NB,$B379,0),HLOOKUP(I$2+$A379,Sheet2!BX:NB,$B379,0)&lt;&gt;""),HLOOKUP(I$2+$A379,Sheet2!BX:NB,$B379,0),"")</f>
        <v/>
      </c>
      <c r="J379" t="str">
        <f>IF(OR(HLOOKUP(J$2+$A379,Sheet2!BY:NC,$B379,0),HLOOKUP(J$2+$A379,Sheet2!BY:NC,$B379,0)&lt;&gt;""),HLOOKUP(J$2+$A379,Sheet2!BY:NC,$B379,0),"")</f>
        <v/>
      </c>
      <c r="K379" t="str">
        <f>IF(OR(HLOOKUP(K$2+$A379,Sheet2!BZ:ND,$B379,0),HLOOKUP(K$2+$A379,Sheet2!BZ:ND,$B379,0)&lt;&gt;""),HLOOKUP(K$2+$A379,Sheet2!BZ:ND,$B379,0),"")</f>
        <v/>
      </c>
      <c r="L379" t="str">
        <f>IF(OR(HLOOKUP(L$2+$A379,Sheet2!CA:NE,$B379,0),HLOOKUP(L$2+$A379,Sheet2!CA:NE,$B379,0)&lt;&gt;""),HLOOKUP(L$2+$A379,Sheet2!CA:NE,$B379,0),"")</f>
        <v/>
      </c>
      <c r="M379" t="str">
        <f>IF(OR(HLOOKUP(M$2+$A379,Sheet2!CB:NF,$B379,0),HLOOKUP(M$2+$A379,Sheet2!CB:NF,$B379,0)&lt;&gt;""),HLOOKUP(M$2+$A379,Sheet2!CB:NF,$B379,0),"")</f>
        <v/>
      </c>
    </row>
    <row r="380" spans="1:13" x14ac:dyDescent="0.25">
      <c r="A380" s="68">
        <f t="shared" si="48"/>
        <v>0</v>
      </c>
      <c r="B380" s="68">
        <f t="shared" si="49"/>
        <v>52</v>
      </c>
      <c r="C380" s="68">
        <f t="shared" si="46"/>
        <v>1</v>
      </c>
      <c r="D380" s="68">
        <f t="shared" si="50"/>
        <v>48</v>
      </c>
      <c r="E380" s="68">
        <f t="shared" si="47"/>
        <v>236</v>
      </c>
      <c r="F380" s="21" t="str">
        <f>VLOOKUP(D380,Sheet2!A:B,2)</f>
        <v>J20-0123</v>
      </c>
      <c r="G380" s="68" t="str">
        <f>VLOOKUP(F380,Sheet2!B:C,2,0)</f>
        <v xml:space="preserve">ติดตั้งเครื่องมือวัดความเป็นกรด-ด่าง และปรับปรุง </v>
      </c>
      <c r="H380" s="68" t="str">
        <f>HLOOKUP(I$2+$A380,Sheet2!BX:NB,2,0)</f>
        <v>1-15 Jan 21</v>
      </c>
      <c r="I380" t="str">
        <f>IF(OR(HLOOKUP(I$2+$A380,Sheet2!BX:NB,$B380,0),HLOOKUP(I$2+$A380,Sheet2!BX:NB,$B380,0)&lt;&gt;""),HLOOKUP(I$2+$A380,Sheet2!BX:NB,$B380,0),"")</f>
        <v/>
      </c>
      <c r="J380" t="str">
        <f>IF(OR(HLOOKUP(J$2+$A380,Sheet2!BY:NC,$B380,0),HLOOKUP(J$2+$A380,Sheet2!BY:NC,$B380,0)&lt;&gt;""),HLOOKUP(J$2+$A380,Sheet2!BY:NC,$B380,0),"")</f>
        <v/>
      </c>
      <c r="K380" t="str">
        <f>IF(OR(HLOOKUP(K$2+$A380,Sheet2!BZ:ND,$B380,0),HLOOKUP(K$2+$A380,Sheet2!BZ:ND,$B380,0)&lt;&gt;""),HLOOKUP(K$2+$A380,Sheet2!BZ:ND,$B380,0),"")</f>
        <v/>
      </c>
      <c r="L380" t="str">
        <f>IF(OR(HLOOKUP(L$2+$A380,Sheet2!CA:NE,$B380,0),HLOOKUP(L$2+$A380,Sheet2!CA:NE,$B380,0)&lt;&gt;""),HLOOKUP(L$2+$A380,Sheet2!CA:NE,$B380,0),"")</f>
        <v/>
      </c>
      <c r="M380" t="str">
        <f>IF(OR(HLOOKUP(M$2+$A380,Sheet2!CB:NF,$B380,0),HLOOKUP(M$2+$A380,Sheet2!CB:NF,$B380,0)&lt;&gt;""),HLOOKUP(M$2+$A380,Sheet2!CB:NF,$B380,0),"")</f>
        <v/>
      </c>
    </row>
    <row r="381" spans="1:13" x14ac:dyDescent="0.25">
      <c r="A381" s="68">
        <f t="shared" si="48"/>
        <v>5</v>
      </c>
      <c r="B381" s="68">
        <f t="shared" si="49"/>
        <v>52</v>
      </c>
      <c r="C381" s="68">
        <f t="shared" si="46"/>
        <v>2</v>
      </c>
      <c r="D381" s="68">
        <f t="shared" si="50"/>
        <v>48</v>
      </c>
      <c r="E381" s="68">
        <f t="shared" si="47"/>
        <v>236</v>
      </c>
      <c r="F381" s="21" t="str">
        <f>VLOOKUP(D381,Sheet2!A:B,2)</f>
        <v>J20-0123</v>
      </c>
      <c r="G381" s="68" t="str">
        <f>VLOOKUP(F381,Sheet2!B:C,2,0)</f>
        <v xml:space="preserve">ติดตั้งเครื่องมือวัดความเป็นกรด-ด่าง และปรับปรุง </v>
      </c>
      <c r="H381" s="68" t="str">
        <f>HLOOKUP(I$2+$A381,Sheet2!BX:NB,2,0)</f>
        <v>16-31 Jan 21</v>
      </c>
      <c r="I381" t="str">
        <f>IF(OR(HLOOKUP(I$2+$A381,Sheet2!BX:NB,$B381,0),HLOOKUP(I$2+$A381,Sheet2!BX:NB,$B381,0)&lt;&gt;""),HLOOKUP(I$2+$A381,Sheet2!BX:NB,$B381,0),"")</f>
        <v/>
      </c>
      <c r="J381" t="str">
        <f>IF(OR(HLOOKUP(J$2+$A381,Sheet2!BY:NC,$B381,0),HLOOKUP(J$2+$A381,Sheet2!BY:NC,$B381,0)&lt;&gt;""),HLOOKUP(J$2+$A381,Sheet2!BY:NC,$B381,0),"")</f>
        <v/>
      </c>
      <c r="K381" t="str">
        <f>IF(OR(HLOOKUP(K$2+$A381,Sheet2!BZ:ND,$B381,0),HLOOKUP(K$2+$A381,Sheet2!BZ:ND,$B381,0)&lt;&gt;""),HLOOKUP(K$2+$A381,Sheet2!BZ:ND,$B381,0),"")</f>
        <v/>
      </c>
      <c r="L381" t="str">
        <f>IF(OR(HLOOKUP(L$2+$A381,Sheet2!CA:NE,$B381,0),HLOOKUP(L$2+$A381,Sheet2!CA:NE,$B381,0)&lt;&gt;""),HLOOKUP(L$2+$A381,Sheet2!CA:NE,$B381,0),"")</f>
        <v/>
      </c>
      <c r="M381" t="str">
        <f>IF(OR(HLOOKUP(M$2+$A381,Sheet2!CB:NF,$B381,0),HLOOKUP(M$2+$A381,Sheet2!CB:NF,$B381,0)&lt;&gt;""),HLOOKUP(M$2+$A381,Sheet2!CB:NF,$B381,0),"")</f>
        <v/>
      </c>
    </row>
    <row r="382" spans="1:13" x14ac:dyDescent="0.25">
      <c r="A382" s="68">
        <f t="shared" si="48"/>
        <v>10</v>
      </c>
      <c r="B382" s="68">
        <f t="shared" si="49"/>
        <v>52</v>
      </c>
      <c r="C382" s="68">
        <f t="shared" si="46"/>
        <v>3</v>
      </c>
      <c r="D382" s="68">
        <f t="shared" si="50"/>
        <v>48</v>
      </c>
      <c r="E382" s="68">
        <f t="shared" si="47"/>
        <v>236</v>
      </c>
      <c r="F382" s="21" t="str">
        <f>VLOOKUP(D382,Sheet2!A:B,2)</f>
        <v>J20-0123</v>
      </c>
      <c r="G382" s="68" t="str">
        <f>VLOOKUP(F382,Sheet2!B:C,2,0)</f>
        <v xml:space="preserve">ติดตั้งเครื่องมือวัดความเป็นกรด-ด่าง และปรับปรุง </v>
      </c>
      <c r="H382" s="68" t="str">
        <f>HLOOKUP(I$2+$A382,Sheet2!BX:NB,2,0)</f>
        <v>1-15 Feb 21</v>
      </c>
      <c r="I382" t="str">
        <f>IF(OR(HLOOKUP(I$2+$A382,Sheet2!BX:NB,$B382,0),HLOOKUP(I$2+$A382,Sheet2!BX:NB,$B382,0)&lt;&gt;""),HLOOKUP(I$2+$A382,Sheet2!BX:NB,$B382,0),"")</f>
        <v/>
      </c>
      <c r="J382" t="str">
        <f>IF(OR(HLOOKUP(J$2+$A382,Sheet2!BY:NC,$B382,0),HLOOKUP(J$2+$A382,Sheet2!BY:NC,$B382,0)&lt;&gt;""),HLOOKUP(J$2+$A382,Sheet2!BY:NC,$B382,0),"")</f>
        <v/>
      </c>
      <c r="K382" t="str">
        <f>IF(OR(HLOOKUP(K$2+$A382,Sheet2!BZ:ND,$B382,0),HLOOKUP(K$2+$A382,Sheet2!BZ:ND,$B382,0)&lt;&gt;""),HLOOKUP(K$2+$A382,Sheet2!BZ:ND,$B382,0),"")</f>
        <v/>
      </c>
      <c r="L382" t="str">
        <f>IF(OR(HLOOKUP(L$2+$A382,Sheet2!CA:NE,$B382,0),HLOOKUP(L$2+$A382,Sheet2!CA:NE,$B382,0)&lt;&gt;""),HLOOKUP(L$2+$A382,Sheet2!CA:NE,$B382,0),"")</f>
        <v/>
      </c>
      <c r="M382" t="str">
        <f>IF(OR(HLOOKUP(M$2+$A382,Sheet2!CB:NF,$B382,0),HLOOKUP(M$2+$A382,Sheet2!CB:NF,$B382,0)&lt;&gt;""),HLOOKUP(M$2+$A382,Sheet2!CB:NF,$B382,0),"")</f>
        <v/>
      </c>
    </row>
    <row r="383" spans="1:13" x14ac:dyDescent="0.25">
      <c r="A383" s="68">
        <f t="shared" si="48"/>
        <v>15</v>
      </c>
      <c r="B383" s="68">
        <f t="shared" si="49"/>
        <v>52</v>
      </c>
      <c r="C383" s="68">
        <f t="shared" si="46"/>
        <v>4</v>
      </c>
      <c r="D383" s="68">
        <f t="shared" si="50"/>
        <v>48</v>
      </c>
      <c r="E383" s="68">
        <f t="shared" si="47"/>
        <v>236</v>
      </c>
      <c r="F383" s="21" t="str">
        <f>VLOOKUP(D383,Sheet2!A:B,2)</f>
        <v>J20-0123</v>
      </c>
      <c r="G383" s="68" t="str">
        <f>VLOOKUP(F383,Sheet2!B:C,2,0)</f>
        <v xml:space="preserve">ติดตั้งเครื่องมือวัดความเป็นกรด-ด่าง และปรับปรุง </v>
      </c>
      <c r="H383" s="68" t="str">
        <f>HLOOKUP(I$2+$A383,Sheet2!BX:NB,2,0)</f>
        <v>16-28 Feb 21</v>
      </c>
      <c r="I383" t="str">
        <f>IF(OR(HLOOKUP(I$2+$A383,Sheet2!BX:NB,$B383,0),HLOOKUP(I$2+$A383,Sheet2!BX:NB,$B383,0)&lt;&gt;""),HLOOKUP(I$2+$A383,Sheet2!BX:NB,$B383,0),"")</f>
        <v/>
      </c>
      <c r="J383" t="str">
        <f>IF(OR(HLOOKUP(J$2+$A383,Sheet2!BY:NC,$B383,0),HLOOKUP(J$2+$A383,Sheet2!BY:NC,$B383,0)&lt;&gt;""),HLOOKUP(J$2+$A383,Sheet2!BY:NC,$B383,0),"")</f>
        <v/>
      </c>
      <c r="K383" t="str">
        <f>IF(OR(HLOOKUP(K$2+$A383,Sheet2!BZ:ND,$B383,0),HLOOKUP(K$2+$A383,Sheet2!BZ:ND,$B383,0)&lt;&gt;""),HLOOKUP(K$2+$A383,Sheet2!BZ:ND,$B383,0),"")</f>
        <v/>
      </c>
      <c r="L383" t="str">
        <f>IF(OR(HLOOKUP(L$2+$A383,Sheet2!CA:NE,$B383,0),HLOOKUP(L$2+$A383,Sheet2!CA:NE,$B383,0)&lt;&gt;""),HLOOKUP(L$2+$A383,Sheet2!CA:NE,$B383,0),"")</f>
        <v/>
      </c>
      <c r="M383" t="str">
        <f>IF(OR(HLOOKUP(M$2+$A383,Sheet2!CB:NF,$B383,0),HLOOKUP(M$2+$A383,Sheet2!CB:NF,$B383,0)&lt;&gt;""),HLOOKUP(M$2+$A383,Sheet2!CB:NF,$B383,0),"")</f>
        <v/>
      </c>
    </row>
    <row r="384" spans="1:13" x14ac:dyDescent="0.25">
      <c r="A384" s="68">
        <f t="shared" si="48"/>
        <v>20</v>
      </c>
      <c r="B384" s="68">
        <f t="shared" si="49"/>
        <v>52</v>
      </c>
      <c r="C384" s="68">
        <f t="shared" si="46"/>
        <v>5</v>
      </c>
      <c r="D384" s="68">
        <f t="shared" si="50"/>
        <v>48</v>
      </c>
      <c r="E384" s="68">
        <f t="shared" si="47"/>
        <v>236</v>
      </c>
      <c r="F384" s="21" t="str">
        <f>VLOOKUP(D384,Sheet2!A:B,2)</f>
        <v>J20-0123</v>
      </c>
      <c r="G384" s="68" t="str">
        <f>VLOOKUP(F384,Sheet2!B:C,2,0)</f>
        <v xml:space="preserve">ติดตั้งเครื่องมือวัดความเป็นกรด-ด่าง และปรับปรุง </v>
      </c>
      <c r="H384" s="68" t="str">
        <f>HLOOKUP(I$2+$A384,Sheet2!BX:NB,2,0)</f>
        <v>1-15 Mar 2021</v>
      </c>
      <c r="I384" t="str">
        <f>IF(OR(HLOOKUP(I$2+$A384,Sheet2!BX:NB,$B384,0),HLOOKUP(I$2+$A384,Sheet2!BX:NB,$B384,0)&lt;&gt;""),HLOOKUP(I$2+$A384,Sheet2!BX:NB,$B384,0),"")</f>
        <v/>
      </c>
      <c r="J384" t="str">
        <f>IF(OR(HLOOKUP(J$2+$A384,Sheet2!BY:NC,$B384,0),HLOOKUP(J$2+$A384,Sheet2!BY:NC,$B384,0)&lt;&gt;""),HLOOKUP(J$2+$A384,Sheet2!BY:NC,$B384,0),"")</f>
        <v/>
      </c>
      <c r="K384" t="str">
        <f>IF(OR(HLOOKUP(K$2+$A384,Sheet2!BZ:ND,$B384,0),HLOOKUP(K$2+$A384,Sheet2!BZ:ND,$B384,0)&lt;&gt;""),HLOOKUP(K$2+$A384,Sheet2!BZ:ND,$B384,0),"")</f>
        <v/>
      </c>
      <c r="L384" t="str">
        <f>IF(OR(HLOOKUP(L$2+$A384,Sheet2!CA:NE,$B384,0),HLOOKUP(L$2+$A384,Sheet2!CA:NE,$B384,0)&lt;&gt;""),HLOOKUP(L$2+$A384,Sheet2!CA:NE,$B384,0),"")</f>
        <v/>
      </c>
      <c r="M384" t="str">
        <f>IF(OR(HLOOKUP(M$2+$A384,Sheet2!CB:NF,$B384,0),HLOOKUP(M$2+$A384,Sheet2!CB:NF,$B384,0)&lt;&gt;""),HLOOKUP(M$2+$A384,Sheet2!CB:NF,$B384,0),"")</f>
        <v/>
      </c>
    </row>
    <row r="385" spans="1:13" x14ac:dyDescent="0.25">
      <c r="A385" s="68">
        <f t="shared" si="48"/>
        <v>25</v>
      </c>
      <c r="B385" s="68">
        <f t="shared" si="49"/>
        <v>52</v>
      </c>
      <c r="C385" s="68">
        <f t="shared" si="46"/>
        <v>6</v>
      </c>
      <c r="D385" s="68">
        <f t="shared" si="50"/>
        <v>48</v>
      </c>
      <c r="E385" s="68">
        <f t="shared" si="47"/>
        <v>236</v>
      </c>
      <c r="F385" s="21" t="str">
        <f>VLOOKUP(D385,Sheet2!A:B,2)</f>
        <v>J20-0123</v>
      </c>
      <c r="G385" s="68" t="str">
        <f>VLOOKUP(F385,Sheet2!B:C,2,0)</f>
        <v xml:space="preserve">ติดตั้งเครื่องมือวัดความเป็นกรด-ด่าง และปรับปรุง </v>
      </c>
      <c r="H385" s="68" t="str">
        <f>HLOOKUP(I$2+$A385,Sheet2!BX:NB,2,0)</f>
        <v>16-31 Mar 21</v>
      </c>
      <c r="I385" t="str">
        <f>IF(OR(HLOOKUP(I$2+$A385,Sheet2!BX:NB,$B385,0),HLOOKUP(I$2+$A385,Sheet2!BX:NB,$B385,0)&lt;&gt;""),HLOOKUP(I$2+$A385,Sheet2!BX:NB,$B385,0),"")</f>
        <v/>
      </c>
      <c r="J385" t="str">
        <f>IF(OR(HLOOKUP(J$2+$A385,Sheet2!BY:NC,$B385,0),HLOOKUP(J$2+$A385,Sheet2!BY:NC,$B385,0)&lt;&gt;""),HLOOKUP(J$2+$A385,Sheet2!BY:NC,$B385,0),"")</f>
        <v/>
      </c>
      <c r="K385" t="str">
        <f>IF(OR(HLOOKUP(K$2+$A385,Sheet2!BZ:ND,$B385,0),HLOOKUP(K$2+$A385,Sheet2!BZ:ND,$B385,0)&lt;&gt;""),HLOOKUP(K$2+$A385,Sheet2!BZ:ND,$B385,0),"")</f>
        <v/>
      </c>
      <c r="L385" t="str">
        <f>IF(OR(HLOOKUP(L$2+$A385,Sheet2!CA:NE,$B385,0),HLOOKUP(L$2+$A385,Sheet2!CA:NE,$B385,0)&lt;&gt;""),HLOOKUP(L$2+$A385,Sheet2!CA:NE,$B385,0),"")</f>
        <v/>
      </c>
      <c r="M385" t="str">
        <f>IF(OR(HLOOKUP(M$2+$A385,Sheet2!CB:NF,$B385,0),HLOOKUP(M$2+$A385,Sheet2!CB:NF,$B385,0)&lt;&gt;""),HLOOKUP(M$2+$A385,Sheet2!CB:NF,$B385,0),"")</f>
        <v/>
      </c>
    </row>
    <row r="386" spans="1:13" x14ac:dyDescent="0.25">
      <c r="A386" s="68">
        <f t="shared" si="48"/>
        <v>30</v>
      </c>
      <c r="B386" s="68">
        <f t="shared" si="49"/>
        <v>52</v>
      </c>
      <c r="C386" s="68">
        <f t="shared" si="46"/>
        <v>7</v>
      </c>
      <c r="D386" s="68">
        <f t="shared" si="50"/>
        <v>48</v>
      </c>
      <c r="E386" s="68">
        <f t="shared" si="47"/>
        <v>236</v>
      </c>
      <c r="F386" s="21" t="str">
        <f>VLOOKUP(D386,Sheet2!A:B,2)</f>
        <v>J20-0123</v>
      </c>
      <c r="G386" s="68" t="str">
        <f>VLOOKUP(F386,Sheet2!B:C,2,0)</f>
        <v xml:space="preserve">ติดตั้งเครื่องมือวัดความเป็นกรด-ด่าง และปรับปรุง </v>
      </c>
      <c r="H386" s="68" t="str">
        <f>HLOOKUP(I$2+$A386,Sheet2!BX:NB,2,0)</f>
        <v>1-15 April 21</v>
      </c>
      <c r="I386" t="str">
        <f>IF(OR(HLOOKUP(I$2+$A386,Sheet2!BX:NB,$B386,0),HLOOKUP(I$2+$A386,Sheet2!BX:NB,$B386,0)&lt;&gt;""),HLOOKUP(I$2+$A386,Sheet2!BX:NB,$B386,0),"")</f>
        <v/>
      </c>
      <c r="J386" t="str">
        <f>IF(OR(HLOOKUP(J$2+$A386,Sheet2!BY:NC,$B386,0),HLOOKUP(J$2+$A386,Sheet2!BY:NC,$B386,0)&lt;&gt;""),HLOOKUP(J$2+$A386,Sheet2!BY:NC,$B386,0),"")</f>
        <v/>
      </c>
      <c r="K386" t="str">
        <f>IF(OR(HLOOKUP(K$2+$A386,Sheet2!BZ:ND,$B386,0),HLOOKUP(K$2+$A386,Sheet2!BZ:ND,$B386,0)&lt;&gt;""),HLOOKUP(K$2+$A386,Sheet2!BZ:ND,$B386,0),"")</f>
        <v/>
      </c>
      <c r="L386" t="str">
        <f>IF(OR(HLOOKUP(L$2+$A386,Sheet2!CA:NE,$B386,0),HLOOKUP(L$2+$A386,Sheet2!CA:NE,$B386,0)&lt;&gt;""),HLOOKUP(L$2+$A386,Sheet2!CA:NE,$B386,0),"")</f>
        <v/>
      </c>
      <c r="M386" t="str">
        <f>IF(OR(HLOOKUP(M$2+$A386,Sheet2!CB:NF,$B386,0),HLOOKUP(M$2+$A386,Sheet2!CB:NF,$B386,0)&lt;&gt;""),HLOOKUP(M$2+$A386,Sheet2!CB:NF,$B386,0),"")</f>
        <v/>
      </c>
    </row>
    <row r="387" spans="1:13" x14ac:dyDescent="0.25">
      <c r="A387" s="68">
        <f t="shared" si="48"/>
        <v>35</v>
      </c>
      <c r="B387" s="68">
        <f t="shared" si="49"/>
        <v>52</v>
      </c>
      <c r="C387" s="68">
        <f t="shared" si="46"/>
        <v>8</v>
      </c>
      <c r="D387" s="68">
        <f t="shared" si="50"/>
        <v>48</v>
      </c>
      <c r="E387" s="68">
        <f t="shared" si="47"/>
        <v>236</v>
      </c>
      <c r="F387" s="21" t="str">
        <f>VLOOKUP(D387,Sheet2!A:B,2)</f>
        <v>J20-0123</v>
      </c>
      <c r="G387" s="68" t="str">
        <f>VLOOKUP(F387,Sheet2!B:C,2,0)</f>
        <v xml:space="preserve">ติดตั้งเครื่องมือวัดความเป็นกรด-ด่าง และปรับปรุง </v>
      </c>
      <c r="H387" s="68" t="str">
        <f>HLOOKUP(I$2+$A387,Sheet2!BX:NB,2,0)</f>
        <v>16-30 April 21</v>
      </c>
      <c r="I387" t="str">
        <f>IF(OR(HLOOKUP(I$2+$A387,Sheet2!BX:NB,$B387,0),HLOOKUP(I$2+$A387,Sheet2!BX:NB,$B387,0)&lt;&gt;""),HLOOKUP(I$2+$A387,Sheet2!BX:NB,$B387,0),"")</f>
        <v/>
      </c>
      <c r="J387" t="str">
        <f>IF(OR(HLOOKUP(J$2+$A387,Sheet2!BY:NC,$B387,0),HLOOKUP(J$2+$A387,Sheet2!BY:NC,$B387,0)&lt;&gt;""),HLOOKUP(J$2+$A387,Sheet2!BY:NC,$B387,0),"")</f>
        <v/>
      </c>
      <c r="K387" t="str">
        <f>IF(OR(HLOOKUP(K$2+$A387,Sheet2!BZ:ND,$B387,0),HLOOKUP(K$2+$A387,Sheet2!BZ:ND,$B387,0)&lt;&gt;""),HLOOKUP(K$2+$A387,Sheet2!BZ:ND,$B387,0),"")</f>
        <v/>
      </c>
      <c r="L387" t="str">
        <f>IF(OR(HLOOKUP(L$2+$A387,Sheet2!CA:NE,$B387,0),HLOOKUP(L$2+$A387,Sheet2!CA:NE,$B387,0)&lt;&gt;""),HLOOKUP(L$2+$A387,Sheet2!CA:NE,$B387,0),"")</f>
        <v/>
      </c>
      <c r="M387" t="str">
        <f>IF(OR(HLOOKUP(M$2+$A387,Sheet2!CB:NF,$B387,0),HLOOKUP(M$2+$A387,Sheet2!CB:NF,$B387,0)&lt;&gt;""),HLOOKUP(M$2+$A387,Sheet2!CB:NF,$B387,0),"")</f>
        <v/>
      </c>
    </row>
    <row r="388" spans="1:13" x14ac:dyDescent="0.25">
      <c r="A388" s="68">
        <f t="shared" si="48"/>
        <v>0</v>
      </c>
      <c r="B388" s="68">
        <f t="shared" si="49"/>
        <v>53</v>
      </c>
      <c r="C388" s="68">
        <f t="shared" si="46"/>
        <v>1</v>
      </c>
      <c r="D388" s="68">
        <f t="shared" si="50"/>
        <v>49</v>
      </c>
      <c r="E388" s="68">
        <f t="shared" si="47"/>
        <v>241</v>
      </c>
      <c r="F388" s="21" t="str">
        <f>VLOOKUP(D388,Sheet2!A:B,2)</f>
        <v>J20-0202</v>
      </c>
      <c r="G388" s="68" t="str">
        <f>VLOOKUP(F388,Sheet2!B:C,2,0)</f>
        <v xml:space="preserve">Automatic Anti-Foam feeding Phase A,B (MBF) </v>
      </c>
      <c r="H388" s="68" t="str">
        <f>HLOOKUP(I$2+$A388,Sheet2!BX:NB,2,0)</f>
        <v>1-15 Jan 21</v>
      </c>
      <c r="I388" t="str">
        <f>IF(OR(HLOOKUP(I$2+$A388,Sheet2!BX:NB,$B388,0),HLOOKUP(I$2+$A388,Sheet2!BX:NB,$B388,0)&lt;&gt;""),HLOOKUP(I$2+$A388,Sheet2!BX:NB,$B388,0),"")</f>
        <v/>
      </c>
      <c r="J388" t="str">
        <f>IF(OR(HLOOKUP(J$2+$A388,Sheet2!BY:NC,$B388,0),HLOOKUP(J$2+$A388,Sheet2!BY:NC,$B388,0)&lt;&gt;""),HLOOKUP(J$2+$A388,Sheet2!BY:NC,$B388,0),"")</f>
        <v/>
      </c>
      <c r="K388" t="str">
        <f>IF(OR(HLOOKUP(K$2+$A388,Sheet2!BZ:ND,$B388,0),HLOOKUP(K$2+$A388,Sheet2!BZ:ND,$B388,0)&lt;&gt;""),HLOOKUP(K$2+$A388,Sheet2!BZ:ND,$B388,0),"")</f>
        <v/>
      </c>
      <c r="L388" t="str">
        <f>IF(OR(HLOOKUP(L$2+$A388,Sheet2!CA:NE,$B388,0),HLOOKUP(L$2+$A388,Sheet2!CA:NE,$B388,0)&lt;&gt;""),HLOOKUP(L$2+$A388,Sheet2!CA:NE,$B388,0),"")</f>
        <v/>
      </c>
      <c r="M388" t="str">
        <f>IF(OR(HLOOKUP(M$2+$A388,Sheet2!CB:NF,$B388,0),HLOOKUP(M$2+$A388,Sheet2!CB:NF,$B388,0)&lt;&gt;""),HLOOKUP(M$2+$A388,Sheet2!CB:NF,$B388,0),"")</f>
        <v/>
      </c>
    </row>
    <row r="389" spans="1:13" x14ac:dyDescent="0.25">
      <c r="A389" s="68">
        <f t="shared" si="48"/>
        <v>5</v>
      </c>
      <c r="B389" s="68">
        <f t="shared" si="49"/>
        <v>53</v>
      </c>
      <c r="C389" s="68">
        <f t="shared" si="46"/>
        <v>2</v>
      </c>
      <c r="D389" s="68">
        <f t="shared" si="50"/>
        <v>49</v>
      </c>
      <c r="E389" s="68">
        <f t="shared" si="47"/>
        <v>241</v>
      </c>
      <c r="F389" s="21" t="str">
        <f>VLOOKUP(D389,Sheet2!A:B,2)</f>
        <v>J20-0202</v>
      </c>
      <c r="G389" s="68" t="str">
        <f>VLOOKUP(F389,Sheet2!B:C,2,0)</f>
        <v xml:space="preserve">Automatic Anti-Foam feeding Phase A,B (MBF) </v>
      </c>
      <c r="H389" s="68" t="str">
        <f>HLOOKUP(I$2+$A389,Sheet2!BX:NB,2,0)</f>
        <v>16-31 Jan 21</v>
      </c>
      <c r="I389" t="str">
        <f>IF(OR(HLOOKUP(I$2+$A389,Sheet2!BX:NB,$B389,0),HLOOKUP(I$2+$A389,Sheet2!BX:NB,$B389,0)&lt;&gt;""),HLOOKUP(I$2+$A389,Sheet2!BX:NB,$B389,0),"")</f>
        <v/>
      </c>
      <c r="J389" t="str">
        <f>IF(OR(HLOOKUP(J$2+$A389,Sheet2!BY:NC,$B389,0),HLOOKUP(J$2+$A389,Sheet2!BY:NC,$B389,0)&lt;&gt;""),HLOOKUP(J$2+$A389,Sheet2!BY:NC,$B389,0),"")</f>
        <v/>
      </c>
      <c r="K389" t="str">
        <f>IF(OR(HLOOKUP(K$2+$A389,Sheet2!BZ:ND,$B389,0),HLOOKUP(K$2+$A389,Sheet2!BZ:ND,$B389,0)&lt;&gt;""),HLOOKUP(K$2+$A389,Sheet2!BZ:ND,$B389,0),"")</f>
        <v/>
      </c>
      <c r="L389" t="str">
        <f>IF(OR(HLOOKUP(L$2+$A389,Sheet2!CA:NE,$B389,0),HLOOKUP(L$2+$A389,Sheet2!CA:NE,$B389,0)&lt;&gt;""),HLOOKUP(L$2+$A389,Sheet2!CA:NE,$B389,0),"")</f>
        <v/>
      </c>
      <c r="M389" t="str">
        <f>IF(OR(HLOOKUP(M$2+$A389,Sheet2!CB:NF,$B389,0),HLOOKUP(M$2+$A389,Sheet2!CB:NF,$B389,0)&lt;&gt;""),HLOOKUP(M$2+$A389,Sheet2!CB:NF,$B389,0),"")</f>
        <v/>
      </c>
    </row>
    <row r="390" spans="1:13" x14ac:dyDescent="0.25">
      <c r="A390" s="68">
        <f t="shared" si="48"/>
        <v>10</v>
      </c>
      <c r="B390" s="68">
        <f t="shared" si="49"/>
        <v>53</v>
      </c>
      <c r="C390" s="68">
        <f t="shared" si="46"/>
        <v>3</v>
      </c>
      <c r="D390" s="68">
        <f t="shared" si="50"/>
        <v>49</v>
      </c>
      <c r="E390" s="68">
        <f t="shared" si="47"/>
        <v>241</v>
      </c>
      <c r="F390" s="21" t="str">
        <f>VLOOKUP(D390,Sheet2!A:B,2)</f>
        <v>J20-0202</v>
      </c>
      <c r="G390" s="68" t="str">
        <f>VLOOKUP(F390,Sheet2!B:C,2,0)</f>
        <v xml:space="preserve">Automatic Anti-Foam feeding Phase A,B (MBF) </v>
      </c>
      <c r="H390" s="68" t="str">
        <f>HLOOKUP(I$2+$A390,Sheet2!BX:NB,2,0)</f>
        <v>1-15 Feb 21</v>
      </c>
      <c r="I390" t="str">
        <f>IF(OR(HLOOKUP(I$2+$A390,Sheet2!BX:NB,$B390,0),HLOOKUP(I$2+$A390,Sheet2!BX:NB,$B390,0)&lt;&gt;""),HLOOKUP(I$2+$A390,Sheet2!BX:NB,$B390,0),"")</f>
        <v/>
      </c>
      <c r="J390" t="str">
        <f>IF(OR(HLOOKUP(J$2+$A390,Sheet2!BY:NC,$B390,0),HLOOKUP(J$2+$A390,Sheet2!BY:NC,$B390,0)&lt;&gt;""),HLOOKUP(J$2+$A390,Sheet2!BY:NC,$B390,0),"")</f>
        <v/>
      </c>
      <c r="K390" t="str">
        <f>IF(OR(HLOOKUP(K$2+$A390,Sheet2!BZ:ND,$B390,0),HLOOKUP(K$2+$A390,Sheet2!BZ:ND,$B390,0)&lt;&gt;""),HLOOKUP(K$2+$A390,Sheet2!BZ:ND,$B390,0),"")</f>
        <v/>
      </c>
      <c r="L390" t="str">
        <f>IF(OR(HLOOKUP(L$2+$A390,Sheet2!CA:NE,$B390,0),HLOOKUP(L$2+$A390,Sheet2!CA:NE,$B390,0)&lt;&gt;""),HLOOKUP(L$2+$A390,Sheet2!CA:NE,$B390,0),"")</f>
        <v/>
      </c>
      <c r="M390" t="str">
        <f>IF(OR(HLOOKUP(M$2+$A390,Sheet2!CB:NF,$B390,0),HLOOKUP(M$2+$A390,Sheet2!CB:NF,$B390,0)&lt;&gt;""),HLOOKUP(M$2+$A390,Sheet2!CB:NF,$B390,0),"")</f>
        <v/>
      </c>
    </row>
    <row r="391" spans="1:13" x14ac:dyDescent="0.25">
      <c r="A391" s="68">
        <f t="shared" si="48"/>
        <v>15</v>
      </c>
      <c r="B391" s="68">
        <f t="shared" si="49"/>
        <v>53</v>
      </c>
      <c r="C391" s="68">
        <f t="shared" si="46"/>
        <v>4</v>
      </c>
      <c r="D391" s="68">
        <f t="shared" si="50"/>
        <v>49</v>
      </c>
      <c r="E391" s="68">
        <f t="shared" si="47"/>
        <v>241</v>
      </c>
      <c r="F391" s="21" t="str">
        <f>VLOOKUP(D391,Sheet2!A:B,2)</f>
        <v>J20-0202</v>
      </c>
      <c r="G391" s="68" t="str">
        <f>VLOOKUP(F391,Sheet2!B:C,2,0)</f>
        <v xml:space="preserve">Automatic Anti-Foam feeding Phase A,B (MBF) </v>
      </c>
      <c r="H391" s="68" t="str">
        <f>HLOOKUP(I$2+$A391,Sheet2!BX:NB,2,0)</f>
        <v>16-28 Feb 21</v>
      </c>
      <c r="I391" t="str">
        <f>IF(OR(HLOOKUP(I$2+$A391,Sheet2!BX:NB,$B391,0),HLOOKUP(I$2+$A391,Sheet2!BX:NB,$B391,0)&lt;&gt;""),HLOOKUP(I$2+$A391,Sheet2!BX:NB,$B391,0),"")</f>
        <v/>
      </c>
      <c r="J391" t="str">
        <f>IF(OR(HLOOKUP(J$2+$A391,Sheet2!BY:NC,$B391,0),HLOOKUP(J$2+$A391,Sheet2!BY:NC,$B391,0)&lt;&gt;""),HLOOKUP(J$2+$A391,Sheet2!BY:NC,$B391,0),"")</f>
        <v/>
      </c>
      <c r="K391" t="str">
        <f>IF(OR(HLOOKUP(K$2+$A391,Sheet2!BZ:ND,$B391,0),HLOOKUP(K$2+$A391,Sheet2!BZ:ND,$B391,0)&lt;&gt;""),HLOOKUP(K$2+$A391,Sheet2!BZ:ND,$B391,0),"")</f>
        <v/>
      </c>
      <c r="L391" t="str">
        <f>IF(OR(HLOOKUP(L$2+$A391,Sheet2!CA:NE,$B391,0),HLOOKUP(L$2+$A391,Sheet2!CA:NE,$B391,0)&lt;&gt;""),HLOOKUP(L$2+$A391,Sheet2!CA:NE,$B391,0),"")</f>
        <v/>
      </c>
      <c r="M391" t="str">
        <f>IF(OR(HLOOKUP(M$2+$A391,Sheet2!CB:NF,$B391,0),HLOOKUP(M$2+$A391,Sheet2!CB:NF,$B391,0)&lt;&gt;""),HLOOKUP(M$2+$A391,Sheet2!CB:NF,$B391,0),"")</f>
        <v/>
      </c>
    </row>
    <row r="392" spans="1:13" x14ac:dyDescent="0.25">
      <c r="A392" s="68">
        <f t="shared" si="48"/>
        <v>20</v>
      </c>
      <c r="B392" s="68">
        <f t="shared" si="49"/>
        <v>53</v>
      </c>
      <c r="C392" s="68">
        <f t="shared" si="46"/>
        <v>5</v>
      </c>
      <c r="D392" s="68">
        <f t="shared" si="50"/>
        <v>49</v>
      </c>
      <c r="E392" s="68">
        <f t="shared" si="47"/>
        <v>241</v>
      </c>
      <c r="F392" s="21" t="str">
        <f>VLOOKUP(D392,Sheet2!A:B,2)</f>
        <v>J20-0202</v>
      </c>
      <c r="G392" s="68" t="str">
        <f>VLOOKUP(F392,Sheet2!B:C,2,0)</f>
        <v xml:space="preserve">Automatic Anti-Foam feeding Phase A,B (MBF) </v>
      </c>
      <c r="H392" s="68" t="str">
        <f>HLOOKUP(I$2+$A392,Sheet2!BX:NB,2,0)</f>
        <v>1-15 Mar 2021</v>
      </c>
      <c r="I392" t="str">
        <f>IF(OR(HLOOKUP(I$2+$A392,Sheet2!BX:NB,$B392,0),HLOOKUP(I$2+$A392,Sheet2!BX:NB,$B392,0)&lt;&gt;""),HLOOKUP(I$2+$A392,Sheet2!BX:NB,$B392,0),"")</f>
        <v/>
      </c>
      <c r="J392" t="str">
        <f>IF(OR(HLOOKUP(J$2+$A392,Sheet2!BY:NC,$B392,0),HLOOKUP(J$2+$A392,Sheet2!BY:NC,$B392,0)&lt;&gt;""),HLOOKUP(J$2+$A392,Sheet2!BY:NC,$B392,0),"")</f>
        <v/>
      </c>
      <c r="K392" t="str">
        <f>IF(OR(HLOOKUP(K$2+$A392,Sheet2!BZ:ND,$B392,0),HLOOKUP(K$2+$A392,Sheet2!BZ:ND,$B392,0)&lt;&gt;""),HLOOKUP(K$2+$A392,Sheet2!BZ:ND,$B392,0),"")</f>
        <v/>
      </c>
      <c r="L392" t="str">
        <f>IF(OR(HLOOKUP(L$2+$A392,Sheet2!CA:NE,$B392,0),HLOOKUP(L$2+$A392,Sheet2!CA:NE,$B392,0)&lt;&gt;""),HLOOKUP(L$2+$A392,Sheet2!CA:NE,$B392,0),"")</f>
        <v/>
      </c>
      <c r="M392" t="str">
        <f>IF(OR(HLOOKUP(M$2+$A392,Sheet2!CB:NF,$B392,0),HLOOKUP(M$2+$A392,Sheet2!CB:NF,$B392,0)&lt;&gt;""),HLOOKUP(M$2+$A392,Sheet2!CB:NF,$B392,0),"")</f>
        <v/>
      </c>
    </row>
    <row r="393" spans="1:13" x14ac:dyDescent="0.25">
      <c r="A393" s="68">
        <f t="shared" si="48"/>
        <v>25</v>
      </c>
      <c r="B393" s="68">
        <f t="shared" si="49"/>
        <v>53</v>
      </c>
      <c r="C393" s="68">
        <f t="shared" si="46"/>
        <v>6</v>
      </c>
      <c r="D393" s="68">
        <f t="shared" si="50"/>
        <v>49</v>
      </c>
      <c r="E393" s="68">
        <f t="shared" si="47"/>
        <v>241</v>
      </c>
      <c r="F393" s="21" t="str">
        <f>VLOOKUP(D393,Sheet2!A:B,2)</f>
        <v>J20-0202</v>
      </c>
      <c r="G393" s="68" t="str">
        <f>VLOOKUP(F393,Sheet2!B:C,2,0)</f>
        <v xml:space="preserve">Automatic Anti-Foam feeding Phase A,B (MBF) </v>
      </c>
      <c r="H393" s="68" t="str">
        <f>HLOOKUP(I$2+$A393,Sheet2!BX:NB,2,0)</f>
        <v>16-31 Mar 21</v>
      </c>
      <c r="I393" t="str">
        <f>IF(OR(HLOOKUP(I$2+$A393,Sheet2!BX:NB,$B393,0),HLOOKUP(I$2+$A393,Sheet2!BX:NB,$B393,0)&lt;&gt;""),HLOOKUP(I$2+$A393,Sheet2!BX:NB,$B393,0),"")</f>
        <v/>
      </c>
      <c r="J393" t="str">
        <f>IF(OR(HLOOKUP(J$2+$A393,Sheet2!BY:NC,$B393,0),HLOOKUP(J$2+$A393,Sheet2!BY:NC,$B393,0)&lt;&gt;""),HLOOKUP(J$2+$A393,Sheet2!BY:NC,$B393,0),"")</f>
        <v/>
      </c>
      <c r="K393" t="str">
        <f>IF(OR(HLOOKUP(K$2+$A393,Sheet2!BZ:ND,$B393,0),HLOOKUP(K$2+$A393,Sheet2!BZ:ND,$B393,0)&lt;&gt;""),HLOOKUP(K$2+$A393,Sheet2!BZ:ND,$B393,0),"")</f>
        <v/>
      </c>
      <c r="L393" t="str">
        <f>IF(OR(HLOOKUP(L$2+$A393,Sheet2!CA:NE,$B393,0),HLOOKUP(L$2+$A393,Sheet2!CA:NE,$B393,0)&lt;&gt;""),HLOOKUP(L$2+$A393,Sheet2!CA:NE,$B393,0),"")</f>
        <v/>
      </c>
      <c r="M393" t="str">
        <f>IF(OR(HLOOKUP(M$2+$A393,Sheet2!CB:NF,$B393,0),HLOOKUP(M$2+$A393,Sheet2!CB:NF,$B393,0)&lt;&gt;""),HLOOKUP(M$2+$A393,Sheet2!CB:NF,$B393,0),"")</f>
        <v/>
      </c>
    </row>
    <row r="394" spans="1:13" x14ac:dyDescent="0.25">
      <c r="A394" s="68">
        <f t="shared" si="48"/>
        <v>30</v>
      </c>
      <c r="B394" s="68">
        <f t="shared" si="49"/>
        <v>53</v>
      </c>
      <c r="C394" s="68">
        <f t="shared" si="46"/>
        <v>7</v>
      </c>
      <c r="D394" s="68">
        <f t="shared" si="50"/>
        <v>49</v>
      </c>
      <c r="E394" s="68">
        <f t="shared" si="47"/>
        <v>241</v>
      </c>
      <c r="F394" s="21" t="str">
        <f>VLOOKUP(D394,Sheet2!A:B,2)</f>
        <v>J20-0202</v>
      </c>
      <c r="G394" s="68" t="str">
        <f>VLOOKUP(F394,Sheet2!B:C,2,0)</f>
        <v xml:space="preserve">Automatic Anti-Foam feeding Phase A,B (MBF) </v>
      </c>
      <c r="H394" s="68" t="str">
        <f>HLOOKUP(I$2+$A394,Sheet2!BX:NB,2,0)</f>
        <v>1-15 April 21</v>
      </c>
      <c r="I394" t="str">
        <f>IF(OR(HLOOKUP(I$2+$A394,Sheet2!BX:NB,$B394,0),HLOOKUP(I$2+$A394,Sheet2!BX:NB,$B394,0)&lt;&gt;""),HLOOKUP(I$2+$A394,Sheet2!BX:NB,$B394,0),"")</f>
        <v/>
      </c>
      <c r="J394" t="str">
        <f>IF(OR(HLOOKUP(J$2+$A394,Sheet2!BY:NC,$B394,0),HLOOKUP(J$2+$A394,Sheet2!BY:NC,$B394,0)&lt;&gt;""),HLOOKUP(J$2+$A394,Sheet2!BY:NC,$B394,0),"")</f>
        <v/>
      </c>
      <c r="K394" t="str">
        <f>IF(OR(HLOOKUP(K$2+$A394,Sheet2!BZ:ND,$B394,0),HLOOKUP(K$2+$A394,Sheet2!BZ:ND,$B394,0)&lt;&gt;""),HLOOKUP(K$2+$A394,Sheet2!BZ:ND,$B394,0),"")</f>
        <v/>
      </c>
      <c r="L394" t="str">
        <f>IF(OR(HLOOKUP(L$2+$A394,Sheet2!CA:NE,$B394,0),HLOOKUP(L$2+$A394,Sheet2!CA:NE,$B394,0)&lt;&gt;""),HLOOKUP(L$2+$A394,Sheet2!CA:NE,$B394,0),"")</f>
        <v/>
      </c>
      <c r="M394" t="str">
        <f>IF(OR(HLOOKUP(M$2+$A394,Sheet2!CB:NF,$B394,0),HLOOKUP(M$2+$A394,Sheet2!CB:NF,$B394,0)&lt;&gt;""),HLOOKUP(M$2+$A394,Sheet2!CB:NF,$B394,0),"")</f>
        <v/>
      </c>
    </row>
    <row r="395" spans="1:13" x14ac:dyDescent="0.25">
      <c r="A395" s="68">
        <f t="shared" si="48"/>
        <v>35</v>
      </c>
      <c r="B395" s="68">
        <f t="shared" si="49"/>
        <v>53</v>
      </c>
      <c r="C395" s="68">
        <f t="shared" si="46"/>
        <v>8</v>
      </c>
      <c r="D395" s="68">
        <f t="shared" si="50"/>
        <v>49</v>
      </c>
      <c r="E395" s="68">
        <f t="shared" si="47"/>
        <v>241</v>
      </c>
      <c r="F395" s="21" t="str">
        <f>VLOOKUP(D395,Sheet2!A:B,2)</f>
        <v>J20-0202</v>
      </c>
      <c r="G395" s="68" t="str">
        <f>VLOOKUP(F395,Sheet2!B:C,2,0)</f>
        <v xml:space="preserve">Automatic Anti-Foam feeding Phase A,B (MBF) </v>
      </c>
      <c r="H395" s="68" t="str">
        <f>HLOOKUP(I$2+$A395,Sheet2!BX:NB,2,0)</f>
        <v>16-30 April 21</v>
      </c>
      <c r="I395" t="str">
        <f>IF(OR(HLOOKUP(I$2+$A395,Sheet2!BX:NB,$B395,0),HLOOKUP(I$2+$A395,Sheet2!BX:NB,$B395,0)&lt;&gt;""),HLOOKUP(I$2+$A395,Sheet2!BX:NB,$B395,0),"")</f>
        <v/>
      </c>
      <c r="J395" t="str">
        <f>IF(OR(HLOOKUP(J$2+$A395,Sheet2!BY:NC,$B395,0),HLOOKUP(J$2+$A395,Sheet2!BY:NC,$B395,0)&lt;&gt;""),HLOOKUP(J$2+$A395,Sheet2!BY:NC,$B395,0),"")</f>
        <v/>
      </c>
      <c r="K395" t="str">
        <f>IF(OR(HLOOKUP(K$2+$A395,Sheet2!BZ:ND,$B395,0),HLOOKUP(K$2+$A395,Sheet2!BZ:ND,$B395,0)&lt;&gt;""),HLOOKUP(K$2+$A395,Sheet2!BZ:ND,$B395,0),"")</f>
        <v/>
      </c>
      <c r="L395" t="str">
        <f>IF(OR(HLOOKUP(L$2+$A395,Sheet2!CA:NE,$B395,0),HLOOKUP(L$2+$A395,Sheet2!CA:NE,$B395,0)&lt;&gt;""),HLOOKUP(L$2+$A395,Sheet2!CA:NE,$B395,0),"")</f>
        <v/>
      </c>
      <c r="M395" t="str">
        <f>IF(OR(HLOOKUP(M$2+$A395,Sheet2!CB:NF,$B395,0),HLOOKUP(M$2+$A395,Sheet2!CB:NF,$B395,0)&lt;&gt;""),HLOOKUP(M$2+$A395,Sheet2!CB:NF,$B395,0),"")</f>
        <v/>
      </c>
    </row>
    <row r="396" spans="1:13" x14ac:dyDescent="0.25">
      <c r="A396" s="68">
        <f t="shared" si="48"/>
        <v>0</v>
      </c>
      <c r="B396" s="68">
        <f t="shared" si="49"/>
        <v>54</v>
      </c>
      <c r="C396" s="68">
        <f t="shared" si="46"/>
        <v>1</v>
      </c>
      <c r="D396" s="68">
        <f t="shared" si="50"/>
        <v>50</v>
      </c>
      <c r="E396" s="68">
        <f t="shared" si="47"/>
        <v>246</v>
      </c>
      <c r="F396" s="21" t="str">
        <f>VLOOKUP(D396,Sheet2!A:B,2)</f>
        <v>J20-0415</v>
      </c>
      <c r="G396" s="68" t="str">
        <f>VLOOKUP(F396,Sheet2!B:C,2,0)</f>
        <v>PROJECT: VSD BELT CONVEYOR</v>
      </c>
      <c r="H396" s="68" t="str">
        <f>HLOOKUP(I$2+$A396,Sheet2!BX:NB,2,0)</f>
        <v>1-15 Jan 21</v>
      </c>
      <c r="I396" t="str">
        <f>IF(OR(HLOOKUP(I$2+$A396,Sheet2!BX:NB,$B396,0),HLOOKUP(I$2+$A396,Sheet2!BX:NB,$B396,0)&lt;&gt;""),HLOOKUP(I$2+$A396,Sheet2!BX:NB,$B396,0),"")</f>
        <v/>
      </c>
      <c r="J396" t="str">
        <f>IF(OR(HLOOKUP(J$2+$A396,Sheet2!BY:NC,$B396,0),HLOOKUP(J$2+$A396,Sheet2!BY:NC,$B396,0)&lt;&gt;""),HLOOKUP(J$2+$A396,Sheet2!BY:NC,$B396,0),"")</f>
        <v/>
      </c>
      <c r="K396" t="str">
        <f>IF(OR(HLOOKUP(K$2+$A396,Sheet2!BZ:ND,$B396,0),HLOOKUP(K$2+$A396,Sheet2!BZ:ND,$B396,0)&lt;&gt;""),HLOOKUP(K$2+$A396,Sheet2!BZ:ND,$B396,0),"")</f>
        <v/>
      </c>
      <c r="L396" t="str">
        <f>IF(OR(HLOOKUP(L$2+$A396,Sheet2!CA:NE,$B396,0),HLOOKUP(L$2+$A396,Sheet2!CA:NE,$B396,0)&lt;&gt;""),HLOOKUP(L$2+$A396,Sheet2!CA:NE,$B396,0),"")</f>
        <v/>
      </c>
      <c r="M396" t="str">
        <f>IF(OR(HLOOKUP(M$2+$A396,Sheet2!CB:NF,$B396,0),HLOOKUP(M$2+$A396,Sheet2!CB:NF,$B396,0)&lt;&gt;""),HLOOKUP(M$2+$A396,Sheet2!CB:NF,$B396,0),"")</f>
        <v/>
      </c>
    </row>
    <row r="397" spans="1:13" x14ac:dyDescent="0.25">
      <c r="A397" s="68">
        <f t="shared" si="48"/>
        <v>5</v>
      </c>
      <c r="B397" s="68">
        <f t="shared" si="49"/>
        <v>54</v>
      </c>
      <c r="C397" s="68">
        <f t="shared" ref="C397:C460" si="51">IF($C$3-C396=0,1,C396+1)</f>
        <v>2</v>
      </c>
      <c r="D397" s="68">
        <f t="shared" si="50"/>
        <v>50</v>
      </c>
      <c r="E397" s="68">
        <f t="shared" si="47"/>
        <v>246</v>
      </c>
      <c r="F397" s="21" t="str">
        <f>VLOOKUP(D397,Sheet2!A:B,2)</f>
        <v>J20-0415</v>
      </c>
      <c r="G397" s="68" t="str">
        <f>VLOOKUP(F397,Sheet2!B:C,2,0)</f>
        <v>PROJECT: VSD BELT CONVEYOR</v>
      </c>
      <c r="H397" s="68" t="str">
        <f>HLOOKUP(I$2+$A397,Sheet2!BX:NB,2,0)</f>
        <v>16-31 Jan 21</v>
      </c>
      <c r="I397" t="str">
        <f>IF(OR(HLOOKUP(I$2+$A397,Sheet2!BX:NB,$B397,0),HLOOKUP(I$2+$A397,Sheet2!BX:NB,$B397,0)&lt;&gt;""),HLOOKUP(I$2+$A397,Sheet2!BX:NB,$B397,0),"")</f>
        <v/>
      </c>
      <c r="J397" t="str">
        <f>IF(OR(HLOOKUP(J$2+$A397,Sheet2!BY:NC,$B397,0),HLOOKUP(J$2+$A397,Sheet2!BY:NC,$B397,0)&lt;&gt;""),HLOOKUP(J$2+$A397,Sheet2!BY:NC,$B397,0),"")</f>
        <v/>
      </c>
      <c r="K397" t="str">
        <f>IF(OR(HLOOKUP(K$2+$A397,Sheet2!BZ:ND,$B397,0),HLOOKUP(K$2+$A397,Sheet2!BZ:ND,$B397,0)&lt;&gt;""),HLOOKUP(K$2+$A397,Sheet2!BZ:ND,$B397,0),"")</f>
        <v/>
      </c>
      <c r="L397" t="str">
        <f>IF(OR(HLOOKUP(L$2+$A397,Sheet2!CA:NE,$B397,0),HLOOKUP(L$2+$A397,Sheet2!CA:NE,$B397,0)&lt;&gt;""),HLOOKUP(L$2+$A397,Sheet2!CA:NE,$B397,0),"")</f>
        <v/>
      </c>
      <c r="M397" t="str">
        <f>IF(OR(HLOOKUP(M$2+$A397,Sheet2!CB:NF,$B397,0),HLOOKUP(M$2+$A397,Sheet2!CB:NF,$B397,0)&lt;&gt;""),HLOOKUP(M$2+$A397,Sheet2!CB:NF,$B397,0),"")</f>
        <v/>
      </c>
    </row>
    <row r="398" spans="1:13" x14ac:dyDescent="0.25">
      <c r="A398" s="68">
        <f t="shared" si="48"/>
        <v>10</v>
      </c>
      <c r="B398" s="68">
        <f t="shared" si="49"/>
        <v>54</v>
      </c>
      <c r="C398" s="68">
        <f t="shared" si="51"/>
        <v>3</v>
      </c>
      <c r="D398" s="68">
        <f t="shared" si="50"/>
        <v>50</v>
      </c>
      <c r="E398" s="68">
        <f t="shared" si="47"/>
        <v>246</v>
      </c>
      <c r="F398" s="21" t="str">
        <f>VLOOKUP(D398,Sheet2!A:B,2)</f>
        <v>J20-0415</v>
      </c>
      <c r="G398" s="68" t="str">
        <f>VLOOKUP(F398,Sheet2!B:C,2,0)</f>
        <v>PROJECT: VSD BELT CONVEYOR</v>
      </c>
      <c r="H398" s="68" t="str">
        <f>HLOOKUP(I$2+$A398,Sheet2!BX:NB,2,0)</f>
        <v>1-15 Feb 21</v>
      </c>
      <c r="I398" t="str">
        <f>IF(OR(HLOOKUP(I$2+$A398,Sheet2!BX:NB,$B398,0),HLOOKUP(I$2+$A398,Sheet2!BX:NB,$B398,0)&lt;&gt;""),HLOOKUP(I$2+$A398,Sheet2!BX:NB,$B398,0),"")</f>
        <v/>
      </c>
      <c r="J398" t="str">
        <f>IF(OR(HLOOKUP(J$2+$A398,Sheet2!BY:NC,$B398,0),HLOOKUP(J$2+$A398,Sheet2!BY:NC,$B398,0)&lt;&gt;""),HLOOKUP(J$2+$A398,Sheet2!BY:NC,$B398,0),"")</f>
        <v/>
      </c>
      <c r="K398" t="str">
        <f>IF(OR(HLOOKUP(K$2+$A398,Sheet2!BZ:ND,$B398,0),HLOOKUP(K$2+$A398,Sheet2!BZ:ND,$B398,0)&lt;&gt;""),HLOOKUP(K$2+$A398,Sheet2!BZ:ND,$B398,0),"")</f>
        <v/>
      </c>
      <c r="L398" t="str">
        <f>IF(OR(HLOOKUP(L$2+$A398,Sheet2!CA:NE,$B398,0),HLOOKUP(L$2+$A398,Sheet2!CA:NE,$B398,0)&lt;&gt;""),HLOOKUP(L$2+$A398,Sheet2!CA:NE,$B398,0),"")</f>
        <v/>
      </c>
      <c r="M398" t="str">
        <f>IF(OR(HLOOKUP(M$2+$A398,Sheet2!CB:NF,$B398,0),HLOOKUP(M$2+$A398,Sheet2!CB:NF,$B398,0)&lt;&gt;""),HLOOKUP(M$2+$A398,Sheet2!CB:NF,$B398,0),"")</f>
        <v/>
      </c>
    </row>
    <row r="399" spans="1:13" x14ac:dyDescent="0.25">
      <c r="A399" s="68">
        <f t="shared" si="48"/>
        <v>15</v>
      </c>
      <c r="B399" s="68">
        <f t="shared" si="49"/>
        <v>54</v>
      </c>
      <c r="C399" s="68">
        <f t="shared" si="51"/>
        <v>4</v>
      </c>
      <c r="D399" s="68">
        <f t="shared" si="50"/>
        <v>50</v>
      </c>
      <c r="E399" s="68">
        <f t="shared" si="47"/>
        <v>246</v>
      </c>
      <c r="F399" s="21" t="str">
        <f>VLOOKUP(D399,Sheet2!A:B,2)</f>
        <v>J20-0415</v>
      </c>
      <c r="G399" s="68" t="str">
        <f>VLOOKUP(F399,Sheet2!B:C,2,0)</f>
        <v>PROJECT: VSD BELT CONVEYOR</v>
      </c>
      <c r="H399" s="68" t="str">
        <f>HLOOKUP(I$2+$A399,Sheet2!BX:NB,2,0)</f>
        <v>16-28 Feb 21</v>
      </c>
      <c r="I399" t="str">
        <f>IF(OR(HLOOKUP(I$2+$A399,Sheet2!BX:NB,$B399,0),HLOOKUP(I$2+$A399,Sheet2!BX:NB,$B399,0)&lt;&gt;""),HLOOKUP(I$2+$A399,Sheet2!BX:NB,$B399,0),"")</f>
        <v/>
      </c>
      <c r="J399" t="str">
        <f>IF(OR(HLOOKUP(J$2+$A399,Sheet2!BY:NC,$B399,0),HLOOKUP(J$2+$A399,Sheet2!BY:NC,$B399,0)&lt;&gt;""),HLOOKUP(J$2+$A399,Sheet2!BY:NC,$B399,0),"")</f>
        <v/>
      </c>
      <c r="K399" t="str">
        <f>IF(OR(HLOOKUP(K$2+$A399,Sheet2!BZ:ND,$B399,0),HLOOKUP(K$2+$A399,Sheet2!BZ:ND,$B399,0)&lt;&gt;""),HLOOKUP(K$2+$A399,Sheet2!BZ:ND,$B399,0),"")</f>
        <v/>
      </c>
      <c r="L399" t="str">
        <f>IF(OR(HLOOKUP(L$2+$A399,Sheet2!CA:NE,$B399,0),HLOOKUP(L$2+$A399,Sheet2!CA:NE,$B399,0)&lt;&gt;""),HLOOKUP(L$2+$A399,Sheet2!CA:NE,$B399,0),"")</f>
        <v/>
      </c>
      <c r="M399" t="str">
        <f>IF(OR(HLOOKUP(M$2+$A399,Sheet2!CB:NF,$B399,0),HLOOKUP(M$2+$A399,Sheet2!CB:NF,$B399,0)&lt;&gt;""),HLOOKUP(M$2+$A399,Sheet2!CB:NF,$B399,0),"")</f>
        <v/>
      </c>
    </row>
    <row r="400" spans="1:13" x14ac:dyDescent="0.25">
      <c r="A400" s="68">
        <f t="shared" si="48"/>
        <v>20</v>
      </c>
      <c r="B400" s="68">
        <f t="shared" si="49"/>
        <v>54</v>
      </c>
      <c r="C400" s="68">
        <f t="shared" si="51"/>
        <v>5</v>
      </c>
      <c r="D400" s="68">
        <f t="shared" si="50"/>
        <v>50</v>
      </c>
      <c r="E400" s="68">
        <f t="shared" si="47"/>
        <v>246</v>
      </c>
      <c r="F400" s="21" t="str">
        <f>VLOOKUP(D400,Sheet2!A:B,2)</f>
        <v>J20-0415</v>
      </c>
      <c r="G400" s="68" t="str">
        <f>VLOOKUP(F400,Sheet2!B:C,2,0)</f>
        <v>PROJECT: VSD BELT CONVEYOR</v>
      </c>
      <c r="H400" s="68" t="str">
        <f>HLOOKUP(I$2+$A400,Sheet2!BX:NB,2,0)</f>
        <v>1-15 Mar 2021</v>
      </c>
      <c r="I400" t="str">
        <f>IF(OR(HLOOKUP(I$2+$A400,Sheet2!BX:NB,$B400,0),HLOOKUP(I$2+$A400,Sheet2!BX:NB,$B400,0)&lt;&gt;""),HLOOKUP(I$2+$A400,Sheet2!BX:NB,$B400,0),"")</f>
        <v/>
      </c>
      <c r="J400" t="str">
        <f>IF(OR(HLOOKUP(J$2+$A400,Sheet2!BY:NC,$B400,0),HLOOKUP(J$2+$A400,Sheet2!BY:NC,$B400,0)&lt;&gt;""),HLOOKUP(J$2+$A400,Sheet2!BY:NC,$B400,0),"")</f>
        <v/>
      </c>
      <c r="K400" t="str">
        <f>IF(OR(HLOOKUP(K$2+$A400,Sheet2!BZ:ND,$B400,0),HLOOKUP(K$2+$A400,Sheet2!BZ:ND,$B400,0)&lt;&gt;""),HLOOKUP(K$2+$A400,Sheet2!BZ:ND,$B400,0),"")</f>
        <v/>
      </c>
      <c r="L400" t="str">
        <f>IF(OR(HLOOKUP(L$2+$A400,Sheet2!CA:NE,$B400,0),HLOOKUP(L$2+$A400,Sheet2!CA:NE,$B400,0)&lt;&gt;""),HLOOKUP(L$2+$A400,Sheet2!CA:NE,$B400,0),"")</f>
        <v/>
      </c>
      <c r="M400" t="str">
        <f>IF(OR(HLOOKUP(M$2+$A400,Sheet2!CB:NF,$B400,0),HLOOKUP(M$2+$A400,Sheet2!CB:NF,$B400,0)&lt;&gt;""),HLOOKUP(M$2+$A400,Sheet2!CB:NF,$B400,0),"")</f>
        <v/>
      </c>
    </row>
    <row r="401" spans="1:13" x14ac:dyDescent="0.25">
      <c r="A401" s="68">
        <f t="shared" si="48"/>
        <v>25</v>
      </c>
      <c r="B401" s="68">
        <f t="shared" si="49"/>
        <v>54</v>
      </c>
      <c r="C401" s="68">
        <f t="shared" si="51"/>
        <v>6</v>
      </c>
      <c r="D401" s="68">
        <f t="shared" si="50"/>
        <v>50</v>
      </c>
      <c r="E401" s="68">
        <f t="shared" si="47"/>
        <v>246</v>
      </c>
      <c r="F401" s="21" t="str">
        <f>VLOOKUP(D401,Sheet2!A:B,2)</f>
        <v>J20-0415</v>
      </c>
      <c r="G401" s="68" t="str">
        <f>VLOOKUP(F401,Sheet2!B:C,2,0)</f>
        <v>PROJECT: VSD BELT CONVEYOR</v>
      </c>
      <c r="H401" s="68" t="str">
        <f>HLOOKUP(I$2+$A401,Sheet2!BX:NB,2,0)</f>
        <v>16-31 Mar 21</v>
      </c>
      <c r="I401" t="str">
        <f>IF(OR(HLOOKUP(I$2+$A401,Sheet2!BX:NB,$B401,0),HLOOKUP(I$2+$A401,Sheet2!BX:NB,$B401,0)&lt;&gt;""),HLOOKUP(I$2+$A401,Sheet2!BX:NB,$B401,0),"")</f>
        <v/>
      </c>
      <c r="J401" t="str">
        <f>IF(OR(HLOOKUP(J$2+$A401,Sheet2!BY:NC,$B401,0),HLOOKUP(J$2+$A401,Sheet2!BY:NC,$B401,0)&lt;&gt;""),HLOOKUP(J$2+$A401,Sheet2!BY:NC,$B401,0),"")</f>
        <v/>
      </c>
      <c r="K401" t="str">
        <f>IF(OR(HLOOKUP(K$2+$A401,Sheet2!BZ:ND,$B401,0),HLOOKUP(K$2+$A401,Sheet2!BZ:ND,$B401,0)&lt;&gt;""),HLOOKUP(K$2+$A401,Sheet2!BZ:ND,$B401,0),"")</f>
        <v/>
      </c>
      <c r="L401" t="str">
        <f>IF(OR(HLOOKUP(L$2+$A401,Sheet2!CA:NE,$B401,0),HLOOKUP(L$2+$A401,Sheet2!CA:NE,$B401,0)&lt;&gt;""),HLOOKUP(L$2+$A401,Sheet2!CA:NE,$B401,0),"")</f>
        <v/>
      </c>
      <c r="M401" t="str">
        <f>IF(OR(HLOOKUP(M$2+$A401,Sheet2!CB:NF,$B401,0),HLOOKUP(M$2+$A401,Sheet2!CB:NF,$B401,0)&lt;&gt;""),HLOOKUP(M$2+$A401,Sheet2!CB:NF,$B401,0),"")</f>
        <v/>
      </c>
    </row>
    <row r="402" spans="1:13" x14ac:dyDescent="0.25">
      <c r="A402" s="68">
        <f t="shared" si="48"/>
        <v>30</v>
      </c>
      <c r="B402" s="68">
        <f t="shared" si="49"/>
        <v>54</v>
      </c>
      <c r="C402" s="68">
        <f t="shared" si="51"/>
        <v>7</v>
      </c>
      <c r="D402" s="68">
        <f t="shared" si="50"/>
        <v>50</v>
      </c>
      <c r="E402" s="68">
        <f t="shared" si="47"/>
        <v>246</v>
      </c>
      <c r="F402" s="21" t="str">
        <f>VLOOKUP(D402,Sheet2!A:B,2)</f>
        <v>J20-0415</v>
      </c>
      <c r="G402" s="68" t="str">
        <f>VLOOKUP(F402,Sheet2!B:C,2,0)</f>
        <v>PROJECT: VSD BELT CONVEYOR</v>
      </c>
      <c r="H402" s="68" t="str">
        <f>HLOOKUP(I$2+$A402,Sheet2!BX:NB,2,0)</f>
        <v>1-15 April 21</v>
      </c>
      <c r="I402" t="str">
        <f>IF(OR(HLOOKUP(I$2+$A402,Sheet2!BX:NB,$B402,0),HLOOKUP(I$2+$A402,Sheet2!BX:NB,$B402,0)&lt;&gt;""),HLOOKUP(I$2+$A402,Sheet2!BX:NB,$B402,0),"")</f>
        <v/>
      </c>
      <c r="J402" t="str">
        <f>IF(OR(HLOOKUP(J$2+$A402,Sheet2!BY:NC,$B402,0),HLOOKUP(J$2+$A402,Sheet2!BY:NC,$B402,0)&lt;&gt;""),HLOOKUP(J$2+$A402,Sheet2!BY:NC,$B402,0),"")</f>
        <v/>
      </c>
      <c r="K402" t="str">
        <f>IF(OR(HLOOKUP(K$2+$A402,Sheet2!BZ:ND,$B402,0),HLOOKUP(K$2+$A402,Sheet2!BZ:ND,$B402,0)&lt;&gt;""),HLOOKUP(K$2+$A402,Sheet2!BZ:ND,$B402,0),"")</f>
        <v/>
      </c>
      <c r="L402" t="str">
        <f>IF(OR(HLOOKUP(L$2+$A402,Sheet2!CA:NE,$B402,0),HLOOKUP(L$2+$A402,Sheet2!CA:NE,$B402,0)&lt;&gt;""),HLOOKUP(L$2+$A402,Sheet2!CA:NE,$B402,0),"")</f>
        <v/>
      </c>
      <c r="M402" t="str">
        <f>IF(OR(HLOOKUP(M$2+$A402,Sheet2!CB:NF,$B402,0),HLOOKUP(M$2+$A402,Sheet2!CB:NF,$B402,0)&lt;&gt;""),HLOOKUP(M$2+$A402,Sheet2!CB:NF,$B402,0),"")</f>
        <v/>
      </c>
    </row>
    <row r="403" spans="1:13" x14ac:dyDescent="0.25">
      <c r="A403" s="68">
        <f t="shared" si="48"/>
        <v>35</v>
      </c>
      <c r="B403" s="68">
        <f t="shared" si="49"/>
        <v>54</v>
      </c>
      <c r="C403" s="68">
        <f t="shared" si="51"/>
        <v>8</v>
      </c>
      <c r="D403" s="68">
        <f t="shared" si="50"/>
        <v>50</v>
      </c>
      <c r="E403" s="68">
        <f t="shared" si="47"/>
        <v>246</v>
      </c>
      <c r="F403" s="21" t="str">
        <f>VLOOKUP(D403,Sheet2!A:B,2)</f>
        <v>J20-0415</v>
      </c>
      <c r="G403" s="68" t="str">
        <f>VLOOKUP(F403,Sheet2!B:C,2,0)</f>
        <v>PROJECT: VSD BELT CONVEYOR</v>
      </c>
      <c r="H403" s="68" t="str">
        <f>HLOOKUP(I$2+$A403,Sheet2!BX:NB,2,0)</f>
        <v>16-30 April 21</v>
      </c>
      <c r="I403" t="str">
        <f>IF(OR(HLOOKUP(I$2+$A403,Sheet2!BX:NB,$B403,0),HLOOKUP(I$2+$A403,Sheet2!BX:NB,$B403,0)&lt;&gt;""),HLOOKUP(I$2+$A403,Sheet2!BX:NB,$B403,0),"")</f>
        <v/>
      </c>
      <c r="J403" t="str">
        <f>IF(OR(HLOOKUP(J$2+$A403,Sheet2!BY:NC,$B403,0),HLOOKUP(J$2+$A403,Sheet2!BY:NC,$B403,0)&lt;&gt;""),HLOOKUP(J$2+$A403,Sheet2!BY:NC,$B403,0),"")</f>
        <v/>
      </c>
      <c r="K403" t="str">
        <f>IF(OR(HLOOKUP(K$2+$A403,Sheet2!BZ:ND,$B403,0),HLOOKUP(K$2+$A403,Sheet2!BZ:ND,$B403,0)&lt;&gt;""),HLOOKUP(K$2+$A403,Sheet2!BZ:ND,$B403,0),"")</f>
        <v/>
      </c>
      <c r="L403" t="str">
        <f>IF(OR(HLOOKUP(L$2+$A403,Sheet2!CA:NE,$B403,0),HLOOKUP(L$2+$A403,Sheet2!CA:NE,$B403,0)&lt;&gt;""),HLOOKUP(L$2+$A403,Sheet2!CA:NE,$B403,0),"")</f>
        <v/>
      </c>
      <c r="M403" t="str">
        <f>IF(OR(HLOOKUP(M$2+$A403,Sheet2!CB:NF,$B403,0),HLOOKUP(M$2+$A403,Sheet2!CB:NF,$B403,0)&lt;&gt;""),HLOOKUP(M$2+$A403,Sheet2!CB:NF,$B403,0),"")</f>
        <v/>
      </c>
    </row>
    <row r="404" spans="1:13" x14ac:dyDescent="0.25">
      <c r="A404" s="68">
        <f t="shared" si="48"/>
        <v>0</v>
      </c>
      <c r="B404" s="68">
        <f t="shared" si="49"/>
        <v>55</v>
      </c>
      <c r="C404" s="68">
        <f t="shared" si="51"/>
        <v>1</v>
      </c>
      <c r="D404" s="68">
        <f t="shared" si="50"/>
        <v>51</v>
      </c>
      <c r="E404" s="68">
        <f t="shared" si="47"/>
        <v>251</v>
      </c>
      <c r="F404" s="21" t="str">
        <f>VLOOKUP(D404,Sheet2!A:B,2)</f>
        <v>J20-0032</v>
      </c>
      <c r="G404" s="68" t="str">
        <f>VLOOKUP(F404,Sheet2!B:C,2,0)</f>
        <v xml:space="preserve">Heat Exchangers (2E-6203) and refrigerator </v>
      </c>
      <c r="H404" s="68" t="str">
        <f>HLOOKUP(I$2+$A404,Sheet2!BX:NB,2,0)</f>
        <v>1-15 Jan 21</v>
      </c>
      <c r="I404" t="str">
        <f>IF(OR(HLOOKUP(I$2+$A404,Sheet2!BX:NB,$B404,0),HLOOKUP(I$2+$A404,Sheet2!BX:NB,$B404,0)&lt;&gt;""),HLOOKUP(I$2+$A404,Sheet2!BX:NB,$B404,0),"")</f>
        <v/>
      </c>
      <c r="J404" t="str">
        <f>IF(OR(HLOOKUP(J$2+$A404,Sheet2!BY:NC,$B404,0),HLOOKUP(J$2+$A404,Sheet2!BY:NC,$B404,0)&lt;&gt;""),HLOOKUP(J$2+$A404,Sheet2!BY:NC,$B404,0),"")</f>
        <v/>
      </c>
      <c r="K404" t="str">
        <f>IF(OR(HLOOKUP(K$2+$A404,Sheet2!BZ:ND,$B404,0),HLOOKUP(K$2+$A404,Sheet2!BZ:ND,$B404,0)&lt;&gt;""),HLOOKUP(K$2+$A404,Sheet2!BZ:ND,$B404,0),"")</f>
        <v/>
      </c>
      <c r="L404" t="str">
        <f>IF(OR(HLOOKUP(L$2+$A404,Sheet2!CA:NE,$B404,0),HLOOKUP(L$2+$A404,Sheet2!CA:NE,$B404,0)&lt;&gt;""),HLOOKUP(L$2+$A404,Sheet2!CA:NE,$B404,0),"")</f>
        <v/>
      </c>
      <c r="M404" t="str">
        <f>IF(OR(HLOOKUP(M$2+$A404,Sheet2!CB:NF,$B404,0),HLOOKUP(M$2+$A404,Sheet2!CB:NF,$B404,0)&lt;&gt;""),HLOOKUP(M$2+$A404,Sheet2!CB:NF,$B404,0),"")</f>
        <v/>
      </c>
    </row>
    <row r="405" spans="1:13" x14ac:dyDescent="0.25">
      <c r="A405" s="68">
        <f t="shared" si="48"/>
        <v>5</v>
      </c>
      <c r="B405" s="68">
        <f t="shared" si="49"/>
        <v>55</v>
      </c>
      <c r="C405" s="68">
        <f t="shared" si="51"/>
        <v>2</v>
      </c>
      <c r="D405" s="68">
        <f t="shared" si="50"/>
        <v>51</v>
      </c>
      <c r="E405" s="68">
        <f t="shared" ref="E405:E468" si="52">IF(D405&lt;&gt;D404,E404+5,E404)</f>
        <v>251</v>
      </c>
      <c r="F405" s="21" t="str">
        <f>VLOOKUP(D405,Sheet2!A:B,2)</f>
        <v>J20-0032</v>
      </c>
      <c r="G405" s="68" t="str">
        <f>VLOOKUP(F405,Sheet2!B:C,2,0)</f>
        <v xml:space="preserve">Heat Exchangers (2E-6203) and refrigerator </v>
      </c>
      <c r="H405" s="68" t="str">
        <f>HLOOKUP(I$2+$A405,Sheet2!BX:NB,2,0)</f>
        <v>16-31 Jan 21</v>
      </c>
      <c r="I405" t="str">
        <f>IF(OR(HLOOKUP(I$2+$A405,Sheet2!BX:NB,$B405,0),HLOOKUP(I$2+$A405,Sheet2!BX:NB,$B405,0)&lt;&gt;""),HLOOKUP(I$2+$A405,Sheet2!BX:NB,$B405,0),"")</f>
        <v/>
      </c>
      <c r="J405" t="str">
        <f>IF(OR(HLOOKUP(J$2+$A405,Sheet2!BY:NC,$B405,0),HLOOKUP(J$2+$A405,Sheet2!BY:NC,$B405,0)&lt;&gt;""),HLOOKUP(J$2+$A405,Sheet2!BY:NC,$B405,0),"")</f>
        <v/>
      </c>
      <c r="K405" t="str">
        <f>IF(OR(HLOOKUP(K$2+$A405,Sheet2!BZ:ND,$B405,0),HLOOKUP(K$2+$A405,Sheet2!BZ:ND,$B405,0)&lt;&gt;""),HLOOKUP(K$2+$A405,Sheet2!BZ:ND,$B405,0),"")</f>
        <v/>
      </c>
      <c r="L405" t="str">
        <f>IF(OR(HLOOKUP(L$2+$A405,Sheet2!CA:NE,$B405,0),HLOOKUP(L$2+$A405,Sheet2!CA:NE,$B405,0)&lt;&gt;""),HLOOKUP(L$2+$A405,Sheet2!CA:NE,$B405,0),"")</f>
        <v/>
      </c>
      <c r="M405" t="str">
        <f>IF(OR(HLOOKUP(M$2+$A405,Sheet2!CB:NF,$B405,0),HLOOKUP(M$2+$A405,Sheet2!CB:NF,$B405,0)&lt;&gt;""),HLOOKUP(M$2+$A405,Sheet2!CB:NF,$B405,0),"")</f>
        <v/>
      </c>
    </row>
    <row r="406" spans="1:13" x14ac:dyDescent="0.25">
      <c r="A406" s="68">
        <f t="shared" si="48"/>
        <v>10</v>
      </c>
      <c r="B406" s="68">
        <f t="shared" si="49"/>
        <v>55</v>
      </c>
      <c r="C406" s="68">
        <f t="shared" si="51"/>
        <v>3</v>
      </c>
      <c r="D406" s="68">
        <f t="shared" si="50"/>
        <v>51</v>
      </c>
      <c r="E406" s="68">
        <f t="shared" si="52"/>
        <v>251</v>
      </c>
      <c r="F406" s="21" t="str">
        <f>VLOOKUP(D406,Sheet2!A:B,2)</f>
        <v>J20-0032</v>
      </c>
      <c r="G406" s="68" t="str">
        <f>VLOOKUP(F406,Sheet2!B:C,2,0)</f>
        <v xml:space="preserve">Heat Exchangers (2E-6203) and refrigerator </v>
      </c>
      <c r="H406" s="68" t="str">
        <f>HLOOKUP(I$2+$A406,Sheet2!BX:NB,2,0)</f>
        <v>1-15 Feb 21</v>
      </c>
      <c r="I406" t="str">
        <f>IF(OR(HLOOKUP(I$2+$A406,Sheet2!BX:NB,$B406,0),HLOOKUP(I$2+$A406,Sheet2!BX:NB,$B406,0)&lt;&gt;""),HLOOKUP(I$2+$A406,Sheet2!BX:NB,$B406,0),"")</f>
        <v/>
      </c>
      <c r="J406" t="str">
        <f>IF(OR(HLOOKUP(J$2+$A406,Sheet2!BY:NC,$B406,0),HLOOKUP(J$2+$A406,Sheet2!BY:NC,$B406,0)&lt;&gt;""),HLOOKUP(J$2+$A406,Sheet2!BY:NC,$B406,0),"")</f>
        <v/>
      </c>
      <c r="K406" t="str">
        <f>IF(OR(HLOOKUP(K$2+$A406,Sheet2!BZ:ND,$B406,0),HLOOKUP(K$2+$A406,Sheet2!BZ:ND,$B406,0)&lt;&gt;""),HLOOKUP(K$2+$A406,Sheet2!BZ:ND,$B406,0),"")</f>
        <v/>
      </c>
      <c r="L406" t="str">
        <f>IF(OR(HLOOKUP(L$2+$A406,Sheet2!CA:NE,$B406,0),HLOOKUP(L$2+$A406,Sheet2!CA:NE,$B406,0)&lt;&gt;""),HLOOKUP(L$2+$A406,Sheet2!CA:NE,$B406,0),"")</f>
        <v/>
      </c>
      <c r="M406" t="str">
        <f>IF(OR(HLOOKUP(M$2+$A406,Sheet2!CB:NF,$B406,0),HLOOKUP(M$2+$A406,Sheet2!CB:NF,$B406,0)&lt;&gt;""),HLOOKUP(M$2+$A406,Sheet2!CB:NF,$B406,0),"")</f>
        <v/>
      </c>
    </row>
    <row r="407" spans="1:13" x14ac:dyDescent="0.25">
      <c r="A407" s="68">
        <f t="shared" si="48"/>
        <v>15</v>
      </c>
      <c r="B407" s="68">
        <f t="shared" si="49"/>
        <v>55</v>
      </c>
      <c r="C407" s="68">
        <f t="shared" si="51"/>
        <v>4</v>
      </c>
      <c r="D407" s="68">
        <f t="shared" si="50"/>
        <v>51</v>
      </c>
      <c r="E407" s="68">
        <f t="shared" si="52"/>
        <v>251</v>
      </c>
      <c r="F407" s="21" t="str">
        <f>VLOOKUP(D407,Sheet2!A:B,2)</f>
        <v>J20-0032</v>
      </c>
      <c r="G407" s="68" t="str">
        <f>VLOOKUP(F407,Sheet2!B:C,2,0)</f>
        <v xml:space="preserve">Heat Exchangers (2E-6203) and refrigerator </v>
      </c>
      <c r="H407" s="68" t="str">
        <f>HLOOKUP(I$2+$A407,Sheet2!BX:NB,2,0)</f>
        <v>16-28 Feb 21</v>
      </c>
      <c r="I407" t="str">
        <f>IF(OR(HLOOKUP(I$2+$A407,Sheet2!BX:NB,$B407,0),HLOOKUP(I$2+$A407,Sheet2!BX:NB,$B407,0)&lt;&gt;""),HLOOKUP(I$2+$A407,Sheet2!BX:NB,$B407,0),"")</f>
        <v/>
      </c>
      <c r="J407" t="str">
        <f>IF(OR(HLOOKUP(J$2+$A407,Sheet2!BY:NC,$B407,0),HLOOKUP(J$2+$A407,Sheet2!BY:NC,$B407,0)&lt;&gt;""),HLOOKUP(J$2+$A407,Sheet2!BY:NC,$B407,0),"")</f>
        <v/>
      </c>
      <c r="K407" t="str">
        <f>IF(OR(HLOOKUP(K$2+$A407,Sheet2!BZ:ND,$B407,0),HLOOKUP(K$2+$A407,Sheet2!BZ:ND,$B407,0)&lt;&gt;""),HLOOKUP(K$2+$A407,Sheet2!BZ:ND,$B407,0),"")</f>
        <v/>
      </c>
      <c r="L407" t="str">
        <f>IF(OR(HLOOKUP(L$2+$A407,Sheet2!CA:NE,$B407,0),HLOOKUP(L$2+$A407,Sheet2!CA:NE,$B407,0)&lt;&gt;""),HLOOKUP(L$2+$A407,Sheet2!CA:NE,$B407,0),"")</f>
        <v/>
      </c>
      <c r="M407" t="str">
        <f>IF(OR(HLOOKUP(M$2+$A407,Sheet2!CB:NF,$B407,0),HLOOKUP(M$2+$A407,Sheet2!CB:NF,$B407,0)&lt;&gt;""),HLOOKUP(M$2+$A407,Sheet2!CB:NF,$B407,0),"")</f>
        <v/>
      </c>
    </row>
    <row r="408" spans="1:13" x14ac:dyDescent="0.25">
      <c r="A408" s="68">
        <f t="shared" si="48"/>
        <v>20</v>
      </c>
      <c r="B408" s="68">
        <f t="shared" si="49"/>
        <v>55</v>
      </c>
      <c r="C408" s="68">
        <f t="shared" si="51"/>
        <v>5</v>
      </c>
      <c r="D408" s="68">
        <f t="shared" si="50"/>
        <v>51</v>
      </c>
      <c r="E408" s="68">
        <f t="shared" si="52"/>
        <v>251</v>
      </c>
      <c r="F408" s="21" t="str">
        <f>VLOOKUP(D408,Sheet2!A:B,2)</f>
        <v>J20-0032</v>
      </c>
      <c r="G408" s="68" t="str">
        <f>VLOOKUP(F408,Sheet2!B:C,2,0)</f>
        <v xml:space="preserve">Heat Exchangers (2E-6203) and refrigerator </v>
      </c>
      <c r="H408" s="68" t="str">
        <f>HLOOKUP(I$2+$A408,Sheet2!BX:NB,2,0)</f>
        <v>1-15 Mar 2021</v>
      </c>
      <c r="I408" t="str">
        <f>IF(OR(HLOOKUP(I$2+$A408,Sheet2!BX:NB,$B408,0),HLOOKUP(I$2+$A408,Sheet2!BX:NB,$B408,0)&lt;&gt;""),HLOOKUP(I$2+$A408,Sheet2!BX:NB,$B408,0),"")</f>
        <v/>
      </c>
      <c r="J408" t="str">
        <f>IF(OR(HLOOKUP(J$2+$A408,Sheet2!BY:NC,$B408,0),HLOOKUP(J$2+$A408,Sheet2!BY:NC,$B408,0)&lt;&gt;""),HLOOKUP(J$2+$A408,Sheet2!BY:NC,$B408,0),"")</f>
        <v/>
      </c>
      <c r="K408" t="str">
        <f>IF(OR(HLOOKUP(K$2+$A408,Sheet2!BZ:ND,$B408,0),HLOOKUP(K$2+$A408,Sheet2!BZ:ND,$B408,0)&lt;&gt;""),HLOOKUP(K$2+$A408,Sheet2!BZ:ND,$B408,0),"")</f>
        <v/>
      </c>
      <c r="L408" t="str">
        <f>IF(OR(HLOOKUP(L$2+$A408,Sheet2!CA:NE,$B408,0),HLOOKUP(L$2+$A408,Sheet2!CA:NE,$B408,0)&lt;&gt;""),HLOOKUP(L$2+$A408,Sheet2!CA:NE,$B408,0),"")</f>
        <v/>
      </c>
      <c r="M408" t="str">
        <f>IF(OR(HLOOKUP(M$2+$A408,Sheet2!CB:NF,$B408,0),HLOOKUP(M$2+$A408,Sheet2!CB:NF,$B408,0)&lt;&gt;""),HLOOKUP(M$2+$A408,Sheet2!CB:NF,$B408,0),"")</f>
        <v/>
      </c>
    </row>
    <row r="409" spans="1:13" x14ac:dyDescent="0.25">
      <c r="A409" s="68">
        <f t="shared" si="48"/>
        <v>25</v>
      </c>
      <c r="B409" s="68">
        <f t="shared" si="49"/>
        <v>55</v>
      </c>
      <c r="C409" s="68">
        <f t="shared" si="51"/>
        <v>6</v>
      </c>
      <c r="D409" s="68">
        <f t="shared" si="50"/>
        <v>51</v>
      </c>
      <c r="E409" s="68">
        <f t="shared" si="52"/>
        <v>251</v>
      </c>
      <c r="F409" s="21" t="str">
        <f>VLOOKUP(D409,Sheet2!A:B,2)</f>
        <v>J20-0032</v>
      </c>
      <c r="G409" s="68" t="str">
        <f>VLOOKUP(F409,Sheet2!B:C,2,0)</f>
        <v xml:space="preserve">Heat Exchangers (2E-6203) and refrigerator </v>
      </c>
      <c r="H409" s="68" t="str">
        <f>HLOOKUP(I$2+$A409,Sheet2!BX:NB,2,0)</f>
        <v>16-31 Mar 21</v>
      </c>
      <c r="I409" t="str">
        <f>IF(OR(HLOOKUP(I$2+$A409,Sheet2!BX:NB,$B409,0),HLOOKUP(I$2+$A409,Sheet2!BX:NB,$B409,0)&lt;&gt;""),HLOOKUP(I$2+$A409,Sheet2!BX:NB,$B409,0),"")</f>
        <v/>
      </c>
      <c r="J409" t="str">
        <f>IF(OR(HLOOKUP(J$2+$A409,Sheet2!BY:NC,$B409,0),HLOOKUP(J$2+$A409,Sheet2!BY:NC,$B409,0)&lt;&gt;""),HLOOKUP(J$2+$A409,Sheet2!BY:NC,$B409,0),"")</f>
        <v/>
      </c>
      <c r="K409" t="str">
        <f>IF(OR(HLOOKUP(K$2+$A409,Sheet2!BZ:ND,$B409,0),HLOOKUP(K$2+$A409,Sheet2!BZ:ND,$B409,0)&lt;&gt;""),HLOOKUP(K$2+$A409,Sheet2!BZ:ND,$B409,0),"")</f>
        <v/>
      </c>
      <c r="L409" t="str">
        <f>IF(OR(HLOOKUP(L$2+$A409,Sheet2!CA:NE,$B409,0),HLOOKUP(L$2+$A409,Sheet2!CA:NE,$B409,0)&lt;&gt;""),HLOOKUP(L$2+$A409,Sheet2!CA:NE,$B409,0),"")</f>
        <v/>
      </c>
      <c r="M409" t="str">
        <f>IF(OR(HLOOKUP(M$2+$A409,Sheet2!CB:NF,$B409,0),HLOOKUP(M$2+$A409,Sheet2!CB:NF,$B409,0)&lt;&gt;""),HLOOKUP(M$2+$A409,Sheet2!CB:NF,$B409,0),"")</f>
        <v/>
      </c>
    </row>
    <row r="410" spans="1:13" x14ac:dyDescent="0.25">
      <c r="A410" s="68">
        <f t="shared" si="48"/>
        <v>30</v>
      </c>
      <c r="B410" s="68">
        <f t="shared" si="49"/>
        <v>55</v>
      </c>
      <c r="C410" s="68">
        <f t="shared" si="51"/>
        <v>7</v>
      </c>
      <c r="D410" s="68">
        <f t="shared" si="50"/>
        <v>51</v>
      </c>
      <c r="E410" s="68">
        <f t="shared" si="52"/>
        <v>251</v>
      </c>
      <c r="F410" s="21" t="str">
        <f>VLOOKUP(D410,Sheet2!A:B,2)</f>
        <v>J20-0032</v>
      </c>
      <c r="G410" s="68" t="str">
        <f>VLOOKUP(F410,Sheet2!B:C,2,0)</f>
        <v xml:space="preserve">Heat Exchangers (2E-6203) and refrigerator </v>
      </c>
      <c r="H410" s="68" t="str">
        <f>HLOOKUP(I$2+$A410,Sheet2!BX:NB,2,0)</f>
        <v>1-15 April 21</v>
      </c>
      <c r="I410" t="str">
        <f>IF(OR(HLOOKUP(I$2+$A410,Sheet2!BX:NB,$B410,0),HLOOKUP(I$2+$A410,Sheet2!BX:NB,$B410,0)&lt;&gt;""),HLOOKUP(I$2+$A410,Sheet2!BX:NB,$B410,0),"")</f>
        <v/>
      </c>
      <c r="J410" t="str">
        <f>IF(OR(HLOOKUP(J$2+$A410,Sheet2!BY:NC,$B410,0),HLOOKUP(J$2+$A410,Sheet2!BY:NC,$B410,0)&lt;&gt;""),HLOOKUP(J$2+$A410,Sheet2!BY:NC,$B410,0),"")</f>
        <v/>
      </c>
      <c r="K410" t="str">
        <f>IF(OR(HLOOKUP(K$2+$A410,Sheet2!BZ:ND,$B410,0),HLOOKUP(K$2+$A410,Sheet2!BZ:ND,$B410,0)&lt;&gt;""),HLOOKUP(K$2+$A410,Sheet2!BZ:ND,$B410,0),"")</f>
        <v/>
      </c>
      <c r="L410" t="str">
        <f>IF(OR(HLOOKUP(L$2+$A410,Sheet2!CA:NE,$B410,0),HLOOKUP(L$2+$A410,Sheet2!CA:NE,$B410,0)&lt;&gt;""),HLOOKUP(L$2+$A410,Sheet2!CA:NE,$B410,0),"")</f>
        <v/>
      </c>
      <c r="M410" t="str">
        <f>IF(OR(HLOOKUP(M$2+$A410,Sheet2!CB:NF,$B410,0),HLOOKUP(M$2+$A410,Sheet2!CB:NF,$B410,0)&lt;&gt;""),HLOOKUP(M$2+$A410,Sheet2!CB:NF,$B410,0),"")</f>
        <v/>
      </c>
    </row>
    <row r="411" spans="1:13" x14ac:dyDescent="0.25">
      <c r="A411" s="68">
        <f t="shared" si="48"/>
        <v>35</v>
      </c>
      <c r="B411" s="68">
        <f t="shared" si="49"/>
        <v>55</v>
      </c>
      <c r="C411" s="68">
        <f t="shared" si="51"/>
        <v>8</v>
      </c>
      <c r="D411" s="68">
        <f t="shared" si="50"/>
        <v>51</v>
      </c>
      <c r="E411" s="68">
        <f t="shared" si="52"/>
        <v>251</v>
      </c>
      <c r="F411" s="21" t="str">
        <f>VLOOKUP(D411,Sheet2!A:B,2)</f>
        <v>J20-0032</v>
      </c>
      <c r="G411" s="68" t="str">
        <f>VLOOKUP(F411,Sheet2!B:C,2,0)</f>
        <v xml:space="preserve">Heat Exchangers (2E-6203) and refrigerator </v>
      </c>
      <c r="H411" s="68" t="str">
        <f>HLOOKUP(I$2+$A411,Sheet2!BX:NB,2,0)</f>
        <v>16-30 April 21</v>
      </c>
      <c r="I411" t="str">
        <f>IF(OR(HLOOKUP(I$2+$A411,Sheet2!BX:NB,$B411,0),HLOOKUP(I$2+$A411,Sheet2!BX:NB,$B411,0)&lt;&gt;""),HLOOKUP(I$2+$A411,Sheet2!BX:NB,$B411,0),"")</f>
        <v/>
      </c>
      <c r="J411" t="str">
        <f>IF(OR(HLOOKUP(J$2+$A411,Sheet2!BY:NC,$B411,0),HLOOKUP(J$2+$A411,Sheet2!BY:NC,$B411,0)&lt;&gt;""),HLOOKUP(J$2+$A411,Sheet2!BY:NC,$B411,0),"")</f>
        <v/>
      </c>
      <c r="K411" t="str">
        <f>IF(OR(HLOOKUP(K$2+$A411,Sheet2!BZ:ND,$B411,0),HLOOKUP(K$2+$A411,Sheet2!BZ:ND,$B411,0)&lt;&gt;""),HLOOKUP(K$2+$A411,Sheet2!BZ:ND,$B411,0),"")</f>
        <v/>
      </c>
      <c r="L411" t="str">
        <f>IF(OR(HLOOKUP(L$2+$A411,Sheet2!CA:NE,$B411,0),HLOOKUP(L$2+$A411,Sheet2!CA:NE,$B411,0)&lt;&gt;""),HLOOKUP(L$2+$A411,Sheet2!CA:NE,$B411,0),"")</f>
        <v/>
      </c>
      <c r="M411" t="str">
        <f>IF(OR(HLOOKUP(M$2+$A411,Sheet2!CB:NF,$B411,0),HLOOKUP(M$2+$A411,Sheet2!CB:NF,$B411,0)&lt;&gt;""),HLOOKUP(M$2+$A411,Sheet2!CB:NF,$B411,0),"")</f>
        <v/>
      </c>
    </row>
    <row r="412" spans="1:13" x14ac:dyDescent="0.25">
      <c r="A412" s="68">
        <f t="shared" si="48"/>
        <v>0</v>
      </c>
      <c r="B412" s="68">
        <f t="shared" si="49"/>
        <v>56</v>
      </c>
      <c r="C412" s="68">
        <f t="shared" si="51"/>
        <v>1</v>
      </c>
      <c r="D412" s="68">
        <f t="shared" si="50"/>
        <v>52</v>
      </c>
      <c r="E412" s="68">
        <f t="shared" si="52"/>
        <v>256</v>
      </c>
      <c r="F412" s="21" t="str">
        <f>VLOOKUP(D412,Sheet2!A:B,2)</f>
        <v>J20-0582</v>
      </c>
      <c r="G412" s="68" t="str">
        <f>VLOOKUP(F412,Sheet2!B:C,2,0)</f>
        <v>11 KV SWGR and PCM Room</v>
      </c>
      <c r="H412" s="68" t="str">
        <f>HLOOKUP(I$2+$A412,Sheet2!BX:NB,2,0)</f>
        <v>1-15 Jan 21</v>
      </c>
      <c r="I412" t="str">
        <f>IF(OR(HLOOKUP(I$2+$A412,Sheet2!BX:NB,$B412,0),HLOOKUP(I$2+$A412,Sheet2!BX:NB,$B412,0)&lt;&gt;""),HLOOKUP(I$2+$A412,Sheet2!BX:NB,$B412,0),"")</f>
        <v/>
      </c>
      <c r="J412" t="str">
        <f>IF(OR(HLOOKUP(J$2+$A412,Sheet2!BY:NC,$B412,0),HLOOKUP(J$2+$A412,Sheet2!BY:NC,$B412,0)&lt;&gt;""),HLOOKUP(J$2+$A412,Sheet2!BY:NC,$B412,0),"")</f>
        <v/>
      </c>
      <c r="K412" t="str">
        <f>IF(OR(HLOOKUP(K$2+$A412,Sheet2!BZ:ND,$B412,0),HLOOKUP(K$2+$A412,Sheet2!BZ:ND,$B412,0)&lt;&gt;""),HLOOKUP(K$2+$A412,Sheet2!BZ:ND,$B412,0),"")</f>
        <v/>
      </c>
      <c r="L412" t="str">
        <f>IF(OR(HLOOKUP(L$2+$A412,Sheet2!CA:NE,$B412,0),HLOOKUP(L$2+$A412,Sheet2!CA:NE,$B412,0)&lt;&gt;""),HLOOKUP(L$2+$A412,Sheet2!CA:NE,$B412,0),"")</f>
        <v/>
      </c>
      <c r="M412" t="str">
        <f>IF(OR(HLOOKUP(M$2+$A412,Sheet2!CB:NF,$B412,0),HLOOKUP(M$2+$A412,Sheet2!CB:NF,$B412,0)&lt;&gt;""),HLOOKUP(M$2+$A412,Sheet2!CB:NF,$B412,0),"")</f>
        <v/>
      </c>
    </row>
    <row r="413" spans="1:13" x14ac:dyDescent="0.25">
      <c r="A413" s="68">
        <f t="shared" si="48"/>
        <v>5</v>
      </c>
      <c r="B413" s="68">
        <f t="shared" si="49"/>
        <v>56</v>
      </c>
      <c r="C413" s="68">
        <f t="shared" si="51"/>
        <v>2</v>
      </c>
      <c r="D413" s="68">
        <f t="shared" si="50"/>
        <v>52</v>
      </c>
      <c r="E413" s="68">
        <f t="shared" si="52"/>
        <v>256</v>
      </c>
      <c r="F413" s="21" t="str">
        <f>VLOOKUP(D413,Sheet2!A:B,2)</f>
        <v>J20-0582</v>
      </c>
      <c r="G413" s="68" t="str">
        <f>VLOOKUP(F413,Sheet2!B:C,2,0)</f>
        <v>11 KV SWGR and PCM Room</v>
      </c>
      <c r="H413" s="68" t="str">
        <f>HLOOKUP(I$2+$A413,Sheet2!BX:NB,2,0)</f>
        <v>16-31 Jan 21</v>
      </c>
      <c r="I413" t="str">
        <f>IF(OR(HLOOKUP(I$2+$A413,Sheet2!BX:NB,$B413,0),HLOOKUP(I$2+$A413,Sheet2!BX:NB,$B413,0)&lt;&gt;""),HLOOKUP(I$2+$A413,Sheet2!BX:NB,$B413,0),"")</f>
        <v/>
      </c>
      <c r="J413" t="str">
        <f>IF(OR(HLOOKUP(J$2+$A413,Sheet2!BY:NC,$B413,0),HLOOKUP(J$2+$A413,Sheet2!BY:NC,$B413,0)&lt;&gt;""),HLOOKUP(J$2+$A413,Sheet2!BY:NC,$B413,0),"")</f>
        <v/>
      </c>
      <c r="K413" t="str">
        <f>IF(OR(HLOOKUP(K$2+$A413,Sheet2!BZ:ND,$B413,0),HLOOKUP(K$2+$A413,Sheet2!BZ:ND,$B413,0)&lt;&gt;""),HLOOKUP(K$2+$A413,Sheet2!BZ:ND,$B413,0),"")</f>
        <v/>
      </c>
      <c r="L413" t="str">
        <f>IF(OR(HLOOKUP(L$2+$A413,Sheet2!CA:NE,$B413,0),HLOOKUP(L$2+$A413,Sheet2!CA:NE,$B413,0)&lt;&gt;""),HLOOKUP(L$2+$A413,Sheet2!CA:NE,$B413,0),"")</f>
        <v/>
      </c>
      <c r="M413" t="str">
        <f>IF(OR(HLOOKUP(M$2+$A413,Sheet2!CB:NF,$B413,0),HLOOKUP(M$2+$A413,Sheet2!CB:NF,$B413,0)&lt;&gt;""),HLOOKUP(M$2+$A413,Sheet2!CB:NF,$B413,0),"")</f>
        <v/>
      </c>
    </row>
    <row r="414" spans="1:13" x14ac:dyDescent="0.25">
      <c r="A414" s="68">
        <f t="shared" si="48"/>
        <v>10</v>
      </c>
      <c r="B414" s="68">
        <f t="shared" si="49"/>
        <v>56</v>
      </c>
      <c r="C414" s="68">
        <f t="shared" si="51"/>
        <v>3</v>
      </c>
      <c r="D414" s="68">
        <f t="shared" si="50"/>
        <v>52</v>
      </c>
      <c r="E414" s="68">
        <f t="shared" si="52"/>
        <v>256</v>
      </c>
      <c r="F414" s="21" t="str">
        <f>VLOOKUP(D414,Sheet2!A:B,2)</f>
        <v>J20-0582</v>
      </c>
      <c r="G414" s="68" t="str">
        <f>VLOOKUP(F414,Sheet2!B:C,2,0)</f>
        <v>11 KV SWGR and PCM Room</v>
      </c>
      <c r="H414" s="68" t="str">
        <f>HLOOKUP(I$2+$A414,Sheet2!BX:NB,2,0)</f>
        <v>1-15 Feb 21</v>
      </c>
      <c r="I414" t="str">
        <f>IF(OR(HLOOKUP(I$2+$A414,Sheet2!BX:NB,$B414,0),HLOOKUP(I$2+$A414,Sheet2!BX:NB,$B414,0)&lt;&gt;""),HLOOKUP(I$2+$A414,Sheet2!BX:NB,$B414,0),"")</f>
        <v/>
      </c>
      <c r="J414" t="str">
        <f>IF(OR(HLOOKUP(J$2+$A414,Sheet2!BY:NC,$B414,0),HLOOKUP(J$2+$A414,Sheet2!BY:NC,$B414,0)&lt;&gt;""),HLOOKUP(J$2+$A414,Sheet2!BY:NC,$B414,0),"")</f>
        <v/>
      </c>
      <c r="K414" t="str">
        <f>IF(OR(HLOOKUP(K$2+$A414,Sheet2!BZ:ND,$B414,0),HLOOKUP(K$2+$A414,Sheet2!BZ:ND,$B414,0)&lt;&gt;""),HLOOKUP(K$2+$A414,Sheet2!BZ:ND,$B414,0),"")</f>
        <v/>
      </c>
      <c r="L414" t="str">
        <f>IF(OR(HLOOKUP(L$2+$A414,Sheet2!CA:NE,$B414,0),HLOOKUP(L$2+$A414,Sheet2!CA:NE,$B414,0)&lt;&gt;""),HLOOKUP(L$2+$A414,Sheet2!CA:NE,$B414,0),"")</f>
        <v/>
      </c>
      <c r="M414" t="str">
        <f>IF(OR(HLOOKUP(M$2+$A414,Sheet2!CB:NF,$B414,0),HLOOKUP(M$2+$A414,Sheet2!CB:NF,$B414,0)&lt;&gt;""),HLOOKUP(M$2+$A414,Sheet2!CB:NF,$B414,0),"")</f>
        <v/>
      </c>
    </row>
    <row r="415" spans="1:13" x14ac:dyDescent="0.25">
      <c r="A415" s="68">
        <f t="shared" si="48"/>
        <v>15</v>
      </c>
      <c r="B415" s="68">
        <f t="shared" si="49"/>
        <v>56</v>
      </c>
      <c r="C415" s="68">
        <f t="shared" si="51"/>
        <v>4</v>
      </c>
      <c r="D415" s="68">
        <f t="shared" si="50"/>
        <v>52</v>
      </c>
      <c r="E415" s="68">
        <f t="shared" si="52"/>
        <v>256</v>
      </c>
      <c r="F415" s="21" t="str">
        <f>VLOOKUP(D415,Sheet2!A:B,2)</f>
        <v>J20-0582</v>
      </c>
      <c r="G415" s="68" t="str">
        <f>VLOOKUP(F415,Sheet2!B:C,2,0)</f>
        <v>11 KV SWGR and PCM Room</v>
      </c>
      <c r="H415" s="68" t="str">
        <f>HLOOKUP(I$2+$A415,Sheet2!BX:NB,2,0)</f>
        <v>16-28 Feb 21</v>
      </c>
      <c r="I415" t="str">
        <f>IF(OR(HLOOKUP(I$2+$A415,Sheet2!BX:NB,$B415,0),HLOOKUP(I$2+$A415,Sheet2!BX:NB,$B415,0)&lt;&gt;""),HLOOKUP(I$2+$A415,Sheet2!BX:NB,$B415,0),"")</f>
        <v/>
      </c>
      <c r="J415" t="str">
        <f>IF(OR(HLOOKUP(J$2+$A415,Sheet2!BY:NC,$B415,0),HLOOKUP(J$2+$A415,Sheet2!BY:NC,$B415,0)&lt;&gt;""),HLOOKUP(J$2+$A415,Sheet2!BY:NC,$B415,0),"")</f>
        <v/>
      </c>
      <c r="K415" t="str">
        <f>IF(OR(HLOOKUP(K$2+$A415,Sheet2!BZ:ND,$B415,0),HLOOKUP(K$2+$A415,Sheet2!BZ:ND,$B415,0)&lt;&gt;""),HLOOKUP(K$2+$A415,Sheet2!BZ:ND,$B415,0),"")</f>
        <v/>
      </c>
      <c r="L415" t="str">
        <f>IF(OR(HLOOKUP(L$2+$A415,Sheet2!CA:NE,$B415,0),HLOOKUP(L$2+$A415,Sheet2!CA:NE,$B415,0)&lt;&gt;""),HLOOKUP(L$2+$A415,Sheet2!CA:NE,$B415,0),"")</f>
        <v/>
      </c>
      <c r="M415" t="str">
        <f>IF(OR(HLOOKUP(M$2+$A415,Sheet2!CB:NF,$B415,0),HLOOKUP(M$2+$A415,Sheet2!CB:NF,$B415,0)&lt;&gt;""),HLOOKUP(M$2+$A415,Sheet2!CB:NF,$B415,0),"")</f>
        <v/>
      </c>
    </row>
    <row r="416" spans="1:13" x14ac:dyDescent="0.25">
      <c r="A416" s="68">
        <f t="shared" si="48"/>
        <v>20</v>
      </c>
      <c r="B416" s="68">
        <f t="shared" si="49"/>
        <v>56</v>
      </c>
      <c r="C416" s="68">
        <f t="shared" si="51"/>
        <v>5</v>
      </c>
      <c r="D416" s="68">
        <f t="shared" si="50"/>
        <v>52</v>
      </c>
      <c r="E416" s="68">
        <f t="shared" si="52"/>
        <v>256</v>
      </c>
      <c r="F416" s="21" t="str">
        <f>VLOOKUP(D416,Sheet2!A:B,2)</f>
        <v>J20-0582</v>
      </c>
      <c r="G416" s="68" t="str">
        <f>VLOOKUP(F416,Sheet2!B:C,2,0)</f>
        <v>11 KV SWGR and PCM Room</v>
      </c>
      <c r="H416" s="68" t="str">
        <f>HLOOKUP(I$2+$A416,Sheet2!BX:NB,2,0)</f>
        <v>1-15 Mar 2021</v>
      </c>
      <c r="I416" t="str">
        <f>IF(OR(HLOOKUP(I$2+$A416,Sheet2!BX:NB,$B416,0),HLOOKUP(I$2+$A416,Sheet2!BX:NB,$B416,0)&lt;&gt;""),HLOOKUP(I$2+$A416,Sheet2!BX:NB,$B416,0),"")</f>
        <v/>
      </c>
      <c r="J416" t="str">
        <f>IF(OR(HLOOKUP(J$2+$A416,Sheet2!BY:NC,$B416,0),HLOOKUP(J$2+$A416,Sheet2!BY:NC,$B416,0)&lt;&gt;""),HLOOKUP(J$2+$A416,Sheet2!BY:NC,$B416,0),"")</f>
        <v/>
      </c>
      <c r="K416" t="str">
        <f>IF(OR(HLOOKUP(K$2+$A416,Sheet2!BZ:ND,$B416,0),HLOOKUP(K$2+$A416,Sheet2!BZ:ND,$B416,0)&lt;&gt;""),HLOOKUP(K$2+$A416,Sheet2!BZ:ND,$B416,0),"")</f>
        <v/>
      </c>
      <c r="L416" t="str">
        <f>IF(OR(HLOOKUP(L$2+$A416,Sheet2!CA:NE,$B416,0),HLOOKUP(L$2+$A416,Sheet2!CA:NE,$B416,0)&lt;&gt;""),HLOOKUP(L$2+$A416,Sheet2!CA:NE,$B416,0),"")</f>
        <v/>
      </c>
      <c r="M416" t="str">
        <f>IF(OR(HLOOKUP(M$2+$A416,Sheet2!CB:NF,$B416,0),HLOOKUP(M$2+$A416,Sheet2!CB:NF,$B416,0)&lt;&gt;""),HLOOKUP(M$2+$A416,Sheet2!CB:NF,$B416,0),"")</f>
        <v/>
      </c>
    </row>
    <row r="417" spans="1:13" x14ac:dyDescent="0.25">
      <c r="A417" s="68">
        <f t="shared" si="48"/>
        <v>25</v>
      </c>
      <c r="B417" s="68">
        <f t="shared" si="49"/>
        <v>56</v>
      </c>
      <c r="C417" s="68">
        <f t="shared" si="51"/>
        <v>6</v>
      </c>
      <c r="D417" s="68">
        <f t="shared" si="50"/>
        <v>52</v>
      </c>
      <c r="E417" s="68">
        <f t="shared" si="52"/>
        <v>256</v>
      </c>
      <c r="F417" s="21" t="str">
        <f>VLOOKUP(D417,Sheet2!A:B,2)</f>
        <v>J20-0582</v>
      </c>
      <c r="G417" s="68" t="str">
        <f>VLOOKUP(F417,Sheet2!B:C,2,0)</f>
        <v>11 KV SWGR and PCM Room</v>
      </c>
      <c r="H417" s="68" t="str">
        <f>HLOOKUP(I$2+$A417,Sheet2!BX:NB,2,0)</f>
        <v>16-31 Mar 21</v>
      </c>
      <c r="I417" t="str">
        <f>IF(OR(HLOOKUP(I$2+$A417,Sheet2!BX:NB,$B417,0),HLOOKUP(I$2+$A417,Sheet2!BX:NB,$B417,0)&lt;&gt;""),HLOOKUP(I$2+$A417,Sheet2!BX:NB,$B417,0),"")</f>
        <v/>
      </c>
      <c r="J417" t="str">
        <f>IF(OR(HLOOKUP(J$2+$A417,Sheet2!BY:NC,$B417,0),HLOOKUP(J$2+$A417,Sheet2!BY:NC,$B417,0)&lt;&gt;""),HLOOKUP(J$2+$A417,Sheet2!BY:NC,$B417,0),"")</f>
        <v/>
      </c>
      <c r="K417" t="str">
        <f>IF(OR(HLOOKUP(K$2+$A417,Sheet2!BZ:ND,$B417,0),HLOOKUP(K$2+$A417,Sheet2!BZ:ND,$B417,0)&lt;&gt;""),HLOOKUP(K$2+$A417,Sheet2!BZ:ND,$B417,0),"")</f>
        <v/>
      </c>
      <c r="L417" t="str">
        <f>IF(OR(HLOOKUP(L$2+$A417,Sheet2!CA:NE,$B417,0),HLOOKUP(L$2+$A417,Sheet2!CA:NE,$B417,0)&lt;&gt;""),HLOOKUP(L$2+$A417,Sheet2!CA:NE,$B417,0),"")</f>
        <v/>
      </c>
      <c r="M417" t="str">
        <f>IF(OR(HLOOKUP(M$2+$A417,Sheet2!CB:NF,$B417,0),HLOOKUP(M$2+$A417,Sheet2!CB:NF,$B417,0)&lt;&gt;""),HLOOKUP(M$2+$A417,Sheet2!CB:NF,$B417,0),"")</f>
        <v/>
      </c>
    </row>
    <row r="418" spans="1:13" x14ac:dyDescent="0.25">
      <c r="A418" s="68">
        <f t="shared" si="48"/>
        <v>30</v>
      </c>
      <c r="B418" s="68">
        <f t="shared" si="49"/>
        <v>56</v>
      </c>
      <c r="C418" s="68">
        <f t="shared" si="51"/>
        <v>7</v>
      </c>
      <c r="D418" s="68">
        <f t="shared" si="50"/>
        <v>52</v>
      </c>
      <c r="E418" s="68">
        <f t="shared" si="52"/>
        <v>256</v>
      </c>
      <c r="F418" s="21" t="str">
        <f>VLOOKUP(D418,Sheet2!A:B,2)</f>
        <v>J20-0582</v>
      </c>
      <c r="G418" s="68" t="str">
        <f>VLOOKUP(F418,Sheet2!B:C,2,0)</f>
        <v>11 KV SWGR and PCM Room</v>
      </c>
      <c r="H418" s="68" t="str">
        <f>HLOOKUP(I$2+$A418,Sheet2!BX:NB,2,0)</f>
        <v>1-15 April 21</v>
      </c>
      <c r="I418" t="str">
        <f>IF(OR(HLOOKUP(I$2+$A418,Sheet2!BX:NB,$B418,0),HLOOKUP(I$2+$A418,Sheet2!BX:NB,$B418,0)&lt;&gt;""),HLOOKUP(I$2+$A418,Sheet2!BX:NB,$B418,0),"")</f>
        <v/>
      </c>
      <c r="J418" t="str">
        <f>IF(OR(HLOOKUP(J$2+$A418,Sheet2!BY:NC,$B418,0),HLOOKUP(J$2+$A418,Sheet2!BY:NC,$B418,0)&lt;&gt;""),HLOOKUP(J$2+$A418,Sheet2!BY:NC,$B418,0),"")</f>
        <v/>
      </c>
      <c r="K418" t="str">
        <f>IF(OR(HLOOKUP(K$2+$A418,Sheet2!BZ:ND,$B418,0),HLOOKUP(K$2+$A418,Sheet2!BZ:ND,$B418,0)&lt;&gt;""),HLOOKUP(K$2+$A418,Sheet2!BZ:ND,$B418,0),"")</f>
        <v/>
      </c>
      <c r="L418" t="str">
        <f>IF(OR(HLOOKUP(L$2+$A418,Sheet2!CA:NE,$B418,0),HLOOKUP(L$2+$A418,Sheet2!CA:NE,$B418,0)&lt;&gt;""),HLOOKUP(L$2+$A418,Sheet2!CA:NE,$B418,0),"")</f>
        <v/>
      </c>
      <c r="M418" t="str">
        <f>IF(OR(HLOOKUP(M$2+$A418,Sheet2!CB:NF,$B418,0),HLOOKUP(M$2+$A418,Sheet2!CB:NF,$B418,0)&lt;&gt;""),HLOOKUP(M$2+$A418,Sheet2!CB:NF,$B418,0),"")</f>
        <v/>
      </c>
    </row>
    <row r="419" spans="1:13" x14ac:dyDescent="0.25">
      <c r="A419" s="68">
        <f t="shared" si="48"/>
        <v>35</v>
      </c>
      <c r="B419" s="68">
        <f t="shared" si="49"/>
        <v>56</v>
      </c>
      <c r="C419" s="68">
        <f t="shared" si="51"/>
        <v>8</v>
      </c>
      <c r="D419" s="68">
        <f t="shared" si="50"/>
        <v>52</v>
      </c>
      <c r="E419" s="68">
        <f t="shared" si="52"/>
        <v>256</v>
      </c>
      <c r="F419" s="21" t="str">
        <f>VLOOKUP(D419,Sheet2!A:B,2)</f>
        <v>J20-0582</v>
      </c>
      <c r="G419" s="68" t="str">
        <f>VLOOKUP(F419,Sheet2!B:C,2,0)</f>
        <v>11 KV SWGR and PCM Room</v>
      </c>
      <c r="H419" s="68" t="str">
        <f>HLOOKUP(I$2+$A419,Sheet2!BX:NB,2,0)</f>
        <v>16-30 April 21</v>
      </c>
      <c r="I419" t="str">
        <f>IF(OR(HLOOKUP(I$2+$A419,Sheet2!BX:NB,$B419,0),HLOOKUP(I$2+$A419,Sheet2!BX:NB,$B419,0)&lt;&gt;""),HLOOKUP(I$2+$A419,Sheet2!BX:NB,$B419,0),"")</f>
        <v/>
      </c>
      <c r="J419" t="str">
        <f>IF(OR(HLOOKUP(J$2+$A419,Sheet2!BY:NC,$B419,0),HLOOKUP(J$2+$A419,Sheet2!BY:NC,$B419,0)&lt;&gt;""),HLOOKUP(J$2+$A419,Sheet2!BY:NC,$B419,0),"")</f>
        <v/>
      </c>
      <c r="K419" t="str">
        <f>IF(OR(HLOOKUP(K$2+$A419,Sheet2!BZ:ND,$B419,0),HLOOKUP(K$2+$A419,Sheet2!BZ:ND,$B419,0)&lt;&gt;""),HLOOKUP(K$2+$A419,Sheet2!BZ:ND,$B419,0),"")</f>
        <v/>
      </c>
      <c r="L419" t="str">
        <f>IF(OR(HLOOKUP(L$2+$A419,Sheet2!CA:NE,$B419,0),HLOOKUP(L$2+$A419,Sheet2!CA:NE,$B419,0)&lt;&gt;""),HLOOKUP(L$2+$A419,Sheet2!CA:NE,$B419,0),"")</f>
        <v/>
      </c>
      <c r="M419" t="str">
        <f>IF(OR(HLOOKUP(M$2+$A419,Sheet2!CB:NF,$B419,0),HLOOKUP(M$2+$A419,Sheet2!CB:NF,$B419,0)&lt;&gt;""),HLOOKUP(M$2+$A419,Sheet2!CB:NF,$B419,0),"")</f>
        <v/>
      </c>
    </row>
    <row r="420" spans="1:13" x14ac:dyDescent="0.25">
      <c r="A420" s="68">
        <f t="shared" si="48"/>
        <v>0</v>
      </c>
      <c r="B420" s="68">
        <f t="shared" si="49"/>
        <v>57</v>
      </c>
      <c r="C420" s="68">
        <f t="shared" si="51"/>
        <v>1</v>
      </c>
      <c r="D420" s="68">
        <f t="shared" si="50"/>
        <v>53</v>
      </c>
      <c r="E420" s="68">
        <f t="shared" si="52"/>
        <v>261</v>
      </c>
      <c r="F420" s="21" t="str">
        <f>VLOOKUP(D420,Sheet2!A:B,2)</f>
        <v>J20-0407</v>
      </c>
      <c r="G420" s="68" t="str">
        <f>VLOOKUP(F420,Sheet2!B:C,2,0)</f>
        <v>Instrument Installation For Heat Source and Belt Dryer</v>
      </c>
      <c r="H420" s="68" t="str">
        <f>HLOOKUP(I$2+$A420,Sheet2!BX:NB,2,0)</f>
        <v>1-15 Jan 21</v>
      </c>
      <c r="I420" t="str">
        <f>IF(OR(HLOOKUP(I$2+$A420,Sheet2!BX:NB,$B420,0),HLOOKUP(I$2+$A420,Sheet2!BX:NB,$B420,0)&lt;&gt;""),HLOOKUP(I$2+$A420,Sheet2!BX:NB,$B420,0),"")</f>
        <v/>
      </c>
      <c r="J420" t="str">
        <f>IF(OR(HLOOKUP(J$2+$A420,Sheet2!BY:NC,$B420,0),HLOOKUP(J$2+$A420,Sheet2!BY:NC,$B420,0)&lt;&gt;""),HLOOKUP(J$2+$A420,Sheet2!BY:NC,$B420,0),"")</f>
        <v/>
      </c>
      <c r="K420" t="str">
        <f>IF(OR(HLOOKUP(K$2+$A420,Sheet2!BZ:ND,$B420,0),HLOOKUP(K$2+$A420,Sheet2!BZ:ND,$B420,0)&lt;&gt;""),HLOOKUP(K$2+$A420,Sheet2!BZ:ND,$B420,0),"")</f>
        <v/>
      </c>
      <c r="L420" t="str">
        <f>IF(OR(HLOOKUP(L$2+$A420,Sheet2!CA:NE,$B420,0),HLOOKUP(L$2+$A420,Sheet2!CA:NE,$B420,0)&lt;&gt;""),HLOOKUP(L$2+$A420,Sheet2!CA:NE,$B420,0),"")</f>
        <v/>
      </c>
      <c r="M420" t="str">
        <f>IF(OR(HLOOKUP(M$2+$A420,Sheet2!CB:NF,$B420,0),HLOOKUP(M$2+$A420,Sheet2!CB:NF,$B420,0)&lt;&gt;""),HLOOKUP(M$2+$A420,Sheet2!CB:NF,$B420,0),"")</f>
        <v/>
      </c>
    </row>
    <row r="421" spans="1:13" x14ac:dyDescent="0.25">
      <c r="A421" s="68">
        <f t="shared" si="48"/>
        <v>5</v>
      </c>
      <c r="B421" s="68">
        <f t="shared" si="49"/>
        <v>57</v>
      </c>
      <c r="C421" s="68">
        <f t="shared" si="51"/>
        <v>2</v>
      </c>
      <c r="D421" s="68">
        <f t="shared" si="50"/>
        <v>53</v>
      </c>
      <c r="E421" s="68">
        <f t="shared" si="52"/>
        <v>261</v>
      </c>
      <c r="F421" s="21" t="str">
        <f>VLOOKUP(D421,Sheet2!A:B,2)</f>
        <v>J20-0407</v>
      </c>
      <c r="G421" s="68" t="str">
        <f>VLOOKUP(F421,Sheet2!B:C,2,0)</f>
        <v>Instrument Installation For Heat Source and Belt Dryer</v>
      </c>
      <c r="H421" s="68" t="str">
        <f>HLOOKUP(I$2+$A421,Sheet2!BX:NB,2,0)</f>
        <v>16-31 Jan 21</v>
      </c>
      <c r="I421" t="str">
        <f>IF(OR(HLOOKUP(I$2+$A421,Sheet2!BX:NB,$B421,0),HLOOKUP(I$2+$A421,Sheet2!BX:NB,$B421,0)&lt;&gt;""),HLOOKUP(I$2+$A421,Sheet2!BX:NB,$B421,0),"")</f>
        <v/>
      </c>
      <c r="J421" t="str">
        <f>IF(OR(HLOOKUP(J$2+$A421,Sheet2!BY:NC,$B421,0),HLOOKUP(J$2+$A421,Sheet2!BY:NC,$B421,0)&lt;&gt;""),HLOOKUP(J$2+$A421,Sheet2!BY:NC,$B421,0),"")</f>
        <v/>
      </c>
      <c r="K421" t="str">
        <f>IF(OR(HLOOKUP(K$2+$A421,Sheet2!BZ:ND,$B421,0),HLOOKUP(K$2+$A421,Sheet2!BZ:ND,$B421,0)&lt;&gt;""),HLOOKUP(K$2+$A421,Sheet2!BZ:ND,$B421,0),"")</f>
        <v/>
      </c>
      <c r="L421" t="str">
        <f>IF(OR(HLOOKUP(L$2+$A421,Sheet2!CA:NE,$B421,0),HLOOKUP(L$2+$A421,Sheet2!CA:NE,$B421,0)&lt;&gt;""),HLOOKUP(L$2+$A421,Sheet2!CA:NE,$B421,0),"")</f>
        <v/>
      </c>
      <c r="M421" t="str">
        <f>IF(OR(HLOOKUP(M$2+$A421,Sheet2!CB:NF,$B421,0),HLOOKUP(M$2+$A421,Sheet2!CB:NF,$B421,0)&lt;&gt;""),HLOOKUP(M$2+$A421,Sheet2!CB:NF,$B421,0),"")</f>
        <v/>
      </c>
    </row>
    <row r="422" spans="1:13" x14ac:dyDescent="0.25">
      <c r="A422" s="68">
        <f t="shared" si="48"/>
        <v>10</v>
      </c>
      <c r="B422" s="68">
        <f t="shared" si="49"/>
        <v>57</v>
      </c>
      <c r="C422" s="68">
        <f t="shared" si="51"/>
        <v>3</v>
      </c>
      <c r="D422" s="68">
        <f t="shared" si="50"/>
        <v>53</v>
      </c>
      <c r="E422" s="68">
        <f t="shared" si="52"/>
        <v>261</v>
      </c>
      <c r="F422" s="21" t="str">
        <f>VLOOKUP(D422,Sheet2!A:B,2)</f>
        <v>J20-0407</v>
      </c>
      <c r="G422" s="68" t="str">
        <f>VLOOKUP(F422,Sheet2!B:C,2,0)</f>
        <v>Instrument Installation For Heat Source and Belt Dryer</v>
      </c>
      <c r="H422" s="68" t="str">
        <f>HLOOKUP(I$2+$A422,Sheet2!BX:NB,2,0)</f>
        <v>1-15 Feb 21</v>
      </c>
      <c r="I422" t="str">
        <f>IF(OR(HLOOKUP(I$2+$A422,Sheet2!BX:NB,$B422,0),HLOOKUP(I$2+$A422,Sheet2!BX:NB,$B422,0)&lt;&gt;""),HLOOKUP(I$2+$A422,Sheet2!BX:NB,$B422,0),"")</f>
        <v/>
      </c>
      <c r="J422" t="str">
        <f>IF(OR(HLOOKUP(J$2+$A422,Sheet2!BY:NC,$B422,0),HLOOKUP(J$2+$A422,Sheet2!BY:NC,$B422,0)&lt;&gt;""),HLOOKUP(J$2+$A422,Sheet2!BY:NC,$B422,0),"")</f>
        <v/>
      </c>
      <c r="K422" t="str">
        <f>IF(OR(HLOOKUP(K$2+$A422,Sheet2!BZ:ND,$B422,0),HLOOKUP(K$2+$A422,Sheet2!BZ:ND,$B422,0)&lt;&gt;""),HLOOKUP(K$2+$A422,Sheet2!BZ:ND,$B422,0),"")</f>
        <v/>
      </c>
      <c r="L422" t="str">
        <f>IF(OR(HLOOKUP(L$2+$A422,Sheet2!CA:NE,$B422,0),HLOOKUP(L$2+$A422,Sheet2!CA:NE,$B422,0)&lt;&gt;""),HLOOKUP(L$2+$A422,Sheet2!CA:NE,$B422,0),"")</f>
        <v/>
      </c>
      <c r="M422" t="str">
        <f>IF(OR(HLOOKUP(M$2+$A422,Sheet2!CB:NF,$B422,0),HLOOKUP(M$2+$A422,Sheet2!CB:NF,$B422,0)&lt;&gt;""),HLOOKUP(M$2+$A422,Sheet2!CB:NF,$B422,0),"")</f>
        <v/>
      </c>
    </row>
    <row r="423" spans="1:13" x14ac:dyDescent="0.25">
      <c r="A423" s="68">
        <f t="shared" si="48"/>
        <v>15</v>
      </c>
      <c r="B423" s="68">
        <f t="shared" si="49"/>
        <v>57</v>
      </c>
      <c r="C423" s="68">
        <f t="shared" si="51"/>
        <v>4</v>
      </c>
      <c r="D423" s="68">
        <f t="shared" si="50"/>
        <v>53</v>
      </c>
      <c r="E423" s="68">
        <f t="shared" si="52"/>
        <v>261</v>
      </c>
      <c r="F423" s="21" t="str">
        <f>VLOOKUP(D423,Sheet2!A:B,2)</f>
        <v>J20-0407</v>
      </c>
      <c r="G423" s="68" t="str">
        <f>VLOOKUP(F423,Sheet2!B:C,2,0)</f>
        <v>Instrument Installation For Heat Source and Belt Dryer</v>
      </c>
      <c r="H423" s="68" t="str">
        <f>HLOOKUP(I$2+$A423,Sheet2!BX:NB,2,0)</f>
        <v>16-28 Feb 21</v>
      </c>
      <c r="I423" t="str">
        <f>IF(OR(HLOOKUP(I$2+$A423,Sheet2!BX:NB,$B423,0),HLOOKUP(I$2+$A423,Sheet2!BX:NB,$B423,0)&lt;&gt;""),HLOOKUP(I$2+$A423,Sheet2!BX:NB,$B423,0),"")</f>
        <v/>
      </c>
      <c r="J423" t="str">
        <f>IF(OR(HLOOKUP(J$2+$A423,Sheet2!BY:NC,$B423,0),HLOOKUP(J$2+$A423,Sheet2!BY:NC,$B423,0)&lt;&gt;""),HLOOKUP(J$2+$A423,Sheet2!BY:NC,$B423,0),"")</f>
        <v/>
      </c>
      <c r="K423" t="str">
        <f>IF(OR(HLOOKUP(K$2+$A423,Sheet2!BZ:ND,$B423,0),HLOOKUP(K$2+$A423,Sheet2!BZ:ND,$B423,0)&lt;&gt;""),HLOOKUP(K$2+$A423,Sheet2!BZ:ND,$B423,0),"")</f>
        <v/>
      </c>
      <c r="L423" t="str">
        <f>IF(OR(HLOOKUP(L$2+$A423,Sheet2!CA:NE,$B423,0),HLOOKUP(L$2+$A423,Sheet2!CA:NE,$B423,0)&lt;&gt;""),HLOOKUP(L$2+$A423,Sheet2!CA:NE,$B423,0),"")</f>
        <v/>
      </c>
      <c r="M423" t="str">
        <f>IF(OR(HLOOKUP(M$2+$A423,Sheet2!CB:NF,$B423,0),HLOOKUP(M$2+$A423,Sheet2!CB:NF,$B423,0)&lt;&gt;""),HLOOKUP(M$2+$A423,Sheet2!CB:NF,$B423,0),"")</f>
        <v/>
      </c>
    </row>
    <row r="424" spans="1:13" x14ac:dyDescent="0.25">
      <c r="A424" s="68">
        <f t="shared" si="48"/>
        <v>20</v>
      </c>
      <c r="B424" s="68">
        <f t="shared" si="49"/>
        <v>57</v>
      </c>
      <c r="C424" s="68">
        <f t="shared" si="51"/>
        <v>5</v>
      </c>
      <c r="D424" s="68">
        <f t="shared" si="50"/>
        <v>53</v>
      </c>
      <c r="E424" s="68">
        <f t="shared" si="52"/>
        <v>261</v>
      </c>
      <c r="F424" s="21" t="str">
        <f>VLOOKUP(D424,Sheet2!A:B,2)</f>
        <v>J20-0407</v>
      </c>
      <c r="G424" s="68" t="str">
        <f>VLOOKUP(F424,Sheet2!B:C,2,0)</f>
        <v>Instrument Installation For Heat Source and Belt Dryer</v>
      </c>
      <c r="H424" s="68" t="str">
        <f>HLOOKUP(I$2+$A424,Sheet2!BX:NB,2,0)</f>
        <v>1-15 Mar 2021</v>
      </c>
      <c r="I424" t="str">
        <f>IF(OR(HLOOKUP(I$2+$A424,Sheet2!BX:NB,$B424,0),HLOOKUP(I$2+$A424,Sheet2!BX:NB,$B424,0)&lt;&gt;""),HLOOKUP(I$2+$A424,Sheet2!BX:NB,$B424,0),"")</f>
        <v/>
      </c>
      <c r="J424" t="str">
        <f>IF(OR(HLOOKUP(J$2+$A424,Sheet2!BY:NC,$B424,0),HLOOKUP(J$2+$A424,Sheet2!BY:NC,$B424,0)&lt;&gt;""),HLOOKUP(J$2+$A424,Sheet2!BY:NC,$B424,0),"")</f>
        <v/>
      </c>
      <c r="K424" t="str">
        <f>IF(OR(HLOOKUP(K$2+$A424,Sheet2!BZ:ND,$B424,0),HLOOKUP(K$2+$A424,Sheet2!BZ:ND,$B424,0)&lt;&gt;""),HLOOKUP(K$2+$A424,Sheet2!BZ:ND,$B424,0),"")</f>
        <v/>
      </c>
      <c r="L424" t="str">
        <f>IF(OR(HLOOKUP(L$2+$A424,Sheet2!CA:NE,$B424,0),HLOOKUP(L$2+$A424,Sheet2!CA:NE,$B424,0)&lt;&gt;""),HLOOKUP(L$2+$A424,Sheet2!CA:NE,$B424,0),"")</f>
        <v/>
      </c>
      <c r="M424" t="str">
        <f>IF(OR(HLOOKUP(M$2+$A424,Sheet2!CB:NF,$B424,0),HLOOKUP(M$2+$A424,Sheet2!CB:NF,$B424,0)&lt;&gt;""),HLOOKUP(M$2+$A424,Sheet2!CB:NF,$B424,0),"")</f>
        <v/>
      </c>
    </row>
    <row r="425" spans="1:13" x14ac:dyDescent="0.25">
      <c r="A425" s="68">
        <f t="shared" si="48"/>
        <v>25</v>
      </c>
      <c r="B425" s="68">
        <f t="shared" si="49"/>
        <v>57</v>
      </c>
      <c r="C425" s="68">
        <f t="shared" si="51"/>
        <v>6</v>
      </c>
      <c r="D425" s="68">
        <f t="shared" si="50"/>
        <v>53</v>
      </c>
      <c r="E425" s="68">
        <f t="shared" si="52"/>
        <v>261</v>
      </c>
      <c r="F425" s="21" t="str">
        <f>VLOOKUP(D425,Sheet2!A:B,2)</f>
        <v>J20-0407</v>
      </c>
      <c r="G425" s="68" t="str">
        <f>VLOOKUP(F425,Sheet2!B:C,2,0)</f>
        <v>Instrument Installation For Heat Source and Belt Dryer</v>
      </c>
      <c r="H425" s="68" t="str">
        <f>HLOOKUP(I$2+$A425,Sheet2!BX:NB,2,0)</f>
        <v>16-31 Mar 21</v>
      </c>
      <c r="I425" t="str">
        <f>IF(OR(HLOOKUP(I$2+$A425,Sheet2!BX:NB,$B425,0),HLOOKUP(I$2+$A425,Sheet2!BX:NB,$B425,0)&lt;&gt;""),HLOOKUP(I$2+$A425,Sheet2!BX:NB,$B425,0),"")</f>
        <v/>
      </c>
      <c r="J425" t="str">
        <f>IF(OR(HLOOKUP(J$2+$A425,Sheet2!BY:NC,$B425,0),HLOOKUP(J$2+$A425,Sheet2!BY:NC,$B425,0)&lt;&gt;""),HLOOKUP(J$2+$A425,Sheet2!BY:NC,$B425,0),"")</f>
        <v/>
      </c>
      <c r="K425" t="str">
        <f>IF(OR(HLOOKUP(K$2+$A425,Sheet2!BZ:ND,$B425,0),HLOOKUP(K$2+$A425,Sheet2!BZ:ND,$B425,0)&lt;&gt;""),HLOOKUP(K$2+$A425,Sheet2!BZ:ND,$B425,0),"")</f>
        <v/>
      </c>
      <c r="L425" t="str">
        <f>IF(OR(HLOOKUP(L$2+$A425,Sheet2!CA:NE,$B425,0),HLOOKUP(L$2+$A425,Sheet2!CA:NE,$B425,0)&lt;&gt;""),HLOOKUP(L$2+$A425,Sheet2!CA:NE,$B425,0),"")</f>
        <v/>
      </c>
      <c r="M425" t="str">
        <f>IF(OR(HLOOKUP(M$2+$A425,Sheet2!CB:NF,$B425,0),HLOOKUP(M$2+$A425,Sheet2!CB:NF,$B425,0)&lt;&gt;""),HLOOKUP(M$2+$A425,Sheet2!CB:NF,$B425,0),"")</f>
        <v/>
      </c>
    </row>
    <row r="426" spans="1:13" x14ac:dyDescent="0.25">
      <c r="A426" s="68">
        <f t="shared" si="48"/>
        <v>30</v>
      </c>
      <c r="B426" s="68">
        <f t="shared" si="49"/>
        <v>57</v>
      </c>
      <c r="C426" s="68">
        <f t="shared" si="51"/>
        <v>7</v>
      </c>
      <c r="D426" s="68">
        <f t="shared" si="50"/>
        <v>53</v>
      </c>
      <c r="E426" s="68">
        <f t="shared" si="52"/>
        <v>261</v>
      </c>
      <c r="F426" s="21" t="str">
        <f>VLOOKUP(D426,Sheet2!A:B,2)</f>
        <v>J20-0407</v>
      </c>
      <c r="G426" s="68" t="str">
        <f>VLOOKUP(F426,Sheet2!B:C,2,0)</f>
        <v>Instrument Installation For Heat Source and Belt Dryer</v>
      </c>
      <c r="H426" s="68" t="str">
        <f>HLOOKUP(I$2+$A426,Sheet2!BX:NB,2,0)</f>
        <v>1-15 April 21</v>
      </c>
      <c r="I426" t="str">
        <f>IF(OR(HLOOKUP(I$2+$A426,Sheet2!BX:NB,$B426,0),HLOOKUP(I$2+$A426,Sheet2!BX:NB,$B426,0)&lt;&gt;""),HLOOKUP(I$2+$A426,Sheet2!BX:NB,$B426,0),"")</f>
        <v/>
      </c>
      <c r="J426" t="str">
        <f>IF(OR(HLOOKUP(J$2+$A426,Sheet2!BY:NC,$B426,0),HLOOKUP(J$2+$A426,Sheet2!BY:NC,$B426,0)&lt;&gt;""),HLOOKUP(J$2+$A426,Sheet2!BY:NC,$B426,0),"")</f>
        <v/>
      </c>
      <c r="K426" t="str">
        <f>IF(OR(HLOOKUP(K$2+$A426,Sheet2!BZ:ND,$B426,0),HLOOKUP(K$2+$A426,Sheet2!BZ:ND,$B426,0)&lt;&gt;""),HLOOKUP(K$2+$A426,Sheet2!BZ:ND,$B426,0),"")</f>
        <v/>
      </c>
      <c r="L426" t="str">
        <f>IF(OR(HLOOKUP(L$2+$A426,Sheet2!CA:NE,$B426,0),HLOOKUP(L$2+$A426,Sheet2!CA:NE,$B426,0)&lt;&gt;""),HLOOKUP(L$2+$A426,Sheet2!CA:NE,$B426,0),"")</f>
        <v/>
      </c>
      <c r="M426" t="str">
        <f>IF(OR(HLOOKUP(M$2+$A426,Sheet2!CB:NF,$B426,0),HLOOKUP(M$2+$A426,Sheet2!CB:NF,$B426,0)&lt;&gt;""),HLOOKUP(M$2+$A426,Sheet2!CB:NF,$B426,0),"")</f>
        <v/>
      </c>
    </row>
    <row r="427" spans="1:13" x14ac:dyDescent="0.25">
      <c r="A427" s="68">
        <f t="shared" si="48"/>
        <v>35</v>
      </c>
      <c r="B427" s="68">
        <f t="shared" si="49"/>
        <v>57</v>
      </c>
      <c r="C427" s="68">
        <f t="shared" si="51"/>
        <v>8</v>
      </c>
      <c r="D427" s="68">
        <f t="shared" si="50"/>
        <v>53</v>
      </c>
      <c r="E427" s="68">
        <f t="shared" si="52"/>
        <v>261</v>
      </c>
      <c r="F427" s="21" t="str">
        <f>VLOOKUP(D427,Sheet2!A:B,2)</f>
        <v>J20-0407</v>
      </c>
      <c r="G427" s="68" t="str">
        <f>VLOOKUP(F427,Sheet2!B:C,2,0)</f>
        <v>Instrument Installation For Heat Source and Belt Dryer</v>
      </c>
      <c r="H427" s="68" t="str">
        <f>HLOOKUP(I$2+$A427,Sheet2!BX:NB,2,0)</f>
        <v>16-30 April 21</v>
      </c>
      <c r="I427" t="str">
        <f>IF(OR(HLOOKUP(I$2+$A427,Sheet2!BX:NB,$B427,0),HLOOKUP(I$2+$A427,Sheet2!BX:NB,$B427,0)&lt;&gt;""),HLOOKUP(I$2+$A427,Sheet2!BX:NB,$B427,0),"")</f>
        <v/>
      </c>
      <c r="J427" t="str">
        <f>IF(OR(HLOOKUP(J$2+$A427,Sheet2!BY:NC,$B427,0),HLOOKUP(J$2+$A427,Sheet2!BY:NC,$B427,0)&lt;&gt;""),HLOOKUP(J$2+$A427,Sheet2!BY:NC,$B427,0),"")</f>
        <v/>
      </c>
      <c r="K427" t="str">
        <f>IF(OR(HLOOKUP(K$2+$A427,Sheet2!BZ:ND,$B427,0),HLOOKUP(K$2+$A427,Sheet2!BZ:ND,$B427,0)&lt;&gt;""),HLOOKUP(K$2+$A427,Sheet2!BZ:ND,$B427,0),"")</f>
        <v/>
      </c>
      <c r="L427" t="str">
        <f>IF(OR(HLOOKUP(L$2+$A427,Sheet2!CA:NE,$B427,0),HLOOKUP(L$2+$A427,Sheet2!CA:NE,$B427,0)&lt;&gt;""),HLOOKUP(L$2+$A427,Sheet2!CA:NE,$B427,0),"")</f>
        <v/>
      </c>
      <c r="M427" t="str">
        <f>IF(OR(HLOOKUP(M$2+$A427,Sheet2!CB:NF,$B427,0),HLOOKUP(M$2+$A427,Sheet2!CB:NF,$B427,0)&lt;&gt;""),HLOOKUP(M$2+$A427,Sheet2!CB:NF,$B427,0),"")</f>
        <v/>
      </c>
    </row>
    <row r="428" spans="1:13" x14ac:dyDescent="0.25">
      <c r="A428" s="68">
        <f t="shared" si="48"/>
        <v>0</v>
      </c>
      <c r="B428" s="68">
        <f t="shared" si="49"/>
        <v>58</v>
      </c>
      <c r="C428" s="68">
        <f t="shared" si="51"/>
        <v>1</v>
      </c>
      <c r="D428" s="68">
        <f t="shared" si="50"/>
        <v>54</v>
      </c>
      <c r="E428" s="68">
        <f t="shared" si="52"/>
        <v>266</v>
      </c>
      <c r="F428" s="21" t="str">
        <f>VLOOKUP(D428,Sheet2!A:B,2)</f>
        <v>J20-0370</v>
      </c>
      <c r="G428" s="68" t="str">
        <f>VLOOKUP(F428,Sheet2!B:C,2,0)</f>
        <v>INSTALLATIONS VIBRATION SENSOR @SCG</v>
      </c>
      <c r="H428" s="68" t="str">
        <f>HLOOKUP(I$2+$A428,Sheet2!BX:NB,2,0)</f>
        <v>1-15 Jan 21</v>
      </c>
      <c r="I428" t="str">
        <f>IF(OR(HLOOKUP(I$2+$A428,Sheet2!BX:NB,$B428,0),HLOOKUP(I$2+$A428,Sheet2!BX:NB,$B428,0)&lt;&gt;""),HLOOKUP(I$2+$A428,Sheet2!BX:NB,$B428,0),"")</f>
        <v/>
      </c>
      <c r="J428" t="str">
        <f>IF(OR(HLOOKUP(J$2+$A428,Sheet2!BY:NC,$B428,0),HLOOKUP(J$2+$A428,Sheet2!BY:NC,$B428,0)&lt;&gt;""),HLOOKUP(J$2+$A428,Sheet2!BY:NC,$B428,0),"")</f>
        <v/>
      </c>
      <c r="K428" t="str">
        <f>IF(OR(HLOOKUP(K$2+$A428,Sheet2!BZ:ND,$B428,0),HLOOKUP(K$2+$A428,Sheet2!BZ:ND,$B428,0)&lt;&gt;""),HLOOKUP(K$2+$A428,Sheet2!BZ:ND,$B428,0),"")</f>
        <v/>
      </c>
      <c r="L428" t="str">
        <f>IF(OR(HLOOKUP(L$2+$A428,Sheet2!CA:NE,$B428,0),HLOOKUP(L$2+$A428,Sheet2!CA:NE,$B428,0)&lt;&gt;""),HLOOKUP(L$2+$A428,Sheet2!CA:NE,$B428,0),"")</f>
        <v/>
      </c>
      <c r="M428" t="str">
        <f>IF(OR(HLOOKUP(M$2+$A428,Sheet2!CB:NF,$B428,0),HLOOKUP(M$2+$A428,Sheet2!CB:NF,$B428,0)&lt;&gt;""),HLOOKUP(M$2+$A428,Sheet2!CB:NF,$B428,0),"")</f>
        <v/>
      </c>
    </row>
    <row r="429" spans="1:13" x14ac:dyDescent="0.25">
      <c r="A429" s="68">
        <f t="shared" si="48"/>
        <v>5</v>
      </c>
      <c r="B429" s="68">
        <f t="shared" si="49"/>
        <v>58</v>
      </c>
      <c r="C429" s="68">
        <f t="shared" si="51"/>
        <v>2</v>
      </c>
      <c r="D429" s="68">
        <f t="shared" si="50"/>
        <v>54</v>
      </c>
      <c r="E429" s="68">
        <f t="shared" si="52"/>
        <v>266</v>
      </c>
      <c r="F429" s="21" t="str">
        <f>VLOOKUP(D429,Sheet2!A:B,2)</f>
        <v>J20-0370</v>
      </c>
      <c r="G429" s="68" t="str">
        <f>VLOOKUP(F429,Sheet2!B:C,2,0)</f>
        <v>INSTALLATIONS VIBRATION SENSOR @SCG</v>
      </c>
      <c r="H429" s="68" t="str">
        <f>HLOOKUP(I$2+$A429,Sheet2!BX:NB,2,0)</f>
        <v>16-31 Jan 21</v>
      </c>
      <c r="I429" t="str">
        <f>IF(OR(HLOOKUP(I$2+$A429,Sheet2!BX:NB,$B429,0),HLOOKUP(I$2+$A429,Sheet2!BX:NB,$B429,0)&lt;&gt;""),HLOOKUP(I$2+$A429,Sheet2!BX:NB,$B429,0),"")</f>
        <v/>
      </c>
      <c r="J429" t="str">
        <f>IF(OR(HLOOKUP(J$2+$A429,Sheet2!BY:NC,$B429,0),HLOOKUP(J$2+$A429,Sheet2!BY:NC,$B429,0)&lt;&gt;""),HLOOKUP(J$2+$A429,Sheet2!BY:NC,$B429,0),"")</f>
        <v/>
      </c>
      <c r="K429" t="str">
        <f>IF(OR(HLOOKUP(K$2+$A429,Sheet2!BZ:ND,$B429,0),HLOOKUP(K$2+$A429,Sheet2!BZ:ND,$B429,0)&lt;&gt;""),HLOOKUP(K$2+$A429,Sheet2!BZ:ND,$B429,0),"")</f>
        <v/>
      </c>
      <c r="L429" t="str">
        <f>IF(OR(HLOOKUP(L$2+$A429,Sheet2!CA:NE,$B429,0),HLOOKUP(L$2+$A429,Sheet2!CA:NE,$B429,0)&lt;&gt;""),HLOOKUP(L$2+$A429,Sheet2!CA:NE,$B429,0),"")</f>
        <v/>
      </c>
      <c r="M429" t="str">
        <f>IF(OR(HLOOKUP(M$2+$A429,Sheet2!CB:NF,$B429,0),HLOOKUP(M$2+$A429,Sheet2!CB:NF,$B429,0)&lt;&gt;""),HLOOKUP(M$2+$A429,Sheet2!CB:NF,$B429,0),"")</f>
        <v/>
      </c>
    </row>
    <row r="430" spans="1:13" x14ac:dyDescent="0.25">
      <c r="A430" s="68">
        <f t="shared" si="48"/>
        <v>10</v>
      </c>
      <c r="B430" s="68">
        <f t="shared" si="49"/>
        <v>58</v>
      </c>
      <c r="C430" s="68">
        <f t="shared" si="51"/>
        <v>3</v>
      </c>
      <c r="D430" s="68">
        <f t="shared" si="50"/>
        <v>54</v>
      </c>
      <c r="E430" s="68">
        <f t="shared" si="52"/>
        <v>266</v>
      </c>
      <c r="F430" s="21" t="str">
        <f>VLOOKUP(D430,Sheet2!A:B,2)</f>
        <v>J20-0370</v>
      </c>
      <c r="G430" s="68" t="str">
        <f>VLOOKUP(F430,Sheet2!B:C,2,0)</f>
        <v>INSTALLATIONS VIBRATION SENSOR @SCG</v>
      </c>
      <c r="H430" s="68" t="str">
        <f>HLOOKUP(I$2+$A430,Sheet2!BX:NB,2,0)</f>
        <v>1-15 Feb 21</v>
      </c>
      <c r="I430" t="str">
        <f>IF(OR(HLOOKUP(I$2+$A430,Sheet2!BX:NB,$B430,0),HLOOKUP(I$2+$A430,Sheet2!BX:NB,$B430,0)&lt;&gt;""),HLOOKUP(I$2+$A430,Sheet2!BX:NB,$B430,0),"")</f>
        <v/>
      </c>
      <c r="J430" t="str">
        <f>IF(OR(HLOOKUP(J$2+$A430,Sheet2!BY:NC,$B430,0),HLOOKUP(J$2+$A430,Sheet2!BY:NC,$B430,0)&lt;&gt;""),HLOOKUP(J$2+$A430,Sheet2!BY:NC,$B430,0),"")</f>
        <v/>
      </c>
      <c r="K430" t="str">
        <f>IF(OR(HLOOKUP(K$2+$A430,Sheet2!BZ:ND,$B430,0),HLOOKUP(K$2+$A430,Sheet2!BZ:ND,$B430,0)&lt;&gt;""),HLOOKUP(K$2+$A430,Sheet2!BZ:ND,$B430,0),"")</f>
        <v/>
      </c>
      <c r="L430" t="str">
        <f>IF(OR(HLOOKUP(L$2+$A430,Sheet2!CA:NE,$B430,0),HLOOKUP(L$2+$A430,Sheet2!CA:NE,$B430,0)&lt;&gt;""),HLOOKUP(L$2+$A430,Sheet2!CA:NE,$B430,0),"")</f>
        <v/>
      </c>
      <c r="M430" t="str">
        <f>IF(OR(HLOOKUP(M$2+$A430,Sheet2!CB:NF,$B430,0),HLOOKUP(M$2+$A430,Sheet2!CB:NF,$B430,0)&lt;&gt;""),HLOOKUP(M$2+$A430,Sheet2!CB:NF,$B430,0),"")</f>
        <v/>
      </c>
    </row>
    <row r="431" spans="1:13" x14ac:dyDescent="0.25">
      <c r="A431" s="68">
        <f t="shared" si="48"/>
        <v>15</v>
      </c>
      <c r="B431" s="68">
        <f t="shared" si="49"/>
        <v>58</v>
      </c>
      <c r="C431" s="68">
        <f t="shared" si="51"/>
        <v>4</v>
      </c>
      <c r="D431" s="68">
        <f t="shared" si="50"/>
        <v>54</v>
      </c>
      <c r="E431" s="68">
        <f t="shared" si="52"/>
        <v>266</v>
      </c>
      <c r="F431" s="21" t="str">
        <f>VLOOKUP(D431,Sheet2!A:B,2)</f>
        <v>J20-0370</v>
      </c>
      <c r="G431" s="68" t="str">
        <f>VLOOKUP(F431,Sheet2!B:C,2,0)</f>
        <v>INSTALLATIONS VIBRATION SENSOR @SCG</v>
      </c>
      <c r="H431" s="68" t="str">
        <f>HLOOKUP(I$2+$A431,Sheet2!BX:NB,2,0)</f>
        <v>16-28 Feb 21</v>
      </c>
      <c r="I431" t="str">
        <f>IF(OR(HLOOKUP(I$2+$A431,Sheet2!BX:NB,$B431,0),HLOOKUP(I$2+$A431,Sheet2!BX:NB,$B431,0)&lt;&gt;""),HLOOKUP(I$2+$A431,Sheet2!BX:NB,$B431,0),"")</f>
        <v/>
      </c>
      <c r="J431" t="str">
        <f>IF(OR(HLOOKUP(J$2+$A431,Sheet2!BY:NC,$B431,0),HLOOKUP(J$2+$A431,Sheet2!BY:NC,$B431,0)&lt;&gt;""),HLOOKUP(J$2+$A431,Sheet2!BY:NC,$B431,0),"")</f>
        <v/>
      </c>
      <c r="K431" t="str">
        <f>IF(OR(HLOOKUP(K$2+$A431,Sheet2!BZ:ND,$B431,0),HLOOKUP(K$2+$A431,Sheet2!BZ:ND,$B431,0)&lt;&gt;""),HLOOKUP(K$2+$A431,Sheet2!BZ:ND,$B431,0),"")</f>
        <v/>
      </c>
      <c r="L431" t="str">
        <f>IF(OR(HLOOKUP(L$2+$A431,Sheet2!CA:NE,$B431,0),HLOOKUP(L$2+$A431,Sheet2!CA:NE,$B431,0)&lt;&gt;""),HLOOKUP(L$2+$A431,Sheet2!CA:NE,$B431,0),"")</f>
        <v/>
      </c>
      <c r="M431" t="str">
        <f>IF(OR(HLOOKUP(M$2+$A431,Sheet2!CB:NF,$B431,0),HLOOKUP(M$2+$A431,Sheet2!CB:NF,$B431,0)&lt;&gt;""),HLOOKUP(M$2+$A431,Sheet2!CB:NF,$B431,0),"")</f>
        <v/>
      </c>
    </row>
    <row r="432" spans="1:13" x14ac:dyDescent="0.25">
      <c r="A432" s="68">
        <f t="shared" si="48"/>
        <v>20</v>
      </c>
      <c r="B432" s="68">
        <f t="shared" si="49"/>
        <v>58</v>
      </c>
      <c r="C432" s="68">
        <f t="shared" si="51"/>
        <v>5</v>
      </c>
      <c r="D432" s="68">
        <f t="shared" si="50"/>
        <v>54</v>
      </c>
      <c r="E432" s="68">
        <f t="shared" si="52"/>
        <v>266</v>
      </c>
      <c r="F432" s="21" t="str">
        <f>VLOOKUP(D432,Sheet2!A:B,2)</f>
        <v>J20-0370</v>
      </c>
      <c r="G432" s="68" t="str">
        <f>VLOOKUP(F432,Sheet2!B:C,2,0)</f>
        <v>INSTALLATIONS VIBRATION SENSOR @SCG</v>
      </c>
      <c r="H432" s="68" t="str">
        <f>HLOOKUP(I$2+$A432,Sheet2!BX:NB,2,0)</f>
        <v>1-15 Mar 2021</v>
      </c>
      <c r="I432" t="str">
        <f>IF(OR(HLOOKUP(I$2+$A432,Sheet2!BX:NB,$B432,0),HLOOKUP(I$2+$A432,Sheet2!BX:NB,$B432,0)&lt;&gt;""),HLOOKUP(I$2+$A432,Sheet2!BX:NB,$B432,0),"")</f>
        <v/>
      </c>
      <c r="J432" t="str">
        <f>IF(OR(HLOOKUP(J$2+$A432,Sheet2!BY:NC,$B432,0),HLOOKUP(J$2+$A432,Sheet2!BY:NC,$B432,0)&lt;&gt;""),HLOOKUP(J$2+$A432,Sheet2!BY:NC,$B432,0),"")</f>
        <v/>
      </c>
      <c r="K432" t="str">
        <f>IF(OR(HLOOKUP(K$2+$A432,Sheet2!BZ:ND,$B432,0),HLOOKUP(K$2+$A432,Sheet2!BZ:ND,$B432,0)&lt;&gt;""),HLOOKUP(K$2+$A432,Sheet2!BZ:ND,$B432,0),"")</f>
        <v/>
      </c>
      <c r="L432" t="str">
        <f>IF(OR(HLOOKUP(L$2+$A432,Sheet2!CA:NE,$B432,0),HLOOKUP(L$2+$A432,Sheet2!CA:NE,$B432,0)&lt;&gt;""),HLOOKUP(L$2+$A432,Sheet2!CA:NE,$B432,0),"")</f>
        <v/>
      </c>
      <c r="M432" t="str">
        <f>IF(OR(HLOOKUP(M$2+$A432,Sheet2!CB:NF,$B432,0),HLOOKUP(M$2+$A432,Sheet2!CB:NF,$B432,0)&lt;&gt;""),HLOOKUP(M$2+$A432,Sheet2!CB:NF,$B432,0),"")</f>
        <v/>
      </c>
    </row>
    <row r="433" spans="1:13" x14ac:dyDescent="0.25">
      <c r="A433" s="68">
        <f t="shared" si="48"/>
        <v>25</v>
      </c>
      <c r="B433" s="68">
        <f t="shared" si="49"/>
        <v>58</v>
      </c>
      <c r="C433" s="68">
        <f t="shared" si="51"/>
        <v>6</v>
      </c>
      <c r="D433" s="68">
        <f t="shared" si="50"/>
        <v>54</v>
      </c>
      <c r="E433" s="68">
        <f t="shared" si="52"/>
        <v>266</v>
      </c>
      <c r="F433" s="21" t="str">
        <f>VLOOKUP(D433,Sheet2!A:B,2)</f>
        <v>J20-0370</v>
      </c>
      <c r="G433" s="68" t="str">
        <f>VLOOKUP(F433,Sheet2!B:C,2,0)</f>
        <v>INSTALLATIONS VIBRATION SENSOR @SCG</v>
      </c>
      <c r="H433" s="68" t="str">
        <f>HLOOKUP(I$2+$A433,Sheet2!BX:NB,2,0)</f>
        <v>16-31 Mar 21</v>
      </c>
      <c r="I433" t="str">
        <f>IF(OR(HLOOKUP(I$2+$A433,Sheet2!BX:NB,$B433,0),HLOOKUP(I$2+$A433,Sheet2!BX:NB,$B433,0)&lt;&gt;""),HLOOKUP(I$2+$A433,Sheet2!BX:NB,$B433,0),"")</f>
        <v/>
      </c>
      <c r="J433" t="str">
        <f>IF(OR(HLOOKUP(J$2+$A433,Sheet2!BY:NC,$B433,0),HLOOKUP(J$2+$A433,Sheet2!BY:NC,$B433,0)&lt;&gt;""),HLOOKUP(J$2+$A433,Sheet2!BY:NC,$B433,0),"")</f>
        <v/>
      </c>
      <c r="K433" t="str">
        <f>IF(OR(HLOOKUP(K$2+$A433,Sheet2!BZ:ND,$B433,0),HLOOKUP(K$2+$A433,Sheet2!BZ:ND,$B433,0)&lt;&gt;""),HLOOKUP(K$2+$A433,Sheet2!BZ:ND,$B433,0),"")</f>
        <v/>
      </c>
      <c r="L433" t="str">
        <f>IF(OR(HLOOKUP(L$2+$A433,Sheet2!CA:NE,$B433,0),HLOOKUP(L$2+$A433,Sheet2!CA:NE,$B433,0)&lt;&gt;""),HLOOKUP(L$2+$A433,Sheet2!CA:NE,$B433,0),"")</f>
        <v/>
      </c>
      <c r="M433" t="str">
        <f>IF(OR(HLOOKUP(M$2+$A433,Sheet2!CB:NF,$B433,0),HLOOKUP(M$2+$A433,Sheet2!CB:NF,$B433,0)&lt;&gt;""),HLOOKUP(M$2+$A433,Sheet2!CB:NF,$B433,0),"")</f>
        <v/>
      </c>
    </row>
    <row r="434" spans="1:13" x14ac:dyDescent="0.25">
      <c r="A434" s="68">
        <f t="shared" si="48"/>
        <v>30</v>
      </c>
      <c r="B434" s="68">
        <f t="shared" si="49"/>
        <v>58</v>
      </c>
      <c r="C434" s="68">
        <f t="shared" si="51"/>
        <v>7</v>
      </c>
      <c r="D434" s="68">
        <f t="shared" si="50"/>
        <v>54</v>
      </c>
      <c r="E434" s="68">
        <f t="shared" si="52"/>
        <v>266</v>
      </c>
      <c r="F434" s="21" t="str">
        <f>VLOOKUP(D434,Sheet2!A:B,2)</f>
        <v>J20-0370</v>
      </c>
      <c r="G434" s="68" t="str">
        <f>VLOOKUP(F434,Sheet2!B:C,2,0)</f>
        <v>INSTALLATIONS VIBRATION SENSOR @SCG</v>
      </c>
      <c r="H434" s="68" t="str">
        <f>HLOOKUP(I$2+$A434,Sheet2!BX:NB,2,0)</f>
        <v>1-15 April 21</v>
      </c>
      <c r="I434" t="str">
        <f>IF(OR(HLOOKUP(I$2+$A434,Sheet2!BX:NB,$B434,0),HLOOKUP(I$2+$A434,Sheet2!BX:NB,$B434,0)&lt;&gt;""),HLOOKUP(I$2+$A434,Sheet2!BX:NB,$B434,0),"")</f>
        <v/>
      </c>
      <c r="J434" t="str">
        <f>IF(OR(HLOOKUP(J$2+$A434,Sheet2!BY:NC,$B434,0),HLOOKUP(J$2+$A434,Sheet2!BY:NC,$B434,0)&lt;&gt;""),HLOOKUP(J$2+$A434,Sheet2!BY:NC,$B434,0),"")</f>
        <v/>
      </c>
      <c r="K434" t="str">
        <f>IF(OR(HLOOKUP(K$2+$A434,Sheet2!BZ:ND,$B434,0),HLOOKUP(K$2+$A434,Sheet2!BZ:ND,$B434,0)&lt;&gt;""),HLOOKUP(K$2+$A434,Sheet2!BZ:ND,$B434,0),"")</f>
        <v/>
      </c>
      <c r="L434" t="str">
        <f>IF(OR(HLOOKUP(L$2+$A434,Sheet2!CA:NE,$B434,0),HLOOKUP(L$2+$A434,Sheet2!CA:NE,$B434,0)&lt;&gt;""),HLOOKUP(L$2+$A434,Sheet2!CA:NE,$B434,0),"")</f>
        <v/>
      </c>
      <c r="M434" t="str">
        <f>IF(OR(HLOOKUP(M$2+$A434,Sheet2!CB:NF,$B434,0),HLOOKUP(M$2+$A434,Sheet2!CB:NF,$B434,0)&lt;&gt;""),HLOOKUP(M$2+$A434,Sheet2!CB:NF,$B434,0),"")</f>
        <v/>
      </c>
    </row>
    <row r="435" spans="1:13" x14ac:dyDescent="0.25">
      <c r="A435" s="68">
        <f t="shared" si="48"/>
        <v>35</v>
      </c>
      <c r="B435" s="68">
        <f t="shared" si="49"/>
        <v>58</v>
      </c>
      <c r="C435" s="68">
        <f t="shared" si="51"/>
        <v>8</v>
      </c>
      <c r="D435" s="68">
        <f t="shared" si="50"/>
        <v>54</v>
      </c>
      <c r="E435" s="68">
        <f t="shared" si="52"/>
        <v>266</v>
      </c>
      <c r="F435" s="21" t="str">
        <f>VLOOKUP(D435,Sheet2!A:B,2)</f>
        <v>J20-0370</v>
      </c>
      <c r="G435" s="68" t="str">
        <f>VLOOKUP(F435,Sheet2!B:C,2,0)</f>
        <v>INSTALLATIONS VIBRATION SENSOR @SCG</v>
      </c>
      <c r="H435" s="68" t="str">
        <f>HLOOKUP(I$2+$A435,Sheet2!BX:NB,2,0)</f>
        <v>16-30 April 21</v>
      </c>
      <c r="I435" t="str">
        <f>IF(OR(HLOOKUP(I$2+$A435,Sheet2!BX:NB,$B435,0),HLOOKUP(I$2+$A435,Sheet2!BX:NB,$B435,0)&lt;&gt;""),HLOOKUP(I$2+$A435,Sheet2!BX:NB,$B435,0),"")</f>
        <v/>
      </c>
      <c r="J435" t="str">
        <f>IF(OR(HLOOKUP(J$2+$A435,Sheet2!BY:NC,$B435,0),HLOOKUP(J$2+$A435,Sheet2!BY:NC,$B435,0)&lt;&gt;""),HLOOKUP(J$2+$A435,Sheet2!BY:NC,$B435,0),"")</f>
        <v/>
      </c>
      <c r="K435" t="str">
        <f>IF(OR(HLOOKUP(K$2+$A435,Sheet2!BZ:ND,$B435,0),HLOOKUP(K$2+$A435,Sheet2!BZ:ND,$B435,0)&lt;&gt;""),HLOOKUP(K$2+$A435,Sheet2!BZ:ND,$B435,0),"")</f>
        <v/>
      </c>
      <c r="L435" t="str">
        <f>IF(OR(HLOOKUP(L$2+$A435,Sheet2!CA:NE,$B435,0),HLOOKUP(L$2+$A435,Sheet2!CA:NE,$B435,0)&lt;&gt;""),HLOOKUP(L$2+$A435,Sheet2!CA:NE,$B435,0),"")</f>
        <v/>
      </c>
      <c r="M435" t="str">
        <f>IF(OR(HLOOKUP(M$2+$A435,Sheet2!CB:NF,$B435,0),HLOOKUP(M$2+$A435,Sheet2!CB:NF,$B435,0)&lt;&gt;""),HLOOKUP(M$2+$A435,Sheet2!CB:NF,$B435,0),"")</f>
        <v/>
      </c>
    </row>
    <row r="436" spans="1:13" x14ac:dyDescent="0.25">
      <c r="A436" s="68">
        <f t="shared" si="48"/>
        <v>0</v>
      </c>
      <c r="B436" s="68">
        <f t="shared" si="49"/>
        <v>59</v>
      </c>
      <c r="C436" s="68">
        <f t="shared" si="51"/>
        <v>1</v>
      </c>
      <c r="D436" s="68">
        <f t="shared" si="50"/>
        <v>55</v>
      </c>
      <c r="E436" s="68">
        <f t="shared" si="52"/>
        <v>271</v>
      </c>
      <c r="F436" s="21" t="str">
        <f>VLOOKUP(D436,Sheet2!A:B,2)</f>
        <v>J20-0156</v>
      </c>
      <c r="G436" s="68" t="str">
        <f>VLOOKUP(F436,Sheet2!B:C,2,0)</f>
        <v>INSTALLATION VIBRATION (P&amp;A)</v>
      </c>
      <c r="H436" s="68" t="str">
        <f>HLOOKUP(I$2+$A436,Sheet2!BX:NB,2,0)</f>
        <v>1-15 Jan 21</v>
      </c>
      <c r="I436" t="str">
        <f>IF(OR(HLOOKUP(I$2+$A436,Sheet2!BX:NB,$B436,0),HLOOKUP(I$2+$A436,Sheet2!BX:NB,$B436,0)&lt;&gt;""),HLOOKUP(I$2+$A436,Sheet2!BX:NB,$B436,0),"")</f>
        <v/>
      </c>
      <c r="J436" t="str">
        <f>IF(OR(HLOOKUP(J$2+$A436,Sheet2!BY:NC,$B436,0),HLOOKUP(J$2+$A436,Sheet2!BY:NC,$B436,0)&lt;&gt;""),HLOOKUP(J$2+$A436,Sheet2!BY:NC,$B436,0),"")</f>
        <v/>
      </c>
      <c r="K436" t="str">
        <f>IF(OR(HLOOKUP(K$2+$A436,Sheet2!BZ:ND,$B436,0),HLOOKUP(K$2+$A436,Sheet2!BZ:ND,$B436,0)&lt;&gt;""),HLOOKUP(K$2+$A436,Sheet2!BZ:ND,$B436,0),"")</f>
        <v/>
      </c>
      <c r="L436" t="str">
        <f>IF(OR(HLOOKUP(L$2+$A436,Sheet2!CA:NE,$B436,0),HLOOKUP(L$2+$A436,Sheet2!CA:NE,$B436,0)&lt;&gt;""),HLOOKUP(L$2+$A436,Sheet2!CA:NE,$B436,0),"")</f>
        <v/>
      </c>
      <c r="M436" t="str">
        <f>IF(OR(HLOOKUP(M$2+$A436,Sheet2!CB:NF,$B436,0),HLOOKUP(M$2+$A436,Sheet2!CB:NF,$B436,0)&lt;&gt;""),HLOOKUP(M$2+$A436,Sheet2!CB:NF,$B436,0),"")</f>
        <v/>
      </c>
    </row>
    <row r="437" spans="1:13" x14ac:dyDescent="0.25">
      <c r="A437" s="68">
        <f t="shared" si="48"/>
        <v>5</v>
      </c>
      <c r="B437" s="68">
        <f t="shared" si="49"/>
        <v>59</v>
      </c>
      <c r="C437" s="68">
        <f t="shared" si="51"/>
        <v>2</v>
      </c>
      <c r="D437" s="68">
        <f t="shared" si="50"/>
        <v>55</v>
      </c>
      <c r="E437" s="68">
        <f t="shared" si="52"/>
        <v>271</v>
      </c>
      <c r="F437" s="21" t="str">
        <f>VLOOKUP(D437,Sheet2!A:B,2)</f>
        <v>J20-0156</v>
      </c>
      <c r="G437" s="68" t="str">
        <f>VLOOKUP(F437,Sheet2!B:C,2,0)</f>
        <v>INSTALLATION VIBRATION (P&amp;A)</v>
      </c>
      <c r="H437" s="68" t="str">
        <f>HLOOKUP(I$2+$A437,Sheet2!BX:NB,2,0)</f>
        <v>16-31 Jan 21</v>
      </c>
      <c r="I437" t="str">
        <f>IF(OR(HLOOKUP(I$2+$A437,Sheet2!BX:NB,$B437,0),HLOOKUP(I$2+$A437,Sheet2!BX:NB,$B437,0)&lt;&gt;""),HLOOKUP(I$2+$A437,Sheet2!BX:NB,$B437,0),"")</f>
        <v/>
      </c>
      <c r="J437" t="str">
        <f>IF(OR(HLOOKUP(J$2+$A437,Sheet2!BY:NC,$B437,0),HLOOKUP(J$2+$A437,Sheet2!BY:NC,$B437,0)&lt;&gt;""),HLOOKUP(J$2+$A437,Sheet2!BY:NC,$B437,0),"")</f>
        <v/>
      </c>
      <c r="K437" t="str">
        <f>IF(OR(HLOOKUP(K$2+$A437,Sheet2!BZ:ND,$B437,0),HLOOKUP(K$2+$A437,Sheet2!BZ:ND,$B437,0)&lt;&gt;""),HLOOKUP(K$2+$A437,Sheet2!BZ:ND,$B437,0),"")</f>
        <v/>
      </c>
      <c r="L437" t="str">
        <f>IF(OR(HLOOKUP(L$2+$A437,Sheet2!CA:NE,$B437,0),HLOOKUP(L$2+$A437,Sheet2!CA:NE,$B437,0)&lt;&gt;""),HLOOKUP(L$2+$A437,Sheet2!CA:NE,$B437,0),"")</f>
        <v/>
      </c>
      <c r="M437" t="str">
        <f>IF(OR(HLOOKUP(M$2+$A437,Sheet2!CB:NF,$B437,0),HLOOKUP(M$2+$A437,Sheet2!CB:NF,$B437,0)&lt;&gt;""),HLOOKUP(M$2+$A437,Sheet2!CB:NF,$B437,0),"")</f>
        <v/>
      </c>
    </row>
    <row r="438" spans="1:13" x14ac:dyDescent="0.25">
      <c r="A438" s="68">
        <f t="shared" ref="A438:A501" si="53">IF(C438&lt;&gt;1,A437+5,0)</f>
        <v>10</v>
      </c>
      <c r="B438" s="68">
        <f t="shared" ref="B438:B501" si="54">IF(C438&lt;&gt;1,B437,B437+1)</f>
        <v>59</v>
      </c>
      <c r="C438" s="68">
        <f t="shared" si="51"/>
        <v>3</v>
      </c>
      <c r="D438" s="68">
        <f t="shared" ref="D438:D501" si="55">IF(C438=1,D437+1,D437)</f>
        <v>55</v>
      </c>
      <c r="E438" s="68">
        <f t="shared" si="52"/>
        <v>271</v>
      </c>
      <c r="F438" s="21" t="str">
        <f>VLOOKUP(D438,Sheet2!A:B,2)</f>
        <v>J20-0156</v>
      </c>
      <c r="G438" s="68" t="str">
        <f>VLOOKUP(F438,Sheet2!B:C,2,0)</f>
        <v>INSTALLATION VIBRATION (P&amp;A)</v>
      </c>
      <c r="H438" s="68" t="str">
        <f>HLOOKUP(I$2+$A438,Sheet2!BX:NB,2,0)</f>
        <v>1-15 Feb 21</v>
      </c>
      <c r="I438" t="str">
        <f>IF(OR(HLOOKUP(I$2+$A438,Sheet2!BX:NB,$B438,0),HLOOKUP(I$2+$A438,Sheet2!BX:NB,$B438,0)&lt;&gt;""),HLOOKUP(I$2+$A438,Sheet2!BX:NB,$B438,0),"")</f>
        <v/>
      </c>
      <c r="J438" t="str">
        <f>IF(OR(HLOOKUP(J$2+$A438,Sheet2!BY:NC,$B438,0),HLOOKUP(J$2+$A438,Sheet2!BY:NC,$B438,0)&lt;&gt;""),HLOOKUP(J$2+$A438,Sheet2!BY:NC,$B438,0),"")</f>
        <v/>
      </c>
      <c r="K438" t="str">
        <f>IF(OR(HLOOKUP(K$2+$A438,Sheet2!BZ:ND,$B438,0),HLOOKUP(K$2+$A438,Sheet2!BZ:ND,$B438,0)&lt;&gt;""),HLOOKUP(K$2+$A438,Sheet2!BZ:ND,$B438,0),"")</f>
        <v/>
      </c>
      <c r="L438" t="str">
        <f>IF(OR(HLOOKUP(L$2+$A438,Sheet2!CA:NE,$B438,0),HLOOKUP(L$2+$A438,Sheet2!CA:NE,$B438,0)&lt;&gt;""),HLOOKUP(L$2+$A438,Sheet2!CA:NE,$B438,0),"")</f>
        <v/>
      </c>
      <c r="M438" t="str">
        <f>IF(OR(HLOOKUP(M$2+$A438,Sheet2!CB:NF,$B438,0),HLOOKUP(M$2+$A438,Sheet2!CB:NF,$B438,0)&lt;&gt;""),HLOOKUP(M$2+$A438,Sheet2!CB:NF,$B438,0),"")</f>
        <v/>
      </c>
    </row>
    <row r="439" spans="1:13" x14ac:dyDescent="0.25">
      <c r="A439" s="68">
        <f t="shared" si="53"/>
        <v>15</v>
      </c>
      <c r="B439" s="68">
        <f t="shared" si="54"/>
        <v>59</v>
      </c>
      <c r="C439" s="68">
        <f t="shared" si="51"/>
        <v>4</v>
      </c>
      <c r="D439" s="68">
        <f t="shared" si="55"/>
        <v>55</v>
      </c>
      <c r="E439" s="68">
        <f t="shared" si="52"/>
        <v>271</v>
      </c>
      <c r="F439" s="21" t="str">
        <f>VLOOKUP(D439,Sheet2!A:B,2)</f>
        <v>J20-0156</v>
      </c>
      <c r="G439" s="68" t="str">
        <f>VLOOKUP(F439,Sheet2!B:C,2,0)</f>
        <v>INSTALLATION VIBRATION (P&amp;A)</v>
      </c>
      <c r="H439" s="68" t="str">
        <f>HLOOKUP(I$2+$A439,Sheet2!BX:NB,2,0)</f>
        <v>16-28 Feb 21</v>
      </c>
      <c r="I439" t="str">
        <f>IF(OR(HLOOKUP(I$2+$A439,Sheet2!BX:NB,$B439,0),HLOOKUP(I$2+$A439,Sheet2!BX:NB,$B439,0)&lt;&gt;""),HLOOKUP(I$2+$A439,Sheet2!BX:NB,$B439,0),"")</f>
        <v/>
      </c>
      <c r="J439" t="str">
        <f>IF(OR(HLOOKUP(J$2+$A439,Sheet2!BY:NC,$B439,0),HLOOKUP(J$2+$A439,Sheet2!BY:NC,$B439,0)&lt;&gt;""),HLOOKUP(J$2+$A439,Sheet2!BY:NC,$B439,0),"")</f>
        <v/>
      </c>
      <c r="K439" t="str">
        <f>IF(OR(HLOOKUP(K$2+$A439,Sheet2!BZ:ND,$B439,0),HLOOKUP(K$2+$A439,Sheet2!BZ:ND,$B439,0)&lt;&gt;""),HLOOKUP(K$2+$A439,Sheet2!BZ:ND,$B439,0),"")</f>
        <v/>
      </c>
      <c r="L439" t="str">
        <f>IF(OR(HLOOKUP(L$2+$A439,Sheet2!CA:NE,$B439,0),HLOOKUP(L$2+$A439,Sheet2!CA:NE,$B439,0)&lt;&gt;""),HLOOKUP(L$2+$A439,Sheet2!CA:NE,$B439,0),"")</f>
        <v/>
      </c>
      <c r="M439" t="str">
        <f>IF(OR(HLOOKUP(M$2+$A439,Sheet2!CB:NF,$B439,0),HLOOKUP(M$2+$A439,Sheet2!CB:NF,$B439,0)&lt;&gt;""),HLOOKUP(M$2+$A439,Sheet2!CB:NF,$B439,0),"")</f>
        <v/>
      </c>
    </row>
    <row r="440" spans="1:13" x14ac:dyDescent="0.25">
      <c r="A440" s="68">
        <f t="shared" si="53"/>
        <v>20</v>
      </c>
      <c r="B440" s="68">
        <f t="shared" si="54"/>
        <v>59</v>
      </c>
      <c r="C440" s="68">
        <f t="shared" si="51"/>
        <v>5</v>
      </c>
      <c r="D440" s="68">
        <f t="shared" si="55"/>
        <v>55</v>
      </c>
      <c r="E440" s="68">
        <f t="shared" si="52"/>
        <v>271</v>
      </c>
      <c r="F440" s="21" t="str">
        <f>VLOOKUP(D440,Sheet2!A:B,2)</f>
        <v>J20-0156</v>
      </c>
      <c r="G440" s="68" t="str">
        <f>VLOOKUP(F440,Sheet2!B:C,2,0)</f>
        <v>INSTALLATION VIBRATION (P&amp;A)</v>
      </c>
      <c r="H440" s="68" t="str">
        <f>HLOOKUP(I$2+$A440,Sheet2!BX:NB,2,0)</f>
        <v>1-15 Mar 2021</v>
      </c>
      <c r="I440" t="str">
        <f>IF(OR(HLOOKUP(I$2+$A440,Sheet2!BX:NB,$B440,0),HLOOKUP(I$2+$A440,Sheet2!BX:NB,$B440,0)&lt;&gt;""),HLOOKUP(I$2+$A440,Sheet2!BX:NB,$B440,0),"")</f>
        <v/>
      </c>
      <c r="J440" t="str">
        <f>IF(OR(HLOOKUP(J$2+$A440,Sheet2!BY:NC,$B440,0),HLOOKUP(J$2+$A440,Sheet2!BY:NC,$B440,0)&lt;&gt;""),HLOOKUP(J$2+$A440,Sheet2!BY:NC,$B440,0),"")</f>
        <v/>
      </c>
      <c r="K440" t="str">
        <f>IF(OR(HLOOKUP(K$2+$A440,Sheet2!BZ:ND,$B440,0),HLOOKUP(K$2+$A440,Sheet2!BZ:ND,$B440,0)&lt;&gt;""),HLOOKUP(K$2+$A440,Sheet2!BZ:ND,$B440,0),"")</f>
        <v/>
      </c>
      <c r="L440" t="str">
        <f>IF(OR(HLOOKUP(L$2+$A440,Sheet2!CA:NE,$B440,0),HLOOKUP(L$2+$A440,Sheet2!CA:NE,$B440,0)&lt;&gt;""),HLOOKUP(L$2+$A440,Sheet2!CA:NE,$B440,0),"")</f>
        <v/>
      </c>
      <c r="M440" t="str">
        <f>IF(OR(HLOOKUP(M$2+$A440,Sheet2!CB:NF,$B440,0),HLOOKUP(M$2+$A440,Sheet2!CB:NF,$B440,0)&lt;&gt;""),HLOOKUP(M$2+$A440,Sheet2!CB:NF,$B440,0),"")</f>
        <v/>
      </c>
    </row>
    <row r="441" spans="1:13" x14ac:dyDescent="0.25">
      <c r="A441" s="68">
        <f t="shared" si="53"/>
        <v>25</v>
      </c>
      <c r="B441" s="68">
        <f t="shared" si="54"/>
        <v>59</v>
      </c>
      <c r="C441" s="68">
        <f t="shared" si="51"/>
        <v>6</v>
      </c>
      <c r="D441" s="68">
        <f t="shared" si="55"/>
        <v>55</v>
      </c>
      <c r="E441" s="68">
        <f t="shared" si="52"/>
        <v>271</v>
      </c>
      <c r="F441" s="21" t="str">
        <f>VLOOKUP(D441,Sheet2!A:B,2)</f>
        <v>J20-0156</v>
      </c>
      <c r="G441" s="68" t="str">
        <f>VLOOKUP(F441,Sheet2!B:C,2,0)</f>
        <v>INSTALLATION VIBRATION (P&amp;A)</v>
      </c>
      <c r="H441" s="68" t="str">
        <f>HLOOKUP(I$2+$A441,Sheet2!BX:NB,2,0)</f>
        <v>16-31 Mar 21</v>
      </c>
      <c r="I441" t="str">
        <f>IF(OR(HLOOKUP(I$2+$A441,Sheet2!BX:NB,$B441,0),HLOOKUP(I$2+$A441,Sheet2!BX:NB,$B441,0)&lt;&gt;""),HLOOKUP(I$2+$A441,Sheet2!BX:NB,$B441,0),"")</f>
        <v/>
      </c>
      <c r="J441" t="str">
        <f>IF(OR(HLOOKUP(J$2+$A441,Sheet2!BY:NC,$B441,0),HLOOKUP(J$2+$A441,Sheet2!BY:NC,$B441,0)&lt;&gt;""),HLOOKUP(J$2+$A441,Sheet2!BY:NC,$B441,0),"")</f>
        <v/>
      </c>
      <c r="K441" t="str">
        <f>IF(OR(HLOOKUP(K$2+$A441,Sheet2!BZ:ND,$B441,0),HLOOKUP(K$2+$A441,Sheet2!BZ:ND,$B441,0)&lt;&gt;""),HLOOKUP(K$2+$A441,Sheet2!BZ:ND,$B441,0),"")</f>
        <v/>
      </c>
      <c r="L441" t="str">
        <f>IF(OR(HLOOKUP(L$2+$A441,Sheet2!CA:NE,$B441,0),HLOOKUP(L$2+$A441,Sheet2!CA:NE,$B441,0)&lt;&gt;""),HLOOKUP(L$2+$A441,Sheet2!CA:NE,$B441,0),"")</f>
        <v/>
      </c>
      <c r="M441" t="str">
        <f>IF(OR(HLOOKUP(M$2+$A441,Sheet2!CB:NF,$B441,0),HLOOKUP(M$2+$A441,Sheet2!CB:NF,$B441,0)&lt;&gt;""),HLOOKUP(M$2+$A441,Sheet2!CB:NF,$B441,0),"")</f>
        <v/>
      </c>
    </row>
    <row r="442" spans="1:13" x14ac:dyDescent="0.25">
      <c r="A442" s="68">
        <f t="shared" si="53"/>
        <v>30</v>
      </c>
      <c r="B442" s="68">
        <f t="shared" si="54"/>
        <v>59</v>
      </c>
      <c r="C442" s="68">
        <f t="shared" si="51"/>
        <v>7</v>
      </c>
      <c r="D442" s="68">
        <f t="shared" si="55"/>
        <v>55</v>
      </c>
      <c r="E442" s="68">
        <f t="shared" si="52"/>
        <v>271</v>
      </c>
      <c r="F442" s="21" t="str">
        <f>VLOOKUP(D442,Sheet2!A:B,2)</f>
        <v>J20-0156</v>
      </c>
      <c r="G442" s="68" t="str">
        <f>VLOOKUP(F442,Sheet2!B:C,2,0)</f>
        <v>INSTALLATION VIBRATION (P&amp;A)</v>
      </c>
      <c r="H442" s="68" t="str">
        <f>HLOOKUP(I$2+$A442,Sheet2!BX:NB,2,0)</f>
        <v>1-15 April 21</v>
      </c>
      <c r="I442" t="str">
        <f>IF(OR(HLOOKUP(I$2+$A442,Sheet2!BX:NB,$B442,0),HLOOKUP(I$2+$A442,Sheet2!BX:NB,$B442,0)&lt;&gt;""),HLOOKUP(I$2+$A442,Sheet2!BX:NB,$B442,0),"")</f>
        <v/>
      </c>
      <c r="J442" t="str">
        <f>IF(OR(HLOOKUP(J$2+$A442,Sheet2!BY:NC,$B442,0),HLOOKUP(J$2+$A442,Sheet2!BY:NC,$B442,0)&lt;&gt;""),HLOOKUP(J$2+$A442,Sheet2!BY:NC,$B442,0),"")</f>
        <v/>
      </c>
      <c r="K442" t="str">
        <f>IF(OR(HLOOKUP(K$2+$A442,Sheet2!BZ:ND,$B442,0),HLOOKUP(K$2+$A442,Sheet2!BZ:ND,$B442,0)&lt;&gt;""),HLOOKUP(K$2+$A442,Sheet2!BZ:ND,$B442,0),"")</f>
        <v/>
      </c>
      <c r="L442" t="str">
        <f>IF(OR(HLOOKUP(L$2+$A442,Sheet2!CA:NE,$B442,0),HLOOKUP(L$2+$A442,Sheet2!CA:NE,$B442,0)&lt;&gt;""),HLOOKUP(L$2+$A442,Sheet2!CA:NE,$B442,0),"")</f>
        <v/>
      </c>
      <c r="M442" t="str">
        <f>IF(OR(HLOOKUP(M$2+$A442,Sheet2!CB:NF,$B442,0),HLOOKUP(M$2+$A442,Sheet2!CB:NF,$B442,0)&lt;&gt;""),HLOOKUP(M$2+$A442,Sheet2!CB:NF,$B442,0),"")</f>
        <v/>
      </c>
    </row>
    <row r="443" spans="1:13" x14ac:dyDescent="0.25">
      <c r="A443" s="68">
        <f t="shared" si="53"/>
        <v>35</v>
      </c>
      <c r="B443" s="68">
        <f t="shared" si="54"/>
        <v>59</v>
      </c>
      <c r="C443" s="68">
        <f t="shared" si="51"/>
        <v>8</v>
      </c>
      <c r="D443" s="68">
        <f t="shared" si="55"/>
        <v>55</v>
      </c>
      <c r="E443" s="68">
        <f t="shared" si="52"/>
        <v>271</v>
      </c>
      <c r="F443" s="21" t="str">
        <f>VLOOKUP(D443,Sheet2!A:B,2)</f>
        <v>J20-0156</v>
      </c>
      <c r="G443" s="68" t="str">
        <f>VLOOKUP(F443,Sheet2!B:C,2,0)</f>
        <v>INSTALLATION VIBRATION (P&amp;A)</v>
      </c>
      <c r="H443" s="68" t="str">
        <f>HLOOKUP(I$2+$A443,Sheet2!BX:NB,2,0)</f>
        <v>16-30 April 21</v>
      </c>
      <c r="I443" t="str">
        <f>IF(OR(HLOOKUP(I$2+$A443,Sheet2!BX:NB,$B443,0),HLOOKUP(I$2+$A443,Sheet2!BX:NB,$B443,0)&lt;&gt;""),HLOOKUP(I$2+$A443,Sheet2!BX:NB,$B443,0),"")</f>
        <v/>
      </c>
      <c r="J443" t="str">
        <f>IF(OR(HLOOKUP(J$2+$A443,Sheet2!BY:NC,$B443,0),HLOOKUP(J$2+$A443,Sheet2!BY:NC,$B443,0)&lt;&gt;""),HLOOKUP(J$2+$A443,Sheet2!BY:NC,$B443,0),"")</f>
        <v/>
      </c>
      <c r="K443" t="str">
        <f>IF(OR(HLOOKUP(K$2+$A443,Sheet2!BZ:ND,$B443,0),HLOOKUP(K$2+$A443,Sheet2!BZ:ND,$B443,0)&lt;&gt;""),HLOOKUP(K$2+$A443,Sheet2!BZ:ND,$B443,0),"")</f>
        <v/>
      </c>
      <c r="L443" t="str">
        <f>IF(OR(HLOOKUP(L$2+$A443,Sheet2!CA:NE,$B443,0),HLOOKUP(L$2+$A443,Sheet2!CA:NE,$B443,0)&lt;&gt;""),HLOOKUP(L$2+$A443,Sheet2!CA:NE,$B443,0),"")</f>
        <v/>
      </c>
      <c r="M443" t="str">
        <f>IF(OR(HLOOKUP(M$2+$A443,Sheet2!CB:NF,$B443,0),HLOOKUP(M$2+$A443,Sheet2!CB:NF,$B443,0)&lt;&gt;""),HLOOKUP(M$2+$A443,Sheet2!CB:NF,$B443,0),"")</f>
        <v/>
      </c>
    </row>
    <row r="444" spans="1:13" x14ac:dyDescent="0.25">
      <c r="A444" s="68">
        <f t="shared" si="53"/>
        <v>0</v>
      </c>
      <c r="B444" s="68">
        <f t="shared" si="54"/>
        <v>60</v>
      </c>
      <c r="C444" s="68">
        <f t="shared" si="51"/>
        <v>1</v>
      </c>
      <c r="D444" s="68">
        <f t="shared" si="55"/>
        <v>56</v>
      </c>
      <c r="E444" s="68">
        <f t="shared" si="52"/>
        <v>276</v>
      </c>
      <c r="F444" s="21" t="str">
        <f>VLOOKUP(D444,Sheet2!A:B,2)</f>
        <v xml:space="preserve"> J19-0828</v>
      </c>
      <c r="G444" s="68" t="str">
        <f>VLOOKUP(F444,Sheet2!B:C,2,0)</f>
        <v>INSTALLATION VIBRATION FOR SENSOR(SAMUTPRAKARN)</v>
      </c>
      <c r="H444" s="68" t="str">
        <f>HLOOKUP(I$2+$A444,Sheet2!BX:NB,2,0)</f>
        <v>1-15 Jan 21</v>
      </c>
      <c r="I444" t="str">
        <f>IF(OR(HLOOKUP(I$2+$A444,Sheet2!BX:NB,$B444,0),HLOOKUP(I$2+$A444,Sheet2!BX:NB,$B444,0)&lt;&gt;""),HLOOKUP(I$2+$A444,Sheet2!BX:NB,$B444,0),"")</f>
        <v/>
      </c>
      <c r="J444" t="str">
        <f>IF(OR(HLOOKUP(J$2+$A444,Sheet2!BY:NC,$B444,0),HLOOKUP(J$2+$A444,Sheet2!BY:NC,$B444,0)&lt;&gt;""),HLOOKUP(J$2+$A444,Sheet2!BY:NC,$B444,0),"")</f>
        <v/>
      </c>
      <c r="K444" t="str">
        <f>IF(OR(HLOOKUP(K$2+$A444,Sheet2!BZ:ND,$B444,0),HLOOKUP(K$2+$A444,Sheet2!BZ:ND,$B444,0)&lt;&gt;""),HLOOKUP(K$2+$A444,Sheet2!BZ:ND,$B444,0),"")</f>
        <v/>
      </c>
      <c r="L444" t="str">
        <f>IF(OR(HLOOKUP(L$2+$A444,Sheet2!CA:NE,$B444,0),HLOOKUP(L$2+$A444,Sheet2!CA:NE,$B444,0)&lt;&gt;""),HLOOKUP(L$2+$A444,Sheet2!CA:NE,$B444,0),"")</f>
        <v/>
      </c>
      <c r="M444" t="str">
        <f>IF(OR(HLOOKUP(M$2+$A444,Sheet2!CB:NF,$B444,0),HLOOKUP(M$2+$A444,Sheet2!CB:NF,$B444,0)&lt;&gt;""),HLOOKUP(M$2+$A444,Sheet2!CB:NF,$B444,0),"")</f>
        <v/>
      </c>
    </row>
    <row r="445" spans="1:13" x14ac:dyDescent="0.25">
      <c r="A445" s="68">
        <f t="shared" si="53"/>
        <v>5</v>
      </c>
      <c r="B445" s="68">
        <f t="shared" si="54"/>
        <v>60</v>
      </c>
      <c r="C445" s="68">
        <f t="shared" si="51"/>
        <v>2</v>
      </c>
      <c r="D445" s="68">
        <f t="shared" si="55"/>
        <v>56</v>
      </c>
      <c r="E445" s="68">
        <f t="shared" si="52"/>
        <v>276</v>
      </c>
      <c r="F445" s="21" t="str">
        <f>VLOOKUP(D445,Sheet2!A:B,2)</f>
        <v xml:space="preserve"> J19-0828</v>
      </c>
      <c r="G445" s="68" t="str">
        <f>VLOOKUP(F445,Sheet2!B:C,2,0)</f>
        <v>INSTALLATION VIBRATION FOR SENSOR(SAMUTPRAKARN)</v>
      </c>
      <c r="H445" s="68" t="str">
        <f>HLOOKUP(I$2+$A445,Sheet2!BX:NB,2,0)</f>
        <v>16-31 Jan 21</v>
      </c>
      <c r="I445" t="str">
        <f>IF(OR(HLOOKUP(I$2+$A445,Sheet2!BX:NB,$B445,0),HLOOKUP(I$2+$A445,Sheet2!BX:NB,$B445,0)&lt;&gt;""),HLOOKUP(I$2+$A445,Sheet2!BX:NB,$B445,0),"")</f>
        <v/>
      </c>
      <c r="J445" t="str">
        <f>IF(OR(HLOOKUP(J$2+$A445,Sheet2!BY:NC,$B445,0),HLOOKUP(J$2+$A445,Sheet2!BY:NC,$B445,0)&lt;&gt;""),HLOOKUP(J$2+$A445,Sheet2!BY:NC,$B445,0),"")</f>
        <v/>
      </c>
      <c r="K445" t="str">
        <f>IF(OR(HLOOKUP(K$2+$A445,Sheet2!BZ:ND,$B445,0),HLOOKUP(K$2+$A445,Sheet2!BZ:ND,$B445,0)&lt;&gt;""),HLOOKUP(K$2+$A445,Sheet2!BZ:ND,$B445,0),"")</f>
        <v/>
      </c>
      <c r="L445" t="str">
        <f>IF(OR(HLOOKUP(L$2+$A445,Sheet2!CA:NE,$B445,0),HLOOKUP(L$2+$A445,Sheet2!CA:NE,$B445,0)&lt;&gt;""),HLOOKUP(L$2+$A445,Sheet2!CA:NE,$B445,0),"")</f>
        <v/>
      </c>
      <c r="M445" t="str">
        <f>IF(OR(HLOOKUP(M$2+$A445,Sheet2!CB:NF,$B445,0),HLOOKUP(M$2+$A445,Sheet2!CB:NF,$B445,0)&lt;&gt;""),HLOOKUP(M$2+$A445,Sheet2!CB:NF,$B445,0),"")</f>
        <v/>
      </c>
    </row>
    <row r="446" spans="1:13" x14ac:dyDescent="0.25">
      <c r="A446" s="68">
        <f t="shared" si="53"/>
        <v>10</v>
      </c>
      <c r="B446" s="68">
        <f t="shared" si="54"/>
        <v>60</v>
      </c>
      <c r="C446" s="68">
        <f t="shared" si="51"/>
        <v>3</v>
      </c>
      <c r="D446" s="68">
        <f t="shared" si="55"/>
        <v>56</v>
      </c>
      <c r="E446" s="68">
        <f t="shared" si="52"/>
        <v>276</v>
      </c>
      <c r="F446" s="21" t="str">
        <f>VLOOKUP(D446,Sheet2!A:B,2)</f>
        <v xml:space="preserve"> J19-0828</v>
      </c>
      <c r="G446" s="68" t="str">
        <f>VLOOKUP(F446,Sheet2!B:C,2,0)</f>
        <v>INSTALLATION VIBRATION FOR SENSOR(SAMUTPRAKARN)</v>
      </c>
      <c r="H446" s="68" t="str">
        <f>HLOOKUP(I$2+$A446,Sheet2!BX:NB,2,0)</f>
        <v>1-15 Feb 21</v>
      </c>
      <c r="I446" t="str">
        <f>IF(OR(HLOOKUP(I$2+$A446,Sheet2!BX:NB,$B446,0),HLOOKUP(I$2+$A446,Sheet2!BX:NB,$B446,0)&lt;&gt;""),HLOOKUP(I$2+$A446,Sheet2!BX:NB,$B446,0),"")</f>
        <v/>
      </c>
      <c r="J446" t="str">
        <f>IF(OR(HLOOKUP(J$2+$A446,Sheet2!BY:NC,$B446,0),HLOOKUP(J$2+$A446,Sheet2!BY:NC,$B446,0)&lt;&gt;""),HLOOKUP(J$2+$A446,Sheet2!BY:NC,$B446,0),"")</f>
        <v/>
      </c>
      <c r="K446" t="str">
        <f>IF(OR(HLOOKUP(K$2+$A446,Sheet2!BZ:ND,$B446,0),HLOOKUP(K$2+$A446,Sheet2!BZ:ND,$B446,0)&lt;&gt;""),HLOOKUP(K$2+$A446,Sheet2!BZ:ND,$B446,0),"")</f>
        <v/>
      </c>
      <c r="L446" t="str">
        <f>IF(OR(HLOOKUP(L$2+$A446,Sheet2!CA:NE,$B446,0),HLOOKUP(L$2+$A446,Sheet2!CA:NE,$B446,0)&lt;&gt;""),HLOOKUP(L$2+$A446,Sheet2!CA:NE,$B446,0),"")</f>
        <v/>
      </c>
      <c r="M446" t="str">
        <f>IF(OR(HLOOKUP(M$2+$A446,Sheet2!CB:NF,$B446,0),HLOOKUP(M$2+$A446,Sheet2!CB:NF,$B446,0)&lt;&gt;""),HLOOKUP(M$2+$A446,Sheet2!CB:NF,$B446,0),"")</f>
        <v/>
      </c>
    </row>
    <row r="447" spans="1:13" x14ac:dyDescent="0.25">
      <c r="A447" s="68">
        <f t="shared" si="53"/>
        <v>15</v>
      </c>
      <c r="B447" s="68">
        <f t="shared" si="54"/>
        <v>60</v>
      </c>
      <c r="C447" s="68">
        <f t="shared" si="51"/>
        <v>4</v>
      </c>
      <c r="D447" s="68">
        <f t="shared" si="55"/>
        <v>56</v>
      </c>
      <c r="E447" s="68">
        <f t="shared" si="52"/>
        <v>276</v>
      </c>
      <c r="F447" s="21" t="str">
        <f>VLOOKUP(D447,Sheet2!A:B,2)</f>
        <v xml:space="preserve"> J19-0828</v>
      </c>
      <c r="G447" s="68" t="str">
        <f>VLOOKUP(F447,Sheet2!B:C,2,0)</f>
        <v>INSTALLATION VIBRATION FOR SENSOR(SAMUTPRAKARN)</v>
      </c>
      <c r="H447" s="68" t="str">
        <f>HLOOKUP(I$2+$A447,Sheet2!BX:NB,2,0)</f>
        <v>16-28 Feb 21</v>
      </c>
      <c r="I447" t="str">
        <f>IF(OR(HLOOKUP(I$2+$A447,Sheet2!BX:NB,$B447,0),HLOOKUP(I$2+$A447,Sheet2!BX:NB,$B447,0)&lt;&gt;""),HLOOKUP(I$2+$A447,Sheet2!BX:NB,$B447,0),"")</f>
        <v/>
      </c>
      <c r="J447" t="str">
        <f>IF(OR(HLOOKUP(J$2+$A447,Sheet2!BY:NC,$B447,0),HLOOKUP(J$2+$A447,Sheet2!BY:NC,$B447,0)&lt;&gt;""),HLOOKUP(J$2+$A447,Sheet2!BY:NC,$B447,0),"")</f>
        <v/>
      </c>
      <c r="K447" t="str">
        <f>IF(OR(HLOOKUP(K$2+$A447,Sheet2!BZ:ND,$B447,0),HLOOKUP(K$2+$A447,Sheet2!BZ:ND,$B447,0)&lt;&gt;""),HLOOKUP(K$2+$A447,Sheet2!BZ:ND,$B447,0),"")</f>
        <v/>
      </c>
      <c r="L447" t="str">
        <f>IF(OR(HLOOKUP(L$2+$A447,Sheet2!CA:NE,$B447,0),HLOOKUP(L$2+$A447,Sheet2!CA:NE,$B447,0)&lt;&gt;""),HLOOKUP(L$2+$A447,Sheet2!CA:NE,$B447,0),"")</f>
        <v/>
      </c>
      <c r="M447" t="str">
        <f>IF(OR(HLOOKUP(M$2+$A447,Sheet2!CB:NF,$B447,0),HLOOKUP(M$2+$A447,Sheet2!CB:NF,$B447,0)&lt;&gt;""),HLOOKUP(M$2+$A447,Sheet2!CB:NF,$B447,0),"")</f>
        <v/>
      </c>
    </row>
    <row r="448" spans="1:13" x14ac:dyDescent="0.25">
      <c r="A448" s="68">
        <f t="shared" si="53"/>
        <v>20</v>
      </c>
      <c r="B448" s="68">
        <f t="shared" si="54"/>
        <v>60</v>
      </c>
      <c r="C448" s="68">
        <f t="shared" si="51"/>
        <v>5</v>
      </c>
      <c r="D448" s="68">
        <f t="shared" si="55"/>
        <v>56</v>
      </c>
      <c r="E448" s="68">
        <f t="shared" si="52"/>
        <v>276</v>
      </c>
      <c r="F448" s="21" t="str">
        <f>VLOOKUP(D448,Sheet2!A:B,2)</f>
        <v xml:space="preserve"> J19-0828</v>
      </c>
      <c r="G448" s="68" t="str">
        <f>VLOOKUP(F448,Sheet2!B:C,2,0)</f>
        <v>INSTALLATION VIBRATION FOR SENSOR(SAMUTPRAKARN)</v>
      </c>
      <c r="H448" s="68" t="str">
        <f>HLOOKUP(I$2+$A448,Sheet2!BX:NB,2,0)</f>
        <v>1-15 Mar 2021</v>
      </c>
      <c r="I448" t="str">
        <f>IF(OR(HLOOKUP(I$2+$A448,Sheet2!BX:NB,$B448,0),HLOOKUP(I$2+$A448,Sheet2!BX:NB,$B448,0)&lt;&gt;""),HLOOKUP(I$2+$A448,Sheet2!BX:NB,$B448,0),"")</f>
        <v/>
      </c>
      <c r="J448" t="str">
        <f>IF(OR(HLOOKUP(J$2+$A448,Sheet2!BY:NC,$B448,0),HLOOKUP(J$2+$A448,Sheet2!BY:NC,$B448,0)&lt;&gt;""),HLOOKUP(J$2+$A448,Sheet2!BY:NC,$B448,0),"")</f>
        <v/>
      </c>
      <c r="K448" t="str">
        <f>IF(OR(HLOOKUP(K$2+$A448,Sheet2!BZ:ND,$B448,0),HLOOKUP(K$2+$A448,Sheet2!BZ:ND,$B448,0)&lt;&gt;""),HLOOKUP(K$2+$A448,Sheet2!BZ:ND,$B448,0),"")</f>
        <v/>
      </c>
      <c r="L448" t="str">
        <f>IF(OR(HLOOKUP(L$2+$A448,Sheet2!CA:NE,$B448,0),HLOOKUP(L$2+$A448,Sheet2!CA:NE,$B448,0)&lt;&gt;""),HLOOKUP(L$2+$A448,Sheet2!CA:NE,$B448,0),"")</f>
        <v/>
      </c>
      <c r="M448" t="str">
        <f>IF(OR(HLOOKUP(M$2+$A448,Sheet2!CB:NF,$B448,0),HLOOKUP(M$2+$A448,Sheet2!CB:NF,$B448,0)&lt;&gt;""),HLOOKUP(M$2+$A448,Sheet2!CB:NF,$B448,0),"")</f>
        <v/>
      </c>
    </row>
    <row r="449" spans="1:13" x14ac:dyDescent="0.25">
      <c r="A449" s="68">
        <f t="shared" si="53"/>
        <v>25</v>
      </c>
      <c r="B449" s="68">
        <f t="shared" si="54"/>
        <v>60</v>
      </c>
      <c r="C449" s="68">
        <f t="shared" si="51"/>
        <v>6</v>
      </c>
      <c r="D449" s="68">
        <f t="shared" si="55"/>
        <v>56</v>
      </c>
      <c r="E449" s="68">
        <f t="shared" si="52"/>
        <v>276</v>
      </c>
      <c r="F449" s="21" t="str">
        <f>VLOOKUP(D449,Sheet2!A:B,2)</f>
        <v xml:space="preserve"> J19-0828</v>
      </c>
      <c r="G449" s="68" t="str">
        <f>VLOOKUP(F449,Sheet2!B:C,2,0)</f>
        <v>INSTALLATION VIBRATION FOR SENSOR(SAMUTPRAKARN)</v>
      </c>
      <c r="H449" s="68" t="str">
        <f>HLOOKUP(I$2+$A449,Sheet2!BX:NB,2,0)</f>
        <v>16-31 Mar 21</v>
      </c>
      <c r="I449" t="str">
        <f>IF(OR(HLOOKUP(I$2+$A449,Sheet2!BX:NB,$B449,0),HLOOKUP(I$2+$A449,Sheet2!BX:NB,$B449,0)&lt;&gt;""),HLOOKUP(I$2+$A449,Sheet2!BX:NB,$B449,0),"")</f>
        <v/>
      </c>
      <c r="J449" t="str">
        <f>IF(OR(HLOOKUP(J$2+$A449,Sheet2!BY:NC,$B449,0),HLOOKUP(J$2+$A449,Sheet2!BY:NC,$B449,0)&lt;&gt;""),HLOOKUP(J$2+$A449,Sheet2!BY:NC,$B449,0),"")</f>
        <v/>
      </c>
      <c r="K449" t="str">
        <f>IF(OR(HLOOKUP(K$2+$A449,Sheet2!BZ:ND,$B449,0),HLOOKUP(K$2+$A449,Sheet2!BZ:ND,$B449,0)&lt;&gt;""),HLOOKUP(K$2+$A449,Sheet2!BZ:ND,$B449,0),"")</f>
        <v/>
      </c>
      <c r="L449" t="str">
        <f>IF(OR(HLOOKUP(L$2+$A449,Sheet2!CA:NE,$B449,0),HLOOKUP(L$2+$A449,Sheet2!CA:NE,$B449,0)&lt;&gt;""),HLOOKUP(L$2+$A449,Sheet2!CA:NE,$B449,0),"")</f>
        <v/>
      </c>
      <c r="M449" t="str">
        <f>IF(OR(HLOOKUP(M$2+$A449,Sheet2!CB:NF,$B449,0),HLOOKUP(M$2+$A449,Sheet2!CB:NF,$B449,0)&lt;&gt;""),HLOOKUP(M$2+$A449,Sheet2!CB:NF,$B449,0),"")</f>
        <v/>
      </c>
    </row>
    <row r="450" spans="1:13" x14ac:dyDescent="0.25">
      <c r="A450" s="68">
        <f t="shared" si="53"/>
        <v>30</v>
      </c>
      <c r="B450" s="68">
        <f t="shared" si="54"/>
        <v>60</v>
      </c>
      <c r="C450" s="68">
        <f t="shared" si="51"/>
        <v>7</v>
      </c>
      <c r="D450" s="68">
        <f t="shared" si="55"/>
        <v>56</v>
      </c>
      <c r="E450" s="68">
        <f t="shared" si="52"/>
        <v>276</v>
      </c>
      <c r="F450" s="21" t="str">
        <f>VLOOKUP(D450,Sheet2!A:B,2)</f>
        <v xml:space="preserve"> J19-0828</v>
      </c>
      <c r="G450" s="68" t="str">
        <f>VLOOKUP(F450,Sheet2!B:C,2,0)</f>
        <v>INSTALLATION VIBRATION FOR SENSOR(SAMUTPRAKARN)</v>
      </c>
      <c r="H450" s="68" t="str">
        <f>HLOOKUP(I$2+$A450,Sheet2!BX:NB,2,0)</f>
        <v>1-15 April 21</v>
      </c>
      <c r="I450" t="str">
        <f>IF(OR(HLOOKUP(I$2+$A450,Sheet2!BX:NB,$B450,0),HLOOKUP(I$2+$A450,Sheet2!BX:NB,$B450,0)&lt;&gt;""),HLOOKUP(I$2+$A450,Sheet2!BX:NB,$B450,0),"")</f>
        <v/>
      </c>
      <c r="J450" t="str">
        <f>IF(OR(HLOOKUP(J$2+$A450,Sheet2!BY:NC,$B450,0),HLOOKUP(J$2+$A450,Sheet2!BY:NC,$B450,0)&lt;&gt;""),HLOOKUP(J$2+$A450,Sheet2!BY:NC,$B450,0),"")</f>
        <v/>
      </c>
      <c r="K450" t="str">
        <f>IF(OR(HLOOKUP(K$2+$A450,Sheet2!BZ:ND,$B450,0),HLOOKUP(K$2+$A450,Sheet2!BZ:ND,$B450,0)&lt;&gt;""),HLOOKUP(K$2+$A450,Sheet2!BZ:ND,$B450,0),"")</f>
        <v/>
      </c>
      <c r="L450" t="str">
        <f>IF(OR(HLOOKUP(L$2+$A450,Sheet2!CA:NE,$B450,0),HLOOKUP(L$2+$A450,Sheet2!CA:NE,$B450,0)&lt;&gt;""),HLOOKUP(L$2+$A450,Sheet2!CA:NE,$B450,0),"")</f>
        <v/>
      </c>
      <c r="M450" t="str">
        <f>IF(OR(HLOOKUP(M$2+$A450,Sheet2!CB:NF,$B450,0),HLOOKUP(M$2+$A450,Sheet2!CB:NF,$B450,0)&lt;&gt;""),HLOOKUP(M$2+$A450,Sheet2!CB:NF,$B450,0),"")</f>
        <v/>
      </c>
    </row>
    <row r="451" spans="1:13" x14ac:dyDescent="0.25">
      <c r="A451" s="68">
        <f t="shared" si="53"/>
        <v>35</v>
      </c>
      <c r="B451" s="68">
        <f t="shared" si="54"/>
        <v>60</v>
      </c>
      <c r="C451" s="68">
        <f t="shared" si="51"/>
        <v>8</v>
      </c>
      <c r="D451" s="68">
        <f t="shared" si="55"/>
        <v>56</v>
      </c>
      <c r="E451" s="68">
        <f t="shared" si="52"/>
        <v>276</v>
      </c>
      <c r="F451" s="21" t="str">
        <f>VLOOKUP(D451,Sheet2!A:B,2)</f>
        <v xml:space="preserve"> J19-0828</v>
      </c>
      <c r="G451" s="68" t="str">
        <f>VLOOKUP(F451,Sheet2!B:C,2,0)</f>
        <v>INSTALLATION VIBRATION FOR SENSOR(SAMUTPRAKARN)</v>
      </c>
      <c r="H451" s="68" t="str">
        <f>HLOOKUP(I$2+$A451,Sheet2!BX:NB,2,0)</f>
        <v>16-30 April 21</v>
      </c>
      <c r="I451" t="str">
        <f>IF(OR(HLOOKUP(I$2+$A451,Sheet2!BX:NB,$B451,0),HLOOKUP(I$2+$A451,Sheet2!BX:NB,$B451,0)&lt;&gt;""),HLOOKUP(I$2+$A451,Sheet2!BX:NB,$B451,0),"")</f>
        <v/>
      </c>
      <c r="J451" t="str">
        <f>IF(OR(HLOOKUP(J$2+$A451,Sheet2!BY:NC,$B451,0),HLOOKUP(J$2+$A451,Sheet2!BY:NC,$B451,0)&lt;&gt;""),HLOOKUP(J$2+$A451,Sheet2!BY:NC,$B451,0),"")</f>
        <v/>
      </c>
      <c r="K451" t="str">
        <f>IF(OR(HLOOKUP(K$2+$A451,Sheet2!BZ:ND,$B451,0),HLOOKUP(K$2+$A451,Sheet2!BZ:ND,$B451,0)&lt;&gt;""),HLOOKUP(K$2+$A451,Sheet2!BZ:ND,$B451,0),"")</f>
        <v/>
      </c>
      <c r="L451" t="str">
        <f>IF(OR(HLOOKUP(L$2+$A451,Sheet2!CA:NE,$B451,0),HLOOKUP(L$2+$A451,Sheet2!CA:NE,$B451,0)&lt;&gt;""),HLOOKUP(L$2+$A451,Sheet2!CA:NE,$B451,0),"")</f>
        <v/>
      </c>
      <c r="M451" t="str">
        <f>IF(OR(HLOOKUP(M$2+$A451,Sheet2!CB:NF,$B451,0),HLOOKUP(M$2+$A451,Sheet2!CB:NF,$B451,0)&lt;&gt;""),HLOOKUP(M$2+$A451,Sheet2!CB:NF,$B451,0),"")</f>
        <v/>
      </c>
    </row>
    <row r="452" spans="1:13" x14ac:dyDescent="0.25">
      <c r="A452" s="68">
        <f t="shared" si="53"/>
        <v>0</v>
      </c>
      <c r="B452" s="68">
        <f t="shared" si="54"/>
        <v>61</v>
      </c>
      <c r="C452" s="68">
        <f t="shared" si="51"/>
        <v>1</v>
      </c>
      <c r="D452" s="68">
        <f t="shared" si="55"/>
        <v>57</v>
      </c>
      <c r="E452" s="68">
        <f t="shared" si="52"/>
        <v>281</v>
      </c>
      <c r="F452" s="21" t="str">
        <f>VLOOKUP(D452,Sheet2!A:B,2)</f>
        <v>J20-0589</v>
      </c>
      <c r="G452" s="68" t="str">
        <f>VLOOKUP(F452,Sheet2!B:C,2,0)</f>
        <v xml:space="preserve">งานติดตั้งระบบไฟฟ้าโครงการปุ๋ยอัดเม็ด </v>
      </c>
      <c r="H452" s="68" t="str">
        <f>HLOOKUP(I$2+$A452,Sheet2!BX:NB,2,0)</f>
        <v>1-15 Jan 21</v>
      </c>
      <c r="I452" t="str">
        <f>IF(OR(HLOOKUP(I$2+$A452,Sheet2!BX:NB,$B452,0),HLOOKUP(I$2+$A452,Sheet2!BX:NB,$B452,0)&lt;&gt;""),HLOOKUP(I$2+$A452,Sheet2!BX:NB,$B452,0),"")</f>
        <v/>
      </c>
      <c r="J452" t="str">
        <f>IF(OR(HLOOKUP(J$2+$A452,Sheet2!BY:NC,$B452,0),HLOOKUP(J$2+$A452,Sheet2!BY:NC,$B452,0)&lt;&gt;""),HLOOKUP(J$2+$A452,Sheet2!BY:NC,$B452,0),"")</f>
        <v/>
      </c>
      <c r="K452" t="str">
        <f>IF(OR(HLOOKUP(K$2+$A452,Sheet2!BZ:ND,$B452,0),HLOOKUP(K$2+$A452,Sheet2!BZ:ND,$B452,0)&lt;&gt;""),HLOOKUP(K$2+$A452,Sheet2!BZ:ND,$B452,0),"")</f>
        <v/>
      </c>
      <c r="L452" t="str">
        <f>IF(OR(HLOOKUP(L$2+$A452,Sheet2!CA:NE,$B452,0),HLOOKUP(L$2+$A452,Sheet2!CA:NE,$B452,0)&lt;&gt;""),HLOOKUP(L$2+$A452,Sheet2!CA:NE,$B452,0),"")</f>
        <v/>
      </c>
      <c r="M452" t="str">
        <f>IF(OR(HLOOKUP(M$2+$A452,Sheet2!CB:NF,$B452,0),HLOOKUP(M$2+$A452,Sheet2!CB:NF,$B452,0)&lt;&gt;""),HLOOKUP(M$2+$A452,Sheet2!CB:NF,$B452,0),"")</f>
        <v/>
      </c>
    </row>
    <row r="453" spans="1:13" x14ac:dyDescent="0.25">
      <c r="A453" s="68">
        <f t="shared" si="53"/>
        <v>5</v>
      </c>
      <c r="B453" s="68">
        <f t="shared" si="54"/>
        <v>61</v>
      </c>
      <c r="C453" s="68">
        <f t="shared" si="51"/>
        <v>2</v>
      </c>
      <c r="D453" s="68">
        <f t="shared" si="55"/>
        <v>57</v>
      </c>
      <c r="E453" s="68">
        <f t="shared" si="52"/>
        <v>281</v>
      </c>
      <c r="F453" s="21" t="str">
        <f>VLOOKUP(D453,Sheet2!A:B,2)</f>
        <v>J20-0589</v>
      </c>
      <c r="G453" s="68" t="str">
        <f>VLOOKUP(F453,Sheet2!B:C,2,0)</f>
        <v xml:space="preserve">งานติดตั้งระบบไฟฟ้าโครงการปุ๋ยอัดเม็ด </v>
      </c>
      <c r="H453" s="68" t="str">
        <f>HLOOKUP(I$2+$A453,Sheet2!BX:NB,2,0)</f>
        <v>16-31 Jan 21</v>
      </c>
      <c r="I453" t="str">
        <f>IF(OR(HLOOKUP(I$2+$A453,Sheet2!BX:NB,$B453,0),HLOOKUP(I$2+$A453,Sheet2!BX:NB,$B453,0)&lt;&gt;""),HLOOKUP(I$2+$A453,Sheet2!BX:NB,$B453,0),"")</f>
        <v/>
      </c>
      <c r="J453" t="str">
        <f>IF(OR(HLOOKUP(J$2+$A453,Sheet2!BY:NC,$B453,0),HLOOKUP(J$2+$A453,Sheet2!BY:NC,$B453,0)&lt;&gt;""),HLOOKUP(J$2+$A453,Sheet2!BY:NC,$B453,0),"")</f>
        <v/>
      </c>
      <c r="K453" t="str">
        <f>IF(OR(HLOOKUP(K$2+$A453,Sheet2!BZ:ND,$B453,0),HLOOKUP(K$2+$A453,Sheet2!BZ:ND,$B453,0)&lt;&gt;""),HLOOKUP(K$2+$A453,Sheet2!BZ:ND,$B453,0),"")</f>
        <v/>
      </c>
      <c r="L453" t="str">
        <f>IF(OR(HLOOKUP(L$2+$A453,Sheet2!CA:NE,$B453,0),HLOOKUP(L$2+$A453,Sheet2!CA:NE,$B453,0)&lt;&gt;""),HLOOKUP(L$2+$A453,Sheet2!CA:NE,$B453,0),"")</f>
        <v/>
      </c>
      <c r="M453" t="str">
        <f>IF(OR(HLOOKUP(M$2+$A453,Sheet2!CB:NF,$B453,0),HLOOKUP(M$2+$A453,Sheet2!CB:NF,$B453,0)&lt;&gt;""),HLOOKUP(M$2+$A453,Sheet2!CB:NF,$B453,0),"")</f>
        <v/>
      </c>
    </row>
    <row r="454" spans="1:13" x14ac:dyDescent="0.25">
      <c r="A454" s="68">
        <f t="shared" si="53"/>
        <v>10</v>
      </c>
      <c r="B454" s="68">
        <f t="shared" si="54"/>
        <v>61</v>
      </c>
      <c r="C454" s="68">
        <f t="shared" si="51"/>
        <v>3</v>
      </c>
      <c r="D454" s="68">
        <f t="shared" si="55"/>
        <v>57</v>
      </c>
      <c r="E454" s="68">
        <f t="shared" si="52"/>
        <v>281</v>
      </c>
      <c r="F454" s="21" t="str">
        <f>VLOOKUP(D454,Sheet2!A:B,2)</f>
        <v>J20-0589</v>
      </c>
      <c r="G454" s="68" t="str">
        <f>VLOOKUP(F454,Sheet2!B:C,2,0)</f>
        <v xml:space="preserve">งานติดตั้งระบบไฟฟ้าโครงการปุ๋ยอัดเม็ด </v>
      </c>
      <c r="H454" s="68" t="str">
        <f>HLOOKUP(I$2+$A454,Sheet2!BX:NB,2,0)</f>
        <v>1-15 Feb 21</v>
      </c>
      <c r="I454" t="str">
        <f>IF(OR(HLOOKUP(I$2+$A454,Sheet2!BX:NB,$B454,0),HLOOKUP(I$2+$A454,Sheet2!BX:NB,$B454,0)&lt;&gt;""),HLOOKUP(I$2+$A454,Sheet2!BX:NB,$B454,0),"")</f>
        <v/>
      </c>
      <c r="J454" t="str">
        <f>IF(OR(HLOOKUP(J$2+$A454,Sheet2!BY:NC,$B454,0),HLOOKUP(J$2+$A454,Sheet2!BY:NC,$B454,0)&lt;&gt;""),HLOOKUP(J$2+$A454,Sheet2!BY:NC,$B454,0),"")</f>
        <v/>
      </c>
      <c r="K454" t="str">
        <f>IF(OR(HLOOKUP(K$2+$A454,Sheet2!BZ:ND,$B454,0),HLOOKUP(K$2+$A454,Sheet2!BZ:ND,$B454,0)&lt;&gt;""),HLOOKUP(K$2+$A454,Sheet2!BZ:ND,$B454,0),"")</f>
        <v/>
      </c>
      <c r="L454" t="str">
        <f>IF(OR(HLOOKUP(L$2+$A454,Sheet2!CA:NE,$B454,0),HLOOKUP(L$2+$A454,Sheet2!CA:NE,$B454,0)&lt;&gt;""),HLOOKUP(L$2+$A454,Sheet2!CA:NE,$B454,0),"")</f>
        <v/>
      </c>
      <c r="M454" t="str">
        <f>IF(OR(HLOOKUP(M$2+$A454,Sheet2!CB:NF,$B454,0),HLOOKUP(M$2+$A454,Sheet2!CB:NF,$B454,0)&lt;&gt;""),HLOOKUP(M$2+$A454,Sheet2!CB:NF,$B454,0),"")</f>
        <v/>
      </c>
    </row>
    <row r="455" spans="1:13" x14ac:dyDescent="0.25">
      <c r="A455" s="68">
        <f t="shared" si="53"/>
        <v>15</v>
      </c>
      <c r="B455" s="68">
        <f t="shared" si="54"/>
        <v>61</v>
      </c>
      <c r="C455" s="68">
        <f t="shared" si="51"/>
        <v>4</v>
      </c>
      <c r="D455" s="68">
        <f t="shared" si="55"/>
        <v>57</v>
      </c>
      <c r="E455" s="68">
        <f t="shared" si="52"/>
        <v>281</v>
      </c>
      <c r="F455" s="21" t="str">
        <f>VLOOKUP(D455,Sheet2!A:B,2)</f>
        <v>J20-0589</v>
      </c>
      <c r="G455" s="68" t="str">
        <f>VLOOKUP(F455,Sheet2!B:C,2,0)</f>
        <v xml:space="preserve">งานติดตั้งระบบไฟฟ้าโครงการปุ๋ยอัดเม็ด </v>
      </c>
      <c r="H455" s="68" t="str">
        <f>HLOOKUP(I$2+$A455,Sheet2!BX:NB,2,0)</f>
        <v>16-28 Feb 21</v>
      </c>
      <c r="I455" t="str">
        <f>IF(OR(HLOOKUP(I$2+$A455,Sheet2!BX:NB,$B455,0),HLOOKUP(I$2+$A455,Sheet2!BX:NB,$B455,0)&lt;&gt;""),HLOOKUP(I$2+$A455,Sheet2!BX:NB,$B455,0),"")</f>
        <v/>
      </c>
      <c r="J455" t="str">
        <f>IF(OR(HLOOKUP(J$2+$A455,Sheet2!BY:NC,$B455,0),HLOOKUP(J$2+$A455,Sheet2!BY:NC,$B455,0)&lt;&gt;""),HLOOKUP(J$2+$A455,Sheet2!BY:NC,$B455,0),"")</f>
        <v/>
      </c>
      <c r="K455" t="str">
        <f>IF(OR(HLOOKUP(K$2+$A455,Sheet2!BZ:ND,$B455,0),HLOOKUP(K$2+$A455,Sheet2!BZ:ND,$B455,0)&lt;&gt;""),HLOOKUP(K$2+$A455,Sheet2!BZ:ND,$B455,0),"")</f>
        <v/>
      </c>
      <c r="L455" t="str">
        <f>IF(OR(HLOOKUP(L$2+$A455,Sheet2!CA:NE,$B455,0),HLOOKUP(L$2+$A455,Sheet2!CA:NE,$B455,0)&lt;&gt;""),HLOOKUP(L$2+$A455,Sheet2!CA:NE,$B455,0),"")</f>
        <v/>
      </c>
      <c r="M455" t="str">
        <f>IF(OR(HLOOKUP(M$2+$A455,Sheet2!CB:NF,$B455,0),HLOOKUP(M$2+$A455,Sheet2!CB:NF,$B455,0)&lt;&gt;""),HLOOKUP(M$2+$A455,Sheet2!CB:NF,$B455,0),"")</f>
        <v/>
      </c>
    </row>
    <row r="456" spans="1:13" x14ac:dyDescent="0.25">
      <c r="A456" s="68">
        <f t="shared" si="53"/>
        <v>20</v>
      </c>
      <c r="B456" s="68">
        <f t="shared" si="54"/>
        <v>61</v>
      </c>
      <c r="C456" s="68">
        <f t="shared" si="51"/>
        <v>5</v>
      </c>
      <c r="D456" s="68">
        <f t="shared" si="55"/>
        <v>57</v>
      </c>
      <c r="E456" s="68">
        <f t="shared" si="52"/>
        <v>281</v>
      </c>
      <c r="F456" s="21" t="str">
        <f>VLOOKUP(D456,Sheet2!A:B,2)</f>
        <v>J20-0589</v>
      </c>
      <c r="G456" s="68" t="str">
        <f>VLOOKUP(F456,Sheet2!B:C,2,0)</f>
        <v xml:space="preserve">งานติดตั้งระบบไฟฟ้าโครงการปุ๋ยอัดเม็ด </v>
      </c>
      <c r="H456" s="68" t="str">
        <f>HLOOKUP(I$2+$A456,Sheet2!BX:NB,2,0)</f>
        <v>1-15 Mar 2021</v>
      </c>
      <c r="I456" t="str">
        <f>IF(OR(HLOOKUP(I$2+$A456,Sheet2!BX:NB,$B456,0),HLOOKUP(I$2+$A456,Sheet2!BX:NB,$B456,0)&lt;&gt;""),HLOOKUP(I$2+$A456,Sheet2!BX:NB,$B456,0),"")</f>
        <v/>
      </c>
      <c r="J456" t="str">
        <f>IF(OR(HLOOKUP(J$2+$A456,Sheet2!BY:NC,$B456,0),HLOOKUP(J$2+$A456,Sheet2!BY:NC,$B456,0)&lt;&gt;""),HLOOKUP(J$2+$A456,Sheet2!BY:NC,$B456,0),"")</f>
        <v/>
      </c>
      <c r="K456" t="str">
        <f>IF(OR(HLOOKUP(K$2+$A456,Sheet2!BZ:ND,$B456,0),HLOOKUP(K$2+$A456,Sheet2!BZ:ND,$B456,0)&lt;&gt;""),HLOOKUP(K$2+$A456,Sheet2!BZ:ND,$B456,0),"")</f>
        <v/>
      </c>
      <c r="L456" t="str">
        <f>IF(OR(HLOOKUP(L$2+$A456,Sheet2!CA:NE,$B456,0),HLOOKUP(L$2+$A456,Sheet2!CA:NE,$B456,0)&lt;&gt;""),HLOOKUP(L$2+$A456,Sheet2!CA:NE,$B456,0),"")</f>
        <v/>
      </c>
      <c r="M456" t="str">
        <f>IF(OR(HLOOKUP(M$2+$A456,Sheet2!CB:NF,$B456,0),HLOOKUP(M$2+$A456,Sheet2!CB:NF,$B456,0)&lt;&gt;""),HLOOKUP(M$2+$A456,Sheet2!CB:NF,$B456,0),"")</f>
        <v/>
      </c>
    </row>
    <row r="457" spans="1:13" x14ac:dyDescent="0.25">
      <c r="A457" s="68">
        <f t="shared" si="53"/>
        <v>25</v>
      </c>
      <c r="B457" s="68">
        <f t="shared" si="54"/>
        <v>61</v>
      </c>
      <c r="C457" s="68">
        <f t="shared" si="51"/>
        <v>6</v>
      </c>
      <c r="D457" s="68">
        <f t="shared" si="55"/>
        <v>57</v>
      </c>
      <c r="E457" s="68">
        <f t="shared" si="52"/>
        <v>281</v>
      </c>
      <c r="F457" s="21" t="str">
        <f>VLOOKUP(D457,Sheet2!A:B,2)</f>
        <v>J20-0589</v>
      </c>
      <c r="G457" s="68" t="str">
        <f>VLOOKUP(F457,Sheet2!B:C,2,0)</f>
        <v xml:space="preserve">งานติดตั้งระบบไฟฟ้าโครงการปุ๋ยอัดเม็ด </v>
      </c>
      <c r="H457" s="68" t="str">
        <f>HLOOKUP(I$2+$A457,Sheet2!BX:NB,2,0)</f>
        <v>16-31 Mar 21</v>
      </c>
      <c r="I457" t="str">
        <f>IF(OR(HLOOKUP(I$2+$A457,Sheet2!BX:NB,$B457,0),HLOOKUP(I$2+$A457,Sheet2!BX:NB,$B457,0)&lt;&gt;""),HLOOKUP(I$2+$A457,Sheet2!BX:NB,$B457,0),"")</f>
        <v/>
      </c>
      <c r="J457" t="str">
        <f>IF(OR(HLOOKUP(J$2+$A457,Sheet2!BY:NC,$B457,0),HLOOKUP(J$2+$A457,Sheet2!BY:NC,$B457,0)&lt;&gt;""),HLOOKUP(J$2+$A457,Sheet2!BY:NC,$B457,0),"")</f>
        <v/>
      </c>
      <c r="K457" t="str">
        <f>IF(OR(HLOOKUP(K$2+$A457,Sheet2!BZ:ND,$B457,0),HLOOKUP(K$2+$A457,Sheet2!BZ:ND,$B457,0)&lt;&gt;""),HLOOKUP(K$2+$A457,Sheet2!BZ:ND,$B457,0),"")</f>
        <v/>
      </c>
      <c r="L457" t="str">
        <f>IF(OR(HLOOKUP(L$2+$A457,Sheet2!CA:NE,$B457,0),HLOOKUP(L$2+$A457,Sheet2!CA:NE,$B457,0)&lt;&gt;""),HLOOKUP(L$2+$A457,Sheet2!CA:NE,$B457,0),"")</f>
        <v/>
      </c>
      <c r="M457" t="str">
        <f>IF(OR(HLOOKUP(M$2+$A457,Sheet2!CB:NF,$B457,0),HLOOKUP(M$2+$A457,Sheet2!CB:NF,$B457,0)&lt;&gt;""),HLOOKUP(M$2+$A457,Sheet2!CB:NF,$B457,0),"")</f>
        <v/>
      </c>
    </row>
    <row r="458" spans="1:13" x14ac:dyDescent="0.25">
      <c r="A458" s="68">
        <f t="shared" si="53"/>
        <v>30</v>
      </c>
      <c r="B458" s="68">
        <f t="shared" si="54"/>
        <v>61</v>
      </c>
      <c r="C458" s="68">
        <f t="shared" si="51"/>
        <v>7</v>
      </c>
      <c r="D458" s="68">
        <f t="shared" si="55"/>
        <v>57</v>
      </c>
      <c r="E458" s="68">
        <f t="shared" si="52"/>
        <v>281</v>
      </c>
      <c r="F458" s="21" t="str">
        <f>VLOOKUP(D458,Sheet2!A:B,2)</f>
        <v>J20-0589</v>
      </c>
      <c r="G458" s="68" t="str">
        <f>VLOOKUP(F458,Sheet2!B:C,2,0)</f>
        <v xml:space="preserve">งานติดตั้งระบบไฟฟ้าโครงการปุ๋ยอัดเม็ด </v>
      </c>
      <c r="H458" s="68" t="str">
        <f>HLOOKUP(I$2+$A458,Sheet2!BX:NB,2,0)</f>
        <v>1-15 April 21</v>
      </c>
      <c r="I458" t="str">
        <f>IF(OR(HLOOKUP(I$2+$A458,Sheet2!BX:NB,$B458,0),HLOOKUP(I$2+$A458,Sheet2!BX:NB,$B458,0)&lt;&gt;""),HLOOKUP(I$2+$A458,Sheet2!BX:NB,$B458,0),"")</f>
        <v/>
      </c>
      <c r="J458" t="str">
        <f>IF(OR(HLOOKUP(J$2+$A458,Sheet2!BY:NC,$B458,0),HLOOKUP(J$2+$A458,Sheet2!BY:NC,$B458,0)&lt;&gt;""),HLOOKUP(J$2+$A458,Sheet2!BY:NC,$B458,0),"")</f>
        <v/>
      </c>
      <c r="K458" t="str">
        <f>IF(OR(HLOOKUP(K$2+$A458,Sheet2!BZ:ND,$B458,0),HLOOKUP(K$2+$A458,Sheet2!BZ:ND,$B458,0)&lt;&gt;""),HLOOKUP(K$2+$A458,Sheet2!BZ:ND,$B458,0),"")</f>
        <v/>
      </c>
      <c r="L458" t="str">
        <f>IF(OR(HLOOKUP(L$2+$A458,Sheet2!CA:NE,$B458,0),HLOOKUP(L$2+$A458,Sheet2!CA:NE,$B458,0)&lt;&gt;""),HLOOKUP(L$2+$A458,Sheet2!CA:NE,$B458,0),"")</f>
        <v/>
      </c>
      <c r="M458" t="str">
        <f>IF(OR(HLOOKUP(M$2+$A458,Sheet2!CB:NF,$B458,0),HLOOKUP(M$2+$A458,Sheet2!CB:NF,$B458,0)&lt;&gt;""),HLOOKUP(M$2+$A458,Sheet2!CB:NF,$B458,0),"")</f>
        <v/>
      </c>
    </row>
    <row r="459" spans="1:13" x14ac:dyDescent="0.25">
      <c r="A459" s="68">
        <f t="shared" si="53"/>
        <v>35</v>
      </c>
      <c r="B459" s="68">
        <f t="shared" si="54"/>
        <v>61</v>
      </c>
      <c r="C459" s="68">
        <f t="shared" si="51"/>
        <v>8</v>
      </c>
      <c r="D459" s="68">
        <f t="shared" si="55"/>
        <v>57</v>
      </c>
      <c r="E459" s="68">
        <f t="shared" si="52"/>
        <v>281</v>
      </c>
      <c r="F459" s="21" t="str">
        <f>VLOOKUP(D459,Sheet2!A:B,2)</f>
        <v>J20-0589</v>
      </c>
      <c r="G459" s="68" t="str">
        <f>VLOOKUP(F459,Sheet2!B:C,2,0)</f>
        <v xml:space="preserve">งานติดตั้งระบบไฟฟ้าโครงการปุ๋ยอัดเม็ด </v>
      </c>
      <c r="H459" s="68" t="str">
        <f>HLOOKUP(I$2+$A459,Sheet2!BX:NB,2,0)</f>
        <v>16-30 April 21</v>
      </c>
      <c r="I459" t="str">
        <f>IF(OR(HLOOKUP(I$2+$A459,Sheet2!BX:NB,$B459,0),HLOOKUP(I$2+$A459,Sheet2!BX:NB,$B459,0)&lt;&gt;""),HLOOKUP(I$2+$A459,Sheet2!BX:NB,$B459,0),"")</f>
        <v/>
      </c>
      <c r="J459" t="str">
        <f>IF(OR(HLOOKUP(J$2+$A459,Sheet2!BY:NC,$B459,0),HLOOKUP(J$2+$A459,Sheet2!BY:NC,$B459,0)&lt;&gt;""),HLOOKUP(J$2+$A459,Sheet2!BY:NC,$B459,0),"")</f>
        <v/>
      </c>
      <c r="K459" t="str">
        <f>IF(OR(HLOOKUP(K$2+$A459,Sheet2!BZ:ND,$B459,0),HLOOKUP(K$2+$A459,Sheet2!BZ:ND,$B459,0)&lt;&gt;""),HLOOKUP(K$2+$A459,Sheet2!BZ:ND,$B459,0),"")</f>
        <v/>
      </c>
      <c r="L459" t="str">
        <f>IF(OR(HLOOKUP(L$2+$A459,Sheet2!CA:NE,$B459,0),HLOOKUP(L$2+$A459,Sheet2!CA:NE,$B459,0)&lt;&gt;""),HLOOKUP(L$2+$A459,Sheet2!CA:NE,$B459,0),"")</f>
        <v/>
      </c>
      <c r="M459" t="str">
        <f>IF(OR(HLOOKUP(M$2+$A459,Sheet2!CB:NF,$B459,0),HLOOKUP(M$2+$A459,Sheet2!CB:NF,$B459,0)&lt;&gt;""),HLOOKUP(M$2+$A459,Sheet2!CB:NF,$B459,0),"")</f>
        <v/>
      </c>
    </row>
    <row r="460" spans="1:13" x14ac:dyDescent="0.25">
      <c r="A460" s="68">
        <f t="shared" si="53"/>
        <v>0</v>
      </c>
      <c r="B460" s="68">
        <f t="shared" si="54"/>
        <v>62</v>
      </c>
      <c r="C460" s="68">
        <f t="shared" si="51"/>
        <v>1</v>
      </c>
      <c r="D460" s="68">
        <f t="shared" si="55"/>
        <v>58</v>
      </c>
      <c r="E460" s="68">
        <f t="shared" si="52"/>
        <v>286</v>
      </c>
      <c r="F460" s="21" t="str">
        <f>VLOOKUP(D460,Sheet2!A:B,2)</f>
        <v>J19-1276</v>
      </c>
      <c r="G460" s="68" t="str">
        <f>VLOOKUP(F460,Sheet2!B:C,2,0)</f>
        <v xml:space="preserve">Gas Detector Installation work (Additional) BST </v>
      </c>
      <c r="H460" s="68" t="str">
        <f>HLOOKUP(I$2+$A460,Sheet2!BX:NB,2,0)</f>
        <v>1-15 Jan 21</v>
      </c>
      <c r="I460" t="str">
        <f>IF(OR(HLOOKUP(I$2+$A460,Sheet2!BX:NB,$B460,0),HLOOKUP(I$2+$A460,Sheet2!BX:NB,$B460,0)&lt;&gt;""),HLOOKUP(I$2+$A460,Sheet2!BX:NB,$B460,0),"")</f>
        <v/>
      </c>
      <c r="J460" t="str">
        <f>IF(OR(HLOOKUP(J$2+$A460,Sheet2!BY:NC,$B460,0),HLOOKUP(J$2+$A460,Sheet2!BY:NC,$B460,0)&lt;&gt;""),HLOOKUP(J$2+$A460,Sheet2!BY:NC,$B460,0),"")</f>
        <v/>
      </c>
      <c r="K460" t="str">
        <f>IF(OR(HLOOKUP(K$2+$A460,Sheet2!BZ:ND,$B460,0),HLOOKUP(K$2+$A460,Sheet2!BZ:ND,$B460,0)&lt;&gt;""),HLOOKUP(K$2+$A460,Sheet2!BZ:ND,$B460,0),"")</f>
        <v/>
      </c>
      <c r="L460" t="str">
        <f>IF(OR(HLOOKUP(L$2+$A460,Sheet2!CA:NE,$B460,0),HLOOKUP(L$2+$A460,Sheet2!CA:NE,$B460,0)&lt;&gt;""),HLOOKUP(L$2+$A460,Sheet2!CA:NE,$B460,0),"")</f>
        <v/>
      </c>
      <c r="M460" t="str">
        <f>IF(OR(HLOOKUP(M$2+$A460,Sheet2!CB:NF,$B460,0),HLOOKUP(M$2+$A460,Sheet2!CB:NF,$B460,0)&lt;&gt;""),HLOOKUP(M$2+$A460,Sheet2!CB:NF,$B460,0),"")</f>
        <v/>
      </c>
    </row>
    <row r="461" spans="1:13" x14ac:dyDescent="0.25">
      <c r="A461" s="68">
        <f t="shared" si="53"/>
        <v>5</v>
      </c>
      <c r="B461" s="68">
        <f t="shared" si="54"/>
        <v>62</v>
      </c>
      <c r="C461" s="68">
        <f t="shared" ref="C461:C524" si="56">IF($C$3-C460=0,1,C460+1)</f>
        <v>2</v>
      </c>
      <c r="D461" s="68">
        <f t="shared" si="55"/>
        <v>58</v>
      </c>
      <c r="E461" s="68">
        <f t="shared" si="52"/>
        <v>286</v>
      </c>
      <c r="F461" s="21" t="str">
        <f>VLOOKUP(D461,Sheet2!A:B,2)</f>
        <v>J19-1276</v>
      </c>
      <c r="G461" s="68" t="str">
        <f>VLOOKUP(F461,Sheet2!B:C,2,0)</f>
        <v xml:space="preserve">Gas Detector Installation work (Additional) BST </v>
      </c>
      <c r="H461" s="68" t="str">
        <f>HLOOKUP(I$2+$A461,Sheet2!BX:NB,2,0)</f>
        <v>16-31 Jan 21</v>
      </c>
      <c r="I461" t="str">
        <f>IF(OR(HLOOKUP(I$2+$A461,Sheet2!BX:NB,$B461,0),HLOOKUP(I$2+$A461,Sheet2!BX:NB,$B461,0)&lt;&gt;""),HLOOKUP(I$2+$A461,Sheet2!BX:NB,$B461,0),"")</f>
        <v/>
      </c>
      <c r="J461" t="str">
        <f>IF(OR(HLOOKUP(J$2+$A461,Sheet2!BY:NC,$B461,0),HLOOKUP(J$2+$A461,Sheet2!BY:NC,$B461,0)&lt;&gt;""),HLOOKUP(J$2+$A461,Sheet2!BY:NC,$B461,0),"")</f>
        <v/>
      </c>
      <c r="K461" t="str">
        <f>IF(OR(HLOOKUP(K$2+$A461,Sheet2!BZ:ND,$B461,0),HLOOKUP(K$2+$A461,Sheet2!BZ:ND,$B461,0)&lt;&gt;""),HLOOKUP(K$2+$A461,Sheet2!BZ:ND,$B461,0),"")</f>
        <v/>
      </c>
      <c r="L461" t="str">
        <f>IF(OR(HLOOKUP(L$2+$A461,Sheet2!CA:NE,$B461,0),HLOOKUP(L$2+$A461,Sheet2!CA:NE,$B461,0)&lt;&gt;""),HLOOKUP(L$2+$A461,Sheet2!CA:NE,$B461,0),"")</f>
        <v/>
      </c>
      <c r="M461" t="str">
        <f>IF(OR(HLOOKUP(M$2+$A461,Sheet2!CB:NF,$B461,0),HLOOKUP(M$2+$A461,Sheet2!CB:NF,$B461,0)&lt;&gt;""),HLOOKUP(M$2+$A461,Sheet2!CB:NF,$B461,0),"")</f>
        <v/>
      </c>
    </row>
    <row r="462" spans="1:13" x14ac:dyDescent="0.25">
      <c r="A462" s="68">
        <f t="shared" si="53"/>
        <v>10</v>
      </c>
      <c r="B462" s="68">
        <f t="shared" si="54"/>
        <v>62</v>
      </c>
      <c r="C462" s="68">
        <f t="shared" si="56"/>
        <v>3</v>
      </c>
      <c r="D462" s="68">
        <f t="shared" si="55"/>
        <v>58</v>
      </c>
      <c r="E462" s="68">
        <f t="shared" si="52"/>
        <v>286</v>
      </c>
      <c r="F462" s="21" t="str">
        <f>VLOOKUP(D462,Sheet2!A:B,2)</f>
        <v>J19-1276</v>
      </c>
      <c r="G462" s="68" t="str">
        <f>VLOOKUP(F462,Sheet2!B:C,2,0)</f>
        <v xml:space="preserve">Gas Detector Installation work (Additional) BST </v>
      </c>
      <c r="H462" s="68" t="str">
        <f>HLOOKUP(I$2+$A462,Sheet2!BX:NB,2,0)</f>
        <v>1-15 Feb 21</v>
      </c>
      <c r="I462" t="str">
        <f>IF(OR(HLOOKUP(I$2+$A462,Sheet2!BX:NB,$B462,0),HLOOKUP(I$2+$A462,Sheet2!BX:NB,$B462,0)&lt;&gt;""),HLOOKUP(I$2+$A462,Sheet2!BX:NB,$B462,0),"")</f>
        <v/>
      </c>
      <c r="J462" t="str">
        <f>IF(OR(HLOOKUP(J$2+$A462,Sheet2!BY:NC,$B462,0),HLOOKUP(J$2+$A462,Sheet2!BY:NC,$B462,0)&lt;&gt;""),HLOOKUP(J$2+$A462,Sheet2!BY:NC,$B462,0),"")</f>
        <v/>
      </c>
      <c r="K462" t="str">
        <f>IF(OR(HLOOKUP(K$2+$A462,Sheet2!BZ:ND,$B462,0),HLOOKUP(K$2+$A462,Sheet2!BZ:ND,$B462,0)&lt;&gt;""),HLOOKUP(K$2+$A462,Sheet2!BZ:ND,$B462,0),"")</f>
        <v/>
      </c>
      <c r="L462" t="str">
        <f>IF(OR(HLOOKUP(L$2+$A462,Sheet2!CA:NE,$B462,0),HLOOKUP(L$2+$A462,Sheet2!CA:NE,$B462,0)&lt;&gt;""),HLOOKUP(L$2+$A462,Sheet2!CA:NE,$B462,0),"")</f>
        <v/>
      </c>
      <c r="M462" t="str">
        <f>IF(OR(HLOOKUP(M$2+$A462,Sheet2!CB:NF,$B462,0),HLOOKUP(M$2+$A462,Sheet2!CB:NF,$B462,0)&lt;&gt;""),HLOOKUP(M$2+$A462,Sheet2!CB:NF,$B462,0),"")</f>
        <v/>
      </c>
    </row>
    <row r="463" spans="1:13" x14ac:dyDescent="0.25">
      <c r="A463" s="68">
        <f t="shared" si="53"/>
        <v>15</v>
      </c>
      <c r="B463" s="68">
        <f t="shared" si="54"/>
        <v>62</v>
      </c>
      <c r="C463" s="68">
        <f t="shared" si="56"/>
        <v>4</v>
      </c>
      <c r="D463" s="68">
        <f t="shared" si="55"/>
        <v>58</v>
      </c>
      <c r="E463" s="68">
        <f t="shared" si="52"/>
        <v>286</v>
      </c>
      <c r="F463" s="21" t="str">
        <f>VLOOKUP(D463,Sheet2!A:B,2)</f>
        <v>J19-1276</v>
      </c>
      <c r="G463" s="68" t="str">
        <f>VLOOKUP(F463,Sheet2!B:C,2,0)</f>
        <v xml:space="preserve">Gas Detector Installation work (Additional) BST </v>
      </c>
      <c r="H463" s="68" t="str">
        <f>HLOOKUP(I$2+$A463,Sheet2!BX:NB,2,0)</f>
        <v>16-28 Feb 21</v>
      </c>
      <c r="I463" t="str">
        <f>IF(OR(HLOOKUP(I$2+$A463,Sheet2!BX:NB,$B463,0),HLOOKUP(I$2+$A463,Sheet2!BX:NB,$B463,0)&lt;&gt;""),HLOOKUP(I$2+$A463,Sheet2!BX:NB,$B463,0),"")</f>
        <v/>
      </c>
      <c r="J463" t="str">
        <f>IF(OR(HLOOKUP(J$2+$A463,Sheet2!BY:NC,$B463,0),HLOOKUP(J$2+$A463,Sheet2!BY:NC,$B463,0)&lt;&gt;""),HLOOKUP(J$2+$A463,Sheet2!BY:NC,$B463,0),"")</f>
        <v/>
      </c>
      <c r="K463" t="str">
        <f>IF(OR(HLOOKUP(K$2+$A463,Sheet2!BZ:ND,$B463,0),HLOOKUP(K$2+$A463,Sheet2!BZ:ND,$B463,0)&lt;&gt;""),HLOOKUP(K$2+$A463,Sheet2!BZ:ND,$B463,0),"")</f>
        <v/>
      </c>
      <c r="L463" t="str">
        <f>IF(OR(HLOOKUP(L$2+$A463,Sheet2!CA:NE,$B463,0),HLOOKUP(L$2+$A463,Sheet2!CA:NE,$B463,0)&lt;&gt;""),HLOOKUP(L$2+$A463,Sheet2!CA:NE,$B463,0),"")</f>
        <v/>
      </c>
      <c r="M463" t="str">
        <f>IF(OR(HLOOKUP(M$2+$A463,Sheet2!CB:NF,$B463,0),HLOOKUP(M$2+$A463,Sheet2!CB:NF,$B463,0)&lt;&gt;""),HLOOKUP(M$2+$A463,Sheet2!CB:NF,$B463,0),"")</f>
        <v/>
      </c>
    </row>
    <row r="464" spans="1:13" x14ac:dyDescent="0.25">
      <c r="A464" s="68">
        <f t="shared" si="53"/>
        <v>20</v>
      </c>
      <c r="B464" s="68">
        <f t="shared" si="54"/>
        <v>62</v>
      </c>
      <c r="C464" s="68">
        <f t="shared" si="56"/>
        <v>5</v>
      </c>
      <c r="D464" s="68">
        <f t="shared" si="55"/>
        <v>58</v>
      </c>
      <c r="E464" s="68">
        <f t="shared" si="52"/>
        <v>286</v>
      </c>
      <c r="F464" s="21" t="str">
        <f>VLOOKUP(D464,Sheet2!A:B,2)</f>
        <v>J19-1276</v>
      </c>
      <c r="G464" s="68" t="str">
        <f>VLOOKUP(F464,Sheet2!B:C,2,0)</f>
        <v xml:space="preserve">Gas Detector Installation work (Additional) BST </v>
      </c>
      <c r="H464" s="68" t="str">
        <f>HLOOKUP(I$2+$A464,Sheet2!BX:NB,2,0)</f>
        <v>1-15 Mar 2021</v>
      </c>
      <c r="I464" t="str">
        <f>IF(OR(HLOOKUP(I$2+$A464,Sheet2!BX:NB,$B464,0),HLOOKUP(I$2+$A464,Sheet2!BX:NB,$B464,0)&lt;&gt;""),HLOOKUP(I$2+$A464,Sheet2!BX:NB,$B464,0),"")</f>
        <v/>
      </c>
      <c r="J464" t="str">
        <f>IF(OR(HLOOKUP(J$2+$A464,Sheet2!BY:NC,$B464,0),HLOOKUP(J$2+$A464,Sheet2!BY:NC,$B464,0)&lt;&gt;""),HLOOKUP(J$2+$A464,Sheet2!BY:NC,$B464,0),"")</f>
        <v/>
      </c>
      <c r="K464" t="str">
        <f>IF(OR(HLOOKUP(K$2+$A464,Sheet2!BZ:ND,$B464,0),HLOOKUP(K$2+$A464,Sheet2!BZ:ND,$B464,0)&lt;&gt;""),HLOOKUP(K$2+$A464,Sheet2!BZ:ND,$B464,0),"")</f>
        <v/>
      </c>
      <c r="L464" t="str">
        <f>IF(OR(HLOOKUP(L$2+$A464,Sheet2!CA:NE,$B464,0),HLOOKUP(L$2+$A464,Sheet2!CA:NE,$B464,0)&lt;&gt;""),HLOOKUP(L$2+$A464,Sheet2!CA:NE,$B464,0),"")</f>
        <v/>
      </c>
      <c r="M464" t="str">
        <f>IF(OR(HLOOKUP(M$2+$A464,Sheet2!CB:NF,$B464,0),HLOOKUP(M$2+$A464,Sheet2!CB:NF,$B464,0)&lt;&gt;""),HLOOKUP(M$2+$A464,Sheet2!CB:NF,$B464,0),"")</f>
        <v/>
      </c>
    </row>
    <row r="465" spans="1:13" x14ac:dyDescent="0.25">
      <c r="A465" s="68">
        <f t="shared" si="53"/>
        <v>25</v>
      </c>
      <c r="B465" s="68">
        <f t="shared" si="54"/>
        <v>62</v>
      </c>
      <c r="C465" s="68">
        <f t="shared" si="56"/>
        <v>6</v>
      </c>
      <c r="D465" s="68">
        <f t="shared" si="55"/>
        <v>58</v>
      </c>
      <c r="E465" s="68">
        <f t="shared" si="52"/>
        <v>286</v>
      </c>
      <c r="F465" s="21" t="str">
        <f>VLOOKUP(D465,Sheet2!A:B,2)</f>
        <v>J19-1276</v>
      </c>
      <c r="G465" s="68" t="str">
        <f>VLOOKUP(F465,Sheet2!B:C,2,0)</f>
        <v xml:space="preserve">Gas Detector Installation work (Additional) BST </v>
      </c>
      <c r="H465" s="68" t="str">
        <f>HLOOKUP(I$2+$A465,Sheet2!BX:NB,2,0)</f>
        <v>16-31 Mar 21</v>
      </c>
      <c r="I465" t="str">
        <f>IF(OR(HLOOKUP(I$2+$A465,Sheet2!BX:NB,$B465,0),HLOOKUP(I$2+$A465,Sheet2!BX:NB,$B465,0)&lt;&gt;""),HLOOKUP(I$2+$A465,Sheet2!BX:NB,$B465,0),"")</f>
        <v/>
      </c>
      <c r="J465" t="str">
        <f>IF(OR(HLOOKUP(J$2+$A465,Sheet2!BY:NC,$B465,0),HLOOKUP(J$2+$A465,Sheet2!BY:NC,$B465,0)&lt;&gt;""),HLOOKUP(J$2+$A465,Sheet2!BY:NC,$B465,0),"")</f>
        <v/>
      </c>
      <c r="K465" t="str">
        <f>IF(OR(HLOOKUP(K$2+$A465,Sheet2!BZ:ND,$B465,0),HLOOKUP(K$2+$A465,Sheet2!BZ:ND,$B465,0)&lt;&gt;""),HLOOKUP(K$2+$A465,Sheet2!BZ:ND,$B465,0),"")</f>
        <v/>
      </c>
      <c r="L465" t="str">
        <f>IF(OR(HLOOKUP(L$2+$A465,Sheet2!CA:NE,$B465,0),HLOOKUP(L$2+$A465,Sheet2!CA:NE,$B465,0)&lt;&gt;""),HLOOKUP(L$2+$A465,Sheet2!CA:NE,$B465,0),"")</f>
        <v/>
      </c>
      <c r="M465" t="str">
        <f>IF(OR(HLOOKUP(M$2+$A465,Sheet2!CB:NF,$B465,0),HLOOKUP(M$2+$A465,Sheet2!CB:NF,$B465,0)&lt;&gt;""),HLOOKUP(M$2+$A465,Sheet2!CB:NF,$B465,0),"")</f>
        <v/>
      </c>
    </row>
    <row r="466" spans="1:13" x14ac:dyDescent="0.25">
      <c r="A466" s="68">
        <f t="shared" si="53"/>
        <v>30</v>
      </c>
      <c r="B466" s="68">
        <f t="shared" si="54"/>
        <v>62</v>
      </c>
      <c r="C466" s="68">
        <f t="shared" si="56"/>
        <v>7</v>
      </c>
      <c r="D466" s="68">
        <f t="shared" si="55"/>
        <v>58</v>
      </c>
      <c r="E466" s="68">
        <f t="shared" si="52"/>
        <v>286</v>
      </c>
      <c r="F466" s="21" t="str">
        <f>VLOOKUP(D466,Sheet2!A:B,2)</f>
        <v>J19-1276</v>
      </c>
      <c r="G466" s="68" t="str">
        <f>VLOOKUP(F466,Sheet2!B:C,2,0)</f>
        <v xml:space="preserve">Gas Detector Installation work (Additional) BST </v>
      </c>
      <c r="H466" s="68" t="str">
        <f>HLOOKUP(I$2+$A466,Sheet2!BX:NB,2,0)</f>
        <v>1-15 April 21</v>
      </c>
      <c r="I466" t="str">
        <f>IF(OR(HLOOKUP(I$2+$A466,Sheet2!BX:NB,$B466,0),HLOOKUP(I$2+$A466,Sheet2!BX:NB,$B466,0)&lt;&gt;""),HLOOKUP(I$2+$A466,Sheet2!BX:NB,$B466,0),"")</f>
        <v/>
      </c>
      <c r="J466" t="str">
        <f>IF(OR(HLOOKUP(J$2+$A466,Sheet2!BY:NC,$B466,0),HLOOKUP(J$2+$A466,Sheet2!BY:NC,$B466,0)&lt;&gt;""),HLOOKUP(J$2+$A466,Sheet2!BY:NC,$B466,0),"")</f>
        <v/>
      </c>
      <c r="K466" t="str">
        <f>IF(OR(HLOOKUP(K$2+$A466,Sheet2!BZ:ND,$B466,0),HLOOKUP(K$2+$A466,Sheet2!BZ:ND,$B466,0)&lt;&gt;""),HLOOKUP(K$2+$A466,Sheet2!BZ:ND,$B466,0),"")</f>
        <v/>
      </c>
      <c r="L466" t="str">
        <f>IF(OR(HLOOKUP(L$2+$A466,Sheet2!CA:NE,$B466,0),HLOOKUP(L$2+$A466,Sheet2!CA:NE,$B466,0)&lt;&gt;""),HLOOKUP(L$2+$A466,Sheet2!CA:NE,$B466,0),"")</f>
        <v/>
      </c>
      <c r="M466" t="str">
        <f>IF(OR(HLOOKUP(M$2+$A466,Sheet2!CB:NF,$B466,0),HLOOKUP(M$2+$A466,Sheet2!CB:NF,$B466,0)&lt;&gt;""),HLOOKUP(M$2+$A466,Sheet2!CB:NF,$B466,0),"")</f>
        <v/>
      </c>
    </row>
    <row r="467" spans="1:13" x14ac:dyDescent="0.25">
      <c r="A467" s="68">
        <f t="shared" si="53"/>
        <v>35</v>
      </c>
      <c r="B467" s="68">
        <f t="shared" si="54"/>
        <v>62</v>
      </c>
      <c r="C467" s="68">
        <f t="shared" si="56"/>
        <v>8</v>
      </c>
      <c r="D467" s="68">
        <f t="shared" si="55"/>
        <v>58</v>
      </c>
      <c r="E467" s="68">
        <f t="shared" si="52"/>
        <v>286</v>
      </c>
      <c r="F467" s="21" t="str">
        <f>VLOOKUP(D467,Sheet2!A:B,2)</f>
        <v>J19-1276</v>
      </c>
      <c r="G467" s="68" t="str">
        <f>VLOOKUP(F467,Sheet2!B:C,2,0)</f>
        <v xml:space="preserve">Gas Detector Installation work (Additional) BST </v>
      </c>
      <c r="H467" s="68" t="str">
        <f>HLOOKUP(I$2+$A467,Sheet2!BX:NB,2,0)</f>
        <v>16-30 April 21</v>
      </c>
      <c r="I467" t="str">
        <f>IF(OR(HLOOKUP(I$2+$A467,Sheet2!BX:NB,$B467,0),HLOOKUP(I$2+$A467,Sheet2!BX:NB,$B467,0)&lt;&gt;""),HLOOKUP(I$2+$A467,Sheet2!BX:NB,$B467,0),"")</f>
        <v/>
      </c>
      <c r="J467" t="str">
        <f>IF(OR(HLOOKUP(J$2+$A467,Sheet2!BY:NC,$B467,0),HLOOKUP(J$2+$A467,Sheet2!BY:NC,$B467,0)&lt;&gt;""),HLOOKUP(J$2+$A467,Sheet2!BY:NC,$B467,0),"")</f>
        <v/>
      </c>
      <c r="K467" t="str">
        <f>IF(OR(HLOOKUP(K$2+$A467,Sheet2!BZ:ND,$B467,0),HLOOKUP(K$2+$A467,Sheet2!BZ:ND,$B467,0)&lt;&gt;""),HLOOKUP(K$2+$A467,Sheet2!BZ:ND,$B467,0),"")</f>
        <v/>
      </c>
      <c r="L467" t="str">
        <f>IF(OR(HLOOKUP(L$2+$A467,Sheet2!CA:NE,$B467,0),HLOOKUP(L$2+$A467,Sheet2!CA:NE,$B467,0)&lt;&gt;""),HLOOKUP(L$2+$A467,Sheet2!CA:NE,$B467,0),"")</f>
        <v/>
      </c>
      <c r="M467" t="str">
        <f>IF(OR(HLOOKUP(M$2+$A467,Sheet2!CB:NF,$B467,0),HLOOKUP(M$2+$A467,Sheet2!CB:NF,$B467,0)&lt;&gt;""),HLOOKUP(M$2+$A467,Sheet2!CB:NF,$B467,0),"")</f>
        <v/>
      </c>
    </row>
    <row r="468" spans="1:13" x14ac:dyDescent="0.25">
      <c r="A468" s="68">
        <f t="shared" si="53"/>
        <v>0</v>
      </c>
      <c r="B468" s="68">
        <f t="shared" si="54"/>
        <v>63</v>
      </c>
      <c r="C468" s="68">
        <f t="shared" si="56"/>
        <v>1</v>
      </c>
      <c r="D468" s="68">
        <f t="shared" si="55"/>
        <v>59</v>
      </c>
      <c r="E468" s="68">
        <f t="shared" si="52"/>
        <v>291</v>
      </c>
      <c r="F468" s="21" t="str">
        <f>VLOOKUP(D468,Sheet2!A:B,2)</f>
        <v>J20-0232</v>
      </c>
      <c r="G468" s="68" t="str">
        <f>VLOOKUP(F468,Sheet2!B:C,2,0)</f>
        <v xml:space="preserve">Synchronization system control for ODC AN2 Project </v>
      </c>
      <c r="H468" s="68" t="str">
        <f>HLOOKUP(I$2+$A468,Sheet2!BX:NB,2,0)</f>
        <v>1-15 Jan 21</v>
      </c>
      <c r="I468" t="str">
        <f>IF(OR(HLOOKUP(I$2+$A468,Sheet2!BX:NB,$B468,0),HLOOKUP(I$2+$A468,Sheet2!BX:NB,$B468,0)&lt;&gt;""),HLOOKUP(I$2+$A468,Sheet2!BX:NB,$B468,0),"")</f>
        <v/>
      </c>
      <c r="J468" t="str">
        <f>IF(OR(HLOOKUP(J$2+$A468,Sheet2!BY:NC,$B468,0),HLOOKUP(J$2+$A468,Sheet2!BY:NC,$B468,0)&lt;&gt;""),HLOOKUP(J$2+$A468,Sheet2!BY:NC,$B468,0),"")</f>
        <v/>
      </c>
      <c r="K468" t="str">
        <f>IF(OR(HLOOKUP(K$2+$A468,Sheet2!BZ:ND,$B468,0),HLOOKUP(K$2+$A468,Sheet2!BZ:ND,$B468,0)&lt;&gt;""),HLOOKUP(K$2+$A468,Sheet2!BZ:ND,$B468,0),"")</f>
        <v/>
      </c>
      <c r="L468" t="str">
        <f>IF(OR(HLOOKUP(L$2+$A468,Sheet2!CA:NE,$B468,0),HLOOKUP(L$2+$A468,Sheet2!CA:NE,$B468,0)&lt;&gt;""),HLOOKUP(L$2+$A468,Sheet2!CA:NE,$B468,0),"")</f>
        <v/>
      </c>
      <c r="M468" t="str">
        <f>IF(OR(HLOOKUP(M$2+$A468,Sheet2!CB:NF,$B468,0),HLOOKUP(M$2+$A468,Sheet2!CB:NF,$B468,0)&lt;&gt;""),HLOOKUP(M$2+$A468,Sheet2!CB:NF,$B468,0),"")</f>
        <v/>
      </c>
    </row>
    <row r="469" spans="1:13" x14ac:dyDescent="0.25">
      <c r="A469" s="68">
        <f t="shared" si="53"/>
        <v>5</v>
      </c>
      <c r="B469" s="68">
        <f t="shared" si="54"/>
        <v>63</v>
      </c>
      <c r="C469" s="68">
        <f t="shared" si="56"/>
        <v>2</v>
      </c>
      <c r="D469" s="68">
        <f t="shared" si="55"/>
        <v>59</v>
      </c>
      <c r="E469" s="68">
        <f t="shared" ref="E469:E532" si="57">IF(D469&lt;&gt;D468,E468+5,E468)</f>
        <v>291</v>
      </c>
      <c r="F469" s="21" t="str">
        <f>VLOOKUP(D469,Sheet2!A:B,2)</f>
        <v>J20-0232</v>
      </c>
      <c r="G469" s="68" t="str">
        <f>VLOOKUP(F469,Sheet2!B:C,2,0)</f>
        <v xml:space="preserve">Synchronization system control for ODC AN2 Project </v>
      </c>
      <c r="H469" s="68" t="str">
        <f>HLOOKUP(I$2+$A469,Sheet2!BX:NB,2,0)</f>
        <v>16-31 Jan 21</v>
      </c>
      <c r="I469" t="str">
        <f>IF(OR(HLOOKUP(I$2+$A469,Sheet2!BX:NB,$B469,0),HLOOKUP(I$2+$A469,Sheet2!BX:NB,$B469,0)&lt;&gt;""),HLOOKUP(I$2+$A469,Sheet2!BX:NB,$B469,0),"")</f>
        <v/>
      </c>
      <c r="J469" t="str">
        <f>IF(OR(HLOOKUP(J$2+$A469,Sheet2!BY:NC,$B469,0),HLOOKUP(J$2+$A469,Sheet2!BY:NC,$B469,0)&lt;&gt;""),HLOOKUP(J$2+$A469,Sheet2!BY:NC,$B469,0),"")</f>
        <v/>
      </c>
      <c r="K469" t="str">
        <f>IF(OR(HLOOKUP(K$2+$A469,Sheet2!BZ:ND,$B469,0),HLOOKUP(K$2+$A469,Sheet2!BZ:ND,$B469,0)&lt;&gt;""),HLOOKUP(K$2+$A469,Sheet2!BZ:ND,$B469,0),"")</f>
        <v/>
      </c>
      <c r="L469" t="str">
        <f>IF(OR(HLOOKUP(L$2+$A469,Sheet2!CA:NE,$B469,0),HLOOKUP(L$2+$A469,Sheet2!CA:NE,$B469,0)&lt;&gt;""),HLOOKUP(L$2+$A469,Sheet2!CA:NE,$B469,0),"")</f>
        <v/>
      </c>
      <c r="M469" t="str">
        <f>IF(OR(HLOOKUP(M$2+$A469,Sheet2!CB:NF,$B469,0),HLOOKUP(M$2+$A469,Sheet2!CB:NF,$B469,0)&lt;&gt;""),HLOOKUP(M$2+$A469,Sheet2!CB:NF,$B469,0),"")</f>
        <v/>
      </c>
    </row>
    <row r="470" spans="1:13" x14ac:dyDescent="0.25">
      <c r="A470" s="68">
        <f t="shared" si="53"/>
        <v>10</v>
      </c>
      <c r="B470" s="68">
        <f t="shared" si="54"/>
        <v>63</v>
      </c>
      <c r="C470" s="68">
        <f t="shared" si="56"/>
        <v>3</v>
      </c>
      <c r="D470" s="68">
        <f t="shared" si="55"/>
        <v>59</v>
      </c>
      <c r="E470" s="68">
        <f t="shared" si="57"/>
        <v>291</v>
      </c>
      <c r="F470" s="21" t="str">
        <f>VLOOKUP(D470,Sheet2!A:B,2)</f>
        <v>J20-0232</v>
      </c>
      <c r="G470" s="68" t="str">
        <f>VLOOKUP(F470,Sheet2!B:C,2,0)</f>
        <v xml:space="preserve">Synchronization system control for ODC AN2 Project </v>
      </c>
      <c r="H470" s="68" t="str">
        <f>HLOOKUP(I$2+$A470,Sheet2!BX:NB,2,0)</f>
        <v>1-15 Feb 21</v>
      </c>
      <c r="I470" t="str">
        <f>IF(OR(HLOOKUP(I$2+$A470,Sheet2!BX:NB,$B470,0),HLOOKUP(I$2+$A470,Sheet2!BX:NB,$B470,0)&lt;&gt;""),HLOOKUP(I$2+$A470,Sheet2!BX:NB,$B470,0),"")</f>
        <v/>
      </c>
      <c r="J470" t="str">
        <f>IF(OR(HLOOKUP(J$2+$A470,Sheet2!BY:NC,$B470,0),HLOOKUP(J$2+$A470,Sheet2!BY:NC,$B470,0)&lt;&gt;""),HLOOKUP(J$2+$A470,Sheet2!BY:NC,$B470,0),"")</f>
        <v/>
      </c>
      <c r="K470" t="str">
        <f>IF(OR(HLOOKUP(K$2+$A470,Sheet2!BZ:ND,$B470,0),HLOOKUP(K$2+$A470,Sheet2!BZ:ND,$B470,0)&lt;&gt;""),HLOOKUP(K$2+$A470,Sheet2!BZ:ND,$B470,0),"")</f>
        <v/>
      </c>
      <c r="L470" t="str">
        <f>IF(OR(HLOOKUP(L$2+$A470,Sheet2!CA:NE,$B470,0),HLOOKUP(L$2+$A470,Sheet2!CA:NE,$B470,0)&lt;&gt;""),HLOOKUP(L$2+$A470,Sheet2!CA:NE,$B470,0),"")</f>
        <v/>
      </c>
      <c r="M470" t="str">
        <f>IF(OR(HLOOKUP(M$2+$A470,Sheet2!CB:NF,$B470,0),HLOOKUP(M$2+$A470,Sheet2!CB:NF,$B470,0)&lt;&gt;""),HLOOKUP(M$2+$A470,Sheet2!CB:NF,$B470,0),"")</f>
        <v/>
      </c>
    </row>
    <row r="471" spans="1:13" x14ac:dyDescent="0.25">
      <c r="A471" s="68">
        <f t="shared" si="53"/>
        <v>15</v>
      </c>
      <c r="B471" s="68">
        <f t="shared" si="54"/>
        <v>63</v>
      </c>
      <c r="C471" s="68">
        <f t="shared" si="56"/>
        <v>4</v>
      </c>
      <c r="D471" s="68">
        <f t="shared" si="55"/>
        <v>59</v>
      </c>
      <c r="E471" s="68">
        <f t="shared" si="57"/>
        <v>291</v>
      </c>
      <c r="F471" s="21" t="str">
        <f>VLOOKUP(D471,Sheet2!A:B,2)</f>
        <v>J20-0232</v>
      </c>
      <c r="G471" s="68" t="str">
        <f>VLOOKUP(F471,Sheet2!B:C,2,0)</f>
        <v xml:space="preserve">Synchronization system control for ODC AN2 Project </v>
      </c>
      <c r="H471" s="68" t="str">
        <f>HLOOKUP(I$2+$A471,Sheet2!BX:NB,2,0)</f>
        <v>16-28 Feb 21</v>
      </c>
      <c r="I471" t="str">
        <f>IF(OR(HLOOKUP(I$2+$A471,Sheet2!BX:NB,$B471,0),HLOOKUP(I$2+$A471,Sheet2!BX:NB,$B471,0)&lt;&gt;""),HLOOKUP(I$2+$A471,Sheet2!BX:NB,$B471,0),"")</f>
        <v/>
      </c>
      <c r="J471" t="str">
        <f>IF(OR(HLOOKUP(J$2+$A471,Sheet2!BY:NC,$B471,0),HLOOKUP(J$2+$A471,Sheet2!BY:NC,$B471,0)&lt;&gt;""),HLOOKUP(J$2+$A471,Sheet2!BY:NC,$B471,0),"")</f>
        <v/>
      </c>
      <c r="K471" t="str">
        <f>IF(OR(HLOOKUP(K$2+$A471,Sheet2!BZ:ND,$B471,0),HLOOKUP(K$2+$A471,Sheet2!BZ:ND,$B471,0)&lt;&gt;""),HLOOKUP(K$2+$A471,Sheet2!BZ:ND,$B471,0),"")</f>
        <v/>
      </c>
      <c r="L471" t="str">
        <f>IF(OR(HLOOKUP(L$2+$A471,Sheet2!CA:NE,$B471,0),HLOOKUP(L$2+$A471,Sheet2!CA:NE,$B471,0)&lt;&gt;""),HLOOKUP(L$2+$A471,Sheet2!CA:NE,$B471,0),"")</f>
        <v/>
      </c>
      <c r="M471" t="str">
        <f>IF(OR(HLOOKUP(M$2+$A471,Sheet2!CB:NF,$B471,0),HLOOKUP(M$2+$A471,Sheet2!CB:NF,$B471,0)&lt;&gt;""),HLOOKUP(M$2+$A471,Sheet2!CB:NF,$B471,0),"")</f>
        <v/>
      </c>
    </row>
    <row r="472" spans="1:13" x14ac:dyDescent="0.25">
      <c r="A472" s="68">
        <f t="shared" si="53"/>
        <v>20</v>
      </c>
      <c r="B472" s="68">
        <f t="shared" si="54"/>
        <v>63</v>
      </c>
      <c r="C472" s="68">
        <f t="shared" si="56"/>
        <v>5</v>
      </c>
      <c r="D472" s="68">
        <f t="shared" si="55"/>
        <v>59</v>
      </c>
      <c r="E472" s="68">
        <f t="shared" si="57"/>
        <v>291</v>
      </c>
      <c r="F472" s="21" t="str">
        <f>VLOOKUP(D472,Sheet2!A:B,2)</f>
        <v>J20-0232</v>
      </c>
      <c r="G472" s="68" t="str">
        <f>VLOOKUP(F472,Sheet2!B:C,2,0)</f>
        <v xml:space="preserve">Synchronization system control for ODC AN2 Project </v>
      </c>
      <c r="H472" s="68" t="str">
        <f>HLOOKUP(I$2+$A472,Sheet2!BX:NB,2,0)</f>
        <v>1-15 Mar 2021</v>
      </c>
      <c r="I472" t="str">
        <f>IF(OR(HLOOKUP(I$2+$A472,Sheet2!BX:NB,$B472,0),HLOOKUP(I$2+$A472,Sheet2!BX:NB,$B472,0)&lt;&gt;""),HLOOKUP(I$2+$A472,Sheet2!BX:NB,$B472,0),"")</f>
        <v/>
      </c>
      <c r="J472" t="str">
        <f>IF(OR(HLOOKUP(J$2+$A472,Sheet2!BY:NC,$B472,0),HLOOKUP(J$2+$A472,Sheet2!BY:NC,$B472,0)&lt;&gt;""),HLOOKUP(J$2+$A472,Sheet2!BY:NC,$B472,0),"")</f>
        <v/>
      </c>
      <c r="K472" t="str">
        <f>IF(OR(HLOOKUP(K$2+$A472,Sheet2!BZ:ND,$B472,0),HLOOKUP(K$2+$A472,Sheet2!BZ:ND,$B472,0)&lt;&gt;""),HLOOKUP(K$2+$A472,Sheet2!BZ:ND,$B472,0),"")</f>
        <v/>
      </c>
      <c r="L472" t="str">
        <f>IF(OR(HLOOKUP(L$2+$A472,Sheet2!CA:NE,$B472,0),HLOOKUP(L$2+$A472,Sheet2!CA:NE,$B472,0)&lt;&gt;""),HLOOKUP(L$2+$A472,Sheet2!CA:NE,$B472,0),"")</f>
        <v/>
      </c>
      <c r="M472" t="str">
        <f>IF(OR(HLOOKUP(M$2+$A472,Sheet2!CB:NF,$B472,0),HLOOKUP(M$2+$A472,Sheet2!CB:NF,$B472,0)&lt;&gt;""),HLOOKUP(M$2+$A472,Sheet2!CB:NF,$B472,0),"")</f>
        <v/>
      </c>
    </row>
    <row r="473" spans="1:13" x14ac:dyDescent="0.25">
      <c r="A473" s="68">
        <f t="shared" si="53"/>
        <v>25</v>
      </c>
      <c r="B473" s="68">
        <f t="shared" si="54"/>
        <v>63</v>
      </c>
      <c r="C473" s="68">
        <f t="shared" si="56"/>
        <v>6</v>
      </c>
      <c r="D473" s="68">
        <f t="shared" si="55"/>
        <v>59</v>
      </c>
      <c r="E473" s="68">
        <f t="shared" si="57"/>
        <v>291</v>
      </c>
      <c r="F473" s="21" t="str">
        <f>VLOOKUP(D473,Sheet2!A:B,2)</f>
        <v>J20-0232</v>
      </c>
      <c r="G473" s="68" t="str">
        <f>VLOOKUP(F473,Sheet2!B:C,2,0)</f>
        <v xml:space="preserve">Synchronization system control for ODC AN2 Project </v>
      </c>
      <c r="H473" s="68" t="str">
        <f>HLOOKUP(I$2+$A473,Sheet2!BX:NB,2,0)</f>
        <v>16-31 Mar 21</v>
      </c>
      <c r="I473" t="str">
        <f>IF(OR(HLOOKUP(I$2+$A473,Sheet2!BX:NB,$B473,0),HLOOKUP(I$2+$A473,Sheet2!BX:NB,$B473,0)&lt;&gt;""),HLOOKUP(I$2+$A473,Sheet2!BX:NB,$B473,0),"")</f>
        <v/>
      </c>
      <c r="J473" t="str">
        <f>IF(OR(HLOOKUP(J$2+$A473,Sheet2!BY:NC,$B473,0),HLOOKUP(J$2+$A473,Sheet2!BY:NC,$B473,0)&lt;&gt;""),HLOOKUP(J$2+$A473,Sheet2!BY:NC,$B473,0),"")</f>
        <v/>
      </c>
      <c r="K473" t="str">
        <f>IF(OR(HLOOKUP(K$2+$A473,Sheet2!BZ:ND,$B473,0),HLOOKUP(K$2+$A473,Sheet2!BZ:ND,$B473,0)&lt;&gt;""),HLOOKUP(K$2+$A473,Sheet2!BZ:ND,$B473,0),"")</f>
        <v/>
      </c>
      <c r="L473" t="str">
        <f>IF(OR(HLOOKUP(L$2+$A473,Sheet2!CA:NE,$B473,0),HLOOKUP(L$2+$A473,Sheet2!CA:NE,$B473,0)&lt;&gt;""),HLOOKUP(L$2+$A473,Sheet2!CA:NE,$B473,0),"")</f>
        <v/>
      </c>
      <c r="M473" t="str">
        <f>IF(OR(HLOOKUP(M$2+$A473,Sheet2!CB:NF,$B473,0),HLOOKUP(M$2+$A473,Sheet2!CB:NF,$B473,0)&lt;&gt;""),HLOOKUP(M$2+$A473,Sheet2!CB:NF,$B473,0),"")</f>
        <v/>
      </c>
    </row>
    <row r="474" spans="1:13" x14ac:dyDescent="0.25">
      <c r="A474" s="68">
        <f t="shared" si="53"/>
        <v>30</v>
      </c>
      <c r="B474" s="68">
        <f t="shared" si="54"/>
        <v>63</v>
      </c>
      <c r="C474" s="68">
        <f t="shared" si="56"/>
        <v>7</v>
      </c>
      <c r="D474" s="68">
        <f t="shared" si="55"/>
        <v>59</v>
      </c>
      <c r="E474" s="68">
        <f t="shared" si="57"/>
        <v>291</v>
      </c>
      <c r="F474" s="21" t="str">
        <f>VLOOKUP(D474,Sheet2!A:B,2)</f>
        <v>J20-0232</v>
      </c>
      <c r="G474" s="68" t="str">
        <f>VLOOKUP(F474,Sheet2!B:C,2,0)</f>
        <v xml:space="preserve">Synchronization system control for ODC AN2 Project </v>
      </c>
      <c r="H474" s="68" t="str">
        <f>HLOOKUP(I$2+$A474,Sheet2!BX:NB,2,0)</f>
        <v>1-15 April 21</v>
      </c>
      <c r="I474" t="str">
        <f>IF(OR(HLOOKUP(I$2+$A474,Sheet2!BX:NB,$B474,0),HLOOKUP(I$2+$A474,Sheet2!BX:NB,$B474,0)&lt;&gt;""),HLOOKUP(I$2+$A474,Sheet2!BX:NB,$B474,0),"")</f>
        <v/>
      </c>
      <c r="J474" t="str">
        <f>IF(OR(HLOOKUP(J$2+$A474,Sheet2!BY:NC,$B474,0),HLOOKUP(J$2+$A474,Sheet2!BY:NC,$B474,0)&lt;&gt;""),HLOOKUP(J$2+$A474,Sheet2!BY:NC,$B474,0),"")</f>
        <v/>
      </c>
      <c r="K474" t="str">
        <f>IF(OR(HLOOKUP(K$2+$A474,Sheet2!BZ:ND,$B474,0),HLOOKUP(K$2+$A474,Sheet2!BZ:ND,$B474,0)&lt;&gt;""),HLOOKUP(K$2+$A474,Sheet2!BZ:ND,$B474,0),"")</f>
        <v/>
      </c>
      <c r="L474" t="str">
        <f>IF(OR(HLOOKUP(L$2+$A474,Sheet2!CA:NE,$B474,0),HLOOKUP(L$2+$A474,Sheet2!CA:NE,$B474,0)&lt;&gt;""),HLOOKUP(L$2+$A474,Sheet2!CA:NE,$B474,0),"")</f>
        <v/>
      </c>
      <c r="M474" t="str">
        <f>IF(OR(HLOOKUP(M$2+$A474,Sheet2!CB:NF,$B474,0),HLOOKUP(M$2+$A474,Sheet2!CB:NF,$B474,0)&lt;&gt;""),HLOOKUP(M$2+$A474,Sheet2!CB:NF,$B474,0),"")</f>
        <v/>
      </c>
    </row>
    <row r="475" spans="1:13" x14ac:dyDescent="0.25">
      <c r="A475" s="68">
        <f t="shared" si="53"/>
        <v>35</v>
      </c>
      <c r="B475" s="68">
        <f t="shared" si="54"/>
        <v>63</v>
      </c>
      <c r="C475" s="68">
        <f t="shared" si="56"/>
        <v>8</v>
      </c>
      <c r="D475" s="68">
        <f t="shared" si="55"/>
        <v>59</v>
      </c>
      <c r="E475" s="68">
        <f t="shared" si="57"/>
        <v>291</v>
      </c>
      <c r="F475" s="21" t="str">
        <f>VLOOKUP(D475,Sheet2!A:B,2)</f>
        <v>J20-0232</v>
      </c>
      <c r="G475" s="68" t="str">
        <f>VLOOKUP(F475,Sheet2!B:C,2,0)</f>
        <v xml:space="preserve">Synchronization system control for ODC AN2 Project </v>
      </c>
      <c r="H475" s="68" t="str">
        <f>HLOOKUP(I$2+$A475,Sheet2!BX:NB,2,0)</f>
        <v>16-30 April 21</v>
      </c>
      <c r="I475" t="str">
        <f>IF(OR(HLOOKUP(I$2+$A475,Sheet2!BX:NB,$B475,0),HLOOKUP(I$2+$A475,Sheet2!BX:NB,$B475,0)&lt;&gt;""),HLOOKUP(I$2+$A475,Sheet2!BX:NB,$B475,0),"")</f>
        <v/>
      </c>
      <c r="J475" t="str">
        <f>IF(OR(HLOOKUP(J$2+$A475,Sheet2!BY:NC,$B475,0),HLOOKUP(J$2+$A475,Sheet2!BY:NC,$B475,0)&lt;&gt;""),HLOOKUP(J$2+$A475,Sheet2!BY:NC,$B475,0),"")</f>
        <v/>
      </c>
      <c r="K475" t="str">
        <f>IF(OR(HLOOKUP(K$2+$A475,Sheet2!BZ:ND,$B475,0),HLOOKUP(K$2+$A475,Sheet2!BZ:ND,$B475,0)&lt;&gt;""),HLOOKUP(K$2+$A475,Sheet2!BZ:ND,$B475,0),"")</f>
        <v/>
      </c>
      <c r="L475" t="str">
        <f>IF(OR(HLOOKUP(L$2+$A475,Sheet2!CA:NE,$B475,0),HLOOKUP(L$2+$A475,Sheet2!CA:NE,$B475,0)&lt;&gt;""),HLOOKUP(L$2+$A475,Sheet2!CA:NE,$B475,0),"")</f>
        <v/>
      </c>
      <c r="M475" t="str">
        <f>IF(OR(HLOOKUP(M$2+$A475,Sheet2!CB:NF,$B475,0),HLOOKUP(M$2+$A475,Sheet2!CB:NF,$B475,0)&lt;&gt;""),HLOOKUP(M$2+$A475,Sheet2!CB:NF,$B475,0),"")</f>
        <v/>
      </c>
    </row>
    <row r="476" spans="1:13" x14ac:dyDescent="0.25">
      <c r="A476" s="68">
        <f t="shared" si="53"/>
        <v>0</v>
      </c>
      <c r="B476" s="68">
        <f t="shared" si="54"/>
        <v>64</v>
      </c>
      <c r="C476" s="68">
        <f t="shared" si="56"/>
        <v>1</v>
      </c>
      <c r="D476" s="68">
        <f t="shared" si="55"/>
        <v>60</v>
      </c>
      <c r="E476" s="68">
        <f t="shared" si="57"/>
        <v>296</v>
      </c>
      <c r="F476" s="21" t="str">
        <f>VLOOKUP(D476,Sheet2!A:B,2)</f>
        <v>J20-0369</v>
      </c>
      <c r="G476" s="68" t="str">
        <f>VLOOKUP(F476,Sheet2!B:C,2,0)</f>
        <v xml:space="preserve">บางกอกอินดัสเทรียลแก๊ส </v>
      </c>
      <c r="H476" s="68" t="str">
        <f>HLOOKUP(I$2+$A476,Sheet2!BX:NB,2,0)</f>
        <v>1-15 Jan 21</v>
      </c>
      <c r="I476" t="str">
        <f>IF(OR(HLOOKUP(I$2+$A476,Sheet2!BX:NB,$B476,0),HLOOKUP(I$2+$A476,Sheet2!BX:NB,$B476,0)&lt;&gt;""),HLOOKUP(I$2+$A476,Sheet2!BX:NB,$B476,0),"")</f>
        <v/>
      </c>
      <c r="J476" t="str">
        <f>IF(OR(HLOOKUP(J$2+$A476,Sheet2!BY:NC,$B476,0),HLOOKUP(J$2+$A476,Sheet2!BY:NC,$B476,0)&lt;&gt;""),HLOOKUP(J$2+$A476,Sheet2!BY:NC,$B476,0),"")</f>
        <v/>
      </c>
      <c r="K476" t="str">
        <f>IF(OR(HLOOKUP(K$2+$A476,Sheet2!BZ:ND,$B476,0),HLOOKUP(K$2+$A476,Sheet2!BZ:ND,$B476,0)&lt;&gt;""),HLOOKUP(K$2+$A476,Sheet2!BZ:ND,$B476,0),"")</f>
        <v/>
      </c>
      <c r="L476" t="str">
        <f>IF(OR(HLOOKUP(L$2+$A476,Sheet2!CA:NE,$B476,0),HLOOKUP(L$2+$A476,Sheet2!CA:NE,$B476,0)&lt;&gt;""),HLOOKUP(L$2+$A476,Sheet2!CA:NE,$B476,0),"")</f>
        <v/>
      </c>
      <c r="M476" t="str">
        <f>IF(OR(HLOOKUP(M$2+$A476,Sheet2!CB:NF,$B476,0),HLOOKUP(M$2+$A476,Sheet2!CB:NF,$B476,0)&lt;&gt;""),HLOOKUP(M$2+$A476,Sheet2!CB:NF,$B476,0),"")</f>
        <v/>
      </c>
    </row>
    <row r="477" spans="1:13" x14ac:dyDescent="0.25">
      <c r="A477" s="68">
        <f t="shared" si="53"/>
        <v>5</v>
      </c>
      <c r="B477" s="68">
        <f t="shared" si="54"/>
        <v>64</v>
      </c>
      <c r="C477" s="68">
        <f t="shared" si="56"/>
        <v>2</v>
      </c>
      <c r="D477" s="68">
        <f t="shared" si="55"/>
        <v>60</v>
      </c>
      <c r="E477" s="68">
        <f t="shared" si="57"/>
        <v>296</v>
      </c>
      <c r="F477" s="21" t="str">
        <f>VLOOKUP(D477,Sheet2!A:B,2)</f>
        <v>J20-0369</v>
      </c>
      <c r="G477" s="68" t="str">
        <f>VLOOKUP(F477,Sheet2!B:C,2,0)</f>
        <v xml:space="preserve">บางกอกอินดัสเทรียลแก๊ส </v>
      </c>
      <c r="H477" s="68" t="str">
        <f>HLOOKUP(I$2+$A477,Sheet2!BX:NB,2,0)</f>
        <v>16-31 Jan 21</v>
      </c>
      <c r="I477" t="str">
        <f>IF(OR(HLOOKUP(I$2+$A477,Sheet2!BX:NB,$B477,0),HLOOKUP(I$2+$A477,Sheet2!BX:NB,$B477,0)&lt;&gt;""),HLOOKUP(I$2+$A477,Sheet2!BX:NB,$B477,0),"")</f>
        <v/>
      </c>
      <c r="J477" t="str">
        <f>IF(OR(HLOOKUP(J$2+$A477,Sheet2!BY:NC,$B477,0),HLOOKUP(J$2+$A477,Sheet2!BY:NC,$B477,0)&lt;&gt;""),HLOOKUP(J$2+$A477,Sheet2!BY:NC,$B477,0),"")</f>
        <v/>
      </c>
      <c r="K477" t="str">
        <f>IF(OR(HLOOKUP(K$2+$A477,Sheet2!BZ:ND,$B477,0),HLOOKUP(K$2+$A477,Sheet2!BZ:ND,$B477,0)&lt;&gt;""),HLOOKUP(K$2+$A477,Sheet2!BZ:ND,$B477,0),"")</f>
        <v/>
      </c>
      <c r="L477" t="str">
        <f>IF(OR(HLOOKUP(L$2+$A477,Sheet2!CA:NE,$B477,0),HLOOKUP(L$2+$A477,Sheet2!CA:NE,$B477,0)&lt;&gt;""),HLOOKUP(L$2+$A477,Sheet2!CA:NE,$B477,0),"")</f>
        <v/>
      </c>
      <c r="M477" t="str">
        <f>IF(OR(HLOOKUP(M$2+$A477,Sheet2!CB:NF,$B477,0),HLOOKUP(M$2+$A477,Sheet2!CB:NF,$B477,0)&lt;&gt;""),HLOOKUP(M$2+$A477,Sheet2!CB:NF,$B477,0),"")</f>
        <v/>
      </c>
    </row>
    <row r="478" spans="1:13" x14ac:dyDescent="0.25">
      <c r="A478" s="68">
        <f t="shared" si="53"/>
        <v>10</v>
      </c>
      <c r="B478" s="68">
        <f t="shared" si="54"/>
        <v>64</v>
      </c>
      <c r="C478" s="68">
        <f t="shared" si="56"/>
        <v>3</v>
      </c>
      <c r="D478" s="68">
        <f t="shared" si="55"/>
        <v>60</v>
      </c>
      <c r="E478" s="68">
        <f t="shared" si="57"/>
        <v>296</v>
      </c>
      <c r="F478" s="21" t="str">
        <f>VLOOKUP(D478,Sheet2!A:B,2)</f>
        <v>J20-0369</v>
      </c>
      <c r="G478" s="68" t="str">
        <f>VLOOKUP(F478,Sheet2!B:C,2,0)</f>
        <v xml:space="preserve">บางกอกอินดัสเทรียลแก๊ส </v>
      </c>
      <c r="H478" s="68" t="str">
        <f>HLOOKUP(I$2+$A478,Sheet2!BX:NB,2,0)</f>
        <v>1-15 Feb 21</v>
      </c>
      <c r="I478" t="str">
        <f>IF(OR(HLOOKUP(I$2+$A478,Sheet2!BX:NB,$B478,0),HLOOKUP(I$2+$A478,Sheet2!BX:NB,$B478,0)&lt;&gt;""),HLOOKUP(I$2+$A478,Sheet2!BX:NB,$B478,0),"")</f>
        <v/>
      </c>
      <c r="J478" t="str">
        <f>IF(OR(HLOOKUP(J$2+$A478,Sheet2!BY:NC,$B478,0),HLOOKUP(J$2+$A478,Sheet2!BY:NC,$B478,0)&lt;&gt;""),HLOOKUP(J$2+$A478,Sheet2!BY:NC,$B478,0),"")</f>
        <v/>
      </c>
      <c r="K478" t="str">
        <f>IF(OR(HLOOKUP(K$2+$A478,Sheet2!BZ:ND,$B478,0),HLOOKUP(K$2+$A478,Sheet2!BZ:ND,$B478,0)&lt;&gt;""),HLOOKUP(K$2+$A478,Sheet2!BZ:ND,$B478,0),"")</f>
        <v/>
      </c>
      <c r="L478" t="str">
        <f>IF(OR(HLOOKUP(L$2+$A478,Sheet2!CA:NE,$B478,0),HLOOKUP(L$2+$A478,Sheet2!CA:NE,$B478,0)&lt;&gt;""),HLOOKUP(L$2+$A478,Sheet2!CA:NE,$B478,0),"")</f>
        <v/>
      </c>
      <c r="M478" t="str">
        <f>IF(OR(HLOOKUP(M$2+$A478,Sheet2!CB:NF,$B478,0),HLOOKUP(M$2+$A478,Sheet2!CB:NF,$B478,0)&lt;&gt;""),HLOOKUP(M$2+$A478,Sheet2!CB:NF,$B478,0),"")</f>
        <v/>
      </c>
    </row>
    <row r="479" spans="1:13" x14ac:dyDescent="0.25">
      <c r="A479" s="68">
        <f t="shared" si="53"/>
        <v>15</v>
      </c>
      <c r="B479" s="68">
        <f t="shared" si="54"/>
        <v>64</v>
      </c>
      <c r="C479" s="68">
        <f t="shared" si="56"/>
        <v>4</v>
      </c>
      <c r="D479" s="68">
        <f t="shared" si="55"/>
        <v>60</v>
      </c>
      <c r="E479" s="68">
        <f t="shared" si="57"/>
        <v>296</v>
      </c>
      <c r="F479" s="21" t="str">
        <f>VLOOKUP(D479,Sheet2!A:B,2)</f>
        <v>J20-0369</v>
      </c>
      <c r="G479" s="68" t="str">
        <f>VLOOKUP(F479,Sheet2!B:C,2,0)</f>
        <v xml:space="preserve">บางกอกอินดัสเทรียลแก๊ส </v>
      </c>
      <c r="H479" s="68" t="str">
        <f>HLOOKUP(I$2+$A479,Sheet2!BX:NB,2,0)</f>
        <v>16-28 Feb 21</v>
      </c>
      <c r="I479" t="str">
        <f>IF(OR(HLOOKUP(I$2+$A479,Sheet2!BX:NB,$B479,0),HLOOKUP(I$2+$A479,Sheet2!BX:NB,$B479,0)&lt;&gt;""),HLOOKUP(I$2+$A479,Sheet2!BX:NB,$B479,0),"")</f>
        <v/>
      </c>
      <c r="J479" t="str">
        <f>IF(OR(HLOOKUP(J$2+$A479,Sheet2!BY:NC,$B479,0),HLOOKUP(J$2+$A479,Sheet2!BY:NC,$B479,0)&lt;&gt;""),HLOOKUP(J$2+$A479,Sheet2!BY:NC,$B479,0),"")</f>
        <v/>
      </c>
      <c r="K479" t="str">
        <f>IF(OR(HLOOKUP(K$2+$A479,Sheet2!BZ:ND,$B479,0),HLOOKUP(K$2+$A479,Sheet2!BZ:ND,$B479,0)&lt;&gt;""),HLOOKUP(K$2+$A479,Sheet2!BZ:ND,$B479,0),"")</f>
        <v/>
      </c>
      <c r="L479" t="str">
        <f>IF(OR(HLOOKUP(L$2+$A479,Sheet2!CA:NE,$B479,0),HLOOKUP(L$2+$A479,Sheet2!CA:NE,$B479,0)&lt;&gt;""),HLOOKUP(L$2+$A479,Sheet2!CA:NE,$B479,0),"")</f>
        <v/>
      </c>
      <c r="M479" t="str">
        <f>IF(OR(HLOOKUP(M$2+$A479,Sheet2!CB:NF,$B479,0),HLOOKUP(M$2+$A479,Sheet2!CB:NF,$B479,0)&lt;&gt;""),HLOOKUP(M$2+$A479,Sheet2!CB:NF,$B479,0),"")</f>
        <v/>
      </c>
    </row>
    <row r="480" spans="1:13" x14ac:dyDescent="0.25">
      <c r="A480" s="68">
        <f t="shared" si="53"/>
        <v>20</v>
      </c>
      <c r="B480" s="68">
        <f t="shared" si="54"/>
        <v>64</v>
      </c>
      <c r="C480" s="68">
        <f t="shared" si="56"/>
        <v>5</v>
      </c>
      <c r="D480" s="68">
        <f t="shared" si="55"/>
        <v>60</v>
      </c>
      <c r="E480" s="68">
        <f t="shared" si="57"/>
        <v>296</v>
      </c>
      <c r="F480" s="21" t="str">
        <f>VLOOKUP(D480,Sheet2!A:B,2)</f>
        <v>J20-0369</v>
      </c>
      <c r="G480" s="68" t="str">
        <f>VLOOKUP(F480,Sheet2!B:C,2,0)</f>
        <v xml:space="preserve">บางกอกอินดัสเทรียลแก๊ส </v>
      </c>
      <c r="H480" s="68" t="str">
        <f>HLOOKUP(I$2+$A480,Sheet2!BX:NB,2,0)</f>
        <v>1-15 Mar 2021</v>
      </c>
      <c r="I480" t="str">
        <f>IF(OR(HLOOKUP(I$2+$A480,Sheet2!BX:NB,$B480,0),HLOOKUP(I$2+$A480,Sheet2!BX:NB,$B480,0)&lt;&gt;""),HLOOKUP(I$2+$A480,Sheet2!BX:NB,$B480,0),"")</f>
        <v/>
      </c>
      <c r="J480" t="str">
        <f>IF(OR(HLOOKUP(J$2+$A480,Sheet2!BY:NC,$B480,0),HLOOKUP(J$2+$A480,Sheet2!BY:NC,$B480,0)&lt;&gt;""),HLOOKUP(J$2+$A480,Sheet2!BY:NC,$B480,0),"")</f>
        <v/>
      </c>
      <c r="K480" t="str">
        <f>IF(OR(HLOOKUP(K$2+$A480,Sheet2!BZ:ND,$B480,0),HLOOKUP(K$2+$A480,Sheet2!BZ:ND,$B480,0)&lt;&gt;""),HLOOKUP(K$2+$A480,Sheet2!BZ:ND,$B480,0),"")</f>
        <v/>
      </c>
      <c r="L480" t="str">
        <f>IF(OR(HLOOKUP(L$2+$A480,Sheet2!CA:NE,$B480,0),HLOOKUP(L$2+$A480,Sheet2!CA:NE,$B480,0)&lt;&gt;""),HLOOKUP(L$2+$A480,Sheet2!CA:NE,$B480,0),"")</f>
        <v/>
      </c>
      <c r="M480" t="str">
        <f>IF(OR(HLOOKUP(M$2+$A480,Sheet2!CB:NF,$B480,0),HLOOKUP(M$2+$A480,Sheet2!CB:NF,$B480,0)&lt;&gt;""),HLOOKUP(M$2+$A480,Sheet2!CB:NF,$B480,0),"")</f>
        <v/>
      </c>
    </row>
    <row r="481" spans="1:13" x14ac:dyDescent="0.25">
      <c r="A481" s="68">
        <f t="shared" si="53"/>
        <v>25</v>
      </c>
      <c r="B481" s="68">
        <f t="shared" si="54"/>
        <v>64</v>
      </c>
      <c r="C481" s="68">
        <f t="shared" si="56"/>
        <v>6</v>
      </c>
      <c r="D481" s="68">
        <f t="shared" si="55"/>
        <v>60</v>
      </c>
      <c r="E481" s="68">
        <f t="shared" si="57"/>
        <v>296</v>
      </c>
      <c r="F481" s="21" t="str">
        <f>VLOOKUP(D481,Sheet2!A:B,2)</f>
        <v>J20-0369</v>
      </c>
      <c r="G481" s="68" t="str">
        <f>VLOOKUP(F481,Sheet2!B:C,2,0)</f>
        <v xml:space="preserve">บางกอกอินดัสเทรียลแก๊ส </v>
      </c>
      <c r="H481" s="68" t="str">
        <f>HLOOKUP(I$2+$A481,Sheet2!BX:NB,2,0)</f>
        <v>16-31 Mar 21</v>
      </c>
      <c r="I481" t="str">
        <f>IF(OR(HLOOKUP(I$2+$A481,Sheet2!BX:NB,$B481,0),HLOOKUP(I$2+$A481,Sheet2!BX:NB,$B481,0)&lt;&gt;""),HLOOKUP(I$2+$A481,Sheet2!BX:NB,$B481,0),"")</f>
        <v/>
      </c>
      <c r="J481" t="str">
        <f>IF(OR(HLOOKUP(J$2+$A481,Sheet2!BY:NC,$B481,0),HLOOKUP(J$2+$A481,Sheet2!BY:NC,$B481,0)&lt;&gt;""),HLOOKUP(J$2+$A481,Sheet2!BY:NC,$B481,0),"")</f>
        <v/>
      </c>
      <c r="K481" t="str">
        <f>IF(OR(HLOOKUP(K$2+$A481,Sheet2!BZ:ND,$B481,0),HLOOKUP(K$2+$A481,Sheet2!BZ:ND,$B481,0)&lt;&gt;""),HLOOKUP(K$2+$A481,Sheet2!BZ:ND,$B481,0),"")</f>
        <v/>
      </c>
      <c r="L481" t="str">
        <f>IF(OR(HLOOKUP(L$2+$A481,Sheet2!CA:NE,$B481,0),HLOOKUP(L$2+$A481,Sheet2!CA:NE,$B481,0)&lt;&gt;""),HLOOKUP(L$2+$A481,Sheet2!CA:NE,$B481,0),"")</f>
        <v/>
      </c>
      <c r="M481" t="str">
        <f>IF(OR(HLOOKUP(M$2+$A481,Sheet2!CB:NF,$B481,0),HLOOKUP(M$2+$A481,Sheet2!CB:NF,$B481,0)&lt;&gt;""),HLOOKUP(M$2+$A481,Sheet2!CB:NF,$B481,0),"")</f>
        <v/>
      </c>
    </row>
    <row r="482" spans="1:13" x14ac:dyDescent="0.25">
      <c r="A482" s="68">
        <f t="shared" si="53"/>
        <v>30</v>
      </c>
      <c r="B482" s="68">
        <f t="shared" si="54"/>
        <v>64</v>
      </c>
      <c r="C482" s="68">
        <f t="shared" si="56"/>
        <v>7</v>
      </c>
      <c r="D482" s="68">
        <f t="shared" si="55"/>
        <v>60</v>
      </c>
      <c r="E482" s="68">
        <f t="shared" si="57"/>
        <v>296</v>
      </c>
      <c r="F482" s="21" t="str">
        <f>VLOOKUP(D482,Sheet2!A:B,2)</f>
        <v>J20-0369</v>
      </c>
      <c r="G482" s="68" t="str">
        <f>VLOOKUP(F482,Sheet2!B:C,2,0)</f>
        <v xml:space="preserve">บางกอกอินดัสเทรียลแก๊ส </v>
      </c>
      <c r="H482" s="68" t="str">
        <f>HLOOKUP(I$2+$A482,Sheet2!BX:NB,2,0)</f>
        <v>1-15 April 21</v>
      </c>
      <c r="I482" t="str">
        <f>IF(OR(HLOOKUP(I$2+$A482,Sheet2!BX:NB,$B482,0),HLOOKUP(I$2+$A482,Sheet2!BX:NB,$B482,0)&lt;&gt;""),HLOOKUP(I$2+$A482,Sheet2!BX:NB,$B482,0),"")</f>
        <v/>
      </c>
      <c r="J482" t="str">
        <f>IF(OR(HLOOKUP(J$2+$A482,Sheet2!BY:NC,$B482,0),HLOOKUP(J$2+$A482,Sheet2!BY:NC,$B482,0)&lt;&gt;""),HLOOKUP(J$2+$A482,Sheet2!BY:NC,$B482,0),"")</f>
        <v/>
      </c>
      <c r="K482" t="str">
        <f>IF(OR(HLOOKUP(K$2+$A482,Sheet2!BZ:ND,$B482,0),HLOOKUP(K$2+$A482,Sheet2!BZ:ND,$B482,0)&lt;&gt;""),HLOOKUP(K$2+$A482,Sheet2!BZ:ND,$B482,0),"")</f>
        <v/>
      </c>
      <c r="L482" t="str">
        <f>IF(OR(HLOOKUP(L$2+$A482,Sheet2!CA:NE,$B482,0),HLOOKUP(L$2+$A482,Sheet2!CA:NE,$B482,0)&lt;&gt;""),HLOOKUP(L$2+$A482,Sheet2!CA:NE,$B482,0),"")</f>
        <v/>
      </c>
      <c r="M482" t="str">
        <f>IF(OR(HLOOKUP(M$2+$A482,Sheet2!CB:NF,$B482,0),HLOOKUP(M$2+$A482,Sheet2!CB:NF,$B482,0)&lt;&gt;""),HLOOKUP(M$2+$A482,Sheet2!CB:NF,$B482,0),"")</f>
        <v/>
      </c>
    </row>
    <row r="483" spans="1:13" x14ac:dyDescent="0.25">
      <c r="A483" s="68">
        <f t="shared" si="53"/>
        <v>35</v>
      </c>
      <c r="B483" s="68">
        <f t="shared" si="54"/>
        <v>64</v>
      </c>
      <c r="C483" s="68">
        <f t="shared" si="56"/>
        <v>8</v>
      </c>
      <c r="D483" s="68">
        <f t="shared" si="55"/>
        <v>60</v>
      </c>
      <c r="E483" s="68">
        <f t="shared" si="57"/>
        <v>296</v>
      </c>
      <c r="F483" s="21" t="str">
        <f>VLOOKUP(D483,Sheet2!A:B,2)</f>
        <v>J20-0369</v>
      </c>
      <c r="G483" s="68" t="str">
        <f>VLOOKUP(F483,Sheet2!B:C,2,0)</f>
        <v xml:space="preserve">บางกอกอินดัสเทรียลแก๊ส </v>
      </c>
      <c r="H483" s="68" t="str">
        <f>HLOOKUP(I$2+$A483,Sheet2!BX:NB,2,0)</f>
        <v>16-30 April 21</v>
      </c>
      <c r="I483" t="str">
        <f>IF(OR(HLOOKUP(I$2+$A483,Sheet2!BX:NB,$B483,0),HLOOKUP(I$2+$A483,Sheet2!BX:NB,$B483,0)&lt;&gt;""),HLOOKUP(I$2+$A483,Sheet2!BX:NB,$B483,0),"")</f>
        <v/>
      </c>
      <c r="J483" t="str">
        <f>IF(OR(HLOOKUP(J$2+$A483,Sheet2!BY:NC,$B483,0),HLOOKUP(J$2+$A483,Sheet2!BY:NC,$B483,0)&lt;&gt;""),HLOOKUP(J$2+$A483,Sheet2!BY:NC,$B483,0),"")</f>
        <v/>
      </c>
      <c r="K483" t="str">
        <f>IF(OR(HLOOKUP(K$2+$A483,Sheet2!BZ:ND,$B483,0),HLOOKUP(K$2+$A483,Sheet2!BZ:ND,$B483,0)&lt;&gt;""),HLOOKUP(K$2+$A483,Sheet2!BZ:ND,$B483,0),"")</f>
        <v/>
      </c>
      <c r="L483" t="str">
        <f>IF(OR(HLOOKUP(L$2+$A483,Sheet2!CA:NE,$B483,0),HLOOKUP(L$2+$A483,Sheet2!CA:NE,$B483,0)&lt;&gt;""),HLOOKUP(L$2+$A483,Sheet2!CA:NE,$B483,0),"")</f>
        <v/>
      </c>
      <c r="M483" t="str">
        <f>IF(OR(HLOOKUP(M$2+$A483,Sheet2!CB:NF,$B483,0),HLOOKUP(M$2+$A483,Sheet2!CB:NF,$B483,0)&lt;&gt;""),HLOOKUP(M$2+$A483,Sheet2!CB:NF,$B483,0),"")</f>
        <v/>
      </c>
    </row>
    <row r="484" spans="1:13" x14ac:dyDescent="0.25">
      <c r="A484" s="68">
        <f t="shared" si="53"/>
        <v>0</v>
      </c>
      <c r="B484" s="68">
        <f t="shared" si="54"/>
        <v>65</v>
      </c>
      <c r="C484" s="68">
        <f t="shared" si="56"/>
        <v>1</v>
      </c>
      <c r="D484" s="68">
        <f t="shared" si="55"/>
        <v>61</v>
      </c>
      <c r="E484" s="68">
        <f t="shared" si="57"/>
        <v>301</v>
      </c>
      <c r="F484" s="21" t="str">
        <f>VLOOKUP(D484,Sheet2!A:B,2)</f>
        <v>J19-0688</v>
      </c>
      <c r="G484" s="68" t="str">
        <f>VLOOKUP(F484,Sheet2!B:C,2,0)</f>
        <v xml:space="preserve">SIAM TAKUMA (Myanmar) </v>
      </c>
      <c r="H484" s="68" t="str">
        <f>HLOOKUP(I$2+$A484,Sheet2!BX:NB,2,0)</f>
        <v>1-15 Jan 21</v>
      </c>
      <c r="I484" t="str">
        <f>IF(OR(HLOOKUP(I$2+$A484,Sheet2!BX:NB,$B484,0),HLOOKUP(I$2+$A484,Sheet2!BX:NB,$B484,0)&lt;&gt;""),HLOOKUP(I$2+$A484,Sheet2!BX:NB,$B484,0),"")</f>
        <v/>
      </c>
      <c r="J484" t="str">
        <f>IF(OR(HLOOKUP(J$2+$A484,Sheet2!BY:NC,$B484,0),HLOOKUP(J$2+$A484,Sheet2!BY:NC,$B484,0)&lt;&gt;""),HLOOKUP(J$2+$A484,Sheet2!BY:NC,$B484,0),"")</f>
        <v/>
      </c>
      <c r="K484" t="str">
        <f>IF(OR(HLOOKUP(K$2+$A484,Sheet2!BZ:ND,$B484,0),HLOOKUP(K$2+$A484,Sheet2!BZ:ND,$B484,0)&lt;&gt;""),HLOOKUP(K$2+$A484,Sheet2!BZ:ND,$B484,0),"")</f>
        <v/>
      </c>
      <c r="L484" t="str">
        <f>IF(OR(HLOOKUP(L$2+$A484,Sheet2!CA:NE,$B484,0),HLOOKUP(L$2+$A484,Sheet2!CA:NE,$B484,0)&lt;&gt;""),HLOOKUP(L$2+$A484,Sheet2!CA:NE,$B484,0),"")</f>
        <v/>
      </c>
      <c r="M484" t="str">
        <f>IF(OR(HLOOKUP(M$2+$A484,Sheet2!CB:NF,$B484,0),HLOOKUP(M$2+$A484,Sheet2!CB:NF,$B484,0)&lt;&gt;""),HLOOKUP(M$2+$A484,Sheet2!CB:NF,$B484,0),"")</f>
        <v/>
      </c>
    </row>
    <row r="485" spans="1:13" x14ac:dyDescent="0.25">
      <c r="A485" s="68">
        <f t="shared" si="53"/>
        <v>5</v>
      </c>
      <c r="B485" s="68">
        <f t="shared" si="54"/>
        <v>65</v>
      </c>
      <c r="C485" s="68">
        <f t="shared" si="56"/>
        <v>2</v>
      </c>
      <c r="D485" s="68">
        <f t="shared" si="55"/>
        <v>61</v>
      </c>
      <c r="E485" s="68">
        <f t="shared" si="57"/>
        <v>301</v>
      </c>
      <c r="F485" s="21" t="str">
        <f>VLOOKUP(D485,Sheet2!A:B,2)</f>
        <v>J19-0688</v>
      </c>
      <c r="G485" s="68" t="str">
        <f>VLOOKUP(F485,Sheet2!B:C,2,0)</f>
        <v xml:space="preserve">SIAM TAKUMA (Myanmar) </v>
      </c>
      <c r="H485" s="68" t="str">
        <f>HLOOKUP(I$2+$A485,Sheet2!BX:NB,2,0)</f>
        <v>16-31 Jan 21</v>
      </c>
      <c r="I485" t="str">
        <f>IF(OR(HLOOKUP(I$2+$A485,Sheet2!BX:NB,$B485,0),HLOOKUP(I$2+$A485,Sheet2!BX:NB,$B485,0)&lt;&gt;""),HLOOKUP(I$2+$A485,Sheet2!BX:NB,$B485,0),"")</f>
        <v/>
      </c>
      <c r="J485" t="str">
        <f>IF(OR(HLOOKUP(J$2+$A485,Sheet2!BY:NC,$B485,0),HLOOKUP(J$2+$A485,Sheet2!BY:NC,$B485,0)&lt;&gt;""),HLOOKUP(J$2+$A485,Sheet2!BY:NC,$B485,0),"")</f>
        <v/>
      </c>
      <c r="K485" t="str">
        <f>IF(OR(HLOOKUP(K$2+$A485,Sheet2!BZ:ND,$B485,0),HLOOKUP(K$2+$A485,Sheet2!BZ:ND,$B485,0)&lt;&gt;""),HLOOKUP(K$2+$A485,Sheet2!BZ:ND,$B485,0),"")</f>
        <v/>
      </c>
      <c r="L485" t="str">
        <f>IF(OR(HLOOKUP(L$2+$A485,Sheet2!CA:NE,$B485,0),HLOOKUP(L$2+$A485,Sheet2!CA:NE,$B485,0)&lt;&gt;""),HLOOKUP(L$2+$A485,Sheet2!CA:NE,$B485,0),"")</f>
        <v/>
      </c>
      <c r="M485" t="str">
        <f>IF(OR(HLOOKUP(M$2+$A485,Sheet2!CB:NF,$B485,0),HLOOKUP(M$2+$A485,Sheet2!CB:NF,$B485,0)&lt;&gt;""),HLOOKUP(M$2+$A485,Sheet2!CB:NF,$B485,0),"")</f>
        <v/>
      </c>
    </row>
    <row r="486" spans="1:13" x14ac:dyDescent="0.25">
      <c r="A486" s="68">
        <f t="shared" si="53"/>
        <v>10</v>
      </c>
      <c r="B486" s="68">
        <f t="shared" si="54"/>
        <v>65</v>
      </c>
      <c r="C486" s="68">
        <f t="shared" si="56"/>
        <v>3</v>
      </c>
      <c r="D486" s="68">
        <f t="shared" si="55"/>
        <v>61</v>
      </c>
      <c r="E486" s="68">
        <f t="shared" si="57"/>
        <v>301</v>
      </c>
      <c r="F486" s="21" t="str">
        <f>VLOOKUP(D486,Sheet2!A:B,2)</f>
        <v>J19-0688</v>
      </c>
      <c r="G486" s="68" t="str">
        <f>VLOOKUP(F486,Sheet2!B:C,2,0)</f>
        <v xml:space="preserve">SIAM TAKUMA (Myanmar) </v>
      </c>
      <c r="H486" s="68" t="str">
        <f>HLOOKUP(I$2+$A486,Sheet2!BX:NB,2,0)</f>
        <v>1-15 Feb 21</v>
      </c>
      <c r="I486" t="str">
        <f>IF(OR(HLOOKUP(I$2+$A486,Sheet2!BX:NB,$B486,0),HLOOKUP(I$2+$A486,Sheet2!BX:NB,$B486,0)&lt;&gt;""),HLOOKUP(I$2+$A486,Sheet2!BX:NB,$B486,0),"")</f>
        <v/>
      </c>
      <c r="J486" t="str">
        <f>IF(OR(HLOOKUP(J$2+$A486,Sheet2!BY:NC,$B486,0),HLOOKUP(J$2+$A486,Sheet2!BY:NC,$B486,0)&lt;&gt;""),HLOOKUP(J$2+$A486,Sheet2!BY:NC,$B486,0),"")</f>
        <v/>
      </c>
      <c r="K486" t="str">
        <f>IF(OR(HLOOKUP(K$2+$A486,Sheet2!BZ:ND,$B486,0),HLOOKUP(K$2+$A486,Sheet2!BZ:ND,$B486,0)&lt;&gt;""),HLOOKUP(K$2+$A486,Sheet2!BZ:ND,$B486,0),"")</f>
        <v/>
      </c>
      <c r="L486" t="str">
        <f>IF(OR(HLOOKUP(L$2+$A486,Sheet2!CA:NE,$B486,0),HLOOKUP(L$2+$A486,Sheet2!CA:NE,$B486,0)&lt;&gt;""),HLOOKUP(L$2+$A486,Sheet2!CA:NE,$B486,0),"")</f>
        <v/>
      </c>
      <c r="M486" t="str">
        <f>IF(OR(HLOOKUP(M$2+$A486,Sheet2!CB:NF,$B486,0),HLOOKUP(M$2+$A486,Sheet2!CB:NF,$B486,0)&lt;&gt;""),HLOOKUP(M$2+$A486,Sheet2!CB:NF,$B486,0),"")</f>
        <v/>
      </c>
    </row>
    <row r="487" spans="1:13" x14ac:dyDescent="0.25">
      <c r="A487" s="68">
        <f t="shared" si="53"/>
        <v>15</v>
      </c>
      <c r="B487" s="68">
        <f t="shared" si="54"/>
        <v>65</v>
      </c>
      <c r="C487" s="68">
        <f t="shared" si="56"/>
        <v>4</v>
      </c>
      <c r="D487" s="68">
        <f t="shared" si="55"/>
        <v>61</v>
      </c>
      <c r="E487" s="68">
        <f t="shared" si="57"/>
        <v>301</v>
      </c>
      <c r="F487" s="21" t="str">
        <f>VLOOKUP(D487,Sheet2!A:B,2)</f>
        <v>J19-0688</v>
      </c>
      <c r="G487" s="68" t="str">
        <f>VLOOKUP(F487,Sheet2!B:C,2,0)</f>
        <v xml:space="preserve">SIAM TAKUMA (Myanmar) </v>
      </c>
      <c r="H487" s="68" t="str">
        <f>HLOOKUP(I$2+$A487,Sheet2!BX:NB,2,0)</f>
        <v>16-28 Feb 21</v>
      </c>
      <c r="I487" t="str">
        <f>IF(OR(HLOOKUP(I$2+$A487,Sheet2!BX:NB,$B487,0),HLOOKUP(I$2+$A487,Sheet2!BX:NB,$B487,0)&lt;&gt;""),HLOOKUP(I$2+$A487,Sheet2!BX:NB,$B487,0),"")</f>
        <v/>
      </c>
      <c r="J487" t="str">
        <f>IF(OR(HLOOKUP(J$2+$A487,Sheet2!BY:NC,$B487,0),HLOOKUP(J$2+$A487,Sheet2!BY:NC,$B487,0)&lt;&gt;""),HLOOKUP(J$2+$A487,Sheet2!BY:NC,$B487,0),"")</f>
        <v/>
      </c>
      <c r="K487" t="str">
        <f>IF(OR(HLOOKUP(K$2+$A487,Sheet2!BZ:ND,$B487,0),HLOOKUP(K$2+$A487,Sheet2!BZ:ND,$B487,0)&lt;&gt;""),HLOOKUP(K$2+$A487,Sheet2!BZ:ND,$B487,0),"")</f>
        <v/>
      </c>
      <c r="L487" t="str">
        <f>IF(OR(HLOOKUP(L$2+$A487,Sheet2!CA:NE,$B487,0),HLOOKUP(L$2+$A487,Sheet2!CA:NE,$B487,0)&lt;&gt;""),HLOOKUP(L$2+$A487,Sheet2!CA:NE,$B487,0),"")</f>
        <v/>
      </c>
      <c r="M487" t="str">
        <f>IF(OR(HLOOKUP(M$2+$A487,Sheet2!CB:NF,$B487,0),HLOOKUP(M$2+$A487,Sheet2!CB:NF,$B487,0)&lt;&gt;""),HLOOKUP(M$2+$A487,Sheet2!CB:NF,$B487,0),"")</f>
        <v/>
      </c>
    </row>
    <row r="488" spans="1:13" x14ac:dyDescent="0.25">
      <c r="A488" s="68">
        <f t="shared" si="53"/>
        <v>20</v>
      </c>
      <c r="B488" s="68">
        <f t="shared" si="54"/>
        <v>65</v>
      </c>
      <c r="C488" s="68">
        <f t="shared" si="56"/>
        <v>5</v>
      </c>
      <c r="D488" s="68">
        <f t="shared" si="55"/>
        <v>61</v>
      </c>
      <c r="E488" s="68">
        <f t="shared" si="57"/>
        <v>301</v>
      </c>
      <c r="F488" s="21" t="str">
        <f>VLOOKUP(D488,Sheet2!A:B,2)</f>
        <v>J19-0688</v>
      </c>
      <c r="G488" s="68" t="str">
        <f>VLOOKUP(F488,Sheet2!B:C,2,0)</f>
        <v xml:space="preserve">SIAM TAKUMA (Myanmar) </v>
      </c>
      <c r="H488" s="68" t="str">
        <f>HLOOKUP(I$2+$A488,Sheet2!BX:NB,2,0)</f>
        <v>1-15 Mar 2021</v>
      </c>
      <c r="I488" t="str">
        <f>IF(OR(HLOOKUP(I$2+$A488,Sheet2!BX:NB,$B488,0),HLOOKUP(I$2+$A488,Sheet2!BX:NB,$B488,0)&lt;&gt;""),HLOOKUP(I$2+$A488,Sheet2!BX:NB,$B488,0),"")</f>
        <v/>
      </c>
      <c r="J488" t="str">
        <f>IF(OR(HLOOKUP(J$2+$A488,Sheet2!BY:NC,$B488,0),HLOOKUP(J$2+$A488,Sheet2!BY:NC,$B488,0)&lt;&gt;""),HLOOKUP(J$2+$A488,Sheet2!BY:NC,$B488,0),"")</f>
        <v/>
      </c>
      <c r="K488" t="str">
        <f>IF(OR(HLOOKUP(K$2+$A488,Sheet2!BZ:ND,$B488,0),HLOOKUP(K$2+$A488,Sheet2!BZ:ND,$B488,0)&lt;&gt;""),HLOOKUP(K$2+$A488,Sheet2!BZ:ND,$B488,0),"")</f>
        <v/>
      </c>
      <c r="L488" t="str">
        <f>IF(OR(HLOOKUP(L$2+$A488,Sheet2!CA:NE,$B488,0),HLOOKUP(L$2+$A488,Sheet2!CA:NE,$B488,0)&lt;&gt;""),HLOOKUP(L$2+$A488,Sheet2!CA:NE,$B488,0),"")</f>
        <v/>
      </c>
      <c r="M488" t="str">
        <f>IF(OR(HLOOKUP(M$2+$A488,Sheet2!CB:NF,$B488,0),HLOOKUP(M$2+$A488,Sheet2!CB:NF,$B488,0)&lt;&gt;""),HLOOKUP(M$2+$A488,Sheet2!CB:NF,$B488,0),"")</f>
        <v/>
      </c>
    </row>
    <row r="489" spans="1:13" x14ac:dyDescent="0.25">
      <c r="A489" s="68">
        <f t="shared" si="53"/>
        <v>25</v>
      </c>
      <c r="B489" s="68">
        <f t="shared" si="54"/>
        <v>65</v>
      </c>
      <c r="C489" s="68">
        <f t="shared" si="56"/>
        <v>6</v>
      </c>
      <c r="D489" s="68">
        <f t="shared" si="55"/>
        <v>61</v>
      </c>
      <c r="E489" s="68">
        <f t="shared" si="57"/>
        <v>301</v>
      </c>
      <c r="F489" s="21" t="str">
        <f>VLOOKUP(D489,Sheet2!A:B,2)</f>
        <v>J19-0688</v>
      </c>
      <c r="G489" s="68" t="str">
        <f>VLOOKUP(F489,Sheet2!B:C,2,0)</f>
        <v xml:space="preserve">SIAM TAKUMA (Myanmar) </v>
      </c>
      <c r="H489" s="68" t="str">
        <f>HLOOKUP(I$2+$A489,Sheet2!BX:NB,2,0)</f>
        <v>16-31 Mar 21</v>
      </c>
      <c r="I489" t="str">
        <f>IF(OR(HLOOKUP(I$2+$A489,Sheet2!BX:NB,$B489,0),HLOOKUP(I$2+$A489,Sheet2!BX:NB,$B489,0)&lt;&gt;""),HLOOKUP(I$2+$A489,Sheet2!BX:NB,$B489,0),"")</f>
        <v/>
      </c>
      <c r="J489" t="str">
        <f>IF(OR(HLOOKUP(J$2+$A489,Sheet2!BY:NC,$B489,0),HLOOKUP(J$2+$A489,Sheet2!BY:NC,$B489,0)&lt;&gt;""),HLOOKUP(J$2+$A489,Sheet2!BY:NC,$B489,0),"")</f>
        <v/>
      </c>
      <c r="K489" t="str">
        <f>IF(OR(HLOOKUP(K$2+$A489,Sheet2!BZ:ND,$B489,0),HLOOKUP(K$2+$A489,Sheet2!BZ:ND,$B489,0)&lt;&gt;""),HLOOKUP(K$2+$A489,Sheet2!BZ:ND,$B489,0),"")</f>
        <v/>
      </c>
      <c r="L489" t="str">
        <f>IF(OR(HLOOKUP(L$2+$A489,Sheet2!CA:NE,$B489,0),HLOOKUP(L$2+$A489,Sheet2!CA:NE,$B489,0)&lt;&gt;""),HLOOKUP(L$2+$A489,Sheet2!CA:NE,$B489,0),"")</f>
        <v/>
      </c>
      <c r="M489" t="str">
        <f>IF(OR(HLOOKUP(M$2+$A489,Sheet2!CB:NF,$B489,0),HLOOKUP(M$2+$A489,Sheet2!CB:NF,$B489,0)&lt;&gt;""),HLOOKUP(M$2+$A489,Sheet2!CB:NF,$B489,0),"")</f>
        <v/>
      </c>
    </row>
    <row r="490" spans="1:13" x14ac:dyDescent="0.25">
      <c r="A490" s="68">
        <f t="shared" si="53"/>
        <v>30</v>
      </c>
      <c r="B490" s="68">
        <f t="shared" si="54"/>
        <v>65</v>
      </c>
      <c r="C490" s="68">
        <f t="shared" si="56"/>
        <v>7</v>
      </c>
      <c r="D490" s="68">
        <f t="shared" si="55"/>
        <v>61</v>
      </c>
      <c r="E490" s="68">
        <f t="shared" si="57"/>
        <v>301</v>
      </c>
      <c r="F490" s="21" t="str">
        <f>VLOOKUP(D490,Sheet2!A:B,2)</f>
        <v>J19-0688</v>
      </c>
      <c r="G490" s="68" t="str">
        <f>VLOOKUP(F490,Sheet2!B:C,2,0)</f>
        <v xml:space="preserve">SIAM TAKUMA (Myanmar) </v>
      </c>
      <c r="H490" s="68" t="str">
        <f>HLOOKUP(I$2+$A490,Sheet2!BX:NB,2,0)</f>
        <v>1-15 April 21</v>
      </c>
      <c r="I490" t="str">
        <f>IF(OR(HLOOKUP(I$2+$A490,Sheet2!BX:NB,$B490,0),HLOOKUP(I$2+$A490,Sheet2!BX:NB,$B490,0)&lt;&gt;""),HLOOKUP(I$2+$A490,Sheet2!BX:NB,$B490,0),"")</f>
        <v/>
      </c>
      <c r="J490" t="str">
        <f>IF(OR(HLOOKUP(J$2+$A490,Sheet2!BY:NC,$B490,0),HLOOKUP(J$2+$A490,Sheet2!BY:NC,$B490,0)&lt;&gt;""),HLOOKUP(J$2+$A490,Sheet2!BY:NC,$B490,0),"")</f>
        <v/>
      </c>
      <c r="K490" t="str">
        <f>IF(OR(HLOOKUP(K$2+$A490,Sheet2!BZ:ND,$B490,0),HLOOKUP(K$2+$A490,Sheet2!BZ:ND,$B490,0)&lt;&gt;""),HLOOKUP(K$2+$A490,Sheet2!BZ:ND,$B490,0),"")</f>
        <v/>
      </c>
      <c r="L490" t="str">
        <f>IF(OR(HLOOKUP(L$2+$A490,Sheet2!CA:NE,$B490,0),HLOOKUP(L$2+$A490,Sheet2!CA:NE,$B490,0)&lt;&gt;""),HLOOKUP(L$2+$A490,Sheet2!CA:NE,$B490,0),"")</f>
        <v/>
      </c>
      <c r="M490" t="str">
        <f>IF(OR(HLOOKUP(M$2+$A490,Sheet2!CB:NF,$B490,0),HLOOKUP(M$2+$A490,Sheet2!CB:NF,$B490,0)&lt;&gt;""),HLOOKUP(M$2+$A490,Sheet2!CB:NF,$B490,0),"")</f>
        <v/>
      </c>
    </row>
    <row r="491" spans="1:13" x14ac:dyDescent="0.25">
      <c r="A491" s="68">
        <f t="shared" si="53"/>
        <v>35</v>
      </c>
      <c r="B491" s="68">
        <f t="shared" si="54"/>
        <v>65</v>
      </c>
      <c r="C491" s="68">
        <f t="shared" si="56"/>
        <v>8</v>
      </c>
      <c r="D491" s="68">
        <f t="shared" si="55"/>
        <v>61</v>
      </c>
      <c r="E491" s="68">
        <f t="shared" si="57"/>
        <v>301</v>
      </c>
      <c r="F491" s="21" t="str">
        <f>VLOOKUP(D491,Sheet2!A:B,2)</f>
        <v>J19-0688</v>
      </c>
      <c r="G491" s="68" t="str">
        <f>VLOOKUP(F491,Sheet2!B:C,2,0)</f>
        <v xml:space="preserve">SIAM TAKUMA (Myanmar) </v>
      </c>
      <c r="H491" s="68" t="str">
        <f>HLOOKUP(I$2+$A491,Sheet2!BX:NB,2,0)</f>
        <v>16-30 April 21</v>
      </c>
      <c r="I491" t="str">
        <f>IF(OR(HLOOKUP(I$2+$A491,Sheet2!BX:NB,$B491,0),HLOOKUP(I$2+$A491,Sheet2!BX:NB,$B491,0)&lt;&gt;""),HLOOKUP(I$2+$A491,Sheet2!BX:NB,$B491,0),"")</f>
        <v/>
      </c>
      <c r="J491" t="str">
        <f>IF(OR(HLOOKUP(J$2+$A491,Sheet2!BY:NC,$B491,0),HLOOKUP(J$2+$A491,Sheet2!BY:NC,$B491,0)&lt;&gt;""),HLOOKUP(J$2+$A491,Sheet2!BY:NC,$B491,0),"")</f>
        <v/>
      </c>
      <c r="K491" t="str">
        <f>IF(OR(HLOOKUP(K$2+$A491,Sheet2!BZ:ND,$B491,0),HLOOKUP(K$2+$A491,Sheet2!BZ:ND,$B491,0)&lt;&gt;""),HLOOKUP(K$2+$A491,Sheet2!BZ:ND,$B491,0),"")</f>
        <v/>
      </c>
      <c r="L491" t="str">
        <f>IF(OR(HLOOKUP(L$2+$A491,Sheet2!CA:NE,$B491,0),HLOOKUP(L$2+$A491,Sheet2!CA:NE,$B491,0)&lt;&gt;""),HLOOKUP(L$2+$A491,Sheet2!CA:NE,$B491,0),"")</f>
        <v/>
      </c>
      <c r="M491" t="str">
        <f>IF(OR(HLOOKUP(M$2+$A491,Sheet2!CB:NF,$B491,0),HLOOKUP(M$2+$A491,Sheet2!CB:NF,$B491,0)&lt;&gt;""),HLOOKUP(M$2+$A491,Sheet2!CB:NF,$B491,0),"")</f>
        <v/>
      </c>
    </row>
    <row r="492" spans="1:13" x14ac:dyDescent="0.25">
      <c r="A492" s="68">
        <f t="shared" si="53"/>
        <v>0</v>
      </c>
      <c r="B492" s="68">
        <f t="shared" si="54"/>
        <v>66</v>
      </c>
      <c r="C492" s="68">
        <f t="shared" si="56"/>
        <v>1</v>
      </c>
      <c r="D492" s="68">
        <f t="shared" si="55"/>
        <v>62</v>
      </c>
      <c r="E492" s="68">
        <f t="shared" si="57"/>
        <v>306</v>
      </c>
      <c r="F492" s="21" t="str">
        <f>VLOOKUP(D492,Sheet2!A:B,2)</f>
        <v>J20-0199</v>
      </c>
      <c r="G492" s="68" t="str">
        <f>VLOOKUP(F492,Sheet2!B:C,2,0)</f>
        <v>งานติดตั้ง Flow transmeter water plant Size10",12" (ภูหลวง)</v>
      </c>
      <c r="H492" s="68" t="str">
        <f>HLOOKUP(I$2+$A492,Sheet2!BX:NB,2,0)</f>
        <v>1-15 Jan 21</v>
      </c>
      <c r="I492" t="str">
        <f>IF(OR(HLOOKUP(I$2+$A492,Sheet2!BX:NB,$B492,0),HLOOKUP(I$2+$A492,Sheet2!BX:NB,$B492,0)&lt;&gt;""),HLOOKUP(I$2+$A492,Sheet2!BX:NB,$B492,0),"")</f>
        <v/>
      </c>
      <c r="J492" t="str">
        <f>IF(OR(HLOOKUP(J$2+$A492,Sheet2!BY:NC,$B492,0),HLOOKUP(J$2+$A492,Sheet2!BY:NC,$B492,0)&lt;&gt;""),HLOOKUP(J$2+$A492,Sheet2!BY:NC,$B492,0),"")</f>
        <v/>
      </c>
      <c r="K492" t="str">
        <f>IF(OR(HLOOKUP(K$2+$A492,Sheet2!BZ:ND,$B492,0),HLOOKUP(K$2+$A492,Sheet2!BZ:ND,$B492,0)&lt;&gt;""),HLOOKUP(K$2+$A492,Sheet2!BZ:ND,$B492,0),"")</f>
        <v/>
      </c>
      <c r="L492" t="str">
        <f>IF(OR(HLOOKUP(L$2+$A492,Sheet2!CA:NE,$B492,0),HLOOKUP(L$2+$A492,Sheet2!CA:NE,$B492,0)&lt;&gt;""),HLOOKUP(L$2+$A492,Sheet2!CA:NE,$B492,0),"")</f>
        <v/>
      </c>
      <c r="M492" t="str">
        <f>IF(OR(HLOOKUP(M$2+$A492,Sheet2!CB:NF,$B492,0),HLOOKUP(M$2+$A492,Sheet2!CB:NF,$B492,0)&lt;&gt;""),HLOOKUP(M$2+$A492,Sheet2!CB:NF,$B492,0),"")</f>
        <v/>
      </c>
    </row>
    <row r="493" spans="1:13" x14ac:dyDescent="0.25">
      <c r="A493" s="68">
        <f t="shared" si="53"/>
        <v>5</v>
      </c>
      <c r="B493" s="68">
        <f t="shared" si="54"/>
        <v>66</v>
      </c>
      <c r="C493" s="68">
        <f t="shared" si="56"/>
        <v>2</v>
      </c>
      <c r="D493" s="68">
        <f t="shared" si="55"/>
        <v>62</v>
      </c>
      <c r="E493" s="68">
        <f t="shared" si="57"/>
        <v>306</v>
      </c>
      <c r="F493" s="21" t="str">
        <f>VLOOKUP(D493,Sheet2!A:B,2)</f>
        <v>J20-0199</v>
      </c>
      <c r="G493" s="68" t="str">
        <f>VLOOKUP(F493,Sheet2!B:C,2,0)</f>
        <v>งานติดตั้ง Flow transmeter water plant Size10",12" (ภูหลวง)</v>
      </c>
      <c r="H493" s="68" t="str">
        <f>HLOOKUP(I$2+$A493,Sheet2!BX:NB,2,0)</f>
        <v>16-31 Jan 21</v>
      </c>
      <c r="I493" t="str">
        <f>IF(OR(HLOOKUP(I$2+$A493,Sheet2!BX:NB,$B493,0),HLOOKUP(I$2+$A493,Sheet2!BX:NB,$B493,0)&lt;&gt;""),HLOOKUP(I$2+$A493,Sheet2!BX:NB,$B493,0),"")</f>
        <v/>
      </c>
      <c r="J493" t="str">
        <f>IF(OR(HLOOKUP(J$2+$A493,Sheet2!BY:NC,$B493,0),HLOOKUP(J$2+$A493,Sheet2!BY:NC,$B493,0)&lt;&gt;""),HLOOKUP(J$2+$A493,Sheet2!BY:NC,$B493,0),"")</f>
        <v/>
      </c>
      <c r="K493" t="str">
        <f>IF(OR(HLOOKUP(K$2+$A493,Sheet2!BZ:ND,$B493,0),HLOOKUP(K$2+$A493,Sheet2!BZ:ND,$B493,0)&lt;&gt;""),HLOOKUP(K$2+$A493,Sheet2!BZ:ND,$B493,0),"")</f>
        <v/>
      </c>
      <c r="L493" t="str">
        <f>IF(OR(HLOOKUP(L$2+$A493,Sheet2!CA:NE,$B493,0),HLOOKUP(L$2+$A493,Sheet2!CA:NE,$B493,0)&lt;&gt;""),HLOOKUP(L$2+$A493,Sheet2!CA:NE,$B493,0),"")</f>
        <v/>
      </c>
      <c r="M493" t="str">
        <f>IF(OR(HLOOKUP(M$2+$A493,Sheet2!CB:NF,$B493,0),HLOOKUP(M$2+$A493,Sheet2!CB:NF,$B493,0)&lt;&gt;""),HLOOKUP(M$2+$A493,Sheet2!CB:NF,$B493,0),"")</f>
        <v/>
      </c>
    </row>
    <row r="494" spans="1:13" x14ac:dyDescent="0.25">
      <c r="A494" s="68">
        <f t="shared" si="53"/>
        <v>10</v>
      </c>
      <c r="B494" s="68">
        <f t="shared" si="54"/>
        <v>66</v>
      </c>
      <c r="C494" s="68">
        <f t="shared" si="56"/>
        <v>3</v>
      </c>
      <c r="D494" s="68">
        <f t="shared" si="55"/>
        <v>62</v>
      </c>
      <c r="E494" s="68">
        <f t="shared" si="57"/>
        <v>306</v>
      </c>
      <c r="F494" s="21" t="str">
        <f>VLOOKUP(D494,Sheet2!A:B,2)</f>
        <v>J20-0199</v>
      </c>
      <c r="G494" s="68" t="str">
        <f>VLOOKUP(F494,Sheet2!B:C,2,0)</f>
        <v>งานติดตั้ง Flow transmeter water plant Size10",12" (ภูหลวง)</v>
      </c>
      <c r="H494" s="68" t="str">
        <f>HLOOKUP(I$2+$A494,Sheet2!BX:NB,2,0)</f>
        <v>1-15 Feb 21</v>
      </c>
      <c r="I494" t="str">
        <f>IF(OR(HLOOKUP(I$2+$A494,Sheet2!BX:NB,$B494,0),HLOOKUP(I$2+$A494,Sheet2!BX:NB,$B494,0)&lt;&gt;""),HLOOKUP(I$2+$A494,Sheet2!BX:NB,$B494,0),"")</f>
        <v/>
      </c>
      <c r="J494" t="str">
        <f>IF(OR(HLOOKUP(J$2+$A494,Sheet2!BY:NC,$B494,0),HLOOKUP(J$2+$A494,Sheet2!BY:NC,$B494,0)&lt;&gt;""),HLOOKUP(J$2+$A494,Sheet2!BY:NC,$B494,0),"")</f>
        <v/>
      </c>
      <c r="K494" t="str">
        <f>IF(OR(HLOOKUP(K$2+$A494,Sheet2!BZ:ND,$B494,0),HLOOKUP(K$2+$A494,Sheet2!BZ:ND,$B494,0)&lt;&gt;""),HLOOKUP(K$2+$A494,Sheet2!BZ:ND,$B494,0),"")</f>
        <v/>
      </c>
      <c r="L494" t="str">
        <f>IF(OR(HLOOKUP(L$2+$A494,Sheet2!CA:NE,$B494,0),HLOOKUP(L$2+$A494,Sheet2!CA:NE,$B494,0)&lt;&gt;""),HLOOKUP(L$2+$A494,Sheet2!CA:NE,$B494,0),"")</f>
        <v/>
      </c>
      <c r="M494" t="str">
        <f>IF(OR(HLOOKUP(M$2+$A494,Sheet2!CB:NF,$B494,0),HLOOKUP(M$2+$A494,Sheet2!CB:NF,$B494,0)&lt;&gt;""),HLOOKUP(M$2+$A494,Sheet2!CB:NF,$B494,0),"")</f>
        <v/>
      </c>
    </row>
    <row r="495" spans="1:13" x14ac:dyDescent="0.25">
      <c r="A495" s="68">
        <f t="shared" si="53"/>
        <v>15</v>
      </c>
      <c r="B495" s="68">
        <f t="shared" si="54"/>
        <v>66</v>
      </c>
      <c r="C495" s="68">
        <f t="shared" si="56"/>
        <v>4</v>
      </c>
      <c r="D495" s="68">
        <f t="shared" si="55"/>
        <v>62</v>
      </c>
      <c r="E495" s="68">
        <f t="shared" si="57"/>
        <v>306</v>
      </c>
      <c r="F495" s="21" t="str">
        <f>VLOOKUP(D495,Sheet2!A:B,2)</f>
        <v>J20-0199</v>
      </c>
      <c r="G495" s="68" t="str">
        <f>VLOOKUP(F495,Sheet2!B:C,2,0)</f>
        <v>งานติดตั้ง Flow transmeter water plant Size10",12" (ภูหลวง)</v>
      </c>
      <c r="H495" s="68" t="str">
        <f>HLOOKUP(I$2+$A495,Sheet2!BX:NB,2,0)</f>
        <v>16-28 Feb 21</v>
      </c>
      <c r="I495" t="str">
        <f>IF(OR(HLOOKUP(I$2+$A495,Sheet2!BX:NB,$B495,0),HLOOKUP(I$2+$A495,Sheet2!BX:NB,$B495,0)&lt;&gt;""),HLOOKUP(I$2+$A495,Sheet2!BX:NB,$B495,0),"")</f>
        <v/>
      </c>
      <c r="J495" t="str">
        <f>IF(OR(HLOOKUP(J$2+$A495,Sheet2!BY:NC,$B495,0),HLOOKUP(J$2+$A495,Sheet2!BY:NC,$B495,0)&lt;&gt;""),HLOOKUP(J$2+$A495,Sheet2!BY:NC,$B495,0),"")</f>
        <v/>
      </c>
      <c r="K495" t="str">
        <f>IF(OR(HLOOKUP(K$2+$A495,Sheet2!BZ:ND,$B495,0),HLOOKUP(K$2+$A495,Sheet2!BZ:ND,$B495,0)&lt;&gt;""),HLOOKUP(K$2+$A495,Sheet2!BZ:ND,$B495,0),"")</f>
        <v/>
      </c>
      <c r="L495" t="str">
        <f>IF(OR(HLOOKUP(L$2+$A495,Sheet2!CA:NE,$B495,0),HLOOKUP(L$2+$A495,Sheet2!CA:NE,$B495,0)&lt;&gt;""),HLOOKUP(L$2+$A495,Sheet2!CA:NE,$B495,0),"")</f>
        <v/>
      </c>
      <c r="M495" t="str">
        <f>IF(OR(HLOOKUP(M$2+$A495,Sheet2!CB:NF,$B495,0),HLOOKUP(M$2+$A495,Sheet2!CB:NF,$B495,0)&lt;&gt;""),HLOOKUP(M$2+$A495,Sheet2!CB:NF,$B495,0),"")</f>
        <v/>
      </c>
    </row>
    <row r="496" spans="1:13" x14ac:dyDescent="0.25">
      <c r="A496" s="68">
        <f t="shared" si="53"/>
        <v>20</v>
      </c>
      <c r="B496" s="68">
        <f t="shared" si="54"/>
        <v>66</v>
      </c>
      <c r="C496" s="68">
        <f t="shared" si="56"/>
        <v>5</v>
      </c>
      <c r="D496" s="68">
        <f t="shared" si="55"/>
        <v>62</v>
      </c>
      <c r="E496" s="68">
        <f t="shared" si="57"/>
        <v>306</v>
      </c>
      <c r="F496" s="21" t="str">
        <f>VLOOKUP(D496,Sheet2!A:B,2)</f>
        <v>J20-0199</v>
      </c>
      <c r="G496" s="68" t="str">
        <f>VLOOKUP(F496,Sheet2!B:C,2,0)</f>
        <v>งานติดตั้ง Flow transmeter water plant Size10",12" (ภูหลวง)</v>
      </c>
      <c r="H496" s="68" t="str">
        <f>HLOOKUP(I$2+$A496,Sheet2!BX:NB,2,0)</f>
        <v>1-15 Mar 2021</v>
      </c>
      <c r="I496" t="str">
        <f>IF(OR(HLOOKUP(I$2+$A496,Sheet2!BX:NB,$B496,0),HLOOKUP(I$2+$A496,Sheet2!BX:NB,$B496,0)&lt;&gt;""),HLOOKUP(I$2+$A496,Sheet2!BX:NB,$B496,0),"")</f>
        <v/>
      </c>
      <c r="J496" t="str">
        <f>IF(OR(HLOOKUP(J$2+$A496,Sheet2!BY:NC,$B496,0),HLOOKUP(J$2+$A496,Sheet2!BY:NC,$B496,0)&lt;&gt;""),HLOOKUP(J$2+$A496,Sheet2!BY:NC,$B496,0),"")</f>
        <v/>
      </c>
      <c r="K496" t="str">
        <f>IF(OR(HLOOKUP(K$2+$A496,Sheet2!BZ:ND,$B496,0),HLOOKUP(K$2+$A496,Sheet2!BZ:ND,$B496,0)&lt;&gt;""),HLOOKUP(K$2+$A496,Sheet2!BZ:ND,$B496,0),"")</f>
        <v/>
      </c>
      <c r="L496" t="str">
        <f>IF(OR(HLOOKUP(L$2+$A496,Sheet2!CA:NE,$B496,0),HLOOKUP(L$2+$A496,Sheet2!CA:NE,$B496,0)&lt;&gt;""),HLOOKUP(L$2+$A496,Sheet2!CA:NE,$B496,0),"")</f>
        <v/>
      </c>
      <c r="M496" t="str">
        <f>IF(OR(HLOOKUP(M$2+$A496,Sheet2!CB:NF,$B496,0),HLOOKUP(M$2+$A496,Sheet2!CB:NF,$B496,0)&lt;&gt;""),HLOOKUP(M$2+$A496,Sheet2!CB:NF,$B496,0),"")</f>
        <v/>
      </c>
    </row>
    <row r="497" spans="1:13" x14ac:dyDescent="0.25">
      <c r="A497" s="68">
        <f t="shared" si="53"/>
        <v>25</v>
      </c>
      <c r="B497" s="68">
        <f t="shared" si="54"/>
        <v>66</v>
      </c>
      <c r="C497" s="68">
        <f t="shared" si="56"/>
        <v>6</v>
      </c>
      <c r="D497" s="68">
        <f t="shared" si="55"/>
        <v>62</v>
      </c>
      <c r="E497" s="68">
        <f t="shared" si="57"/>
        <v>306</v>
      </c>
      <c r="F497" s="21" t="str">
        <f>VLOOKUP(D497,Sheet2!A:B,2)</f>
        <v>J20-0199</v>
      </c>
      <c r="G497" s="68" t="str">
        <f>VLOOKUP(F497,Sheet2!B:C,2,0)</f>
        <v>งานติดตั้ง Flow transmeter water plant Size10",12" (ภูหลวง)</v>
      </c>
      <c r="H497" s="68" t="str">
        <f>HLOOKUP(I$2+$A497,Sheet2!BX:NB,2,0)</f>
        <v>16-31 Mar 21</v>
      </c>
      <c r="I497" t="str">
        <f>IF(OR(HLOOKUP(I$2+$A497,Sheet2!BX:NB,$B497,0),HLOOKUP(I$2+$A497,Sheet2!BX:NB,$B497,0)&lt;&gt;""),HLOOKUP(I$2+$A497,Sheet2!BX:NB,$B497,0),"")</f>
        <v/>
      </c>
      <c r="J497" t="str">
        <f>IF(OR(HLOOKUP(J$2+$A497,Sheet2!BY:NC,$B497,0),HLOOKUP(J$2+$A497,Sheet2!BY:NC,$B497,0)&lt;&gt;""),HLOOKUP(J$2+$A497,Sheet2!BY:NC,$B497,0),"")</f>
        <v/>
      </c>
      <c r="K497" t="str">
        <f>IF(OR(HLOOKUP(K$2+$A497,Sheet2!BZ:ND,$B497,0),HLOOKUP(K$2+$A497,Sheet2!BZ:ND,$B497,0)&lt;&gt;""),HLOOKUP(K$2+$A497,Sheet2!BZ:ND,$B497,0),"")</f>
        <v/>
      </c>
      <c r="L497" t="str">
        <f>IF(OR(HLOOKUP(L$2+$A497,Sheet2!CA:NE,$B497,0),HLOOKUP(L$2+$A497,Sheet2!CA:NE,$B497,0)&lt;&gt;""),HLOOKUP(L$2+$A497,Sheet2!CA:NE,$B497,0),"")</f>
        <v/>
      </c>
      <c r="M497" t="str">
        <f>IF(OR(HLOOKUP(M$2+$A497,Sheet2!CB:NF,$B497,0),HLOOKUP(M$2+$A497,Sheet2!CB:NF,$B497,0)&lt;&gt;""),HLOOKUP(M$2+$A497,Sheet2!CB:NF,$B497,0),"")</f>
        <v/>
      </c>
    </row>
    <row r="498" spans="1:13" x14ac:dyDescent="0.25">
      <c r="A498" s="68">
        <f t="shared" si="53"/>
        <v>30</v>
      </c>
      <c r="B498" s="68">
        <f t="shared" si="54"/>
        <v>66</v>
      </c>
      <c r="C498" s="68">
        <f t="shared" si="56"/>
        <v>7</v>
      </c>
      <c r="D498" s="68">
        <f t="shared" si="55"/>
        <v>62</v>
      </c>
      <c r="E498" s="68">
        <f t="shared" si="57"/>
        <v>306</v>
      </c>
      <c r="F498" s="21" t="str">
        <f>VLOOKUP(D498,Sheet2!A:B,2)</f>
        <v>J20-0199</v>
      </c>
      <c r="G498" s="68" t="str">
        <f>VLOOKUP(F498,Sheet2!B:C,2,0)</f>
        <v>งานติดตั้ง Flow transmeter water plant Size10",12" (ภูหลวง)</v>
      </c>
      <c r="H498" s="68" t="str">
        <f>HLOOKUP(I$2+$A498,Sheet2!BX:NB,2,0)</f>
        <v>1-15 April 21</v>
      </c>
      <c r="I498" t="str">
        <f>IF(OR(HLOOKUP(I$2+$A498,Sheet2!BX:NB,$B498,0),HLOOKUP(I$2+$A498,Sheet2!BX:NB,$B498,0)&lt;&gt;""),HLOOKUP(I$2+$A498,Sheet2!BX:NB,$B498,0),"")</f>
        <v/>
      </c>
      <c r="J498" t="str">
        <f>IF(OR(HLOOKUP(J$2+$A498,Sheet2!BY:NC,$B498,0),HLOOKUP(J$2+$A498,Sheet2!BY:NC,$B498,0)&lt;&gt;""),HLOOKUP(J$2+$A498,Sheet2!BY:NC,$B498,0),"")</f>
        <v/>
      </c>
      <c r="K498" t="str">
        <f>IF(OR(HLOOKUP(K$2+$A498,Sheet2!BZ:ND,$B498,0),HLOOKUP(K$2+$A498,Sheet2!BZ:ND,$B498,0)&lt;&gt;""),HLOOKUP(K$2+$A498,Sheet2!BZ:ND,$B498,0),"")</f>
        <v/>
      </c>
      <c r="L498" t="str">
        <f>IF(OR(HLOOKUP(L$2+$A498,Sheet2!CA:NE,$B498,0),HLOOKUP(L$2+$A498,Sheet2!CA:NE,$B498,0)&lt;&gt;""),HLOOKUP(L$2+$A498,Sheet2!CA:NE,$B498,0),"")</f>
        <v/>
      </c>
      <c r="M498" t="str">
        <f>IF(OR(HLOOKUP(M$2+$A498,Sheet2!CB:NF,$B498,0),HLOOKUP(M$2+$A498,Sheet2!CB:NF,$B498,0)&lt;&gt;""),HLOOKUP(M$2+$A498,Sheet2!CB:NF,$B498,0),"")</f>
        <v/>
      </c>
    </row>
    <row r="499" spans="1:13" x14ac:dyDescent="0.25">
      <c r="A499" s="68">
        <f t="shared" si="53"/>
        <v>35</v>
      </c>
      <c r="B499" s="68">
        <f t="shared" si="54"/>
        <v>66</v>
      </c>
      <c r="C499" s="68">
        <f t="shared" si="56"/>
        <v>8</v>
      </c>
      <c r="D499" s="68">
        <f t="shared" si="55"/>
        <v>62</v>
      </c>
      <c r="E499" s="68">
        <f t="shared" si="57"/>
        <v>306</v>
      </c>
      <c r="F499" s="21" t="str">
        <f>VLOOKUP(D499,Sheet2!A:B,2)</f>
        <v>J20-0199</v>
      </c>
      <c r="G499" s="68" t="str">
        <f>VLOOKUP(F499,Sheet2!B:C,2,0)</f>
        <v>งานติดตั้ง Flow transmeter water plant Size10",12" (ภูหลวง)</v>
      </c>
      <c r="H499" s="68" t="str">
        <f>HLOOKUP(I$2+$A499,Sheet2!BX:NB,2,0)</f>
        <v>16-30 April 21</v>
      </c>
      <c r="I499" t="str">
        <f>IF(OR(HLOOKUP(I$2+$A499,Sheet2!BX:NB,$B499,0),HLOOKUP(I$2+$A499,Sheet2!BX:NB,$B499,0)&lt;&gt;""),HLOOKUP(I$2+$A499,Sheet2!BX:NB,$B499,0),"")</f>
        <v/>
      </c>
      <c r="J499" t="str">
        <f>IF(OR(HLOOKUP(J$2+$A499,Sheet2!BY:NC,$B499,0),HLOOKUP(J$2+$A499,Sheet2!BY:NC,$B499,0)&lt;&gt;""),HLOOKUP(J$2+$A499,Sheet2!BY:NC,$B499,0),"")</f>
        <v/>
      </c>
      <c r="K499" t="str">
        <f>IF(OR(HLOOKUP(K$2+$A499,Sheet2!BZ:ND,$B499,0),HLOOKUP(K$2+$A499,Sheet2!BZ:ND,$B499,0)&lt;&gt;""),HLOOKUP(K$2+$A499,Sheet2!BZ:ND,$B499,0),"")</f>
        <v/>
      </c>
      <c r="L499" t="str">
        <f>IF(OR(HLOOKUP(L$2+$A499,Sheet2!CA:NE,$B499,0),HLOOKUP(L$2+$A499,Sheet2!CA:NE,$B499,0)&lt;&gt;""),HLOOKUP(L$2+$A499,Sheet2!CA:NE,$B499,0),"")</f>
        <v/>
      </c>
      <c r="M499" t="str">
        <f>IF(OR(HLOOKUP(M$2+$A499,Sheet2!CB:NF,$B499,0),HLOOKUP(M$2+$A499,Sheet2!CB:NF,$B499,0)&lt;&gt;""),HLOOKUP(M$2+$A499,Sheet2!CB:NF,$B499,0),"")</f>
        <v/>
      </c>
    </row>
    <row r="500" spans="1:13" x14ac:dyDescent="0.25">
      <c r="A500" s="68">
        <f t="shared" si="53"/>
        <v>0</v>
      </c>
      <c r="B500" s="68">
        <f t="shared" si="54"/>
        <v>67</v>
      </c>
      <c r="C500" s="68">
        <f t="shared" si="56"/>
        <v>1</v>
      </c>
      <c r="D500" s="68">
        <f t="shared" si="55"/>
        <v>63</v>
      </c>
      <c r="E500" s="68">
        <f t="shared" si="57"/>
        <v>311</v>
      </c>
      <c r="F500" s="21" t="str">
        <f>VLOOKUP(D500,Sheet2!A:B,2)</f>
        <v>J20-0728</v>
      </c>
      <c r="G500" s="68" t="str">
        <f>VLOOKUP(F500,Sheet2!B:C,2,0)</f>
        <v>ระบบลากสายสัญญาณ ระบท่อวนSeed</v>
      </c>
      <c r="H500" s="68" t="str">
        <f>HLOOKUP(I$2+$A500,Sheet2!BX:NB,2,0)</f>
        <v>1-15 Jan 21</v>
      </c>
      <c r="I500" t="str">
        <f>IF(OR(HLOOKUP(I$2+$A500,Sheet2!BX:NB,$B500,0),HLOOKUP(I$2+$A500,Sheet2!BX:NB,$B500,0)&lt;&gt;""),HLOOKUP(I$2+$A500,Sheet2!BX:NB,$B500,0),"")</f>
        <v/>
      </c>
      <c r="J500" t="str">
        <f>IF(OR(HLOOKUP(J$2+$A500,Sheet2!BY:NC,$B500,0),HLOOKUP(J$2+$A500,Sheet2!BY:NC,$B500,0)&lt;&gt;""),HLOOKUP(J$2+$A500,Sheet2!BY:NC,$B500,0),"")</f>
        <v/>
      </c>
      <c r="K500" t="str">
        <f>IF(OR(HLOOKUP(K$2+$A500,Sheet2!BZ:ND,$B500,0),HLOOKUP(K$2+$A500,Sheet2!BZ:ND,$B500,0)&lt;&gt;""),HLOOKUP(K$2+$A500,Sheet2!BZ:ND,$B500,0),"")</f>
        <v/>
      </c>
      <c r="L500" t="str">
        <f>IF(OR(HLOOKUP(L$2+$A500,Sheet2!CA:NE,$B500,0),HLOOKUP(L$2+$A500,Sheet2!CA:NE,$B500,0)&lt;&gt;""),HLOOKUP(L$2+$A500,Sheet2!CA:NE,$B500,0),"")</f>
        <v/>
      </c>
      <c r="M500" t="str">
        <f>IF(OR(HLOOKUP(M$2+$A500,Sheet2!CB:NF,$B500,0),HLOOKUP(M$2+$A500,Sheet2!CB:NF,$B500,0)&lt;&gt;""),HLOOKUP(M$2+$A500,Sheet2!CB:NF,$B500,0),"")</f>
        <v/>
      </c>
    </row>
    <row r="501" spans="1:13" x14ac:dyDescent="0.25">
      <c r="A501" s="68">
        <f t="shared" si="53"/>
        <v>5</v>
      </c>
      <c r="B501" s="68">
        <f t="shared" si="54"/>
        <v>67</v>
      </c>
      <c r="C501" s="68">
        <f t="shared" si="56"/>
        <v>2</v>
      </c>
      <c r="D501" s="68">
        <f t="shared" si="55"/>
        <v>63</v>
      </c>
      <c r="E501" s="68">
        <f t="shared" si="57"/>
        <v>311</v>
      </c>
      <c r="F501" s="21" t="str">
        <f>VLOOKUP(D501,Sheet2!A:B,2)</f>
        <v>J20-0728</v>
      </c>
      <c r="G501" s="68" t="str">
        <f>VLOOKUP(F501,Sheet2!B:C,2,0)</f>
        <v>ระบบลากสายสัญญาณ ระบท่อวนSeed</v>
      </c>
      <c r="H501" s="68" t="str">
        <f>HLOOKUP(I$2+$A501,Sheet2!BX:NB,2,0)</f>
        <v>16-31 Jan 21</v>
      </c>
      <c r="I501" t="str">
        <f>IF(OR(HLOOKUP(I$2+$A501,Sheet2!BX:NB,$B501,0),HLOOKUP(I$2+$A501,Sheet2!BX:NB,$B501,0)&lt;&gt;""),HLOOKUP(I$2+$A501,Sheet2!BX:NB,$B501,0),"")</f>
        <v/>
      </c>
      <c r="J501" t="str">
        <f>IF(OR(HLOOKUP(J$2+$A501,Sheet2!BY:NC,$B501,0),HLOOKUP(J$2+$A501,Sheet2!BY:NC,$B501,0)&lt;&gt;""),HLOOKUP(J$2+$A501,Sheet2!BY:NC,$B501,0),"")</f>
        <v/>
      </c>
      <c r="K501" t="str">
        <f>IF(OR(HLOOKUP(K$2+$A501,Sheet2!BZ:ND,$B501,0),HLOOKUP(K$2+$A501,Sheet2!BZ:ND,$B501,0)&lt;&gt;""),HLOOKUP(K$2+$A501,Sheet2!BZ:ND,$B501,0),"")</f>
        <v/>
      </c>
      <c r="L501" t="str">
        <f>IF(OR(HLOOKUP(L$2+$A501,Sheet2!CA:NE,$B501,0),HLOOKUP(L$2+$A501,Sheet2!CA:NE,$B501,0)&lt;&gt;""),HLOOKUP(L$2+$A501,Sheet2!CA:NE,$B501,0),"")</f>
        <v/>
      </c>
      <c r="M501" t="str">
        <f>IF(OR(HLOOKUP(M$2+$A501,Sheet2!CB:NF,$B501,0),HLOOKUP(M$2+$A501,Sheet2!CB:NF,$B501,0)&lt;&gt;""),HLOOKUP(M$2+$A501,Sheet2!CB:NF,$B501,0),"")</f>
        <v/>
      </c>
    </row>
    <row r="502" spans="1:13" x14ac:dyDescent="0.25">
      <c r="A502" s="68">
        <f t="shared" ref="A502:A565" si="58">IF(C502&lt;&gt;1,A501+5,0)</f>
        <v>10</v>
      </c>
      <c r="B502" s="68">
        <f t="shared" ref="B502:B565" si="59">IF(C502&lt;&gt;1,B501,B501+1)</f>
        <v>67</v>
      </c>
      <c r="C502" s="68">
        <f t="shared" si="56"/>
        <v>3</v>
      </c>
      <c r="D502" s="68">
        <f t="shared" ref="D502:D565" si="60">IF(C502=1,D501+1,D501)</f>
        <v>63</v>
      </c>
      <c r="E502" s="68">
        <f t="shared" si="57"/>
        <v>311</v>
      </c>
      <c r="F502" s="21" t="str">
        <f>VLOOKUP(D502,Sheet2!A:B,2)</f>
        <v>J20-0728</v>
      </c>
      <c r="G502" s="68" t="str">
        <f>VLOOKUP(F502,Sheet2!B:C,2,0)</f>
        <v>ระบบลากสายสัญญาณ ระบท่อวนSeed</v>
      </c>
      <c r="H502" s="68" t="str">
        <f>HLOOKUP(I$2+$A502,Sheet2!BX:NB,2,0)</f>
        <v>1-15 Feb 21</v>
      </c>
      <c r="I502" t="str">
        <f>IF(OR(HLOOKUP(I$2+$A502,Sheet2!BX:NB,$B502,0),HLOOKUP(I$2+$A502,Sheet2!BX:NB,$B502,0)&lt;&gt;""),HLOOKUP(I$2+$A502,Sheet2!BX:NB,$B502,0),"")</f>
        <v/>
      </c>
      <c r="J502" t="str">
        <f>IF(OR(HLOOKUP(J$2+$A502,Sheet2!BY:NC,$B502,0),HLOOKUP(J$2+$A502,Sheet2!BY:NC,$B502,0)&lt;&gt;""),HLOOKUP(J$2+$A502,Sheet2!BY:NC,$B502,0),"")</f>
        <v/>
      </c>
      <c r="K502" t="str">
        <f>IF(OR(HLOOKUP(K$2+$A502,Sheet2!BZ:ND,$B502,0),HLOOKUP(K$2+$A502,Sheet2!BZ:ND,$B502,0)&lt;&gt;""),HLOOKUP(K$2+$A502,Sheet2!BZ:ND,$B502,0),"")</f>
        <v/>
      </c>
      <c r="L502" t="str">
        <f>IF(OR(HLOOKUP(L$2+$A502,Sheet2!CA:NE,$B502,0),HLOOKUP(L$2+$A502,Sheet2!CA:NE,$B502,0)&lt;&gt;""),HLOOKUP(L$2+$A502,Sheet2!CA:NE,$B502,0),"")</f>
        <v/>
      </c>
      <c r="M502" t="str">
        <f>IF(OR(HLOOKUP(M$2+$A502,Sheet2!CB:NF,$B502,0),HLOOKUP(M$2+$A502,Sheet2!CB:NF,$B502,0)&lt;&gt;""),HLOOKUP(M$2+$A502,Sheet2!CB:NF,$B502,0),"")</f>
        <v/>
      </c>
    </row>
    <row r="503" spans="1:13" x14ac:dyDescent="0.25">
      <c r="A503" s="68">
        <f t="shared" si="58"/>
        <v>15</v>
      </c>
      <c r="B503" s="68">
        <f t="shared" si="59"/>
        <v>67</v>
      </c>
      <c r="C503" s="68">
        <f t="shared" si="56"/>
        <v>4</v>
      </c>
      <c r="D503" s="68">
        <f t="shared" si="60"/>
        <v>63</v>
      </c>
      <c r="E503" s="68">
        <f t="shared" si="57"/>
        <v>311</v>
      </c>
      <c r="F503" s="21" t="str">
        <f>VLOOKUP(D503,Sheet2!A:B,2)</f>
        <v>J20-0728</v>
      </c>
      <c r="G503" s="68" t="str">
        <f>VLOOKUP(F503,Sheet2!B:C,2,0)</f>
        <v>ระบบลากสายสัญญาณ ระบท่อวนSeed</v>
      </c>
      <c r="H503" s="68" t="str">
        <f>HLOOKUP(I$2+$A503,Sheet2!BX:NB,2,0)</f>
        <v>16-28 Feb 21</v>
      </c>
      <c r="I503" t="str">
        <f>IF(OR(HLOOKUP(I$2+$A503,Sheet2!BX:NB,$B503,0),HLOOKUP(I$2+$A503,Sheet2!BX:NB,$B503,0)&lt;&gt;""),HLOOKUP(I$2+$A503,Sheet2!BX:NB,$B503,0),"")</f>
        <v/>
      </c>
      <c r="J503" t="str">
        <f>IF(OR(HLOOKUP(J$2+$A503,Sheet2!BY:NC,$B503,0),HLOOKUP(J$2+$A503,Sheet2!BY:NC,$B503,0)&lt;&gt;""),HLOOKUP(J$2+$A503,Sheet2!BY:NC,$B503,0),"")</f>
        <v/>
      </c>
      <c r="K503" t="str">
        <f>IF(OR(HLOOKUP(K$2+$A503,Sheet2!BZ:ND,$B503,0),HLOOKUP(K$2+$A503,Sheet2!BZ:ND,$B503,0)&lt;&gt;""),HLOOKUP(K$2+$A503,Sheet2!BZ:ND,$B503,0),"")</f>
        <v/>
      </c>
      <c r="L503" t="str">
        <f>IF(OR(HLOOKUP(L$2+$A503,Sheet2!CA:NE,$B503,0),HLOOKUP(L$2+$A503,Sheet2!CA:NE,$B503,0)&lt;&gt;""),HLOOKUP(L$2+$A503,Sheet2!CA:NE,$B503,0),"")</f>
        <v/>
      </c>
      <c r="M503" t="str">
        <f>IF(OR(HLOOKUP(M$2+$A503,Sheet2!CB:NF,$B503,0),HLOOKUP(M$2+$A503,Sheet2!CB:NF,$B503,0)&lt;&gt;""),HLOOKUP(M$2+$A503,Sheet2!CB:NF,$B503,0),"")</f>
        <v/>
      </c>
    </row>
    <row r="504" spans="1:13" x14ac:dyDescent="0.25">
      <c r="A504" s="68">
        <f t="shared" si="58"/>
        <v>20</v>
      </c>
      <c r="B504" s="68">
        <f t="shared" si="59"/>
        <v>67</v>
      </c>
      <c r="C504" s="68">
        <f t="shared" si="56"/>
        <v>5</v>
      </c>
      <c r="D504" s="68">
        <f t="shared" si="60"/>
        <v>63</v>
      </c>
      <c r="E504" s="68">
        <f t="shared" si="57"/>
        <v>311</v>
      </c>
      <c r="F504" s="21" t="str">
        <f>VLOOKUP(D504,Sheet2!A:B,2)</f>
        <v>J20-0728</v>
      </c>
      <c r="G504" s="68" t="str">
        <f>VLOOKUP(F504,Sheet2!B:C,2,0)</f>
        <v>ระบบลากสายสัญญาณ ระบท่อวนSeed</v>
      </c>
      <c r="H504" s="68" t="str">
        <f>HLOOKUP(I$2+$A504,Sheet2!BX:NB,2,0)</f>
        <v>1-15 Mar 2021</v>
      </c>
      <c r="I504" t="str">
        <f>IF(OR(HLOOKUP(I$2+$A504,Sheet2!BX:NB,$B504,0),HLOOKUP(I$2+$A504,Sheet2!BX:NB,$B504,0)&lt;&gt;""),HLOOKUP(I$2+$A504,Sheet2!BX:NB,$B504,0),"")</f>
        <v/>
      </c>
      <c r="J504" t="str">
        <f>IF(OR(HLOOKUP(J$2+$A504,Sheet2!BY:NC,$B504,0),HLOOKUP(J$2+$A504,Sheet2!BY:NC,$B504,0)&lt;&gt;""),HLOOKUP(J$2+$A504,Sheet2!BY:NC,$B504,0),"")</f>
        <v/>
      </c>
      <c r="K504" t="str">
        <f>IF(OR(HLOOKUP(K$2+$A504,Sheet2!BZ:ND,$B504,0),HLOOKUP(K$2+$A504,Sheet2!BZ:ND,$B504,0)&lt;&gt;""),HLOOKUP(K$2+$A504,Sheet2!BZ:ND,$B504,0),"")</f>
        <v/>
      </c>
      <c r="L504" t="str">
        <f>IF(OR(HLOOKUP(L$2+$A504,Sheet2!CA:NE,$B504,0),HLOOKUP(L$2+$A504,Sheet2!CA:NE,$B504,0)&lt;&gt;""),HLOOKUP(L$2+$A504,Sheet2!CA:NE,$B504,0),"")</f>
        <v/>
      </c>
      <c r="M504" t="str">
        <f>IF(OR(HLOOKUP(M$2+$A504,Sheet2!CB:NF,$B504,0),HLOOKUP(M$2+$A504,Sheet2!CB:NF,$B504,0)&lt;&gt;""),HLOOKUP(M$2+$A504,Sheet2!CB:NF,$B504,0),"")</f>
        <v/>
      </c>
    </row>
    <row r="505" spans="1:13" x14ac:dyDescent="0.25">
      <c r="A505" s="68">
        <f t="shared" si="58"/>
        <v>25</v>
      </c>
      <c r="B505" s="68">
        <f t="shared" si="59"/>
        <v>67</v>
      </c>
      <c r="C505" s="68">
        <f t="shared" si="56"/>
        <v>6</v>
      </c>
      <c r="D505" s="68">
        <f t="shared" si="60"/>
        <v>63</v>
      </c>
      <c r="E505" s="68">
        <f t="shared" si="57"/>
        <v>311</v>
      </c>
      <c r="F505" s="21" t="str">
        <f>VLOOKUP(D505,Sheet2!A:B,2)</f>
        <v>J20-0728</v>
      </c>
      <c r="G505" s="68" t="str">
        <f>VLOOKUP(F505,Sheet2!B:C,2,0)</f>
        <v>ระบบลากสายสัญญาณ ระบท่อวนSeed</v>
      </c>
      <c r="H505" s="68" t="str">
        <f>HLOOKUP(I$2+$A505,Sheet2!BX:NB,2,0)</f>
        <v>16-31 Mar 21</v>
      </c>
      <c r="I505" t="str">
        <f>IF(OR(HLOOKUP(I$2+$A505,Sheet2!BX:NB,$B505,0),HLOOKUP(I$2+$A505,Sheet2!BX:NB,$B505,0)&lt;&gt;""),HLOOKUP(I$2+$A505,Sheet2!BX:NB,$B505,0),"")</f>
        <v/>
      </c>
      <c r="J505" t="str">
        <f>IF(OR(HLOOKUP(J$2+$A505,Sheet2!BY:NC,$B505,0),HLOOKUP(J$2+$A505,Sheet2!BY:NC,$B505,0)&lt;&gt;""),HLOOKUP(J$2+$A505,Sheet2!BY:NC,$B505,0),"")</f>
        <v/>
      </c>
      <c r="K505" t="str">
        <f>IF(OR(HLOOKUP(K$2+$A505,Sheet2!BZ:ND,$B505,0),HLOOKUP(K$2+$A505,Sheet2!BZ:ND,$B505,0)&lt;&gt;""),HLOOKUP(K$2+$A505,Sheet2!BZ:ND,$B505,0),"")</f>
        <v/>
      </c>
      <c r="L505" t="str">
        <f>IF(OR(HLOOKUP(L$2+$A505,Sheet2!CA:NE,$B505,0),HLOOKUP(L$2+$A505,Sheet2!CA:NE,$B505,0)&lt;&gt;""),HLOOKUP(L$2+$A505,Sheet2!CA:NE,$B505,0),"")</f>
        <v/>
      </c>
      <c r="M505" t="str">
        <f>IF(OR(HLOOKUP(M$2+$A505,Sheet2!CB:NF,$B505,0),HLOOKUP(M$2+$A505,Sheet2!CB:NF,$B505,0)&lt;&gt;""),HLOOKUP(M$2+$A505,Sheet2!CB:NF,$B505,0),"")</f>
        <v/>
      </c>
    </row>
    <row r="506" spans="1:13" x14ac:dyDescent="0.25">
      <c r="A506" s="68">
        <f t="shared" si="58"/>
        <v>30</v>
      </c>
      <c r="B506" s="68">
        <f t="shared" si="59"/>
        <v>67</v>
      </c>
      <c r="C506" s="68">
        <f t="shared" si="56"/>
        <v>7</v>
      </c>
      <c r="D506" s="68">
        <f t="shared" si="60"/>
        <v>63</v>
      </c>
      <c r="E506" s="68">
        <f t="shared" si="57"/>
        <v>311</v>
      </c>
      <c r="F506" s="21" t="str">
        <f>VLOOKUP(D506,Sheet2!A:B,2)</f>
        <v>J20-0728</v>
      </c>
      <c r="G506" s="68" t="str">
        <f>VLOOKUP(F506,Sheet2!B:C,2,0)</f>
        <v>ระบบลากสายสัญญาณ ระบท่อวนSeed</v>
      </c>
      <c r="H506" s="68" t="str">
        <f>HLOOKUP(I$2+$A506,Sheet2!BX:NB,2,0)</f>
        <v>1-15 April 21</v>
      </c>
      <c r="I506" t="str">
        <f>IF(OR(HLOOKUP(I$2+$A506,Sheet2!BX:NB,$B506,0),HLOOKUP(I$2+$A506,Sheet2!BX:NB,$B506,0)&lt;&gt;""),HLOOKUP(I$2+$A506,Sheet2!BX:NB,$B506,0),"")</f>
        <v/>
      </c>
      <c r="J506" t="str">
        <f>IF(OR(HLOOKUP(J$2+$A506,Sheet2!BY:NC,$B506,0),HLOOKUP(J$2+$A506,Sheet2!BY:NC,$B506,0)&lt;&gt;""),HLOOKUP(J$2+$A506,Sheet2!BY:NC,$B506,0),"")</f>
        <v/>
      </c>
      <c r="K506" t="str">
        <f>IF(OR(HLOOKUP(K$2+$A506,Sheet2!BZ:ND,$B506,0),HLOOKUP(K$2+$A506,Sheet2!BZ:ND,$B506,0)&lt;&gt;""),HLOOKUP(K$2+$A506,Sheet2!BZ:ND,$B506,0),"")</f>
        <v/>
      </c>
      <c r="L506" t="str">
        <f>IF(OR(HLOOKUP(L$2+$A506,Sheet2!CA:NE,$B506,0),HLOOKUP(L$2+$A506,Sheet2!CA:NE,$B506,0)&lt;&gt;""),HLOOKUP(L$2+$A506,Sheet2!CA:NE,$B506,0),"")</f>
        <v/>
      </c>
      <c r="M506" t="str">
        <f>IF(OR(HLOOKUP(M$2+$A506,Sheet2!CB:NF,$B506,0),HLOOKUP(M$2+$A506,Sheet2!CB:NF,$B506,0)&lt;&gt;""),HLOOKUP(M$2+$A506,Sheet2!CB:NF,$B506,0),"")</f>
        <v/>
      </c>
    </row>
    <row r="507" spans="1:13" x14ac:dyDescent="0.25">
      <c r="A507" s="68">
        <f t="shared" si="58"/>
        <v>35</v>
      </c>
      <c r="B507" s="68">
        <f t="shared" si="59"/>
        <v>67</v>
      </c>
      <c r="C507" s="68">
        <f t="shared" si="56"/>
        <v>8</v>
      </c>
      <c r="D507" s="68">
        <f t="shared" si="60"/>
        <v>63</v>
      </c>
      <c r="E507" s="68">
        <f t="shared" si="57"/>
        <v>311</v>
      </c>
      <c r="F507" s="21" t="str">
        <f>VLOOKUP(D507,Sheet2!A:B,2)</f>
        <v>J20-0728</v>
      </c>
      <c r="G507" s="68" t="str">
        <f>VLOOKUP(F507,Sheet2!B:C,2,0)</f>
        <v>ระบบลากสายสัญญาณ ระบท่อวนSeed</v>
      </c>
      <c r="H507" s="68" t="str">
        <f>HLOOKUP(I$2+$A507,Sheet2!BX:NB,2,0)</f>
        <v>16-30 April 21</v>
      </c>
      <c r="I507" t="str">
        <f>IF(OR(HLOOKUP(I$2+$A507,Sheet2!BX:NB,$B507,0),HLOOKUP(I$2+$A507,Sheet2!BX:NB,$B507,0)&lt;&gt;""),HLOOKUP(I$2+$A507,Sheet2!BX:NB,$B507,0),"")</f>
        <v/>
      </c>
      <c r="J507" t="str">
        <f>IF(OR(HLOOKUP(J$2+$A507,Sheet2!BY:NC,$B507,0),HLOOKUP(J$2+$A507,Sheet2!BY:NC,$B507,0)&lt;&gt;""),HLOOKUP(J$2+$A507,Sheet2!BY:NC,$B507,0),"")</f>
        <v/>
      </c>
      <c r="K507" t="str">
        <f>IF(OR(HLOOKUP(K$2+$A507,Sheet2!BZ:ND,$B507,0),HLOOKUP(K$2+$A507,Sheet2!BZ:ND,$B507,0)&lt;&gt;""),HLOOKUP(K$2+$A507,Sheet2!BZ:ND,$B507,0),"")</f>
        <v/>
      </c>
      <c r="L507" t="str">
        <f>IF(OR(HLOOKUP(L$2+$A507,Sheet2!CA:NE,$B507,0),HLOOKUP(L$2+$A507,Sheet2!CA:NE,$B507,0)&lt;&gt;""),HLOOKUP(L$2+$A507,Sheet2!CA:NE,$B507,0),"")</f>
        <v/>
      </c>
      <c r="M507" t="str">
        <f>IF(OR(HLOOKUP(M$2+$A507,Sheet2!CB:NF,$B507,0),HLOOKUP(M$2+$A507,Sheet2!CB:NF,$B507,0)&lt;&gt;""),HLOOKUP(M$2+$A507,Sheet2!CB:NF,$B507,0),"")</f>
        <v/>
      </c>
    </row>
    <row r="508" spans="1:13" x14ac:dyDescent="0.25">
      <c r="A508" s="68">
        <f t="shared" si="58"/>
        <v>0</v>
      </c>
      <c r="B508" s="68">
        <f t="shared" si="59"/>
        <v>68</v>
      </c>
      <c r="C508" s="68">
        <f t="shared" si="56"/>
        <v>1</v>
      </c>
      <c r="D508" s="68">
        <f t="shared" si="60"/>
        <v>64</v>
      </c>
      <c r="E508" s="68">
        <f t="shared" si="57"/>
        <v>316</v>
      </c>
      <c r="F508" s="21" t="str">
        <f>VLOOKUP(D508,Sheet2!A:B,2)</f>
        <v>J20-0733</v>
      </c>
      <c r="G508" s="68" t="str">
        <f>VLOOKUP(F508,Sheet2!B:C,2,0)</f>
        <v>ไทยโพลีอิททีลีน</v>
      </c>
      <c r="H508" s="68" t="str">
        <f>HLOOKUP(I$2+$A508,Sheet2!BX:NB,2,0)</f>
        <v>1-15 Jan 21</v>
      </c>
      <c r="I508" t="str">
        <f>IF(OR(HLOOKUP(I$2+$A508,Sheet2!BX:NB,$B508,0),HLOOKUP(I$2+$A508,Sheet2!BX:NB,$B508,0)&lt;&gt;""),HLOOKUP(I$2+$A508,Sheet2!BX:NB,$B508,0),"")</f>
        <v/>
      </c>
      <c r="J508" t="str">
        <f>IF(OR(HLOOKUP(J$2+$A508,Sheet2!BY:NC,$B508,0),HLOOKUP(J$2+$A508,Sheet2!BY:NC,$B508,0)&lt;&gt;""),HLOOKUP(J$2+$A508,Sheet2!BY:NC,$B508,0),"")</f>
        <v/>
      </c>
      <c r="K508" t="str">
        <f>IF(OR(HLOOKUP(K$2+$A508,Sheet2!BZ:ND,$B508,0),HLOOKUP(K$2+$A508,Sheet2!BZ:ND,$B508,0)&lt;&gt;""),HLOOKUP(K$2+$A508,Sheet2!BZ:ND,$B508,0),"")</f>
        <v/>
      </c>
      <c r="L508" t="str">
        <f>IF(OR(HLOOKUP(L$2+$A508,Sheet2!CA:NE,$B508,0),HLOOKUP(L$2+$A508,Sheet2!CA:NE,$B508,0)&lt;&gt;""),HLOOKUP(L$2+$A508,Sheet2!CA:NE,$B508,0),"")</f>
        <v/>
      </c>
      <c r="M508" t="str">
        <f>IF(OR(HLOOKUP(M$2+$A508,Sheet2!CB:NF,$B508,0),HLOOKUP(M$2+$A508,Sheet2!CB:NF,$B508,0)&lt;&gt;""),HLOOKUP(M$2+$A508,Sheet2!CB:NF,$B508,0),"")</f>
        <v/>
      </c>
    </row>
    <row r="509" spans="1:13" x14ac:dyDescent="0.25">
      <c r="A509" s="68">
        <f t="shared" si="58"/>
        <v>5</v>
      </c>
      <c r="B509" s="68">
        <f t="shared" si="59"/>
        <v>68</v>
      </c>
      <c r="C509" s="68">
        <f t="shared" si="56"/>
        <v>2</v>
      </c>
      <c r="D509" s="68">
        <f t="shared" si="60"/>
        <v>64</v>
      </c>
      <c r="E509" s="68">
        <f t="shared" si="57"/>
        <v>316</v>
      </c>
      <c r="F509" s="21" t="str">
        <f>VLOOKUP(D509,Sheet2!A:B,2)</f>
        <v>J20-0733</v>
      </c>
      <c r="G509" s="68" t="str">
        <f>VLOOKUP(F509,Sheet2!B:C,2,0)</f>
        <v>ไทยโพลีอิททีลีน</v>
      </c>
      <c r="H509" s="68" t="str">
        <f>HLOOKUP(I$2+$A509,Sheet2!BX:NB,2,0)</f>
        <v>16-31 Jan 21</v>
      </c>
      <c r="I509" t="str">
        <f>IF(OR(HLOOKUP(I$2+$A509,Sheet2!BX:NB,$B509,0),HLOOKUP(I$2+$A509,Sheet2!BX:NB,$B509,0)&lt;&gt;""),HLOOKUP(I$2+$A509,Sheet2!BX:NB,$B509,0),"")</f>
        <v/>
      </c>
      <c r="J509" t="str">
        <f>IF(OR(HLOOKUP(J$2+$A509,Sheet2!BY:NC,$B509,0),HLOOKUP(J$2+$A509,Sheet2!BY:NC,$B509,0)&lt;&gt;""),HLOOKUP(J$2+$A509,Sheet2!BY:NC,$B509,0),"")</f>
        <v/>
      </c>
      <c r="K509" t="str">
        <f>IF(OR(HLOOKUP(K$2+$A509,Sheet2!BZ:ND,$B509,0),HLOOKUP(K$2+$A509,Sheet2!BZ:ND,$B509,0)&lt;&gt;""),HLOOKUP(K$2+$A509,Sheet2!BZ:ND,$B509,0),"")</f>
        <v/>
      </c>
      <c r="L509" t="str">
        <f>IF(OR(HLOOKUP(L$2+$A509,Sheet2!CA:NE,$B509,0),HLOOKUP(L$2+$A509,Sheet2!CA:NE,$B509,0)&lt;&gt;""),HLOOKUP(L$2+$A509,Sheet2!CA:NE,$B509,0),"")</f>
        <v/>
      </c>
      <c r="M509" t="str">
        <f>IF(OR(HLOOKUP(M$2+$A509,Sheet2!CB:NF,$B509,0),HLOOKUP(M$2+$A509,Sheet2!CB:NF,$B509,0)&lt;&gt;""),HLOOKUP(M$2+$A509,Sheet2!CB:NF,$B509,0),"")</f>
        <v/>
      </c>
    </row>
    <row r="510" spans="1:13" x14ac:dyDescent="0.25">
      <c r="A510" s="68">
        <f t="shared" si="58"/>
        <v>10</v>
      </c>
      <c r="B510" s="68">
        <f t="shared" si="59"/>
        <v>68</v>
      </c>
      <c r="C510" s="68">
        <f t="shared" si="56"/>
        <v>3</v>
      </c>
      <c r="D510" s="68">
        <f t="shared" si="60"/>
        <v>64</v>
      </c>
      <c r="E510" s="68">
        <f t="shared" si="57"/>
        <v>316</v>
      </c>
      <c r="F510" s="21" t="str">
        <f>VLOOKUP(D510,Sheet2!A:B,2)</f>
        <v>J20-0733</v>
      </c>
      <c r="G510" s="68" t="str">
        <f>VLOOKUP(F510,Sheet2!B:C,2,0)</f>
        <v>ไทยโพลีอิททีลีน</v>
      </c>
      <c r="H510" s="68" t="str">
        <f>HLOOKUP(I$2+$A510,Sheet2!BX:NB,2,0)</f>
        <v>1-15 Feb 21</v>
      </c>
      <c r="I510">
        <f>IF(OR(HLOOKUP(I$2+$A510,Sheet2!BX:NB,$B510,0),HLOOKUP(I$2+$A510,Sheet2!BX:NB,$B510,0)&lt;&gt;""),HLOOKUP(I$2+$A510,Sheet2!BX:NB,$B510,0),"")</f>
        <v>205520</v>
      </c>
      <c r="J510" t="str">
        <f>IF(OR(HLOOKUP(J$2+$A510,Sheet2!BY:NC,$B510,0),HLOOKUP(J$2+$A510,Sheet2!BY:NC,$B510,0)&lt;&gt;""),HLOOKUP(J$2+$A510,Sheet2!BY:NC,$B510,0),"")</f>
        <v/>
      </c>
      <c r="K510" t="str">
        <f>IF(OR(HLOOKUP(K$2+$A510,Sheet2!BZ:ND,$B510,0),HLOOKUP(K$2+$A510,Sheet2!BZ:ND,$B510,0)&lt;&gt;""),HLOOKUP(K$2+$A510,Sheet2!BZ:ND,$B510,0),"")</f>
        <v/>
      </c>
      <c r="L510" t="str">
        <f>IF(OR(HLOOKUP(L$2+$A510,Sheet2!CA:NE,$B510,0),HLOOKUP(L$2+$A510,Sheet2!CA:NE,$B510,0)&lt;&gt;""),HLOOKUP(L$2+$A510,Sheet2!CA:NE,$B510,0),"")</f>
        <v/>
      </c>
      <c r="M510">
        <f>IF(OR(HLOOKUP(M$2+$A510,Sheet2!CB:NF,$B510,0),HLOOKUP(M$2+$A510,Sheet2!CB:NF,$B510,0)&lt;&gt;""),HLOOKUP(M$2+$A510,Sheet2!CB:NF,$B510,0),"")</f>
        <v>26</v>
      </c>
    </row>
    <row r="511" spans="1:13" x14ac:dyDescent="0.25">
      <c r="A511" s="68">
        <f t="shared" si="58"/>
        <v>15</v>
      </c>
      <c r="B511" s="68">
        <f t="shared" si="59"/>
        <v>68</v>
      </c>
      <c r="C511" s="68">
        <f t="shared" si="56"/>
        <v>4</v>
      </c>
      <c r="D511" s="68">
        <f t="shared" si="60"/>
        <v>64</v>
      </c>
      <c r="E511" s="68">
        <f t="shared" si="57"/>
        <v>316</v>
      </c>
      <c r="F511" s="21" t="str">
        <f>VLOOKUP(D511,Sheet2!A:B,2)</f>
        <v>J20-0733</v>
      </c>
      <c r="G511" s="68" t="str">
        <f>VLOOKUP(F511,Sheet2!B:C,2,0)</f>
        <v>ไทยโพลีอิททีลีน</v>
      </c>
      <c r="H511" s="68" t="str">
        <f>HLOOKUP(I$2+$A511,Sheet2!BX:NB,2,0)</f>
        <v>16-28 Feb 21</v>
      </c>
      <c r="I511" t="str">
        <f>IF(OR(HLOOKUP(I$2+$A511,Sheet2!BX:NB,$B511,0),HLOOKUP(I$2+$A511,Sheet2!BX:NB,$B511,0)&lt;&gt;""),HLOOKUP(I$2+$A511,Sheet2!BX:NB,$B511,0),"")</f>
        <v/>
      </c>
      <c r="J511" t="str">
        <f>IF(OR(HLOOKUP(J$2+$A511,Sheet2!BY:NC,$B511,0),HLOOKUP(J$2+$A511,Sheet2!BY:NC,$B511,0)&lt;&gt;""),HLOOKUP(J$2+$A511,Sheet2!BY:NC,$B511,0),"")</f>
        <v/>
      </c>
      <c r="K511" t="str">
        <f>IF(OR(HLOOKUP(K$2+$A511,Sheet2!BZ:ND,$B511,0),HLOOKUP(K$2+$A511,Sheet2!BZ:ND,$B511,0)&lt;&gt;""),HLOOKUP(K$2+$A511,Sheet2!BZ:ND,$B511,0),"")</f>
        <v/>
      </c>
      <c r="L511" t="str">
        <f>IF(OR(HLOOKUP(L$2+$A511,Sheet2!CA:NE,$B511,0),HLOOKUP(L$2+$A511,Sheet2!CA:NE,$B511,0)&lt;&gt;""),HLOOKUP(L$2+$A511,Sheet2!CA:NE,$B511,0),"")</f>
        <v/>
      </c>
      <c r="M511" t="str">
        <f>IF(OR(HLOOKUP(M$2+$A511,Sheet2!CB:NF,$B511,0),HLOOKUP(M$2+$A511,Sheet2!CB:NF,$B511,0)&lt;&gt;""),HLOOKUP(M$2+$A511,Sheet2!CB:NF,$B511,0),"")</f>
        <v/>
      </c>
    </row>
    <row r="512" spans="1:13" x14ac:dyDescent="0.25">
      <c r="A512" s="68">
        <f t="shared" si="58"/>
        <v>20</v>
      </c>
      <c r="B512" s="68">
        <f t="shared" si="59"/>
        <v>68</v>
      </c>
      <c r="C512" s="68">
        <f t="shared" si="56"/>
        <v>5</v>
      </c>
      <c r="D512" s="68">
        <f t="shared" si="60"/>
        <v>64</v>
      </c>
      <c r="E512" s="68">
        <f t="shared" si="57"/>
        <v>316</v>
      </c>
      <c r="F512" s="21" t="str">
        <f>VLOOKUP(D512,Sheet2!A:B,2)</f>
        <v>J20-0733</v>
      </c>
      <c r="G512" s="68" t="str">
        <f>VLOOKUP(F512,Sheet2!B:C,2,0)</f>
        <v>ไทยโพลีอิททีลีน</v>
      </c>
      <c r="H512" s="68" t="str">
        <f>HLOOKUP(I$2+$A512,Sheet2!BX:NB,2,0)</f>
        <v>1-15 Mar 2021</v>
      </c>
      <c r="I512" t="str">
        <f>IF(OR(HLOOKUP(I$2+$A512,Sheet2!BX:NB,$B512,0),HLOOKUP(I$2+$A512,Sheet2!BX:NB,$B512,0)&lt;&gt;""),HLOOKUP(I$2+$A512,Sheet2!BX:NB,$B512,0),"")</f>
        <v/>
      </c>
      <c r="J512" t="str">
        <f>IF(OR(HLOOKUP(J$2+$A512,Sheet2!BY:NC,$B512,0),HLOOKUP(J$2+$A512,Sheet2!BY:NC,$B512,0)&lt;&gt;""),HLOOKUP(J$2+$A512,Sheet2!BY:NC,$B512,0),"")</f>
        <v/>
      </c>
      <c r="K512" t="str">
        <f>IF(OR(HLOOKUP(K$2+$A512,Sheet2!BZ:ND,$B512,0),HLOOKUP(K$2+$A512,Sheet2!BZ:ND,$B512,0)&lt;&gt;""),HLOOKUP(K$2+$A512,Sheet2!BZ:ND,$B512,0),"")</f>
        <v/>
      </c>
      <c r="L512" t="str">
        <f>IF(OR(HLOOKUP(L$2+$A512,Sheet2!CA:NE,$B512,0),HLOOKUP(L$2+$A512,Sheet2!CA:NE,$B512,0)&lt;&gt;""),HLOOKUP(L$2+$A512,Sheet2!CA:NE,$B512,0),"")</f>
        <v/>
      </c>
      <c r="M512" t="str">
        <f>IF(OR(HLOOKUP(M$2+$A512,Sheet2!CB:NF,$B512,0),HLOOKUP(M$2+$A512,Sheet2!CB:NF,$B512,0)&lt;&gt;""),HLOOKUP(M$2+$A512,Sheet2!CB:NF,$B512,0),"")</f>
        <v/>
      </c>
    </row>
    <row r="513" spans="1:13" x14ac:dyDescent="0.25">
      <c r="A513" s="68">
        <f t="shared" si="58"/>
        <v>25</v>
      </c>
      <c r="B513" s="68">
        <f t="shared" si="59"/>
        <v>68</v>
      </c>
      <c r="C513" s="68">
        <f t="shared" si="56"/>
        <v>6</v>
      </c>
      <c r="D513" s="68">
        <f t="shared" si="60"/>
        <v>64</v>
      </c>
      <c r="E513" s="68">
        <f t="shared" si="57"/>
        <v>316</v>
      </c>
      <c r="F513" s="21" t="str">
        <f>VLOOKUP(D513,Sheet2!A:B,2)</f>
        <v>J20-0733</v>
      </c>
      <c r="G513" s="68" t="str">
        <f>VLOOKUP(F513,Sheet2!B:C,2,0)</f>
        <v>ไทยโพลีอิททีลีน</v>
      </c>
      <c r="H513" s="68" t="str">
        <f>HLOOKUP(I$2+$A513,Sheet2!BX:NB,2,0)</f>
        <v>16-31 Mar 21</v>
      </c>
      <c r="I513" t="str">
        <f>IF(OR(HLOOKUP(I$2+$A513,Sheet2!BX:NB,$B513,0),HLOOKUP(I$2+$A513,Sheet2!BX:NB,$B513,0)&lt;&gt;""),HLOOKUP(I$2+$A513,Sheet2!BX:NB,$B513,0),"")</f>
        <v/>
      </c>
      <c r="J513" t="str">
        <f>IF(OR(HLOOKUP(J$2+$A513,Sheet2!BY:NC,$B513,0),HLOOKUP(J$2+$A513,Sheet2!BY:NC,$B513,0)&lt;&gt;""),HLOOKUP(J$2+$A513,Sheet2!BY:NC,$B513,0),"")</f>
        <v/>
      </c>
      <c r="K513" t="str">
        <f>IF(OR(HLOOKUP(K$2+$A513,Sheet2!BZ:ND,$B513,0),HLOOKUP(K$2+$A513,Sheet2!BZ:ND,$B513,0)&lt;&gt;""),HLOOKUP(K$2+$A513,Sheet2!BZ:ND,$B513,0),"")</f>
        <v/>
      </c>
      <c r="L513" t="str">
        <f>IF(OR(HLOOKUP(L$2+$A513,Sheet2!CA:NE,$B513,0),HLOOKUP(L$2+$A513,Sheet2!CA:NE,$B513,0)&lt;&gt;""),HLOOKUP(L$2+$A513,Sheet2!CA:NE,$B513,0),"")</f>
        <v/>
      </c>
      <c r="M513" t="str">
        <f>IF(OR(HLOOKUP(M$2+$A513,Sheet2!CB:NF,$B513,0),HLOOKUP(M$2+$A513,Sheet2!CB:NF,$B513,0)&lt;&gt;""),HLOOKUP(M$2+$A513,Sheet2!CB:NF,$B513,0),"")</f>
        <v/>
      </c>
    </row>
    <row r="514" spans="1:13" x14ac:dyDescent="0.25">
      <c r="A514" s="68">
        <f t="shared" si="58"/>
        <v>30</v>
      </c>
      <c r="B514" s="68">
        <f t="shared" si="59"/>
        <v>68</v>
      </c>
      <c r="C514" s="68">
        <f t="shared" si="56"/>
        <v>7</v>
      </c>
      <c r="D514" s="68">
        <f t="shared" si="60"/>
        <v>64</v>
      </c>
      <c r="E514" s="68">
        <f t="shared" si="57"/>
        <v>316</v>
      </c>
      <c r="F514" s="21" t="str">
        <f>VLOOKUP(D514,Sheet2!A:B,2)</f>
        <v>J20-0733</v>
      </c>
      <c r="G514" s="68" t="str">
        <f>VLOOKUP(F514,Sheet2!B:C,2,0)</f>
        <v>ไทยโพลีอิททีลีน</v>
      </c>
      <c r="H514" s="68" t="str">
        <f>HLOOKUP(I$2+$A514,Sheet2!BX:NB,2,0)</f>
        <v>1-15 April 21</v>
      </c>
      <c r="I514">
        <f>IF(OR(HLOOKUP(I$2+$A514,Sheet2!BX:NB,$B514,0),HLOOKUP(I$2+$A514,Sheet2!BX:NB,$B514,0)&lt;&gt;""),HLOOKUP(I$2+$A514,Sheet2!BX:NB,$B514,0),"")</f>
        <v>63110</v>
      </c>
      <c r="J514" t="str">
        <f>IF(OR(HLOOKUP(J$2+$A514,Sheet2!BY:NC,$B514,0),HLOOKUP(J$2+$A514,Sheet2!BY:NC,$B514,0)&lt;&gt;""),HLOOKUP(J$2+$A514,Sheet2!BY:NC,$B514,0),"")</f>
        <v/>
      </c>
      <c r="K514" t="str">
        <f>IF(OR(HLOOKUP(K$2+$A514,Sheet2!BZ:ND,$B514,0),HLOOKUP(K$2+$A514,Sheet2!BZ:ND,$B514,0)&lt;&gt;""),HLOOKUP(K$2+$A514,Sheet2!BZ:ND,$B514,0),"")</f>
        <v/>
      </c>
      <c r="L514" t="str">
        <f>IF(OR(HLOOKUP(L$2+$A514,Sheet2!CA:NE,$B514,0),HLOOKUP(L$2+$A514,Sheet2!CA:NE,$B514,0)&lt;&gt;""),HLOOKUP(L$2+$A514,Sheet2!CA:NE,$B514,0),"")</f>
        <v/>
      </c>
      <c r="M514">
        <f>IF(OR(HLOOKUP(M$2+$A514,Sheet2!CB:NF,$B514,0),HLOOKUP(M$2+$A514,Sheet2!CB:NF,$B514,0)&lt;&gt;""),HLOOKUP(M$2+$A514,Sheet2!CB:NF,$B514,0),"")</f>
        <v>7</v>
      </c>
    </row>
    <row r="515" spans="1:13" x14ac:dyDescent="0.25">
      <c r="A515" s="68">
        <f t="shared" si="58"/>
        <v>35</v>
      </c>
      <c r="B515" s="68">
        <f t="shared" si="59"/>
        <v>68</v>
      </c>
      <c r="C515" s="68">
        <f t="shared" si="56"/>
        <v>8</v>
      </c>
      <c r="D515" s="68">
        <f t="shared" si="60"/>
        <v>64</v>
      </c>
      <c r="E515" s="68">
        <f t="shared" si="57"/>
        <v>316</v>
      </c>
      <c r="F515" s="21" t="str">
        <f>VLOOKUP(D515,Sheet2!A:B,2)</f>
        <v>J20-0733</v>
      </c>
      <c r="G515" s="68" t="str">
        <f>VLOOKUP(F515,Sheet2!B:C,2,0)</f>
        <v>ไทยโพลีอิททีลีน</v>
      </c>
      <c r="H515" s="68" t="str">
        <f>HLOOKUP(I$2+$A515,Sheet2!BX:NB,2,0)</f>
        <v>16-30 April 21</v>
      </c>
      <c r="I515" t="str">
        <f>IF(OR(HLOOKUP(I$2+$A515,Sheet2!BX:NB,$B515,0),HLOOKUP(I$2+$A515,Sheet2!BX:NB,$B515,0)&lt;&gt;""),HLOOKUP(I$2+$A515,Sheet2!BX:NB,$B515,0),"")</f>
        <v/>
      </c>
      <c r="J515" t="str">
        <f>IF(OR(HLOOKUP(J$2+$A515,Sheet2!BY:NC,$B515,0),HLOOKUP(J$2+$A515,Sheet2!BY:NC,$B515,0)&lt;&gt;""),HLOOKUP(J$2+$A515,Sheet2!BY:NC,$B515,0),"")</f>
        <v/>
      </c>
      <c r="K515" t="str">
        <f>IF(OR(HLOOKUP(K$2+$A515,Sheet2!BZ:ND,$B515,0),HLOOKUP(K$2+$A515,Sheet2!BZ:ND,$B515,0)&lt;&gt;""),HLOOKUP(K$2+$A515,Sheet2!BZ:ND,$B515,0),"")</f>
        <v/>
      </c>
      <c r="L515" t="str">
        <f>IF(OR(HLOOKUP(L$2+$A515,Sheet2!CA:NE,$B515,0),HLOOKUP(L$2+$A515,Sheet2!CA:NE,$B515,0)&lt;&gt;""),HLOOKUP(L$2+$A515,Sheet2!CA:NE,$B515,0),"")</f>
        <v/>
      </c>
      <c r="M515" t="str">
        <f>IF(OR(HLOOKUP(M$2+$A515,Sheet2!CB:NF,$B515,0),HLOOKUP(M$2+$A515,Sheet2!CB:NF,$B515,0)&lt;&gt;""),HLOOKUP(M$2+$A515,Sheet2!CB:NF,$B515,0),"")</f>
        <v/>
      </c>
    </row>
    <row r="516" spans="1:13" x14ac:dyDescent="0.25">
      <c r="A516" s="68">
        <f t="shared" si="58"/>
        <v>0</v>
      </c>
      <c r="B516" s="68">
        <f t="shared" si="59"/>
        <v>69</v>
      </c>
      <c r="C516" s="68">
        <f t="shared" si="56"/>
        <v>1</v>
      </c>
      <c r="D516" s="68">
        <f t="shared" si="60"/>
        <v>65</v>
      </c>
      <c r="E516" s="68">
        <f t="shared" si="57"/>
        <v>321</v>
      </c>
      <c r="F516" s="21" t="str">
        <f>VLOOKUP(D516,Sheet2!A:B,2)</f>
        <v>J20-0739</v>
      </c>
      <c r="G516" s="68" t="str">
        <f>VLOOKUP(F516,Sheet2!B:C,2,0)</f>
        <v>AS1-2 Install Temp Controller</v>
      </c>
      <c r="H516" s="68" t="str">
        <f>HLOOKUP(I$2+$A516,Sheet2!BX:NB,2,0)</f>
        <v>1-15 Jan 21</v>
      </c>
      <c r="I516" t="str">
        <f>IF(OR(HLOOKUP(I$2+$A516,Sheet2!BX:NB,$B516,0),HLOOKUP(I$2+$A516,Sheet2!BX:NB,$B516,0)&lt;&gt;""),HLOOKUP(I$2+$A516,Sheet2!BX:NB,$B516,0),"")</f>
        <v/>
      </c>
      <c r="J516" t="str">
        <f>IF(OR(HLOOKUP(J$2+$A516,Sheet2!BY:NC,$B516,0),HLOOKUP(J$2+$A516,Sheet2!BY:NC,$B516,0)&lt;&gt;""),HLOOKUP(J$2+$A516,Sheet2!BY:NC,$B516,0),"")</f>
        <v/>
      </c>
      <c r="K516" t="str">
        <f>IF(OR(HLOOKUP(K$2+$A516,Sheet2!BZ:ND,$B516,0),HLOOKUP(K$2+$A516,Sheet2!BZ:ND,$B516,0)&lt;&gt;""),HLOOKUP(K$2+$A516,Sheet2!BZ:ND,$B516,0),"")</f>
        <v/>
      </c>
      <c r="L516" t="str">
        <f>IF(OR(HLOOKUP(L$2+$A516,Sheet2!CA:NE,$B516,0),HLOOKUP(L$2+$A516,Sheet2!CA:NE,$B516,0)&lt;&gt;""),HLOOKUP(L$2+$A516,Sheet2!CA:NE,$B516,0),"")</f>
        <v/>
      </c>
      <c r="M516" t="str">
        <f>IF(OR(HLOOKUP(M$2+$A516,Sheet2!CB:NF,$B516,0),HLOOKUP(M$2+$A516,Sheet2!CB:NF,$B516,0)&lt;&gt;""),HLOOKUP(M$2+$A516,Sheet2!CB:NF,$B516,0),"")</f>
        <v/>
      </c>
    </row>
    <row r="517" spans="1:13" x14ac:dyDescent="0.25">
      <c r="A517" s="68">
        <f t="shared" si="58"/>
        <v>5</v>
      </c>
      <c r="B517" s="68">
        <f t="shared" si="59"/>
        <v>69</v>
      </c>
      <c r="C517" s="68">
        <f t="shared" si="56"/>
        <v>2</v>
      </c>
      <c r="D517" s="68">
        <f t="shared" si="60"/>
        <v>65</v>
      </c>
      <c r="E517" s="68">
        <f t="shared" si="57"/>
        <v>321</v>
      </c>
      <c r="F517" s="21" t="str">
        <f>VLOOKUP(D517,Sheet2!A:B,2)</f>
        <v>J20-0739</v>
      </c>
      <c r="G517" s="68" t="str">
        <f>VLOOKUP(F517,Sheet2!B:C,2,0)</f>
        <v>AS1-2 Install Temp Controller</v>
      </c>
      <c r="H517" s="68" t="str">
        <f>HLOOKUP(I$2+$A517,Sheet2!BX:NB,2,0)</f>
        <v>16-31 Jan 21</v>
      </c>
      <c r="I517" t="str">
        <f>IF(OR(HLOOKUP(I$2+$A517,Sheet2!BX:NB,$B517,0),HLOOKUP(I$2+$A517,Sheet2!BX:NB,$B517,0)&lt;&gt;""),HLOOKUP(I$2+$A517,Sheet2!BX:NB,$B517,0),"")</f>
        <v/>
      </c>
      <c r="J517" t="str">
        <f>IF(OR(HLOOKUP(J$2+$A517,Sheet2!BY:NC,$B517,0),HLOOKUP(J$2+$A517,Sheet2!BY:NC,$B517,0)&lt;&gt;""),HLOOKUP(J$2+$A517,Sheet2!BY:NC,$B517,0),"")</f>
        <v/>
      </c>
      <c r="K517" t="str">
        <f>IF(OR(HLOOKUP(K$2+$A517,Sheet2!BZ:ND,$B517,0),HLOOKUP(K$2+$A517,Sheet2!BZ:ND,$B517,0)&lt;&gt;""),HLOOKUP(K$2+$A517,Sheet2!BZ:ND,$B517,0),"")</f>
        <v/>
      </c>
      <c r="L517" t="str">
        <f>IF(OR(HLOOKUP(L$2+$A517,Sheet2!CA:NE,$B517,0),HLOOKUP(L$2+$A517,Sheet2!CA:NE,$B517,0)&lt;&gt;""),HLOOKUP(L$2+$A517,Sheet2!CA:NE,$B517,0),"")</f>
        <v/>
      </c>
      <c r="M517" t="str">
        <f>IF(OR(HLOOKUP(M$2+$A517,Sheet2!CB:NF,$B517,0),HLOOKUP(M$2+$A517,Sheet2!CB:NF,$B517,0)&lt;&gt;""),HLOOKUP(M$2+$A517,Sheet2!CB:NF,$B517,0),"")</f>
        <v/>
      </c>
    </row>
    <row r="518" spans="1:13" x14ac:dyDescent="0.25">
      <c r="A518" s="68">
        <f t="shared" si="58"/>
        <v>10</v>
      </c>
      <c r="B518" s="68">
        <f t="shared" si="59"/>
        <v>69</v>
      </c>
      <c r="C518" s="68">
        <f t="shared" si="56"/>
        <v>3</v>
      </c>
      <c r="D518" s="68">
        <f t="shared" si="60"/>
        <v>65</v>
      </c>
      <c r="E518" s="68">
        <f t="shared" si="57"/>
        <v>321</v>
      </c>
      <c r="F518" s="21" t="str">
        <f>VLOOKUP(D518,Sheet2!A:B,2)</f>
        <v>J20-0739</v>
      </c>
      <c r="G518" s="68" t="str">
        <f>VLOOKUP(F518,Sheet2!B:C,2,0)</f>
        <v>AS1-2 Install Temp Controller</v>
      </c>
      <c r="H518" s="68" t="str">
        <f>HLOOKUP(I$2+$A518,Sheet2!BX:NB,2,0)</f>
        <v>1-15 Feb 21</v>
      </c>
      <c r="I518" t="str">
        <f>IF(OR(HLOOKUP(I$2+$A518,Sheet2!BX:NB,$B518,0),HLOOKUP(I$2+$A518,Sheet2!BX:NB,$B518,0)&lt;&gt;""),HLOOKUP(I$2+$A518,Sheet2!BX:NB,$B518,0),"")</f>
        <v/>
      </c>
      <c r="J518" t="str">
        <f>IF(OR(HLOOKUP(J$2+$A518,Sheet2!BY:NC,$B518,0),HLOOKUP(J$2+$A518,Sheet2!BY:NC,$B518,0)&lt;&gt;""),HLOOKUP(J$2+$A518,Sheet2!BY:NC,$B518,0),"")</f>
        <v/>
      </c>
      <c r="K518" t="str">
        <f>IF(OR(HLOOKUP(K$2+$A518,Sheet2!BZ:ND,$B518,0),HLOOKUP(K$2+$A518,Sheet2!BZ:ND,$B518,0)&lt;&gt;""),HLOOKUP(K$2+$A518,Sheet2!BZ:ND,$B518,0),"")</f>
        <v/>
      </c>
      <c r="L518" t="str">
        <f>IF(OR(HLOOKUP(L$2+$A518,Sheet2!CA:NE,$B518,0),HLOOKUP(L$2+$A518,Sheet2!CA:NE,$B518,0)&lt;&gt;""),HLOOKUP(L$2+$A518,Sheet2!CA:NE,$B518,0),"")</f>
        <v/>
      </c>
      <c r="M518" t="str">
        <f>IF(OR(HLOOKUP(M$2+$A518,Sheet2!CB:NF,$B518,0),HLOOKUP(M$2+$A518,Sheet2!CB:NF,$B518,0)&lt;&gt;""),HLOOKUP(M$2+$A518,Sheet2!CB:NF,$B518,0),"")</f>
        <v/>
      </c>
    </row>
    <row r="519" spans="1:13" x14ac:dyDescent="0.25">
      <c r="A519" s="68">
        <f t="shared" si="58"/>
        <v>15</v>
      </c>
      <c r="B519" s="68">
        <f t="shared" si="59"/>
        <v>69</v>
      </c>
      <c r="C519" s="68">
        <f t="shared" si="56"/>
        <v>4</v>
      </c>
      <c r="D519" s="68">
        <f t="shared" si="60"/>
        <v>65</v>
      </c>
      <c r="E519" s="68">
        <f t="shared" si="57"/>
        <v>321</v>
      </c>
      <c r="F519" s="21" t="str">
        <f>VLOOKUP(D519,Sheet2!A:B,2)</f>
        <v>J20-0739</v>
      </c>
      <c r="G519" s="68" t="str">
        <f>VLOOKUP(F519,Sheet2!B:C,2,0)</f>
        <v>AS1-2 Install Temp Controller</v>
      </c>
      <c r="H519" s="68" t="str">
        <f>HLOOKUP(I$2+$A519,Sheet2!BX:NB,2,0)</f>
        <v>16-28 Feb 21</v>
      </c>
      <c r="I519" t="str">
        <f>IF(OR(HLOOKUP(I$2+$A519,Sheet2!BX:NB,$B519,0),HLOOKUP(I$2+$A519,Sheet2!BX:NB,$B519,0)&lt;&gt;""),HLOOKUP(I$2+$A519,Sheet2!BX:NB,$B519,0),"")</f>
        <v/>
      </c>
      <c r="J519" t="str">
        <f>IF(OR(HLOOKUP(J$2+$A519,Sheet2!BY:NC,$B519,0),HLOOKUP(J$2+$A519,Sheet2!BY:NC,$B519,0)&lt;&gt;""),HLOOKUP(J$2+$A519,Sheet2!BY:NC,$B519,0),"")</f>
        <v/>
      </c>
      <c r="K519" t="str">
        <f>IF(OR(HLOOKUP(K$2+$A519,Sheet2!BZ:ND,$B519,0),HLOOKUP(K$2+$A519,Sheet2!BZ:ND,$B519,0)&lt;&gt;""),HLOOKUP(K$2+$A519,Sheet2!BZ:ND,$B519,0),"")</f>
        <v/>
      </c>
      <c r="L519" t="str">
        <f>IF(OR(HLOOKUP(L$2+$A519,Sheet2!CA:NE,$B519,0),HLOOKUP(L$2+$A519,Sheet2!CA:NE,$B519,0)&lt;&gt;""),HLOOKUP(L$2+$A519,Sheet2!CA:NE,$B519,0),"")</f>
        <v/>
      </c>
      <c r="M519" t="str">
        <f>IF(OR(HLOOKUP(M$2+$A519,Sheet2!CB:NF,$B519,0),HLOOKUP(M$2+$A519,Sheet2!CB:NF,$B519,0)&lt;&gt;""),HLOOKUP(M$2+$A519,Sheet2!CB:NF,$B519,0),"")</f>
        <v/>
      </c>
    </row>
    <row r="520" spans="1:13" x14ac:dyDescent="0.25">
      <c r="A520" s="68">
        <f t="shared" si="58"/>
        <v>20</v>
      </c>
      <c r="B520" s="68">
        <f t="shared" si="59"/>
        <v>69</v>
      </c>
      <c r="C520" s="68">
        <f t="shared" si="56"/>
        <v>5</v>
      </c>
      <c r="D520" s="68">
        <f t="shared" si="60"/>
        <v>65</v>
      </c>
      <c r="E520" s="68">
        <f t="shared" si="57"/>
        <v>321</v>
      </c>
      <c r="F520" s="21" t="str">
        <f>VLOOKUP(D520,Sheet2!A:B,2)</f>
        <v>J20-0739</v>
      </c>
      <c r="G520" s="68" t="str">
        <f>VLOOKUP(F520,Sheet2!B:C,2,0)</f>
        <v>AS1-2 Install Temp Controller</v>
      </c>
      <c r="H520" s="68" t="str">
        <f>HLOOKUP(I$2+$A520,Sheet2!BX:NB,2,0)</f>
        <v>1-15 Mar 2021</v>
      </c>
      <c r="I520" t="str">
        <f>IF(OR(HLOOKUP(I$2+$A520,Sheet2!BX:NB,$B520,0),HLOOKUP(I$2+$A520,Sheet2!BX:NB,$B520,0)&lt;&gt;""),HLOOKUP(I$2+$A520,Sheet2!BX:NB,$B520,0),"")</f>
        <v/>
      </c>
      <c r="J520" t="str">
        <f>IF(OR(HLOOKUP(J$2+$A520,Sheet2!BY:NC,$B520,0),HLOOKUP(J$2+$A520,Sheet2!BY:NC,$B520,0)&lt;&gt;""),HLOOKUP(J$2+$A520,Sheet2!BY:NC,$B520,0),"")</f>
        <v/>
      </c>
      <c r="K520" t="str">
        <f>IF(OR(HLOOKUP(K$2+$A520,Sheet2!BZ:ND,$B520,0),HLOOKUP(K$2+$A520,Sheet2!BZ:ND,$B520,0)&lt;&gt;""),HLOOKUP(K$2+$A520,Sheet2!BZ:ND,$B520,0),"")</f>
        <v/>
      </c>
      <c r="L520" t="str">
        <f>IF(OR(HLOOKUP(L$2+$A520,Sheet2!CA:NE,$B520,0),HLOOKUP(L$2+$A520,Sheet2!CA:NE,$B520,0)&lt;&gt;""),HLOOKUP(L$2+$A520,Sheet2!CA:NE,$B520,0),"")</f>
        <v/>
      </c>
      <c r="M520" t="str">
        <f>IF(OR(HLOOKUP(M$2+$A520,Sheet2!CB:NF,$B520,0),HLOOKUP(M$2+$A520,Sheet2!CB:NF,$B520,0)&lt;&gt;""),HLOOKUP(M$2+$A520,Sheet2!CB:NF,$B520,0),"")</f>
        <v/>
      </c>
    </row>
    <row r="521" spans="1:13" x14ac:dyDescent="0.25">
      <c r="A521" s="68">
        <f t="shared" si="58"/>
        <v>25</v>
      </c>
      <c r="B521" s="68">
        <f t="shared" si="59"/>
        <v>69</v>
      </c>
      <c r="C521" s="68">
        <f t="shared" si="56"/>
        <v>6</v>
      </c>
      <c r="D521" s="68">
        <f t="shared" si="60"/>
        <v>65</v>
      </c>
      <c r="E521" s="68">
        <f t="shared" si="57"/>
        <v>321</v>
      </c>
      <c r="F521" s="21" t="str">
        <f>VLOOKUP(D521,Sheet2!A:B,2)</f>
        <v>J20-0739</v>
      </c>
      <c r="G521" s="68" t="str">
        <f>VLOOKUP(F521,Sheet2!B:C,2,0)</f>
        <v>AS1-2 Install Temp Controller</v>
      </c>
      <c r="H521" s="68" t="str">
        <f>HLOOKUP(I$2+$A521,Sheet2!BX:NB,2,0)</f>
        <v>16-31 Mar 21</v>
      </c>
      <c r="I521" t="str">
        <f>IF(OR(HLOOKUP(I$2+$A521,Sheet2!BX:NB,$B521,0),HLOOKUP(I$2+$A521,Sheet2!BX:NB,$B521,0)&lt;&gt;""),HLOOKUP(I$2+$A521,Sheet2!BX:NB,$B521,0),"")</f>
        <v/>
      </c>
      <c r="J521" t="str">
        <f>IF(OR(HLOOKUP(J$2+$A521,Sheet2!BY:NC,$B521,0),HLOOKUP(J$2+$A521,Sheet2!BY:NC,$B521,0)&lt;&gt;""),HLOOKUP(J$2+$A521,Sheet2!BY:NC,$B521,0),"")</f>
        <v/>
      </c>
      <c r="K521" t="str">
        <f>IF(OR(HLOOKUP(K$2+$A521,Sheet2!BZ:ND,$B521,0),HLOOKUP(K$2+$A521,Sheet2!BZ:ND,$B521,0)&lt;&gt;""),HLOOKUP(K$2+$A521,Sheet2!BZ:ND,$B521,0),"")</f>
        <v/>
      </c>
      <c r="L521" t="str">
        <f>IF(OR(HLOOKUP(L$2+$A521,Sheet2!CA:NE,$B521,0),HLOOKUP(L$2+$A521,Sheet2!CA:NE,$B521,0)&lt;&gt;""),HLOOKUP(L$2+$A521,Sheet2!CA:NE,$B521,0),"")</f>
        <v/>
      </c>
      <c r="M521" t="str">
        <f>IF(OR(HLOOKUP(M$2+$A521,Sheet2!CB:NF,$B521,0),HLOOKUP(M$2+$A521,Sheet2!CB:NF,$B521,0)&lt;&gt;""),HLOOKUP(M$2+$A521,Sheet2!CB:NF,$B521,0),"")</f>
        <v/>
      </c>
    </row>
    <row r="522" spans="1:13" x14ac:dyDescent="0.25">
      <c r="A522" s="68">
        <f t="shared" si="58"/>
        <v>30</v>
      </c>
      <c r="B522" s="68">
        <f t="shared" si="59"/>
        <v>69</v>
      </c>
      <c r="C522" s="68">
        <f t="shared" si="56"/>
        <v>7</v>
      </c>
      <c r="D522" s="68">
        <f t="shared" si="60"/>
        <v>65</v>
      </c>
      <c r="E522" s="68">
        <f t="shared" si="57"/>
        <v>321</v>
      </c>
      <c r="F522" s="21" t="str">
        <f>VLOOKUP(D522,Sheet2!A:B,2)</f>
        <v>J20-0739</v>
      </c>
      <c r="G522" s="68" t="str">
        <f>VLOOKUP(F522,Sheet2!B:C,2,0)</f>
        <v>AS1-2 Install Temp Controller</v>
      </c>
      <c r="H522" s="68" t="str">
        <f>HLOOKUP(I$2+$A522,Sheet2!BX:NB,2,0)</f>
        <v>1-15 April 21</v>
      </c>
      <c r="I522" t="str">
        <f>IF(OR(HLOOKUP(I$2+$A522,Sheet2!BX:NB,$B522,0),HLOOKUP(I$2+$A522,Sheet2!BX:NB,$B522,0)&lt;&gt;""),HLOOKUP(I$2+$A522,Sheet2!BX:NB,$B522,0),"")</f>
        <v/>
      </c>
      <c r="J522" t="str">
        <f>IF(OR(HLOOKUP(J$2+$A522,Sheet2!BY:NC,$B522,0),HLOOKUP(J$2+$A522,Sheet2!BY:NC,$B522,0)&lt;&gt;""),HLOOKUP(J$2+$A522,Sheet2!BY:NC,$B522,0),"")</f>
        <v/>
      </c>
      <c r="K522" t="str">
        <f>IF(OR(HLOOKUP(K$2+$A522,Sheet2!BZ:ND,$B522,0),HLOOKUP(K$2+$A522,Sheet2!BZ:ND,$B522,0)&lt;&gt;""),HLOOKUP(K$2+$A522,Sheet2!BZ:ND,$B522,0),"")</f>
        <v/>
      </c>
      <c r="L522" t="str">
        <f>IF(OR(HLOOKUP(L$2+$A522,Sheet2!CA:NE,$B522,0),HLOOKUP(L$2+$A522,Sheet2!CA:NE,$B522,0)&lt;&gt;""),HLOOKUP(L$2+$A522,Sheet2!CA:NE,$B522,0),"")</f>
        <v/>
      </c>
      <c r="M522" t="str">
        <f>IF(OR(HLOOKUP(M$2+$A522,Sheet2!CB:NF,$B522,0),HLOOKUP(M$2+$A522,Sheet2!CB:NF,$B522,0)&lt;&gt;""),HLOOKUP(M$2+$A522,Sheet2!CB:NF,$B522,0),"")</f>
        <v/>
      </c>
    </row>
    <row r="523" spans="1:13" x14ac:dyDescent="0.25">
      <c r="A523" s="68">
        <f t="shared" si="58"/>
        <v>35</v>
      </c>
      <c r="B523" s="68">
        <f t="shared" si="59"/>
        <v>69</v>
      </c>
      <c r="C523" s="68">
        <f t="shared" si="56"/>
        <v>8</v>
      </c>
      <c r="D523" s="68">
        <f t="shared" si="60"/>
        <v>65</v>
      </c>
      <c r="E523" s="68">
        <f t="shared" si="57"/>
        <v>321</v>
      </c>
      <c r="F523" s="21" t="str">
        <f>VLOOKUP(D523,Sheet2!A:B,2)</f>
        <v>J20-0739</v>
      </c>
      <c r="G523" s="68" t="str">
        <f>VLOOKUP(F523,Sheet2!B:C,2,0)</f>
        <v>AS1-2 Install Temp Controller</v>
      </c>
      <c r="H523" s="68" t="str">
        <f>HLOOKUP(I$2+$A523,Sheet2!BX:NB,2,0)</f>
        <v>16-30 April 21</v>
      </c>
      <c r="I523" t="str">
        <f>IF(OR(HLOOKUP(I$2+$A523,Sheet2!BX:NB,$B523,0),HLOOKUP(I$2+$A523,Sheet2!BX:NB,$B523,0)&lt;&gt;""),HLOOKUP(I$2+$A523,Sheet2!BX:NB,$B523,0),"")</f>
        <v/>
      </c>
      <c r="J523" t="str">
        <f>IF(OR(HLOOKUP(J$2+$A523,Sheet2!BY:NC,$B523,0),HLOOKUP(J$2+$A523,Sheet2!BY:NC,$B523,0)&lt;&gt;""),HLOOKUP(J$2+$A523,Sheet2!BY:NC,$B523,0),"")</f>
        <v/>
      </c>
      <c r="K523" t="str">
        <f>IF(OR(HLOOKUP(K$2+$A523,Sheet2!BZ:ND,$B523,0),HLOOKUP(K$2+$A523,Sheet2!BZ:ND,$B523,0)&lt;&gt;""),HLOOKUP(K$2+$A523,Sheet2!BZ:ND,$B523,0),"")</f>
        <v/>
      </c>
      <c r="L523" t="str">
        <f>IF(OR(HLOOKUP(L$2+$A523,Sheet2!CA:NE,$B523,0),HLOOKUP(L$2+$A523,Sheet2!CA:NE,$B523,0)&lt;&gt;""),HLOOKUP(L$2+$A523,Sheet2!CA:NE,$B523,0),"")</f>
        <v/>
      </c>
      <c r="M523" t="str">
        <f>IF(OR(HLOOKUP(M$2+$A523,Sheet2!CB:NF,$B523,0),HLOOKUP(M$2+$A523,Sheet2!CB:NF,$B523,0)&lt;&gt;""),HLOOKUP(M$2+$A523,Sheet2!CB:NF,$B523,0),"")</f>
        <v/>
      </c>
    </row>
    <row r="524" spans="1:13" x14ac:dyDescent="0.25">
      <c r="A524" s="68">
        <f t="shared" si="58"/>
        <v>0</v>
      </c>
      <c r="B524" s="68">
        <f t="shared" si="59"/>
        <v>70</v>
      </c>
      <c r="C524" s="68">
        <f t="shared" si="56"/>
        <v>1</v>
      </c>
      <c r="D524" s="68">
        <f t="shared" si="60"/>
        <v>66</v>
      </c>
      <c r="E524" s="68">
        <f t="shared" si="57"/>
        <v>326</v>
      </c>
      <c r="F524" s="21" t="str">
        <f>VLOOKUP(D524,Sheet2!A:B,2)</f>
        <v>J20-0752</v>
      </c>
      <c r="G524" s="68" t="str">
        <f>VLOOKUP(F524,Sheet2!B:C,2,0)</f>
        <v>INSTALL INSTRUMENT &amp; ELECTRICAL FOR M2 SKID</v>
      </c>
      <c r="H524" s="68" t="str">
        <f>HLOOKUP(I$2+$A524,Sheet2!BX:NB,2,0)</f>
        <v>1-15 Jan 21</v>
      </c>
      <c r="I524" t="str">
        <f>IF(OR(HLOOKUP(I$2+$A524,Sheet2!BX:NB,$B524,0),HLOOKUP(I$2+$A524,Sheet2!BX:NB,$B524,0)&lt;&gt;""),HLOOKUP(I$2+$A524,Sheet2!BX:NB,$B524,0),"")</f>
        <v/>
      </c>
      <c r="J524" t="str">
        <f>IF(OR(HLOOKUP(J$2+$A524,Sheet2!BY:NC,$B524,0),HLOOKUP(J$2+$A524,Sheet2!BY:NC,$B524,0)&lt;&gt;""),HLOOKUP(J$2+$A524,Sheet2!BY:NC,$B524,0),"")</f>
        <v/>
      </c>
      <c r="K524" t="str">
        <f>IF(OR(HLOOKUP(K$2+$A524,Sheet2!BZ:ND,$B524,0),HLOOKUP(K$2+$A524,Sheet2!BZ:ND,$B524,0)&lt;&gt;""),HLOOKUP(K$2+$A524,Sheet2!BZ:ND,$B524,0),"")</f>
        <v/>
      </c>
      <c r="L524" t="str">
        <f>IF(OR(HLOOKUP(L$2+$A524,Sheet2!CA:NE,$B524,0),HLOOKUP(L$2+$A524,Sheet2!CA:NE,$B524,0)&lt;&gt;""),HLOOKUP(L$2+$A524,Sheet2!CA:NE,$B524,0),"")</f>
        <v/>
      </c>
      <c r="M524" t="str">
        <f>IF(OR(HLOOKUP(M$2+$A524,Sheet2!CB:NF,$B524,0),HLOOKUP(M$2+$A524,Sheet2!CB:NF,$B524,0)&lt;&gt;""),HLOOKUP(M$2+$A524,Sheet2!CB:NF,$B524,0),"")</f>
        <v/>
      </c>
    </row>
    <row r="525" spans="1:13" x14ac:dyDescent="0.25">
      <c r="A525" s="68">
        <f t="shared" si="58"/>
        <v>5</v>
      </c>
      <c r="B525" s="68">
        <f t="shared" si="59"/>
        <v>70</v>
      </c>
      <c r="C525" s="68">
        <f t="shared" ref="C525:C588" si="61">IF($C$3-C524=0,1,C524+1)</f>
        <v>2</v>
      </c>
      <c r="D525" s="68">
        <f t="shared" si="60"/>
        <v>66</v>
      </c>
      <c r="E525" s="68">
        <f t="shared" si="57"/>
        <v>326</v>
      </c>
      <c r="F525" s="21" t="str">
        <f>VLOOKUP(D525,Sheet2!A:B,2)</f>
        <v>J20-0752</v>
      </c>
      <c r="G525" s="68" t="str">
        <f>VLOOKUP(F525,Sheet2!B:C,2,0)</f>
        <v>INSTALL INSTRUMENT &amp; ELECTRICAL FOR M2 SKID</v>
      </c>
      <c r="H525" s="68" t="str">
        <f>HLOOKUP(I$2+$A525,Sheet2!BX:NB,2,0)</f>
        <v>16-31 Jan 21</v>
      </c>
      <c r="I525" t="str">
        <f>IF(OR(HLOOKUP(I$2+$A525,Sheet2!BX:NB,$B525,0),HLOOKUP(I$2+$A525,Sheet2!BX:NB,$B525,0)&lt;&gt;""),HLOOKUP(I$2+$A525,Sheet2!BX:NB,$B525,0),"")</f>
        <v/>
      </c>
      <c r="J525" t="str">
        <f>IF(OR(HLOOKUP(J$2+$A525,Sheet2!BY:NC,$B525,0),HLOOKUP(J$2+$A525,Sheet2!BY:NC,$B525,0)&lt;&gt;""),HLOOKUP(J$2+$A525,Sheet2!BY:NC,$B525,0),"")</f>
        <v/>
      </c>
      <c r="K525" t="str">
        <f>IF(OR(HLOOKUP(K$2+$A525,Sheet2!BZ:ND,$B525,0),HLOOKUP(K$2+$A525,Sheet2!BZ:ND,$B525,0)&lt;&gt;""),HLOOKUP(K$2+$A525,Sheet2!BZ:ND,$B525,0),"")</f>
        <v/>
      </c>
      <c r="L525" t="str">
        <f>IF(OR(HLOOKUP(L$2+$A525,Sheet2!CA:NE,$B525,0),HLOOKUP(L$2+$A525,Sheet2!CA:NE,$B525,0)&lt;&gt;""),HLOOKUP(L$2+$A525,Sheet2!CA:NE,$B525,0),"")</f>
        <v/>
      </c>
      <c r="M525" t="str">
        <f>IF(OR(HLOOKUP(M$2+$A525,Sheet2!CB:NF,$B525,0),HLOOKUP(M$2+$A525,Sheet2!CB:NF,$B525,0)&lt;&gt;""),HLOOKUP(M$2+$A525,Sheet2!CB:NF,$B525,0),"")</f>
        <v/>
      </c>
    </row>
    <row r="526" spans="1:13" x14ac:dyDescent="0.25">
      <c r="A526" s="68">
        <f t="shared" si="58"/>
        <v>10</v>
      </c>
      <c r="B526" s="68">
        <f t="shared" si="59"/>
        <v>70</v>
      </c>
      <c r="C526" s="68">
        <f t="shared" si="61"/>
        <v>3</v>
      </c>
      <c r="D526" s="68">
        <f t="shared" si="60"/>
        <v>66</v>
      </c>
      <c r="E526" s="68">
        <f t="shared" si="57"/>
        <v>326</v>
      </c>
      <c r="F526" s="21" t="str">
        <f>VLOOKUP(D526,Sheet2!A:B,2)</f>
        <v>J20-0752</v>
      </c>
      <c r="G526" s="68" t="str">
        <f>VLOOKUP(F526,Sheet2!B:C,2,0)</f>
        <v>INSTALL INSTRUMENT &amp; ELECTRICAL FOR M2 SKID</v>
      </c>
      <c r="H526" s="68" t="str">
        <f>HLOOKUP(I$2+$A526,Sheet2!BX:NB,2,0)</f>
        <v>1-15 Feb 21</v>
      </c>
      <c r="I526" t="str">
        <f>IF(OR(HLOOKUP(I$2+$A526,Sheet2!BX:NB,$B526,0),HLOOKUP(I$2+$A526,Sheet2!BX:NB,$B526,0)&lt;&gt;""),HLOOKUP(I$2+$A526,Sheet2!BX:NB,$B526,0),"")</f>
        <v/>
      </c>
      <c r="J526" t="str">
        <f>IF(OR(HLOOKUP(J$2+$A526,Sheet2!BY:NC,$B526,0),HLOOKUP(J$2+$A526,Sheet2!BY:NC,$B526,0)&lt;&gt;""),HLOOKUP(J$2+$A526,Sheet2!BY:NC,$B526,0),"")</f>
        <v/>
      </c>
      <c r="K526" t="str">
        <f>IF(OR(HLOOKUP(K$2+$A526,Sheet2!BZ:ND,$B526,0),HLOOKUP(K$2+$A526,Sheet2!BZ:ND,$B526,0)&lt;&gt;""),HLOOKUP(K$2+$A526,Sheet2!BZ:ND,$B526,0),"")</f>
        <v/>
      </c>
      <c r="L526" t="str">
        <f>IF(OR(HLOOKUP(L$2+$A526,Sheet2!CA:NE,$B526,0),HLOOKUP(L$2+$A526,Sheet2!CA:NE,$B526,0)&lt;&gt;""),HLOOKUP(L$2+$A526,Sheet2!CA:NE,$B526,0),"")</f>
        <v/>
      </c>
      <c r="M526" t="str">
        <f>IF(OR(HLOOKUP(M$2+$A526,Sheet2!CB:NF,$B526,0),HLOOKUP(M$2+$A526,Sheet2!CB:NF,$B526,0)&lt;&gt;""),HLOOKUP(M$2+$A526,Sheet2!CB:NF,$B526,0),"")</f>
        <v/>
      </c>
    </row>
    <row r="527" spans="1:13" x14ac:dyDescent="0.25">
      <c r="A527" s="68">
        <f t="shared" si="58"/>
        <v>15</v>
      </c>
      <c r="B527" s="68">
        <f t="shared" si="59"/>
        <v>70</v>
      </c>
      <c r="C527" s="68">
        <f t="shared" si="61"/>
        <v>4</v>
      </c>
      <c r="D527" s="68">
        <f t="shared" si="60"/>
        <v>66</v>
      </c>
      <c r="E527" s="68">
        <f t="shared" si="57"/>
        <v>326</v>
      </c>
      <c r="F527" s="21" t="str">
        <f>VLOOKUP(D527,Sheet2!A:B,2)</f>
        <v>J20-0752</v>
      </c>
      <c r="G527" s="68" t="str">
        <f>VLOOKUP(F527,Sheet2!B:C,2,0)</f>
        <v>INSTALL INSTRUMENT &amp; ELECTRICAL FOR M2 SKID</v>
      </c>
      <c r="H527" s="68" t="str">
        <f>HLOOKUP(I$2+$A527,Sheet2!BX:NB,2,0)</f>
        <v>16-28 Feb 21</v>
      </c>
      <c r="I527" t="str">
        <f>IF(OR(HLOOKUP(I$2+$A527,Sheet2!BX:NB,$B527,0),HLOOKUP(I$2+$A527,Sheet2!BX:NB,$B527,0)&lt;&gt;""),HLOOKUP(I$2+$A527,Sheet2!BX:NB,$B527,0),"")</f>
        <v/>
      </c>
      <c r="J527" t="str">
        <f>IF(OR(HLOOKUP(J$2+$A527,Sheet2!BY:NC,$B527,0),HLOOKUP(J$2+$A527,Sheet2!BY:NC,$B527,0)&lt;&gt;""),HLOOKUP(J$2+$A527,Sheet2!BY:NC,$B527,0),"")</f>
        <v/>
      </c>
      <c r="K527" t="str">
        <f>IF(OR(HLOOKUP(K$2+$A527,Sheet2!BZ:ND,$B527,0),HLOOKUP(K$2+$A527,Sheet2!BZ:ND,$B527,0)&lt;&gt;""),HLOOKUP(K$2+$A527,Sheet2!BZ:ND,$B527,0),"")</f>
        <v/>
      </c>
      <c r="L527" t="str">
        <f>IF(OR(HLOOKUP(L$2+$A527,Sheet2!CA:NE,$B527,0),HLOOKUP(L$2+$A527,Sheet2!CA:NE,$B527,0)&lt;&gt;""),HLOOKUP(L$2+$A527,Sheet2!CA:NE,$B527,0),"")</f>
        <v/>
      </c>
      <c r="M527" t="str">
        <f>IF(OR(HLOOKUP(M$2+$A527,Sheet2!CB:NF,$B527,0),HLOOKUP(M$2+$A527,Sheet2!CB:NF,$B527,0)&lt;&gt;""),HLOOKUP(M$2+$A527,Sheet2!CB:NF,$B527,0),"")</f>
        <v/>
      </c>
    </row>
    <row r="528" spans="1:13" x14ac:dyDescent="0.25">
      <c r="A528" s="68">
        <f t="shared" si="58"/>
        <v>20</v>
      </c>
      <c r="B528" s="68">
        <f t="shared" si="59"/>
        <v>70</v>
      </c>
      <c r="C528" s="68">
        <f t="shared" si="61"/>
        <v>5</v>
      </c>
      <c r="D528" s="68">
        <f t="shared" si="60"/>
        <v>66</v>
      </c>
      <c r="E528" s="68">
        <f t="shared" si="57"/>
        <v>326</v>
      </c>
      <c r="F528" s="21" t="str">
        <f>VLOOKUP(D528,Sheet2!A:B,2)</f>
        <v>J20-0752</v>
      </c>
      <c r="G528" s="68" t="str">
        <f>VLOOKUP(F528,Sheet2!B:C,2,0)</f>
        <v>INSTALL INSTRUMENT &amp; ELECTRICAL FOR M2 SKID</v>
      </c>
      <c r="H528" s="68" t="str">
        <f>HLOOKUP(I$2+$A528,Sheet2!BX:NB,2,0)</f>
        <v>1-15 Mar 2021</v>
      </c>
      <c r="I528" t="str">
        <f>IF(OR(HLOOKUP(I$2+$A528,Sheet2!BX:NB,$B528,0),HLOOKUP(I$2+$A528,Sheet2!BX:NB,$B528,0)&lt;&gt;""),HLOOKUP(I$2+$A528,Sheet2!BX:NB,$B528,0),"")</f>
        <v/>
      </c>
      <c r="J528" t="str">
        <f>IF(OR(HLOOKUP(J$2+$A528,Sheet2!BY:NC,$B528,0),HLOOKUP(J$2+$A528,Sheet2!BY:NC,$B528,0)&lt;&gt;""),HLOOKUP(J$2+$A528,Sheet2!BY:NC,$B528,0),"")</f>
        <v/>
      </c>
      <c r="K528" t="str">
        <f>IF(OR(HLOOKUP(K$2+$A528,Sheet2!BZ:ND,$B528,0),HLOOKUP(K$2+$A528,Sheet2!BZ:ND,$B528,0)&lt;&gt;""),HLOOKUP(K$2+$A528,Sheet2!BZ:ND,$B528,0),"")</f>
        <v/>
      </c>
      <c r="L528" t="str">
        <f>IF(OR(HLOOKUP(L$2+$A528,Sheet2!CA:NE,$B528,0),HLOOKUP(L$2+$A528,Sheet2!CA:NE,$B528,0)&lt;&gt;""),HLOOKUP(L$2+$A528,Sheet2!CA:NE,$B528,0),"")</f>
        <v/>
      </c>
      <c r="M528" t="str">
        <f>IF(OR(HLOOKUP(M$2+$A528,Sheet2!CB:NF,$B528,0),HLOOKUP(M$2+$A528,Sheet2!CB:NF,$B528,0)&lt;&gt;""),HLOOKUP(M$2+$A528,Sheet2!CB:NF,$B528,0),"")</f>
        <v/>
      </c>
    </row>
    <row r="529" spans="1:13" x14ac:dyDescent="0.25">
      <c r="A529" s="68">
        <f t="shared" si="58"/>
        <v>25</v>
      </c>
      <c r="B529" s="68">
        <f t="shared" si="59"/>
        <v>70</v>
      </c>
      <c r="C529" s="68">
        <f t="shared" si="61"/>
        <v>6</v>
      </c>
      <c r="D529" s="68">
        <f t="shared" si="60"/>
        <v>66</v>
      </c>
      <c r="E529" s="68">
        <f t="shared" si="57"/>
        <v>326</v>
      </c>
      <c r="F529" s="21" t="str">
        <f>VLOOKUP(D529,Sheet2!A:B,2)</f>
        <v>J20-0752</v>
      </c>
      <c r="G529" s="68" t="str">
        <f>VLOOKUP(F529,Sheet2!B:C,2,0)</f>
        <v>INSTALL INSTRUMENT &amp; ELECTRICAL FOR M2 SKID</v>
      </c>
      <c r="H529" s="68" t="str">
        <f>HLOOKUP(I$2+$A529,Sheet2!BX:NB,2,0)</f>
        <v>16-31 Mar 21</v>
      </c>
      <c r="I529" t="str">
        <f>IF(OR(HLOOKUP(I$2+$A529,Sheet2!BX:NB,$B529,0),HLOOKUP(I$2+$A529,Sheet2!BX:NB,$B529,0)&lt;&gt;""),HLOOKUP(I$2+$A529,Sheet2!BX:NB,$B529,0),"")</f>
        <v/>
      </c>
      <c r="J529" t="str">
        <f>IF(OR(HLOOKUP(J$2+$A529,Sheet2!BY:NC,$B529,0),HLOOKUP(J$2+$A529,Sheet2!BY:NC,$B529,0)&lt;&gt;""),HLOOKUP(J$2+$A529,Sheet2!BY:NC,$B529,0),"")</f>
        <v/>
      </c>
      <c r="K529" t="str">
        <f>IF(OR(HLOOKUP(K$2+$A529,Sheet2!BZ:ND,$B529,0),HLOOKUP(K$2+$A529,Sheet2!BZ:ND,$B529,0)&lt;&gt;""),HLOOKUP(K$2+$A529,Sheet2!BZ:ND,$B529,0),"")</f>
        <v/>
      </c>
      <c r="L529" t="str">
        <f>IF(OR(HLOOKUP(L$2+$A529,Sheet2!CA:NE,$B529,0),HLOOKUP(L$2+$A529,Sheet2!CA:NE,$B529,0)&lt;&gt;""),HLOOKUP(L$2+$A529,Sheet2!CA:NE,$B529,0),"")</f>
        <v/>
      </c>
      <c r="M529" t="str">
        <f>IF(OR(HLOOKUP(M$2+$A529,Sheet2!CB:NF,$B529,0),HLOOKUP(M$2+$A529,Sheet2!CB:NF,$B529,0)&lt;&gt;""),HLOOKUP(M$2+$A529,Sheet2!CB:NF,$B529,0),"")</f>
        <v/>
      </c>
    </row>
    <row r="530" spans="1:13" x14ac:dyDescent="0.25">
      <c r="A530" s="68">
        <f t="shared" si="58"/>
        <v>30</v>
      </c>
      <c r="B530" s="68">
        <f t="shared" si="59"/>
        <v>70</v>
      </c>
      <c r="C530" s="68">
        <f t="shared" si="61"/>
        <v>7</v>
      </c>
      <c r="D530" s="68">
        <f t="shared" si="60"/>
        <v>66</v>
      </c>
      <c r="E530" s="68">
        <f t="shared" si="57"/>
        <v>326</v>
      </c>
      <c r="F530" s="21" t="str">
        <f>VLOOKUP(D530,Sheet2!A:B,2)</f>
        <v>J20-0752</v>
      </c>
      <c r="G530" s="68" t="str">
        <f>VLOOKUP(F530,Sheet2!B:C,2,0)</f>
        <v>INSTALL INSTRUMENT &amp; ELECTRICAL FOR M2 SKID</v>
      </c>
      <c r="H530" s="68" t="str">
        <f>HLOOKUP(I$2+$A530,Sheet2!BX:NB,2,0)</f>
        <v>1-15 April 21</v>
      </c>
      <c r="I530" t="str">
        <f>IF(OR(HLOOKUP(I$2+$A530,Sheet2!BX:NB,$B530,0),HLOOKUP(I$2+$A530,Sheet2!BX:NB,$B530,0)&lt;&gt;""),HLOOKUP(I$2+$A530,Sheet2!BX:NB,$B530,0),"")</f>
        <v/>
      </c>
      <c r="J530" t="str">
        <f>IF(OR(HLOOKUP(J$2+$A530,Sheet2!BY:NC,$B530,0),HLOOKUP(J$2+$A530,Sheet2!BY:NC,$B530,0)&lt;&gt;""),HLOOKUP(J$2+$A530,Sheet2!BY:NC,$B530,0),"")</f>
        <v/>
      </c>
      <c r="K530" t="str">
        <f>IF(OR(HLOOKUP(K$2+$A530,Sheet2!BZ:ND,$B530,0),HLOOKUP(K$2+$A530,Sheet2!BZ:ND,$B530,0)&lt;&gt;""),HLOOKUP(K$2+$A530,Sheet2!BZ:ND,$B530,0),"")</f>
        <v/>
      </c>
      <c r="L530" t="str">
        <f>IF(OR(HLOOKUP(L$2+$A530,Sheet2!CA:NE,$B530,0),HLOOKUP(L$2+$A530,Sheet2!CA:NE,$B530,0)&lt;&gt;""),HLOOKUP(L$2+$A530,Sheet2!CA:NE,$B530,0),"")</f>
        <v/>
      </c>
      <c r="M530" t="str">
        <f>IF(OR(HLOOKUP(M$2+$A530,Sheet2!CB:NF,$B530,0),HLOOKUP(M$2+$A530,Sheet2!CB:NF,$B530,0)&lt;&gt;""),HLOOKUP(M$2+$A530,Sheet2!CB:NF,$B530,0),"")</f>
        <v/>
      </c>
    </row>
    <row r="531" spans="1:13" x14ac:dyDescent="0.25">
      <c r="A531" s="68">
        <f t="shared" si="58"/>
        <v>35</v>
      </c>
      <c r="B531" s="68">
        <f t="shared" si="59"/>
        <v>70</v>
      </c>
      <c r="C531" s="68">
        <f t="shared" si="61"/>
        <v>8</v>
      </c>
      <c r="D531" s="68">
        <f t="shared" si="60"/>
        <v>66</v>
      </c>
      <c r="E531" s="68">
        <f t="shared" si="57"/>
        <v>326</v>
      </c>
      <c r="F531" s="21" t="str">
        <f>VLOOKUP(D531,Sheet2!A:B,2)</f>
        <v>J20-0752</v>
      </c>
      <c r="G531" s="68" t="str">
        <f>VLOOKUP(F531,Sheet2!B:C,2,0)</f>
        <v>INSTALL INSTRUMENT &amp; ELECTRICAL FOR M2 SKID</v>
      </c>
      <c r="H531" s="68" t="str">
        <f>HLOOKUP(I$2+$A531,Sheet2!BX:NB,2,0)</f>
        <v>16-30 April 21</v>
      </c>
      <c r="I531" t="str">
        <f>IF(OR(HLOOKUP(I$2+$A531,Sheet2!BX:NB,$B531,0),HLOOKUP(I$2+$A531,Sheet2!BX:NB,$B531,0)&lt;&gt;""),HLOOKUP(I$2+$A531,Sheet2!BX:NB,$B531,0),"")</f>
        <v/>
      </c>
      <c r="J531" t="str">
        <f>IF(OR(HLOOKUP(J$2+$A531,Sheet2!BY:NC,$B531,0),HLOOKUP(J$2+$A531,Sheet2!BY:NC,$B531,0)&lt;&gt;""),HLOOKUP(J$2+$A531,Sheet2!BY:NC,$B531,0),"")</f>
        <v/>
      </c>
      <c r="K531" t="str">
        <f>IF(OR(HLOOKUP(K$2+$A531,Sheet2!BZ:ND,$B531,0),HLOOKUP(K$2+$A531,Sheet2!BZ:ND,$B531,0)&lt;&gt;""),HLOOKUP(K$2+$A531,Sheet2!BZ:ND,$B531,0),"")</f>
        <v/>
      </c>
      <c r="L531" t="str">
        <f>IF(OR(HLOOKUP(L$2+$A531,Sheet2!CA:NE,$B531,0),HLOOKUP(L$2+$A531,Sheet2!CA:NE,$B531,0)&lt;&gt;""),HLOOKUP(L$2+$A531,Sheet2!CA:NE,$B531,0),"")</f>
        <v/>
      </c>
      <c r="M531" t="str">
        <f>IF(OR(HLOOKUP(M$2+$A531,Sheet2!CB:NF,$B531,0),HLOOKUP(M$2+$A531,Sheet2!CB:NF,$B531,0)&lt;&gt;""),HLOOKUP(M$2+$A531,Sheet2!CB:NF,$B531,0),"")</f>
        <v/>
      </c>
    </row>
    <row r="532" spans="1:13" x14ac:dyDescent="0.25">
      <c r="A532" s="68">
        <f t="shared" si="58"/>
        <v>0</v>
      </c>
      <c r="B532" s="68">
        <f t="shared" si="59"/>
        <v>71</v>
      </c>
      <c r="C532" s="68">
        <f t="shared" si="61"/>
        <v>1</v>
      </c>
      <c r="D532" s="68">
        <f t="shared" si="60"/>
        <v>67</v>
      </c>
      <c r="E532" s="68">
        <f t="shared" si="57"/>
        <v>331</v>
      </c>
      <c r="F532" s="21" t="str">
        <f>VLOOKUP(D532,Sheet2!A:B,2)</f>
        <v>J20-0493</v>
      </c>
      <c r="G532" s="68" t="str">
        <f>VLOOKUP(F532,Sheet2!B:C,2,0)</f>
        <v>เอ็นเอส-สยามยูไนเต็ทสตีล</v>
      </c>
      <c r="H532" s="68" t="str">
        <f>HLOOKUP(I$2+$A532,Sheet2!BX:NB,2,0)</f>
        <v>1-15 Jan 21</v>
      </c>
      <c r="I532" t="str">
        <f>IF(OR(HLOOKUP(I$2+$A532,Sheet2!BX:NB,$B532,0),HLOOKUP(I$2+$A532,Sheet2!BX:NB,$B532,0)&lt;&gt;""),HLOOKUP(I$2+$A532,Sheet2!BX:NB,$B532,0),"")</f>
        <v/>
      </c>
      <c r="J532" t="str">
        <f>IF(OR(HLOOKUP(J$2+$A532,Sheet2!BY:NC,$B532,0),HLOOKUP(J$2+$A532,Sheet2!BY:NC,$B532,0)&lt;&gt;""),HLOOKUP(J$2+$A532,Sheet2!BY:NC,$B532,0),"")</f>
        <v/>
      </c>
      <c r="K532" t="str">
        <f>IF(OR(HLOOKUP(K$2+$A532,Sheet2!BZ:ND,$B532,0),HLOOKUP(K$2+$A532,Sheet2!BZ:ND,$B532,0)&lt;&gt;""),HLOOKUP(K$2+$A532,Sheet2!BZ:ND,$B532,0),"")</f>
        <v/>
      </c>
      <c r="L532" t="str">
        <f>IF(OR(HLOOKUP(L$2+$A532,Sheet2!CA:NE,$B532,0),HLOOKUP(L$2+$A532,Sheet2!CA:NE,$B532,0)&lt;&gt;""),HLOOKUP(L$2+$A532,Sheet2!CA:NE,$B532,0),"")</f>
        <v/>
      </c>
      <c r="M532" t="str">
        <f>IF(OR(HLOOKUP(M$2+$A532,Sheet2!CB:NF,$B532,0),HLOOKUP(M$2+$A532,Sheet2!CB:NF,$B532,0)&lt;&gt;""),HLOOKUP(M$2+$A532,Sheet2!CB:NF,$B532,0),"")</f>
        <v/>
      </c>
    </row>
    <row r="533" spans="1:13" x14ac:dyDescent="0.25">
      <c r="A533" s="68">
        <f t="shared" si="58"/>
        <v>5</v>
      </c>
      <c r="B533" s="68">
        <f t="shared" si="59"/>
        <v>71</v>
      </c>
      <c r="C533" s="68">
        <f t="shared" si="61"/>
        <v>2</v>
      </c>
      <c r="D533" s="68">
        <f t="shared" si="60"/>
        <v>67</v>
      </c>
      <c r="E533" s="68">
        <f t="shared" ref="E533:E596" si="62">IF(D533&lt;&gt;D532,E532+5,E532)</f>
        <v>331</v>
      </c>
      <c r="F533" s="21" t="str">
        <f>VLOOKUP(D533,Sheet2!A:B,2)</f>
        <v>J20-0493</v>
      </c>
      <c r="G533" s="68" t="str">
        <f>VLOOKUP(F533,Sheet2!B:C,2,0)</f>
        <v>เอ็นเอส-สยามยูไนเต็ทสตีล</v>
      </c>
      <c r="H533" s="68" t="str">
        <f>HLOOKUP(I$2+$A533,Sheet2!BX:NB,2,0)</f>
        <v>16-31 Jan 21</v>
      </c>
      <c r="I533" t="str">
        <f>IF(OR(HLOOKUP(I$2+$A533,Sheet2!BX:NB,$B533,0),HLOOKUP(I$2+$A533,Sheet2!BX:NB,$B533,0)&lt;&gt;""),HLOOKUP(I$2+$A533,Sheet2!BX:NB,$B533,0),"")</f>
        <v/>
      </c>
      <c r="J533" t="str">
        <f>IF(OR(HLOOKUP(J$2+$A533,Sheet2!BY:NC,$B533,0),HLOOKUP(J$2+$A533,Sheet2!BY:NC,$B533,0)&lt;&gt;""),HLOOKUP(J$2+$A533,Sheet2!BY:NC,$B533,0),"")</f>
        <v/>
      </c>
      <c r="K533" t="str">
        <f>IF(OR(HLOOKUP(K$2+$A533,Sheet2!BZ:ND,$B533,0),HLOOKUP(K$2+$A533,Sheet2!BZ:ND,$B533,0)&lt;&gt;""),HLOOKUP(K$2+$A533,Sheet2!BZ:ND,$B533,0),"")</f>
        <v/>
      </c>
      <c r="L533" t="str">
        <f>IF(OR(HLOOKUP(L$2+$A533,Sheet2!CA:NE,$B533,0),HLOOKUP(L$2+$A533,Sheet2!CA:NE,$B533,0)&lt;&gt;""),HLOOKUP(L$2+$A533,Sheet2!CA:NE,$B533,0),"")</f>
        <v/>
      </c>
      <c r="M533" t="str">
        <f>IF(OR(HLOOKUP(M$2+$A533,Sheet2!CB:NF,$B533,0),HLOOKUP(M$2+$A533,Sheet2!CB:NF,$B533,0)&lt;&gt;""),HLOOKUP(M$2+$A533,Sheet2!CB:NF,$B533,0),"")</f>
        <v/>
      </c>
    </row>
    <row r="534" spans="1:13" x14ac:dyDescent="0.25">
      <c r="A534" s="68">
        <f t="shared" si="58"/>
        <v>10</v>
      </c>
      <c r="B534" s="68">
        <f t="shared" si="59"/>
        <v>71</v>
      </c>
      <c r="C534" s="68">
        <f t="shared" si="61"/>
        <v>3</v>
      </c>
      <c r="D534" s="68">
        <f t="shared" si="60"/>
        <v>67</v>
      </c>
      <c r="E534" s="68">
        <f t="shared" si="62"/>
        <v>331</v>
      </c>
      <c r="F534" s="21" t="str">
        <f>VLOOKUP(D534,Sheet2!A:B,2)</f>
        <v>J20-0493</v>
      </c>
      <c r="G534" s="68" t="str">
        <f>VLOOKUP(F534,Sheet2!B:C,2,0)</f>
        <v>เอ็นเอส-สยามยูไนเต็ทสตีล</v>
      </c>
      <c r="H534" s="68" t="str">
        <f>HLOOKUP(I$2+$A534,Sheet2!BX:NB,2,0)</f>
        <v>1-15 Feb 21</v>
      </c>
      <c r="I534" t="str">
        <f>IF(OR(HLOOKUP(I$2+$A534,Sheet2!BX:NB,$B534,0),HLOOKUP(I$2+$A534,Sheet2!BX:NB,$B534,0)&lt;&gt;""),HLOOKUP(I$2+$A534,Sheet2!BX:NB,$B534,0),"")</f>
        <v/>
      </c>
      <c r="J534" t="str">
        <f>IF(OR(HLOOKUP(J$2+$A534,Sheet2!BY:NC,$B534,0),HLOOKUP(J$2+$A534,Sheet2!BY:NC,$B534,0)&lt;&gt;""),HLOOKUP(J$2+$A534,Sheet2!BY:NC,$B534,0),"")</f>
        <v/>
      </c>
      <c r="K534" t="str">
        <f>IF(OR(HLOOKUP(K$2+$A534,Sheet2!BZ:ND,$B534,0),HLOOKUP(K$2+$A534,Sheet2!BZ:ND,$B534,0)&lt;&gt;""),HLOOKUP(K$2+$A534,Sheet2!BZ:ND,$B534,0),"")</f>
        <v/>
      </c>
      <c r="L534" t="str">
        <f>IF(OR(HLOOKUP(L$2+$A534,Sheet2!CA:NE,$B534,0),HLOOKUP(L$2+$A534,Sheet2!CA:NE,$B534,0)&lt;&gt;""),HLOOKUP(L$2+$A534,Sheet2!CA:NE,$B534,0),"")</f>
        <v/>
      </c>
      <c r="M534" t="str">
        <f>IF(OR(HLOOKUP(M$2+$A534,Sheet2!CB:NF,$B534,0),HLOOKUP(M$2+$A534,Sheet2!CB:NF,$B534,0)&lt;&gt;""),HLOOKUP(M$2+$A534,Sheet2!CB:NF,$B534,0),"")</f>
        <v/>
      </c>
    </row>
    <row r="535" spans="1:13" x14ac:dyDescent="0.25">
      <c r="A535" s="68">
        <f t="shared" si="58"/>
        <v>15</v>
      </c>
      <c r="B535" s="68">
        <f t="shared" si="59"/>
        <v>71</v>
      </c>
      <c r="C535" s="68">
        <f t="shared" si="61"/>
        <v>4</v>
      </c>
      <c r="D535" s="68">
        <f t="shared" si="60"/>
        <v>67</v>
      </c>
      <c r="E535" s="68">
        <f t="shared" si="62"/>
        <v>331</v>
      </c>
      <c r="F535" s="21" t="str">
        <f>VLOOKUP(D535,Sheet2!A:B,2)</f>
        <v>J20-0493</v>
      </c>
      <c r="G535" s="68" t="str">
        <f>VLOOKUP(F535,Sheet2!B:C,2,0)</f>
        <v>เอ็นเอส-สยามยูไนเต็ทสตีล</v>
      </c>
      <c r="H535" s="68" t="str">
        <f>HLOOKUP(I$2+$A535,Sheet2!BX:NB,2,0)</f>
        <v>16-28 Feb 21</v>
      </c>
      <c r="I535" t="str">
        <f>IF(OR(HLOOKUP(I$2+$A535,Sheet2!BX:NB,$B535,0),HLOOKUP(I$2+$A535,Sheet2!BX:NB,$B535,0)&lt;&gt;""),HLOOKUP(I$2+$A535,Sheet2!BX:NB,$B535,0),"")</f>
        <v/>
      </c>
      <c r="J535" t="str">
        <f>IF(OR(HLOOKUP(J$2+$A535,Sheet2!BY:NC,$B535,0),HLOOKUP(J$2+$A535,Sheet2!BY:NC,$B535,0)&lt;&gt;""),HLOOKUP(J$2+$A535,Sheet2!BY:NC,$B535,0),"")</f>
        <v/>
      </c>
      <c r="K535" t="str">
        <f>IF(OR(HLOOKUP(K$2+$A535,Sheet2!BZ:ND,$B535,0),HLOOKUP(K$2+$A535,Sheet2!BZ:ND,$B535,0)&lt;&gt;""),HLOOKUP(K$2+$A535,Sheet2!BZ:ND,$B535,0),"")</f>
        <v/>
      </c>
      <c r="L535" t="str">
        <f>IF(OR(HLOOKUP(L$2+$A535,Sheet2!CA:NE,$B535,0),HLOOKUP(L$2+$A535,Sheet2!CA:NE,$B535,0)&lt;&gt;""),HLOOKUP(L$2+$A535,Sheet2!CA:NE,$B535,0),"")</f>
        <v/>
      </c>
      <c r="M535" t="str">
        <f>IF(OR(HLOOKUP(M$2+$A535,Sheet2!CB:NF,$B535,0),HLOOKUP(M$2+$A535,Sheet2!CB:NF,$B535,0)&lt;&gt;""),HLOOKUP(M$2+$A535,Sheet2!CB:NF,$B535,0),"")</f>
        <v/>
      </c>
    </row>
    <row r="536" spans="1:13" x14ac:dyDescent="0.25">
      <c r="A536" s="68">
        <f t="shared" si="58"/>
        <v>20</v>
      </c>
      <c r="B536" s="68">
        <f t="shared" si="59"/>
        <v>71</v>
      </c>
      <c r="C536" s="68">
        <f t="shared" si="61"/>
        <v>5</v>
      </c>
      <c r="D536" s="68">
        <f t="shared" si="60"/>
        <v>67</v>
      </c>
      <c r="E536" s="68">
        <f t="shared" si="62"/>
        <v>331</v>
      </c>
      <c r="F536" s="21" t="str">
        <f>VLOOKUP(D536,Sheet2!A:B,2)</f>
        <v>J20-0493</v>
      </c>
      <c r="G536" s="68" t="str">
        <f>VLOOKUP(F536,Sheet2!B:C,2,0)</f>
        <v>เอ็นเอส-สยามยูไนเต็ทสตีล</v>
      </c>
      <c r="H536" s="68" t="str">
        <f>HLOOKUP(I$2+$A536,Sheet2!BX:NB,2,0)</f>
        <v>1-15 Mar 2021</v>
      </c>
      <c r="I536" t="str">
        <f>IF(OR(HLOOKUP(I$2+$A536,Sheet2!BX:NB,$B536,0),HLOOKUP(I$2+$A536,Sheet2!BX:NB,$B536,0)&lt;&gt;""),HLOOKUP(I$2+$A536,Sheet2!BX:NB,$B536,0),"")</f>
        <v/>
      </c>
      <c r="J536" t="str">
        <f>IF(OR(HLOOKUP(J$2+$A536,Sheet2!BY:NC,$B536,0),HLOOKUP(J$2+$A536,Sheet2!BY:NC,$B536,0)&lt;&gt;""),HLOOKUP(J$2+$A536,Sheet2!BY:NC,$B536,0),"")</f>
        <v/>
      </c>
      <c r="K536" t="str">
        <f>IF(OR(HLOOKUP(K$2+$A536,Sheet2!BZ:ND,$B536,0),HLOOKUP(K$2+$A536,Sheet2!BZ:ND,$B536,0)&lt;&gt;""),HLOOKUP(K$2+$A536,Sheet2!BZ:ND,$B536,0),"")</f>
        <v/>
      </c>
      <c r="L536" t="str">
        <f>IF(OR(HLOOKUP(L$2+$A536,Sheet2!CA:NE,$B536,0),HLOOKUP(L$2+$A536,Sheet2!CA:NE,$B536,0)&lt;&gt;""),HLOOKUP(L$2+$A536,Sheet2!CA:NE,$B536,0),"")</f>
        <v/>
      </c>
      <c r="M536" t="str">
        <f>IF(OR(HLOOKUP(M$2+$A536,Sheet2!CB:NF,$B536,0),HLOOKUP(M$2+$A536,Sheet2!CB:NF,$B536,0)&lt;&gt;""),HLOOKUP(M$2+$A536,Sheet2!CB:NF,$B536,0),"")</f>
        <v/>
      </c>
    </row>
    <row r="537" spans="1:13" x14ac:dyDescent="0.25">
      <c r="A537" s="68">
        <f t="shared" si="58"/>
        <v>25</v>
      </c>
      <c r="B537" s="68">
        <f t="shared" si="59"/>
        <v>71</v>
      </c>
      <c r="C537" s="68">
        <f t="shared" si="61"/>
        <v>6</v>
      </c>
      <c r="D537" s="68">
        <f t="shared" si="60"/>
        <v>67</v>
      </c>
      <c r="E537" s="68">
        <f t="shared" si="62"/>
        <v>331</v>
      </c>
      <c r="F537" s="21" t="str">
        <f>VLOOKUP(D537,Sheet2!A:B,2)</f>
        <v>J20-0493</v>
      </c>
      <c r="G537" s="68" t="str">
        <f>VLOOKUP(F537,Sheet2!B:C,2,0)</f>
        <v>เอ็นเอส-สยามยูไนเต็ทสตีล</v>
      </c>
      <c r="H537" s="68" t="str">
        <f>HLOOKUP(I$2+$A537,Sheet2!BX:NB,2,0)</f>
        <v>16-31 Mar 21</v>
      </c>
      <c r="I537" t="str">
        <f>IF(OR(HLOOKUP(I$2+$A537,Sheet2!BX:NB,$B537,0),HLOOKUP(I$2+$A537,Sheet2!BX:NB,$B537,0)&lt;&gt;""),HLOOKUP(I$2+$A537,Sheet2!BX:NB,$B537,0),"")</f>
        <v/>
      </c>
      <c r="J537" t="str">
        <f>IF(OR(HLOOKUP(J$2+$A537,Sheet2!BY:NC,$B537,0),HLOOKUP(J$2+$A537,Sheet2!BY:NC,$B537,0)&lt;&gt;""),HLOOKUP(J$2+$A537,Sheet2!BY:NC,$B537,0),"")</f>
        <v/>
      </c>
      <c r="K537" t="str">
        <f>IF(OR(HLOOKUP(K$2+$A537,Sheet2!BZ:ND,$B537,0),HLOOKUP(K$2+$A537,Sheet2!BZ:ND,$B537,0)&lt;&gt;""),HLOOKUP(K$2+$A537,Sheet2!BZ:ND,$B537,0),"")</f>
        <v/>
      </c>
      <c r="L537" t="str">
        <f>IF(OR(HLOOKUP(L$2+$A537,Sheet2!CA:NE,$B537,0),HLOOKUP(L$2+$A537,Sheet2!CA:NE,$B537,0)&lt;&gt;""),HLOOKUP(L$2+$A537,Sheet2!CA:NE,$B537,0),"")</f>
        <v/>
      </c>
      <c r="M537" t="str">
        <f>IF(OR(HLOOKUP(M$2+$A537,Sheet2!CB:NF,$B537,0),HLOOKUP(M$2+$A537,Sheet2!CB:NF,$B537,0)&lt;&gt;""),HLOOKUP(M$2+$A537,Sheet2!CB:NF,$B537,0),"")</f>
        <v/>
      </c>
    </row>
    <row r="538" spans="1:13" x14ac:dyDescent="0.25">
      <c r="A538" s="68">
        <f t="shared" si="58"/>
        <v>30</v>
      </c>
      <c r="B538" s="68">
        <f t="shared" si="59"/>
        <v>71</v>
      </c>
      <c r="C538" s="68">
        <f t="shared" si="61"/>
        <v>7</v>
      </c>
      <c r="D538" s="68">
        <f t="shared" si="60"/>
        <v>67</v>
      </c>
      <c r="E538" s="68">
        <f t="shared" si="62"/>
        <v>331</v>
      </c>
      <c r="F538" s="21" t="str">
        <f>VLOOKUP(D538,Sheet2!A:B,2)</f>
        <v>J20-0493</v>
      </c>
      <c r="G538" s="68" t="str">
        <f>VLOOKUP(F538,Sheet2!B:C,2,0)</f>
        <v>เอ็นเอส-สยามยูไนเต็ทสตีล</v>
      </c>
      <c r="H538" s="68" t="str">
        <f>HLOOKUP(I$2+$A538,Sheet2!BX:NB,2,0)</f>
        <v>1-15 April 21</v>
      </c>
      <c r="I538" t="str">
        <f>IF(OR(HLOOKUP(I$2+$A538,Sheet2!BX:NB,$B538,0),HLOOKUP(I$2+$A538,Sheet2!BX:NB,$B538,0)&lt;&gt;""),HLOOKUP(I$2+$A538,Sheet2!BX:NB,$B538,0),"")</f>
        <v/>
      </c>
      <c r="J538" t="str">
        <f>IF(OR(HLOOKUP(J$2+$A538,Sheet2!BY:NC,$B538,0),HLOOKUP(J$2+$A538,Sheet2!BY:NC,$B538,0)&lt;&gt;""),HLOOKUP(J$2+$A538,Sheet2!BY:NC,$B538,0),"")</f>
        <v/>
      </c>
      <c r="K538" t="str">
        <f>IF(OR(HLOOKUP(K$2+$A538,Sheet2!BZ:ND,$B538,0),HLOOKUP(K$2+$A538,Sheet2!BZ:ND,$B538,0)&lt;&gt;""),HLOOKUP(K$2+$A538,Sheet2!BZ:ND,$B538,0),"")</f>
        <v/>
      </c>
      <c r="L538" t="str">
        <f>IF(OR(HLOOKUP(L$2+$A538,Sheet2!CA:NE,$B538,0),HLOOKUP(L$2+$A538,Sheet2!CA:NE,$B538,0)&lt;&gt;""),HLOOKUP(L$2+$A538,Sheet2!CA:NE,$B538,0),"")</f>
        <v/>
      </c>
      <c r="M538" t="str">
        <f>IF(OR(HLOOKUP(M$2+$A538,Sheet2!CB:NF,$B538,0),HLOOKUP(M$2+$A538,Sheet2!CB:NF,$B538,0)&lt;&gt;""),HLOOKUP(M$2+$A538,Sheet2!CB:NF,$B538,0),"")</f>
        <v/>
      </c>
    </row>
    <row r="539" spans="1:13" x14ac:dyDescent="0.25">
      <c r="A539" s="68">
        <f t="shared" si="58"/>
        <v>35</v>
      </c>
      <c r="B539" s="68">
        <f t="shared" si="59"/>
        <v>71</v>
      </c>
      <c r="C539" s="68">
        <f t="shared" si="61"/>
        <v>8</v>
      </c>
      <c r="D539" s="68">
        <f t="shared" si="60"/>
        <v>67</v>
      </c>
      <c r="E539" s="68">
        <f t="shared" si="62"/>
        <v>331</v>
      </c>
      <c r="F539" s="21" t="str">
        <f>VLOOKUP(D539,Sheet2!A:B,2)</f>
        <v>J20-0493</v>
      </c>
      <c r="G539" s="68" t="str">
        <f>VLOOKUP(F539,Sheet2!B:C,2,0)</f>
        <v>เอ็นเอส-สยามยูไนเต็ทสตีล</v>
      </c>
      <c r="H539" s="68" t="str">
        <f>HLOOKUP(I$2+$A539,Sheet2!BX:NB,2,0)</f>
        <v>16-30 April 21</v>
      </c>
      <c r="I539" t="str">
        <f>IF(OR(HLOOKUP(I$2+$A539,Sheet2!BX:NB,$B539,0),HLOOKUP(I$2+$A539,Sheet2!BX:NB,$B539,0)&lt;&gt;""),HLOOKUP(I$2+$A539,Sheet2!BX:NB,$B539,0),"")</f>
        <v/>
      </c>
      <c r="J539" t="str">
        <f>IF(OR(HLOOKUP(J$2+$A539,Sheet2!BY:NC,$B539,0),HLOOKUP(J$2+$A539,Sheet2!BY:NC,$B539,0)&lt;&gt;""),HLOOKUP(J$2+$A539,Sheet2!BY:NC,$B539,0),"")</f>
        <v/>
      </c>
      <c r="K539" t="str">
        <f>IF(OR(HLOOKUP(K$2+$A539,Sheet2!BZ:ND,$B539,0),HLOOKUP(K$2+$A539,Sheet2!BZ:ND,$B539,0)&lt;&gt;""),HLOOKUP(K$2+$A539,Sheet2!BZ:ND,$B539,0),"")</f>
        <v/>
      </c>
      <c r="L539" t="str">
        <f>IF(OR(HLOOKUP(L$2+$A539,Sheet2!CA:NE,$B539,0),HLOOKUP(L$2+$A539,Sheet2!CA:NE,$B539,0)&lt;&gt;""),HLOOKUP(L$2+$A539,Sheet2!CA:NE,$B539,0),"")</f>
        <v/>
      </c>
      <c r="M539" t="str">
        <f>IF(OR(HLOOKUP(M$2+$A539,Sheet2!CB:NF,$B539,0),HLOOKUP(M$2+$A539,Sheet2!CB:NF,$B539,0)&lt;&gt;""),HLOOKUP(M$2+$A539,Sheet2!CB:NF,$B539,0),"")</f>
        <v/>
      </c>
    </row>
    <row r="540" spans="1:13" x14ac:dyDescent="0.25">
      <c r="A540" s="68">
        <f t="shared" si="58"/>
        <v>0</v>
      </c>
      <c r="B540" s="68">
        <f t="shared" si="59"/>
        <v>72</v>
      </c>
      <c r="C540" s="68">
        <f t="shared" si="61"/>
        <v>1</v>
      </c>
      <c r="D540" s="68">
        <f t="shared" si="60"/>
        <v>68</v>
      </c>
      <c r="E540" s="68">
        <f t="shared" si="62"/>
        <v>336</v>
      </c>
      <c r="F540" s="21" t="str">
        <f>VLOOKUP(D540,Sheet2!A:B,2)</f>
        <v>J20-0856</v>
      </c>
      <c r="G540" s="68" t="str">
        <f>VLOOKUP(F540,Sheet2!B:C,2,0)</f>
        <v>Modify Panel Dryer 5</v>
      </c>
      <c r="H540" s="68" t="str">
        <f>HLOOKUP(I$2+$A540,Sheet2!BX:NB,2,0)</f>
        <v>1-15 Jan 21</v>
      </c>
      <c r="I540" t="str">
        <f>IF(OR(HLOOKUP(I$2+$A540,Sheet2!BX:NB,$B540,0),HLOOKUP(I$2+$A540,Sheet2!BX:NB,$B540,0)&lt;&gt;""),HLOOKUP(I$2+$A540,Sheet2!BX:NB,$B540,0),"")</f>
        <v/>
      </c>
      <c r="J540" t="str">
        <f>IF(OR(HLOOKUP(J$2+$A540,Sheet2!BY:NC,$B540,0),HLOOKUP(J$2+$A540,Sheet2!BY:NC,$B540,0)&lt;&gt;""),HLOOKUP(J$2+$A540,Sheet2!BY:NC,$B540,0),"")</f>
        <v/>
      </c>
      <c r="K540" t="str">
        <f>IF(OR(HLOOKUP(K$2+$A540,Sheet2!BZ:ND,$B540,0),HLOOKUP(K$2+$A540,Sheet2!BZ:ND,$B540,0)&lt;&gt;""),HLOOKUP(K$2+$A540,Sheet2!BZ:ND,$B540,0),"")</f>
        <v/>
      </c>
      <c r="L540" t="str">
        <f>IF(OR(HLOOKUP(L$2+$A540,Sheet2!CA:NE,$B540,0),HLOOKUP(L$2+$A540,Sheet2!CA:NE,$B540,0)&lt;&gt;""),HLOOKUP(L$2+$A540,Sheet2!CA:NE,$B540,0),"")</f>
        <v/>
      </c>
      <c r="M540" t="str">
        <f>IF(OR(HLOOKUP(M$2+$A540,Sheet2!CB:NF,$B540,0),HLOOKUP(M$2+$A540,Sheet2!CB:NF,$B540,0)&lt;&gt;""),HLOOKUP(M$2+$A540,Sheet2!CB:NF,$B540,0),"")</f>
        <v/>
      </c>
    </row>
    <row r="541" spans="1:13" x14ac:dyDescent="0.25">
      <c r="A541" s="68">
        <f t="shared" si="58"/>
        <v>5</v>
      </c>
      <c r="B541" s="68">
        <f t="shared" si="59"/>
        <v>72</v>
      </c>
      <c r="C541" s="68">
        <f t="shared" si="61"/>
        <v>2</v>
      </c>
      <c r="D541" s="68">
        <f t="shared" si="60"/>
        <v>68</v>
      </c>
      <c r="E541" s="68">
        <f t="shared" si="62"/>
        <v>336</v>
      </c>
      <c r="F541" s="21" t="str">
        <f>VLOOKUP(D541,Sheet2!A:B,2)</f>
        <v>J20-0856</v>
      </c>
      <c r="G541" s="68" t="str">
        <f>VLOOKUP(F541,Sheet2!B:C,2,0)</f>
        <v>Modify Panel Dryer 5</v>
      </c>
      <c r="H541" s="68" t="str">
        <f>HLOOKUP(I$2+$A541,Sheet2!BX:NB,2,0)</f>
        <v>16-31 Jan 21</v>
      </c>
      <c r="I541" t="str">
        <f>IF(OR(HLOOKUP(I$2+$A541,Sheet2!BX:NB,$B541,0),HLOOKUP(I$2+$A541,Sheet2!BX:NB,$B541,0)&lt;&gt;""),HLOOKUP(I$2+$A541,Sheet2!BX:NB,$B541,0),"")</f>
        <v/>
      </c>
      <c r="J541" t="str">
        <f>IF(OR(HLOOKUP(J$2+$A541,Sheet2!BY:NC,$B541,0),HLOOKUP(J$2+$A541,Sheet2!BY:NC,$B541,0)&lt;&gt;""),HLOOKUP(J$2+$A541,Sheet2!BY:NC,$B541,0),"")</f>
        <v/>
      </c>
      <c r="K541" t="str">
        <f>IF(OR(HLOOKUP(K$2+$A541,Sheet2!BZ:ND,$B541,0),HLOOKUP(K$2+$A541,Sheet2!BZ:ND,$B541,0)&lt;&gt;""),HLOOKUP(K$2+$A541,Sheet2!BZ:ND,$B541,0),"")</f>
        <v/>
      </c>
      <c r="L541" t="str">
        <f>IF(OR(HLOOKUP(L$2+$A541,Sheet2!CA:NE,$B541,0),HLOOKUP(L$2+$A541,Sheet2!CA:NE,$B541,0)&lt;&gt;""),HLOOKUP(L$2+$A541,Sheet2!CA:NE,$B541,0),"")</f>
        <v/>
      </c>
      <c r="M541" t="str">
        <f>IF(OR(HLOOKUP(M$2+$A541,Sheet2!CB:NF,$B541,0),HLOOKUP(M$2+$A541,Sheet2!CB:NF,$B541,0)&lt;&gt;""),HLOOKUP(M$2+$A541,Sheet2!CB:NF,$B541,0),"")</f>
        <v/>
      </c>
    </row>
    <row r="542" spans="1:13" x14ac:dyDescent="0.25">
      <c r="A542" s="68">
        <f t="shared" si="58"/>
        <v>10</v>
      </c>
      <c r="B542" s="68">
        <f t="shared" si="59"/>
        <v>72</v>
      </c>
      <c r="C542" s="68">
        <f t="shared" si="61"/>
        <v>3</v>
      </c>
      <c r="D542" s="68">
        <f t="shared" si="60"/>
        <v>68</v>
      </c>
      <c r="E542" s="68">
        <f t="shared" si="62"/>
        <v>336</v>
      </c>
      <c r="F542" s="21" t="str">
        <f>VLOOKUP(D542,Sheet2!A:B,2)</f>
        <v>J20-0856</v>
      </c>
      <c r="G542" s="68" t="str">
        <f>VLOOKUP(F542,Sheet2!B:C,2,0)</f>
        <v>Modify Panel Dryer 5</v>
      </c>
      <c r="H542" s="68" t="str">
        <f>HLOOKUP(I$2+$A542,Sheet2!BX:NB,2,0)</f>
        <v>1-15 Feb 21</v>
      </c>
      <c r="I542" t="str">
        <f>IF(OR(HLOOKUP(I$2+$A542,Sheet2!BX:NB,$B542,0),HLOOKUP(I$2+$A542,Sheet2!BX:NB,$B542,0)&lt;&gt;""),HLOOKUP(I$2+$A542,Sheet2!BX:NB,$B542,0),"")</f>
        <v/>
      </c>
      <c r="J542" t="str">
        <f>IF(OR(HLOOKUP(J$2+$A542,Sheet2!BY:NC,$B542,0),HLOOKUP(J$2+$A542,Sheet2!BY:NC,$B542,0)&lt;&gt;""),HLOOKUP(J$2+$A542,Sheet2!BY:NC,$B542,0),"")</f>
        <v/>
      </c>
      <c r="K542" t="str">
        <f>IF(OR(HLOOKUP(K$2+$A542,Sheet2!BZ:ND,$B542,0),HLOOKUP(K$2+$A542,Sheet2!BZ:ND,$B542,0)&lt;&gt;""),HLOOKUP(K$2+$A542,Sheet2!BZ:ND,$B542,0),"")</f>
        <v/>
      </c>
      <c r="L542" t="str">
        <f>IF(OR(HLOOKUP(L$2+$A542,Sheet2!CA:NE,$B542,0),HLOOKUP(L$2+$A542,Sheet2!CA:NE,$B542,0)&lt;&gt;""),HLOOKUP(L$2+$A542,Sheet2!CA:NE,$B542,0),"")</f>
        <v/>
      </c>
      <c r="M542" t="str">
        <f>IF(OR(HLOOKUP(M$2+$A542,Sheet2!CB:NF,$B542,0),HLOOKUP(M$2+$A542,Sheet2!CB:NF,$B542,0)&lt;&gt;""),HLOOKUP(M$2+$A542,Sheet2!CB:NF,$B542,0),"")</f>
        <v/>
      </c>
    </row>
    <row r="543" spans="1:13" x14ac:dyDescent="0.25">
      <c r="A543" s="68">
        <f t="shared" si="58"/>
        <v>15</v>
      </c>
      <c r="B543" s="68">
        <f t="shared" si="59"/>
        <v>72</v>
      </c>
      <c r="C543" s="68">
        <f t="shared" si="61"/>
        <v>4</v>
      </c>
      <c r="D543" s="68">
        <f t="shared" si="60"/>
        <v>68</v>
      </c>
      <c r="E543" s="68">
        <f t="shared" si="62"/>
        <v>336</v>
      </c>
      <c r="F543" s="21" t="str">
        <f>VLOOKUP(D543,Sheet2!A:B,2)</f>
        <v>J20-0856</v>
      </c>
      <c r="G543" s="68" t="str">
        <f>VLOOKUP(F543,Sheet2!B:C,2,0)</f>
        <v>Modify Panel Dryer 5</v>
      </c>
      <c r="H543" s="68" t="str">
        <f>HLOOKUP(I$2+$A543,Sheet2!BX:NB,2,0)</f>
        <v>16-28 Feb 21</v>
      </c>
      <c r="I543" t="str">
        <f>IF(OR(HLOOKUP(I$2+$A543,Sheet2!BX:NB,$B543,0),HLOOKUP(I$2+$A543,Sheet2!BX:NB,$B543,0)&lt;&gt;""),HLOOKUP(I$2+$A543,Sheet2!BX:NB,$B543,0),"")</f>
        <v/>
      </c>
      <c r="J543" t="str">
        <f>IF(OR(HLOOKUP(J$2+$A543,Sheet2!BY:NC,$B543,0),HLOOKUP(J$2+$A543,Sheet2!BY:NC,$B543,0)&lt;&gt;""),HLOOKUP(J$2+$A543,Sheet2!BY:NC,$B543,0),"")</f>
        <v/>
      </c>
      <c r="K543" t="str">
        <f>IF(OR(HLOOKUP(K$2+$A543,Sheet2!BZ:ND,$B543,0),HLOOKUP(K$2+$A543,Sheet2!BZ:ND,$B543,0)&lt;&gt;""),HLOOKUP(K$2+$A543,Sheet2!BZ:ND,$B543,0),"")</f>
        <v/>
      </c>
      <c r="L543" t="str">
        <f>IF(OR(HLOOKUP(L$2+$A543,Sheet2!CA:NE,$B543,0),HLOOKUP(L$2+$A543,Sheet2!CA:NE,$B543,0)&lt;&gt;""),HLOOKUP(L$2+$A543,Sheet2!CA:NE,$B543,0),"")</f>
        <v/>
      </c>
      <c r="M543" t="str">
        <f>IF(OR(HLOOKUP(M$2+$A543,Sheet2!CB:NF,$B543,0),HLOOKUP(M$2+$A543,Sheet2!CB:NF,$B543,0)&lt;&gt;""),HLOOKUP(M$2+$A543,Sheet2!CB:NF,$B543,0),"")</f>
        <v/>
      </c>
    </row>
    <row r="544" spans="1:13" x14ac:dyDescent="0.25">
      <c r="A544" s="68">
        <f t="shared" si="58"/>
        <v>20</v>
      </c>
      <c r="B544" s="68">
        <f t="shared" si="59"/>
        <v>72</v>
      </c>
      <c r="C544" s="68">
        <f t="shared" si="61"/>
        <v>5</v>
      </c>
      <c r="D544" s="68">
        <f t="shared" si="60"/>
        <v>68</v>
      </c>
      <c r="E544" s="68">
        <f t="shared" si="62"/>
        <v>336</v>
      </c>
      <c r="F544" s="21" t="str">
        <f>VLOOKUP(D544,Sheet2!A:B,2)</f>
        <v>J20-0856</v>
      </c>
      <c r="G544" s="68" t="str">
        <f>VLOOKUP(F544,Sheet2!B:C,2,0)</f>
        <v>Modify Panel Dryer 5</v>
      </c>
      <c r="H544" s="68" t="str">
        <f>HLOOKUP(I$2+$A544,Sheet2!BX:NB,2,0)</f>
        <v>1-15 Mar 2021</v>
      </c>
      <c r="I544" t="str">
        <f>IF(OR(HLOOKUP(I$2+$A544,Sheet2!BX:NB,$B544,0),HLOOKUP(I$2+$A544,Sheet2!BX:NB,$B544,0)&lt;&gt;""),HLOOKUP(I$2+$A544,Sheet2!BX:NB,$B544,0),"")</f>
        <v/>
      </c>
      <c r="J544" t="str">
        <f>IF(OR(HLOOKUP(J$2+$A544,Sheet2!BY:NC,$B544,0),HLOOKUP(J$2+$A544,Sheet2!BY:NC,$B544,0)&lt;&gt;""),HLOOKUP(J$2+$A544,Sheet2!BY:NC,$B544,0),"")</f>
        <v/>
      </c>
      <c r="K544" t="str">
        <f>IF(OR(HLOOKUP(K$2+$A544,Sheet2!BZ:ND,$B544,0),HLOOKUP(K$2+$A544,Sheet2!BZ:ND,$B544,0)&lt;&gt;""),HLOOKUP(K$2+$A544,Sheet2!BZ:ND,$B544,0),"")</f>
        <v/>
      </c>
      <c r="L544" t="str">
        <f>IF(OR(HLOOKUP(L$2+$A544,Sheet2!CA:NE,$B544,0),HLOOKUP(L$2+$A544,Sheet2!CA:NE,$B544,0)&lt;&gt;""),HLOOKUP(L$2+$A544,Sheet2!CA:NE,$B544,0),"")</f>
        <v/>
      </c>
      <c r="M544" t="str">
        <f>IF(OR(HLOOKUP(M$2+$A544,Sheet2!CB:NF,$B544,0),HLOOKUP(M$2+$A544,Sheet2!CB:NF,$B544,0)&lt;&gt;""),HLOOKUP(M$2+$A544,Sheet2!CB:NF,$B544,0),"")</f>
        <v/>
      </c>
    </row>
    <row r="545" spans="1:13" x14ac:dyDescent="0.25">
      <c r="A545" s="68">
        <f t="shared" si="58"/>
        <v>25</v>
      </c>
      <c r="B545" s="68">
        <f t="shared" si="59"/>
        <v>72</v>
      </c>
      <c r="C545" s="68">
        <f t="shared" si="61"/>
        <v>6</v>
      </c>
      <c r="D545" s="68">
        <f t="shared" si="60"/>
        <v>68</v>
      </c>
      <c r="E545" s="68">
        <f t="shared" si="62"/>
        <v>336</v>
      </c>
      <c r="F545" s="21" t="str">
        <f>VLOOKUP(D545,Sheet2!A:B,2)</f>
        <v>J20-0856</v>
      </c>
      <c r="G545" s="68" t="str">
        <f>VLOOKUP(F545,Sheet2!B:C,2,0)</f>
        <v>Modify Panel Dryer 5</v>
      </c>
      <c r="H545" s="68" t="str">
        <f>HLOOKUP(I$2+$A545,Sheet2!BX:NB,2,0)</f>
        <v>16-31 Mar 21</v>
      </c>
      <c r="I545" t="str">
        <f>IF(OR(HLOOKUP(I$2+$A545,Sheet2!BX:NB,$B545,0),HLOOKUP(I$2+$A545,Sheet2!BX:NB,$B545,0)&lt;&gt;""),HLOOKUP(I$2+$A545,Sheet2!BX:NB,$B545,0),"")</f>
        <v/>
      </c>
      <c r="J545" t="str">
        <f>IF(OR(HLOOKUP(J$2+$A545,Sheet2!BY:NC,$B545,0),HLOOKUP(J$2+$A545,Sheet2!BY:NC,$B545,0)&lt;&gt;""),HLOOKUP(J$2+$A545,Sheet2!BY:NC,$B545,0),"")</f>
        <v/>
      </c>
      <c r="K545" t="str">
        <f>IF(OR(HLOOKUP(K$2+$A545,Sheet2!BZ:ND,$B545,0),HLOOKUP(K$2+$A545,Sheet2!BZ:ND,$B545,0)&lt;&gt;""),HLOOKUP(K$2+$A545,Sheet2!BZ:ND,$B545,0),"")</f>
        <v/>
      </c>
      <c r="L545" t="str">
        <f>IF(OR(HLOOKUP(L$2+$A545,Sheet2!CA:NE,$B545,0),HLOOKUP(L$2+$A545,Sheet2!CA:NE,$B545,0)&lt;&gt;""),HLOOKUP(L$2+$A545,Sheet2!CA:NE,$B545,0),"")</f>
        <v/>
      </c>
      <c r="M545" t="str">
        <f>IF(OR(HLOOKUP(M$2+$A545,Sheet2!CB:NF,$B545,0),HLOOKUP(M$2+$A545,Sheet2!CB:NF,$B545,0)&lt;&gt;""),HLOOKUP(M$2+$A545,Sheet2!CB:NF,$B545,0),"")</f>
        <v/>
      </c>
    </row>
    <row r="546" spans="1:13" x14ac:dyDescent="0.25">
      <c r="A546" s="68">
        <f t="shared" si="58"/>
        <v>30</v>
      </c>
      <c r="B546" s="68">
        <f t="shared" si="59"/>
        <v>72</v>
      </c>
      <c r="C546" s="68">
        <f t="shared" si="61"/>
        <v>7</v>
      </c>
      <c r="D546" s="68">
        <f t="shared" si="60"/>
        <v>68</v>
      </c>
      <c r="E546" s="68">
        <f t="shared" si="62"/>
        <v>336</v>
      </c>
      <c r="F546" s="21" t="str">
        <f>VLOOKUP(D546,Sheet2!A:B,2)</f>
        <v>J20-0856</v>
      </c>
      <c r="G546" s="68" t="str">
        <f>VLOOKUP(F546,Sheet2!B:C,2,0)</f>
        <v>Modify Panel Dryer 5</v>
      </c>
      <c r="H546" s="68" t="str">
        <f>HLOOKUP(I$2+$A546,Sheet2!BX:NB,2,0)</f>
        <v>1-15 April 21</v>
      </c>
      <c r="I546" t="str">
        <f>IF(OR(HLOOKUP(I$2+$A546,Sheet2!BX:NB,$B546,0),HLOOKUP(I$2+$A546,Sheet2!BX:NB,$B546,0)&lt;&gt;""),HLOOKUP(I$2+$A546,Sheet2!BX:NB,$B546,0),"")</f>
        <v/>
      </c>
      <c r="J546" t="str">
        <f>IF(OR(HLOOKUP(J$2+$A546,Sheet2!BY:NC,$B546,0),HLOOKUP(J$2+$A546,Sheet2!BY:NC,$B546,0)&lt;&gt;""),HLOOKUP(J$2+$A546,Sheet2!BY:NC,$B546,0),"")</f>
        <v/>
      </c>
      <c r="K546" t="str">
        <f>IF(OR(HLOOKUP(K$2+$A546,Sheet2!BZ:ND,$B546,0),HLOOKUP(K$2+$A546,Sheet2!BZ:ND,$B546,0)&lt;&gt;""),HLOOKUP(K$2+$A546,Sheet2!BZ:ND,$B546,0),"")</f>
        <v/>
      </c>
      <c r="L546" t="str">
        <f>IF(OR(HLOOKUP(L$2+$A546,Sheet2!CA:NE,$B546,0),HLOOKUP(L$2+$A546,Sheet2!CA:NE,$B546,0)&lt;&gt;""),HLOOKUP(L$2+$A546,Sheet2!CA:NE,$B546,0),"")</f>
        <v/>
      </c>
      <c r="M546" t="str">
        <f>IF(OR(HLOOKUP(M$2+$A546,Sheet2!CB:NF,$B546,0),HLOOKUP(M$2+$A546,Sheet2!CB:NF,$B546,0)&lt;&gt;""),HLOOKUP(M$2+$A546,Sheet2!CB:NF,$B546,0),"")</f>
        <v/>
      </c>
    </row>
    <row r="547" spans="1:13" x14ac:dyDescent="0.25">
      <c r="A547" s="68">
        <f t="shared" si="58"/>
        <v>35</v>
      </c>
      <c r="B547" s="68">
        <f t="shared" si="59"/>
        <v>72</v>
      </c>
      <c r="C547" s="68">
        <f t="shared" si="61"/>
        <v>8</v>
      </c>
      <c r="D547" s="68">
        <f t="shared" si="60"/>
        <v>68</v>
      </c>
      <c r="E547" s="68">
        <f t="shared" si="62"/>
        <v>336</v>
      </c>
      <c r="F547" s="21" t="str">
        <f>VLOOKUP(D547,Sheet2!A:B,2)</f>
        <v>J20-0856</v>
      </c>
      <c r="G547" s="68" t="str">
        <f>VLOOKUP(F547,Sheet2!B:C,2,0)</f>
        <v>Modify Panel Dryer 5</v>
      </c>
      <c r="H547" s="68" t="str">
        <f>HLOOKUP(I$2+$A547,Sheet2!BX:NB,2,0)</f>
        <v>16-30 April 21</v>
      </c>
      <c r="I547" t="str">
        <f>IF(OR(HLOOKUP(I$2+$A547,Sheet2!BX:NB,$B547,0),HLOOKUP(I$2+$A547,Sheet2!BX:NB,$B547,0)&lt;&gt;""),HLOOKUP(I$2+$A547,Sheet2!BX:NB,$B547,0),"")</f>
        <v/>
      </c>
      <c r="J547" t="str">
        <f>IF(OR(HLOOKUP(J$2+$A547,Sheet2!BY:NC,$B547,0),HLOOKUP(J$2+$A547,Sheet2!BY:NC,$B547,0)&lt;&gt;""),HLOOKUP(J$2+$A547,Sheet2!BY:NC,$B547,0),"")</f>
        <v/>
      </c>
      <c r="K547" t="str">
        <f>IF(OR(HLOOKUP(K$2+$A547,Sheet2!BZ:ND,$B547,0),HLOOKUP(K$2+$A547,Sheet2!BZ:ND,$B547,0)&lt;&gt;""),HLOOKUP(K$2+$A547,Sheet2!BZ:ND,$B547,0),"")</f>
        <v/>
      </c>
      <c r="L547" t="str">
        <f>IF(OR(HLOOKUP(L$2+$A547,Sheet2!CA:NE,$B547,0),HLOOKUP(L$2+$A547,Sheet2!CA:NE,$B547,0)&lt;&gt;""),HLOOKUP(L$2+$A547,Sheet2!CA:NE,$B547,0),"")</f>
        <v/>
      </c>
      <c r="M547" t="str">
        <f>IF(OR(HLOOKUP(M$2+$A547,Sheet2!CB:NF,$B547,0),HLOOKUP(M$2+$A547,Sheet2!CB:NF,$B547,0)&lt;&gt;""),HLOOKUP(M$2+$A547,Sheet2!CB:NF,$B547,0),"")</f>
        <v/>
      </c>
    </row>
    <row r="548" spans="1:13" x14ac:dyDescent="0.25">
      <c r="A548" s="68">
        <f t="shared" si="58"/>
        <v>0</v>
      </c>
      <c r="B548" s="68">
        <f t="shared" si="59"/>
        <v>73</v>
      </c>
      <c r="C548" s="68">
        <f t="shared" si="61"/>
        <v>1</v>
      </c>
      <c r="D548" s="68">
        <f t="shared" si="60"/>
        <v>69</v>
      </c>
      <c r="E548" s="68">
        <f t="shared" si="62"/>
        <v>341</v>
      </c>
      <c r="F548" s="21" t="str">
        <f>VLOOKUP(D548,Sheet2!A:B,2)</f>
        <v>J20-0740</v>
      </c>
      <c r="G548" s="68" t="str">
        <f>VLOOKUP(F548,Sheet2!B:C,2,0)</f>
        <v>งานติดตั้ง Pressure Transducer ท่อดับเพลิง</v>
      </c>
      <c r="H548" s="68" t="str">
        <f>HLOOKUP(I$2+$A548,Sheet2!BX:NB,2,0)</f>
        <v>1-15 Jan 21</v>
      </c>
      <c r="I548" t="str">
        <f>IF(OR(HLOOKUP(I$2+$A548,Sheet2!BX:NB,$B548,0),HLOOKUP(I$2+$A548,Sheet2!BX:NB,$B548,0)&lt;&gt;""),HLOOKUP(I$2+$A548,Sheet2!BX:NB,$B548,0),"")</f>
        <v/>
      </c>
      <c r="J548" t="str">
        <f>IF(OR(HLOOKUP(J$2+$A548,Sheet2!BY:NC,$B548,0),HLOOKUP(J$2+$A548,Sheet2!BY:NC,$B548,0)&lt;&gt;""),HLOOKUP(J$2+$A548,Sheet2!BY:NC,$B548,0),"")</f>
        <v/>
      </c>
      <c r="K548" t="str">
        <f>IF(OR(HLOOKUP(K$2+$A548,Sheet2!BZ:ND,$B548,0),HLOOKUP(K$2+$A548,Sheet2!BZ:ND,$B548,0)&lt;&gt;""),HLOOKUP(K$2+$A548,Sheet2!BZ:ND,$B548,0),"")</f>
        <v/>
      </c>
      <c r="L548" t="str">
        <f>IF(OR(HLOOKUP(L$2+$A548,Sheet2!CA:NE,$B548,0),HLOOKUP(L$2+$A548,Sheet2!CA:NE,$B548,0)&lt;&gt;""),HLOOKUP(L$2+$A548,Sheet2!CA:NE,$B548,0),"")</f>
        <v/>
      </c>
      <c r="M548" t="str">
        <f>IF(OR(HLOOKUP(M$2+$A548,Sheet2!CB:NF,$B548,0),HLOOKUP(M$2+$A548,Sheet2!CB:NF,$B548,0)&lt;&gt;""),HLOOKUP(M$2+$A548,Sheet2!CB:NF,$B548,0),"")</f>
        <v/>
      </c>
    </row>
    <row r="549" spans="1:13" x14ac:dyDescent="0.25">
      <c r="A549" s="68">
        <f t="shared" si="58"/>
        <v>5</v>
      </c>
      <c r="B549" s="68">
        <f t="shared" si="59"/>
        <v>73</v>
      </c>
      <c r="C549" s="68">
        <f t="shared" si="61"/>
        <v>2</v>
      </c>
      <c r="D549" s="68">
        <f t="shared" si="60"/>
        <v>69</v>
      </c>
      <c r="E549" s="68">
        <f t="shared" si="62"/>
        <v>341</v>
      </c>
      <c r="F549" s="21" t="str">
        <f>VLOOKUP(D549,Sheet2!A:B,2)</f>
        <v>J20-0740</v>
      </c>
      <c r="G549" s="68" t="str">
        <f>VLOOKUP(F549,Sheet2!B:C,2,0)</f>
        <v>งานติดตั้ง Pressure Transducer ท่อดับเพลิง</v>
      </c>
      <c r="H549" s="68" t="str">
        <f>HLOOKUP(I$2+$A549,Sheet2!BX:NB,2,0)</f>
        <v>16-31 Jan 21</v>
      </c>
      <c r="I549" t="str">
        <f>IF(OR(HLOOKUP(I$2+$A549,Sheet2!BX:NB,$B549,0),HLOOKUP(I$2+$A549,Sheet2!BX:NB,$B549,0)&lt;&gt;""),HLOOKUP(I$2+$A549,Sheet2!BX:NB,$B549,0),"")</f>
        <v/>
      </c>
      <c r="J549" t="str">
        <f>IF(OR(HLOOKUP(J$2+$A549,Sheet2!BY:NC,$B549,0),HLOOKUP(J$2+$A549,Sheet2!BY:NC,$B549,0)&lt;&gt;""),HLOOKUP(J$2+$A549,Sheet2!BY:NC,$B549,0),"")</f>
        <v/>
      </c>
      <c r="K549" t="str">
        <f>IF(OR(HLOOKUP(K$2+$A549,Sheet2!BZ:ND,$B549,0),HLOOKUP(K$2+$A549,Sheet2!BZ:ND,$B549,0)&lt;&gt;""),HLOOKUP(K$2+$A549,Sheet2!BZ:ND,$B549,0),"")</f>
        <v/>
      </c>
      <c r="L549" t="str">
        <f>IF(OR(HLOOKUP(L$2+$A549,Sheet2!CA:NE,$B549,0),HLOOKUP(L$2+$A549,Sheet2!CA:NE,$B549,0)&lt;&gt;""),HLOOKUP(L$2+$A549,Sheet2!CA:NE,$B549,0),"")</f>
        <v/>
      </c>
      <c r="M549" t="str">
        <f>IF(OR(HLOOKUP(M$2+$A549,Sheet2!CB:NF,$B549,0),HLOOKUP(M$2+$A549,Sheet2!CB:NF,$B549,0)&lt;&gt;""),HLOOKUP(M$2+$A549,Sheet2!CB:NF,$B549,0),"")</f>
        <v/>
      </c>
    </row>
    <row r="550" spans="1:13" x14ac:dyDescent="0.25">
      <c r="A550" s="68">
        <f t="shared" si="58"/>
        <v>10</v>
      </c>
      <c r="B550" s="68">
        <f t="shared" si="59"/>
        <v>73</v>
      </c>
      <c r="C550" s="68">
        <f t="shared" si="61"/>
        <v>3</v>
      </c>
      <c r="D550" s="68">
        <f t="shared" si="60"/>
        <v>69</v>
      </c>
      <c r="E550" s="68">
        <f t="shared" si="62"/>
        <v>341</v>
      </c>
      <c r="F550" s="21" t="str">
        <f>VLOOKUP(D550,Sheet2!A:B,2)</f>
        <v>J20-0740</v>
      </c>
      <c r="G550" s="68" t="str">
        <f>VLOOKUP(F550,Sheet2!B:C,2,0)</f>
        <v>งานติดตั้ง Pressure Transducer ท่อดับเพลิง</v>
      </c>
      <c r="H550" s="68" t="str">
        <f>HLOOKUP(I$2+$A550,Sheet2!BX:NB,2,0)</f>
        <v>1-15 Feb 21</v>
      </c>
      <c r="I550" t="str">
        <f>IF(OR(HLOOKUP(I$2+$A550,Sheet2!BX:NB,$B550,0),HLOOKUP(I$2+$A550,Sheet2!BX:NB,$B550,0)&lt;&gt;""),HLOOKUP(I$2+$A550,Sheet2!BX:NB,$B550,0),"")</f>
        <v/>
      </c>
      <c r="J550" t="str">
        <f>IF(OR(HLOOKUP(J$2+$A550,Sheet2!BY:NC,$B550,0),HLOOKUP(J$2+$A550,Sheet2!BY:NC,$B550,0)&lt;&gt;""),HLOOKUP(J$2+$A550,Sheet2!BY:NC,$B550,0),"")</f>
        <v/>
      </c>
      <c r="K550" t="str">
        <f>IF(OR(HLOOKUP(K$2+$A550,Sheet2!BZ:ND,$B550,0),HLOOKUP(K$2+$A550,Sheet2!BZ:ND,$B550,0)&lt;&gt;""),HLOOKUP(K$2+$A550,Sheet2!BZ:ND,$B550,0),"")</f>
        <v/>
      </c>
      <c r="L550" t="str">
        <f>IF(OR(HLOOKUP(L$2+$A550,Sheet2!CA:NE,$B550,0),HLOOKUP(L$2+$A550,Sheet2!CA:NE,$B550,0)&lt;&gt;""),HLOOKUP(L$2+$A550,Sheet2!CA:NE,$B550,0),"")</f>
        <v/>
      </c>
      <c r="M550" t="str">
        <f>IF(OR(HLOOKUP(M$2+$A550,Sheet2!CB:NF,$B550,0),HLOOKUP(M$2+$A550,Sheet2!CB:NF,$B550,0)&lt;&gt;""),HLOOKUP(M$2+$A550,Sheet2!CB:NF,$B550,0),"")</f>
        <v/>
      </c>
    </row>
    <row r="551" spans="1:13" x14ac:dyDescent="0.25">
      <c r="A551" s="68">
        <f t="shared" si="58"/>
        <v>15</v>
      </c>
      <c r="B551" s="68">
        <f t="shared" si="59"/>
        <v>73</v>
      </c>
      <c r="C551" s="68">
        <f t="shared" si="61"/>
        <v>4</v>
      </c>
      <c r="D551" s="68">
        <f t="shared" si="60"/>
        <v>69</v>
      </c>
      <c r="E551" s="68">
        <f t="shared" si="62"/>
        <v>341</v>
      </c>
      <c r="F551" s="21" t="str">
        <f>VLOOKUP(D551,Sheet2!A:B,2)</f>
        <v>J20-0740</v>
      </c>
      <c r="G551" s="68" t="str">
        <f>VLOOKUP(F551,Sheet2!B:C,2,0)</f>
        <v>งานติดตั้ง Pressure Transducer ท่อดับเพลิง</v>
      </c>
      <c r="H551" s="68" t="str">
        <f>HLOOKUP(I$2+$A551,Sheet2!BX:NB,2,0)</f>
        <v>16-28 Feb 21</v>
      </c>
      <c r="I551" t="str">
        <f>IF(OR(HLOOKUP(I$2+$A551,Sheet2!BX:NB,$B551,0),HLOOKUP(I$2+$A551,Sheet2!BX:NB,$B551,0)&lt;&gt;""),HLOOKUP(I$2+$A551,Sheet2!BX:NB,$B551,0),"")</f>
        <v/>
      </c>
      <c r="J551" t="str">
        <f>IF(OR(HLOOKUP(J$2+$A551,Sheet2!BY:NC,$B551,0),HLOOKUP(J$2+$A551,Sheet2!BY:NC,$B551,0)&lt;&gt;""),HLOOKUP(J$2+$A551,Sheet2!BY:NC,$B551,0),"")</f>
        <v/>
      </c>
      <c r="K551" t="str">
        <f>IF(OR(HLOOKUP(K$2+$A551,Sheet2!BZ:ND,$B551,0),HLOOKUP(K$2+$A551,Sheet2!BZ:ND,$B551,0)&lt;&gt;""),HLOOKUP(K$2+$A551,Sheet2!BZ:ND,$B551,0),"")</f>
        <v/>
      </c>
      <c r="L551" t="str">
        <f>IF(OR(HLOOKUP(L$2+$A551,Sheet2!CA:NE,$B551,0),HLOOKUP(L$2+$A551,Sheet2!CA:NE,$B551,0)&lt;&gt;""),HLOOKUP(L$2+$A551,Sheet2!CA:NE,$B551,0),"")</f>
        <v/>
      </c>
      <c r="M551" t="str">
        <f>IF(OR(HLOOKUP(M$2+$A551,Sheet2!CB:NF,$B551,0),HLOOKUP(M$2+$A551,Sheet2!CB:NF,$B551,0)&lt;&gt;""),HLOOKUP(M$2+$A551,Sheet2!CB:NF,$B551,0),"")</f>
        <v/>
      </c>
    </row>
    <row r="552" spans="1:13" x14ac:dyDescent="0.25">
      <c r="A552" s="68">
        <f t="shared" si="58"/>
        <v>20</v>
      </c>
      <c r="B552" s="68">
        <f t="shared" si="59"/>
        <v>73</v>
      </c>
      <c r="C552" s="68">
        <f t="shared" si="61"/>
        <v>5</v>
      </c>
      <c r="D552" s="68">
        <f t="shared" si="60"/>
        <v>69</v>
      </c>
      <c r="E552" s="68">
        <f t="shared" si="62"/>
        <v>341</v>
      </c>
      <c r="F552" s="21" t="str">
        <f>VLOOKUP(D552,Sheet2!A:B,2)</f>
        <v>J20-0740</v>
      </c>
      <c r="G552" s="68" t="str">
        <f>VLOOKUP(F552,Sheet2!B:C,2,0)</f>
        <v>งานติดตั้ง Pressure Transducer ท่อดับเพลิง</v>
      </c>
      <c r="H552" s="68" t="str">
        <f>HLOOKUP(I$2+$A552,Sheet2!BX:NB,2,0)</f>
        <v>1-15 Mar 2021</v>
      </c>
      <c r="I552" t="str">
        <f>IF(OR(HLOOKUP(I$2+$A552,Sheet2!BX:NB,$B552,0),HLOOKUP(I$2+$A552,Sheet2!BX:NB,$B552,0)&lt;&gt;""),HLOOKUP(I$2+$A552,Sheet2!BX:NB,$B552,0),"")</f>
        <v/>
      </c>
      <c r="J552" t="str">
        <f>IF(OR(HLOOKUP(J$2+$A552,Sheet2!BY:NC,$B552,0),HLOOKUP(J$2+$A552,Sheet2!BY:NC,$B552,0)&lt;&gt;""),HLOOKUP(J$2+$A552,Sheet2!BY:NC,$B552,0),"")</f>
        <v/>
      </c>
      <c r="K552" t="str">
        <f>IF(OR(HLOOKUP(K$2+$A552,Sheet2!BZ:ND,$B552,0),HLOOKUP(K$2+$A552,Sheet2!BZ:ND,$B552,0)&lt;&gt;""),HLOOKUP(K$2+$A552,Sheet2!BZ:ND,$B552,0),"")</f>
        <v/>
      </c>
      <c r="L552" t="str">
        <f>IF(OR(HLOOKUP(L$2+$A552,Sheet2!CA:NE,$B552,0),HLOOKUP(L$2+$A552,Sheet2!CA:NE,$B552,0)&lt;&gt;""),HLOOKUP(L$2+$A552,Sheet2!CA:NE,$B552,0),"")</f>
        <v/>
      </c>
      <c r="M552" t="str">
        <f>IF(OR(HLOOKUP(M$2+$A552,Sheet2!CB:NF,$B552,0),HLOOKUP(M$2+$A552,Sheet2!CB:NF,$B552,0)&lt;&gt;""),HLOOKUP(M$2+$A552,Sheet2!CB:NF,$B552,0),"")</f>
        <v/>
      </c>
    </row>
    <row r="553" spans="1:13" x14ac:dyDescent="0.25">
      <c r="A553" s="68">
        <f t="shared" si="58"/>
        <v>25</v>
      </c>
      <c r="B553" s="68">
        <f t="shared" si="59"/>
        <v>73</v>
      </c>
      <c r="C553" s="68">
        <f t="shared" si="61"/>
        <v>6</v>
      </c>
      <c r="D553" s="68">
        <f t="shared" si="60"/>
        <v>69</v>
      </c>
      <c r="E553" s="68">
        <f t="shared" si="62"/>
        <v>341</v>
      </c>
      <c r="F553" s="21" t="str">
        <f>VLOOKUP(D553,Sheet2!A:B,2)</f>
        <v>J20-0740</v>
      </c>
      <c r="G553" s="68" t="str">
        <f>VLOOKUP(F553,Sheet2!B:C,2,0)</f>
        <v>งานติดตั้ง Pressure Transducer ท่อดับเพลิง</v>
      </c>
      <c r="H553" s="68" t="str">
        <f>HLOOKUP(I$2+$A553,Sheet2!BX:NB,2,0)</f>
        <v>16-31 Mar 21</v>
      </c>
      <c r="I553" t="str">
        <f>IF(OR(HLOOKUP(I$2+$A553,Sheet2!BX:NB,$B553,0),HLOOKUP(I$2+$A553,Sheet2!BX:NB,$B553,0)&lt;&gt;""),HLOOKUP(I$2+$A553,Sheet2!BX:NB,$B553,0),"")</f>
        <v/>
      </c>
      <c r="J553" t="str">
        <f>IF(OR(HLOOKUP(J$2+$A553,Sheet2!BY:NC,$B553,0),HLOOKUP(J$2+$A553,Sheet2!BY:NC,$B553,0)&lt;&gt;""),HLOOKUP(J$2+$A553,Sheet2!BY:NC,$B553,0),"")</f>
        <v/>
      </c>
      <c r="K553" t="str">
        <f>IF(OR(HLOOKUP(K$2+$A553,Sheet2!BZ:ND,$B553,0),HLOOKUP(K$2+$A553,Sheet2!BZ:ND,$B553,0)&lt;&gt;""),HLOOKUP(K$2+$A553,Sheet2!BZ:ND,$B553,0),"")</f>
        <v/>
      </c>
      <c r="L553" t="str">
        <f>IF(OR(HLOOKUP(L$2+$A553,Sheet2!CA:NE,$B553,0),HLOOKUP(L$2+$A553,Sheet2!CA:NE,$B553,0)&lt;&gt;""),HLOOKUP(L$2+$A553,Sheet2!CA:NE,$B553,0),"")</f>
        <v/>
      </c>
      <c r="M553" t="str">
        <f>IF(OR(HLOOKUP(M$2+$A553,Sheet2!CB:NF,$B553,0),HLOOKUP(M$2+$A553,Sheet2!CB:NF,$B553,0)&lt;&gt;""),HLOOKUP(M$2+$A553,Sheet2!CB:NF,$B553,0),"")</f>
        <v/>
      </c>
    </row>
    <row r="554" spans="1:13" x14ac:dyDescent="0.25">
      <c r="A554" s="68">
        <f t="shared" si="58"/>
        <v>30</v>
      </c>
      <c r="B554" s="68">
        <f t="shared" si="59"/>
        <v>73</v>
      </c>
      <c r="C554" s="68">
        <f t="shared" si="61"/>
        <v>7</v>
      </c>
      <c r="D554" s="68">
        <f t="shared" si="60"/>
        <v>69</v>
      </c>
      <c r="E554" s="68">
        <f t="shared" si="62"/>
        <v>341</v>
      </c>
      <c r="F554" s="21" t="str">
        <f>VLOOKUP(D554,Sheet2!A:B,2)</f>
        <v>J20-0740</v>
      </c>
      <c r="G554" s="68" t="str">
        <f>VLOOKUP(F554,Sheet2!B:C,2,0)</f>
        <v>งานติดตั้ง Pressure Transducer ท่อดับเพลิง</v>
      </c>
      <c r="H554" s="68" t="str">
        <f>HLOOKUP(I$2+$A554,Sheet2!BX:NB,2,0)</f>
        <v>1-15 April 21</v>
      </c>
      <c r="I554" t="str">
        <f>IF(OR(HLOOKUP(I$2+$A554,Sheet2!BX:NB,$B554,0),HLOOKUP(I$2+$A554,Sheet2!BX:NB,$B554,0)&lt;&gt;""),HLOOKUP(I$2+$A554,Sheet2!BX:NB,$B554,0),"")</f>
        <v/>
      </c>
      <c r="J554" t="str">
        <f>IF(OR(HLOOKUP(J$2+$A554,Sheet2!BY:NC,$B554,0),HLOOKUP(J$2+$A554,Sheet2!BY:NC,$B554,0)&lt;&gt;""),HLOOKUP(J$2+$A554,Sheet2!BY:NC,$B554,0),"")</f>
        <v/>
      </c>
      <c r="K554" t="str">
        <f>IF(OR(HLOOKUP(K$2+$A554,Sheet2!BZ:ND,$B554,0),HLOOKUP(K$2+$A554,Sheet2!BZ:ND,$B554,0)&lt;&gt;""),HLOOKUP(K$2+$A554,Sheet2!BZ:ND,$B554,0),"")</f>
        <v/>
      </c>
      <c r="L554" t="str">
        <f>IF(OR(HLOOKUP(L$2+$A554,Sheet2!CA:NE,$B554,0),HLOOKUP(L$2+$A554,Sheet2!CA:NE,$B554,0)&lt;&gt;""),HLOOKUP(L$2+$A554,Sheet2!CA:NE,$B554,0),"")</f>
        <v/>
      </c>
      <c r="M554" t="str">
        <f>IF(OR(HLOOKUP(M$2+$A554,Sheet2!CB:NF,$B554,0),HLOOKUP(M$2+$A554,Sheet2!CB:NF,$B554,0)&lt;&gt;""),HLOOKUP(M$2+$A554,Sheet2!CB:NF,$B554,0),"")</f>
        <v/>
      </c>
    </row>
    <row r="555" spans="1:13" x14ac:dyDescent="0.25">
      <c r="A555" s="68">
        <f t="shared" si="58"/>
        <v>35</v>
      </c>
      <c r="B555" s="68">
        <f t="shared" si="59"/>
        <v>73</v>
      </c>
      <c r="C555" s="68">
        <f t="shared" si="61"/>
        <v>8</v>
      </c>
      <c r="D555" s="68">
        <f t="shared" si="60"/>
        <v>69</v>
      </c>
      <c r="E555" s="68">
        <f t="shared" si="62"/>
        <v>341</v>
      </c>
      <c r="F555" s="21" t="str">
        <f>VLOOKUP(D555,Sheet2!A:B,2)</f>
        <v>J20-0740</v>
      </c>
      <c r="G555" s="68" t="str">
        <f>VLOOKUP(F555,Sheet2!B:C,2,0)</f>
        <v>งานติดตั้ง Pressure Transducer ท่อดับเพลิง</v>
      </c>
      <c r="H555" s="68" t="str">
        <f>HLOOKUP(I$2+$A555,Sheet2!BX:NB,2,0)</f>
        <v>16-30 April 21</v>
      </c>
      <c r="I555" t="str">
        <f>IF(OR(HLOOKUP(I$2+$A555,Sheet2!BX:NB,$B555,0),HLOOKUP(I$2+$A555,Sheet2!BX:NB,$B555,0)&lt;&gt;""),HLOOKUP(I$2+$A555,Sheet2!BX:NB,$B555,0),"")</f>
        <v/>
      </c>
      <c r="J555" t="str">
        <f>IF(OR(HLOOKUP(J$2+$A555,Sheet2!BY:NC,$B555,0),HLOOKUP(J$2+$A555,Sheet2!BY:NC,$B555,0)&lt;&gt;""),HLOOKUP(J$2+$A555,Sheet2!BY:NC,$B555,0),"")</f>
        <v/>
      </c>
      <c r="K555" t="str">
        <f>IF(OR(HLOOKUP(K$2+$A555,Sheet2!BZ:ND,$B555,0),HLOOKUP(K$2+$A555,Sheet2!BZ:ND,$B555,0)&lt;&gt;""),HLOOKUP(K$2+$A555,Sheet2!BZ:ND,$B555,0),"")</f>
        <v/>
      </c>
      <c r="L555" t="str">
        <f>IF(OR(HLOOKUP(L$2+$A555,Sheet2!CA:NE,$B555,0),HLOOKUP(L$2+$A555,Sheet2!CA:NE,$B555,0)&lt;&gt;""),HLOOKUP(L$2+$A555,Sheet2!CA:NE,$B555,0),"")</f>
        <v/>
      </c>
      <c r="M555" t="str">
        <f>IF(OR(HLOOKUP(M$2+$A555,Sheet2!CB:NF,$B555,0),HLOOKUP(M$2+$A555,Sheet2!CB:NF,$B555,0)&lt;&gt;""),HLOOKUP(M$2+$A555,Sheet2!CB:NF,$B555,0),"")</f>
        <v/>
      </c>
    </row>
    <row r="556" spans="1:13" x14ac:dyDescent="0.25">
      <c r="A556" s="68">
        <f t="shared" si="58"/>
        <v>0</v>
      </c>
      <c r="B556" s="68">
        <f t="shared" si="59"/>
        <v>74</v>
      </c>
      <c r="C556" s="68">
        <f t="shared" si="61"/>
        <v>1</v>
      </c>
      <c r="D556" s="68">
        <f t="shared" si="60"/>
        <v>70</v>
      </c>
      <c r="E556" s="68">
        <f t="shared" si="62"/>
        <v>346</v>
      </c>
      <c r="F556" s="21" t="str">
        <f>VLOOKUP(D556,Sheet2!A:B,2)</f>
        <v>J20-0864</v>
      </c>
      <c r="G556" s="68" t="str">
        <f>VLOOKUP(F556,Sheet2!B:C,2,0)</f>
        <v xml:space="preserve">The MRT Orange Line (East Section)Station 17&amp;18 </v>
      </c>
      <c r="H556" s="68" t="str">
        <f>HLOOKUP(I$2+$A556,Sheet2!BX:NB,2,0)</f>
        <v>1-15 Jan 21</v>
      </c>
      <c r="I556" t="str">
        <f>IF(OR(HLOOKUP(I$2+$A556,Sheet2!BX:NB,$B556,0),HLOOKUP(I$2+$A556,Sheet2!BX:NB,$B556,0)&lt;&gt;""),HLOOKUP(I$2+$A556,Sheet2!BX:NB,$B556,0),"")</f>
        <v/>
      </c>
      <c r="J556" t="str">
        <f>IF(OR(HLOOKUP(J$2+$A556,Sheet2!BY:NC,$B556,0),HLOOKUP(J$2+$A556,Sheet2!BY:NC,$B556,0)&lt;&gt;""),HLOOKUP(J$2+$A556,Sheet2!BY:NC,$B556,0),"")</f>
        <v/>
      </c>
      <c r="K556" t="str">
        <f>IF(OR(HLOOKUP(K$2+$A556,Sheet2!BZ:ND,$B556,0),HLOOKUP(K$2+$A556,Sheet2!BZ:ND,$B556,0)&lt;&gt;""),HLOOKUP(K$2+$A556,Sheet2!BZ:ND,$B556,0),"")</f>
        <v/>
      </c>
      <c r="L556" t="str">
        <f>IF(OR(HLOOKUP(L$2+$A556,Sheet2!CA:NE,$B556,0),HLOOKUP(L$2+$A556,Sheet2!CA:NE,$B556,0)&lt;&gt;""),HLOOKUP(L$2+$A556,Sheet2!CA:NE,$B556,0),"")</f>
        <v/>
      </c>
      <c r="M556" t="str">
        <f>IF(OR(HLOOKUP(M$2+$A556,Sheet2!CB:NF,$B556,0),HLOOKUP(M$2+$A556,Sheet2!CB:NF,$B556,0)&lt;&gt;""),HLOOKUP(M$2+$A556,Sheet2!CB:NF,$B556,0),"")</f>
        <v/>
      </c>
    </row>
    <row r="557" spans="1:13" x14ac:dyDescent="0.25">
      <c r="A557" s="68">
        <f t="shared" si="58"/>
        <v>5</v>
      </c>
      <c r="B557" s="68">
        <f t="shared" si="59"/>
        <v>74</v>
      </c>
      <c r="C557" s="68">
        <f t="shared" si="61"/>
        <v>2</v>
      </c>
      <c r="D557" s="68">
        <f t="shared" si="60"/>
        <v>70</v>
      </c>
      <c r="E557" s="68">
        <f t="shared" si="62"/>
        <v>346</v>
      </c>
      <c r="F557" s="21" t="str">
        <f>VLOOKUP(D557,Sheet2!A:B,2)</f>
        <v>J20-0864</v>
      </c>
      <c r="G557" s="68" t="str">
        <f>VLOOKUP(F557,Sheet2!B:C,2,0)</f>
        <v xml:space="preserve">The MRT Orange Line (East Section)Station 17&amp;18 </v>
      </c>
      <c r="H557" s="68" t="str">
        <f>HLOOKUP(I$2+$A557,Sheet2!BX:NB,2,0)</f>
        <v>16-31 Jan 21</v>
      </c>
      <c r="I557" t="str">
        <f>IF(OR(HLOOKUP(I$2+$A557,Sheet2!BX:NB,$B557,0),HLOOKUP(I$2+$A557,Sheet2!BX:NB,$B557,0)&lt;&gt;""),HLOOKUP(I$2+$A557,Sheet2!BX:NB,$B557,0),"")</f>
        <v/>
      </c>
      <c r="J557" t="str">
        <f>IF(OR(HLOOKUP(J$2+$A557,Sheet2!BY:NC,$B557,0),HLOOKUP(J$2+$A557,Sheet2!BY:NC,$B557,0)&lt;&gt;""),HLOOKUP(J$2+$A557,Sheet2!BY:NC,$B557,0),"")</f>
        <v/>
      </c>
      <c r="K557" t="str">
        <f>IF(OR(HLOOKUP(K$2+$A557,Sheet2!BZ:ND,$B557,0),HLOOKUP(K$2+$A557,Sheet2!BZ:ND,$B557,0)&lt;&gt;""),HLOOKUP(K$2+$A557,Sheet2!BZ:ND,$B557,0),"")</f>
        <v/>
      </c>
      <c r="L557" t="str">
        <f>IF(OR(HLOOKUP(L$2+$A557,Sheet2!CA:NE,$B557,0),HLOOKUP(L$2+$A557,Sheet2!CA:NE,$B557,0)&lt;&gt;""),HLOOKUP(L$2+$A557,Sheet2!CA:NE,$B557,0),"")</f>
        <v/>
      </c>
      <c r="M557" t="str">
        <f>IF(OR(HLOOKUP(M$2+$A557,Sheet2!CB:NF,$B557,0),HLOOKUP(M$2+$A557,Sheet2!CB:NF,$B557,0)&lt;&gt;""),HLOOKUP(M$2+$A557,Sheet2!CB:NF,$B557,0),"")</f>
        <v/>
      </c>
    </row>
    <row r="558" spans="1:13" x14ac:dyDescent="0.25">
      <c r="A558" s="68">
        <f t="shared" si="58"/>
        <v>10</v>
      </c>
      <c r="B558" s="68">
        <f t="shared" si="59"/>
        <v>74</v>
      </c>
      <c r="C558" s="68">
        <f t="shared" si="61"/>
        <v>3</v>
      </c>
      <c r="D558" s="68">
        <f t="shared" si="60"/>
        <v>70</v>
      </c>
      <c r="E558" s="68">
        <f t="shared" si="62"/>
        <v>346</v>
      </c>
      <c r="F558" s="21" t="str">
        <f>VLOOKUP(D558,Sheet2!A:B,2)</f>
        <v>J20-0864</v>
      </c>
      <c r="G558" s="68" t="str">
        <f>VLOOKUP(F558,Sheet2!B:C,2,0)</f>
        <v xml:space="preserve">The MRT Orange Line (East Section)Station 17&amp;18 </v>
      </c>
      <c r="H558" s="68" t="str">
        <f>HLOOKUP(I$2+$A558,Sheet2!BX:NB,2,0)</f>
        <v>1-15 Feb 21</v>
      </c>
      <c r="I558" t="str">
        <f>IF(OR(HLOOKUP(I$2+$A558,Sheet2!BX:NB,$B558,0),HLOOKUP(I$2+$A558,Sheet2!BX:NB,$B558,0)&lt;&gt;""),HLOOKUP(I$2+$A558,Sheet2!BX:NB,$B558,0),"")</f>
        <v/>
      </c>
      <c r="J558" t="str">
        <f>IF(OR(HLOOKUP(J$2+$A558,Sheet2!BY:NC,$B558,0),HLOOKUP(J$2+$A558,Sheet2!BY:NC,$B558,0)&lt;&gt;""),HLOOKUP(J$2+$A558,Sheet2!BY:NC,$B558,0),"")</f>
        <v/>
      </c>
      <c r="K558" t="str">
        <f>IF(OR(HLOOKUP(K$2+$A558,Sheet2!BZ:ND,$B558,0),HLOOKUP(K$2+$A558,Sheet2!BZ:ND,$B558,0)&lt;&gt;""),HLOOKUP(K$2+$A558,Sheet2!BZ:ND,$B558,0),"")</f>
        <v/>
      </c>
      <c r="L558" t="str">
        <f>IF(OR(HLOOKUP(L$2+$A558,Sheet2!CA:NE,$B558,0),HLOOKUP(L$2+$A558,Sheet2!CA:NE,$B558,0)&lt;&gt;""),HLOOKUP(L$2+$A558,Sheet2!CA:NE,$B558,0),"")</f>
        <v/>
      </c>
      <c r="M558" t="str">
        <f>IF(OR(HLOOKUP(M$2+$A558,Sheet2!CB:NF,$B558,0),HLOOKUP(M$2+$A558,Sheet2!CB:NF,$B558,0)&lt;&gt;""),HLOOKUP(M$2+$A558,Sheet2!CB:NF,$B558,0),"")</f>
        <v/>
      </c>
    </row>
    <row r="559" spans="1:13" x14ac:dyDescent="0.25">
      <c r="A559" s="68">
        <f t="shared" si="58"/>
        <v>15</v>
      </c>
      <c r="B559" s="68">
        <f t="shared" si="59"/>
        <v>74</v>
      </c>
      <c r="C559" s="68">
        <f t="shared" si="61"/>
        <v>4</v>
      </c>
      <c r="D559" s="68">
        <f t="shared" si="60"/>
        <v>70</v>
      </c>
      <c r="E559" s="68">
        <f t="shared" si="62"/>
        <v>346</v>
      </c>
      <c r="F559" s="21" t="str">
        <f>VLOOKUP(D559,Sheet2!A:B,2)</f>
        <v>J20-0864</v>
      </c>
      <c r="G559" s="68" t="str">
        <f>VLOOKUP(F559,Sheet2!B:C,2,0)</f>
        <v xml:space="preserve">The MRT Orange Line (East Section)Station 17&amp;18 </v>
      </c>
      <c r="H559" s="68" t="str">
        <f>HLOOKUP(I$2+$A559,Sheet2!BX:NB,2,0)</f>
        <v>16-28 Feb 21</v>
      </c>
      <c r="I559" t="str">
        <f>IF(OR(HLOOKUP(I$2+$A559,Sheet2!BX:NB,$B559,0),HLOOKUP(I$2+$A559,Sheet2!BX:NB,$B559,0)&lt;&gt;""),HLOOKUP(I$2+$A559,Sheet2!BX:NB,$B559,0),"")</f>
        <v/>
      </c>
      <c r="J559" t="str">
        <f>IF(OR(HLOOKUP(J$2+$A559,Sheet2!BY:NC,$B559,0),HLOOKUP(J$2+$A559,Sheet2!BY:NC,$B559,0)&lt;&gt;""),HLOOKUP(J$2+$A559,Sheet2!BY:NC,$B559,0),"")</f>
        <v/>
      </c>
      <c r="K559" t="str">
        <f>IF(OR(HLOOKUP(K$2+$A559,Sheet2!BZ:ND,$B559,0),HLOOKUP(K$2+$A559,Sheet2!BZ:ND,$B559,0)&lt;&gt;""),HLOOKUP(K$2+$A559,Sheet2!BZ:ND,$B559,0),"")</f>
        <v/>
      </c>
      <c r="L559" t="str">
        <f>IF(OR(HLOOKUP(L$2+$A559,Sheet2!CA:NE,$B559,0),HLOOKUP(L$2+$A559,Sheet2!CA:NE,$B559,0)&lt;&gt;""),HLOOKUP(L$2+$A559,Sheet2!CA:NE,$B559,0),"")</f>
        <v/>
      </c>
      <c r="M559" t="str">
        <f>IF(OR(HLOOKUP(M$2+$A559,Sheet2!CB:NF,$B559,0),HLOOKUP(M$2+$A559,Sheet2!CB:NF,$B559,0)&lt;&gt;""),HLOOKUP(M$2+$A559,Sheet2!CB:NF,$B559,0),"")</f>
        <v/>
      </c>
    </row>
    <row r="560" spans="1:13" x14ac:dyDescent="0.25">
      <c r="A560" s="68">
        <f t="shared" si="58"/>
        <v>20</v>
      </c>
      <c r="B560" s="68">
        <f t="shared" si="59"/>
        <v>74</v>
      </c>
      <c r="C560" s="68">
        <f t="shared" si="61"/>
        <v>5</v>
      </c>
      <c r="D560" s="68">
        <f t="shared" si="60"/>
        <v>70</v>
      </c>
      <c r="E560" s="68">
        <f t="shared" si="62"/>
        <v>346</v>
      </c>
      <c r="F560" s="21" t="str">
        <f>VLOOKUP(D560,Sheet2!A:B,2)</f>
        <v>J20-0864</v>
      </c>
      <c r="G560" s="68" t="str">
        <f>VLOOKUP(F560,Sheet2!B:C,2,0)</f>
        <v xml:space="preserve">The MRT Orange Line (East Section)Station 17&amp;18 </v>
      </c>
      <c r="H560" s="68" t="str">
        <f>HLOOKUP(I$2+$A560,Sheet2!BX:NB,2,0)</f>
        <v>1-15 Mar 2021</v>
      </c>
      <c r="I560" t="str">
        <f>IF(OR(HLOOKUP(I$2+$A560,Sheet2!BX:NB,$B560,0),HLOOKUP(I$2+$A560,Sheet2!BX:NB,$B560,0)&lt;&gt;""),HLOOKUP(I$2+$A560,Sheet2!BX:NB,$B560,0),"")</f>
        <v/>
      </c>
      <c r="J560" t="str">
        <f>IF(OR(HLOOKUP(J$2+$A560,Sheet2!BY:NC,$B560,0),HLOOKUP(J$2+$A560,Sheet2!BY:NC,$B560,0)&lt;&gt;""),HLOOKUP(J$2+$A560,Sheet2!BY:NC,$B560,0),"")</f>
        <v/>
      </c>
      <c r="K560" t="str">
        <f>IF(OR(HLOOKUP(K$2+$A560,Sheet2!BZ:ND,$B560,0),HLOOKUP(K$2+$A560,Sheet2!BZ:ND,$B560,0)&lt;&gt;""),HLOOKUP(K$2+$A560,Sheet2!BZ:ND,$B560,0),"")</f>
        <v/>
      </c>
      <c r="L560" t="str">
        <f>IF(OR(HLOOKUP(L$2+$A560,Sheet2!CA:NE,$B560,0),HLOOKUP(L$2+$A560,Sheet2!CA:NE,$B560,0)&lt;&gt;""),HLOOKUP(L$2+$A560,Sheet2!CA:NE,$B560,0),"")</f>
        <v/>
      </c>
      <c r="M560" t="str">
        <f>IF(OR(HLOOKUP(M$2+$A560,Sheet2!CB:NF,$B560,0),HLOOKUP(M$2+$A560,Sheet2!CB:NF,$B560,0)&lt;&gt;""),HLOOKUP(M$2+$A560,Sheet2!CB:NF,$B560,0),"")</f>
        <v/>
      </c>
    </row>
    <row r="561" spans="1:13" x14ac:dyDescent="0.25">
      <c r="A561" s="68">
        <f t="shared" si="58"/>
        <v>25</v>
      </c>
      <c r="B561" s="68">
        <f t="shared" si="59"/>
        <v>74</v>
      </c>
      <c r="C561" s="68">
        <f t="shared" si="61"/>
        <v>6</v>
      </c>
      <c r="D561" s="68">
        <f t="shared" si="60"/>
        <v>70</v>
      </c>
      <c r="E561" s="68">
        <f t="shared" si="62"/>
        <v>346</v>
      </c>
      <c r="F561" s="21" t="str">
        <f>VLOOKUP(D561,Sheet2!A:B,2)</f>
        <v>J20-0864</v>
      </c>
      <c r="G561" s="68" t="str">
        <f>VLOOKUP(F561,Sheet2!B:C,2,0)</f>
        <v xml:space="preserve">The MRT Orange Line (East Section)Station 17&amp;18 </v>
      </c>
      <c r="H561" s="68" t="str">
        <f>HLOOKUP(I$2+$A561,Sheet2!BX:NB,2,0)</f>
        <v>16-31 Mar 21</v>
      </c>
      <c r="I561" t="str">
        <f>IF(OR(HLOOKUP(I$2+$A561,Sheet2!BX:NB,$B561,0),HLOOKUP(I$2+$A561,Sheet2!BX:NB,$B561,0)&lt;&gt;""),HLOOKUP(I$2+$A561,Sheet2!BX:NB,$B561,0),"")</f>
        <v/>
      </c>
      <c r="J561" t="str">
        <f>IF(OR(HLOOKUP(J$2+$A561,Sheet2!BY:NC,$B561,0),HLOOKUP(J$2+$A561,Sheet2!BY:NC,$B561,0)&lt;&gt;""),HLOOKUP(J$2+$A561,Sheet2!BY:NC,$B561,0),"")</f>
        <v/>
      </c>
      <c r="K561" t="str">
        <f>IF(OR(HLOOKUP(K$2+$A561,Sheet2!BZ:ND,$B561,0),HLOOKUP(K$2+$A561,Sheet2!BZ:ND,$B561,0)&lt;&gt;""),HLOOKUP(K$2+$A561,Sheet2!BZ:ND,$B561,0),"")</f>
        <v/>
      </c>
      <c r="L561" t="str">
        <f>IF(OR(HLOOKUP(L$2+$A561,Sheet2!CA:NE,$B561,0),HLOOKUP(L$2+$A561,Sheet2!CA:NE,$B561,0)&lt;&gt;""),HLOOKUP(L$2+$A561,Sheet2!CA:NE,$B561,0),"")</f>
        <v/>
      </c>
      <c r="M561" t="str">
        <f>IF(OR(HLOOKUP(M$2+$A561,Sheet2!CB:NF,$B561,0),HLOOKUP(M$2+$A561,Sheet2!CB:NF,$B561,0)&lt;&gt;""),HLOOKUP(M$2+$A561,Sheet2!CB:NF,$B561,0),"")</f>
        <v/>
      </c>
    </row>
    <row r="562" spans="1:13" x14ac:dyDescent="0.25">
      <c r="A562" s="68">
        <f t="shared" si="58"/>
        <v>30</v>
      </c>
      <c r="B562" s="68">
        <f t="shared" si="59"/>
        <v>74</v>
      </c>
      <c r="C562" s="68">
        <f t="shared" si="61"/>
        <v>7</v>
      </c>
      <c r="D562" s="68">
        <f t="shared" si="60"/>
        <v>70</v>
      </c>
      <c r="E562" s="68">
        <f t="shared" si="62"/>
        <v>346</v>
      </c>
      <c r="F562" s="21" t="str">
        <f>VLOOKUP(D562,Sheet2!A:B,2)</f>
        <v>J20-0864</v>
      </c>
      <c r="G562" s="68" t="str">
        <f>VLOOKUP(F562,Sheet2!B:C,2,0)</f>
        <v xml:space="preserve">The MRT Orange Line (East Section)Station 17&amp;18 </v>
      </c>
      <c r="H562" s="68" t="str">
        <f>HLOOKUP(I$2+$A562,Sheet2!BX:NB,2,0)</f>
        <v>1-15 April 21</v>
      </c>
      <c r="I562" t="str">
        <f>IF(OR(HLOOKUP(I$2+$A562,Sheet2!BX:NB,$B562,0),HLOOKUP(I$2+$A562,Sheet2!BX:NB,$B562,0)&lt;&gt;""),HLOOKUP(I$2+$A562,Sheet2!BX:NB,$B562,0),"")</f>
        <v/>
      </c>
      <c r="J562" t="str">
        <f>IF(OR(HLOOKUP(J$2+$A562,Sheet2!BY:NC,$B562,0),HLOOKUP(J$2+$A562,Sheet2!BY:NC,$B562,0)&lt;&gt;""),HLOOKUP(J$2+$A562,Sheet2!BY:NC,$B562,0),"")</f>
        <v/>
      </c>
      <c r="K562" t="str">
        <f>IF(OR(HLOOKUP(K$2+$A562,Sheet2!BZ:ND,$B562,0),HLOOKUP(K$2+$A562,Sheet2!BZ:ND,$B562,0)&lt;&gt;""),HLOOKUP(K$2+$A562,Sheet2!BZ:ND,$B562,0),"")</f>
        <v/>
      </c>
      <c r="L562" t="str">
        <f>IF(OR(HLOOKUP(L$2+$A562,Sheet2!CA:NE,$B562,0),HLOOKUP(L$2+$A562,Sheet2!CA:NE,$B562,0)&lt;&gt;""),HLOOKUP(L$2+$A562,Sheet2!CA:NE,$B562,0),"")</f>
        <v/>
      </c>
      <c r="M562" t="str">
        <f>IF(OR(HLOOKUP(M$2+$A562,Sheet2!CB:NF,$B562,0),HLOOKUP(M$2+$A562,Sheet2!CB:NF,$B562,0)&lt;&gt;""),HLOOKUP(M$2+$A562,Sheet2!CB:NF,$B562,0),"")</f>
        <v/>
      </c>
    </row>
    <row r="563" spans="1:13" x14ac:dyDescent="0.25">
      <c r="A563" s="68">
        <f t="shared" si="58"/>
        <v>35</v>
      </c>
      <c r="B563" s="68">
        <f t="shared" si="59"/>
        <v>74</v>
      </c>
      <c r="C563" s="68">
        <f t="shared" si="61"/>
        <v>8</v>
      </c>
      <c r="D563" s="68">
        <f t="shared" si="60"/>
        <v>70</v>
      </c>
      <c r="E563" s="68">
        <f t="shared" si="62"/>
        <v>346</v>
      </c>
      <c r="F563" s="21" t="str">
        <f>VLOOKUP(D563,Sheet2!A:B,2)</f>
        <v>J20-0864</v>
      </c>
      <c r="G563" s="68" t="str">
        <f>VLOOKUP(F563,Sheet2!B:C,2,0)</f>
        <v xml:space="preserve">The MRT Orange Line (East Section)Station 17&amp;18 </v>
      </c>
      <c r="H563" s="68" t="str">
        <f>HLOOKUP(I$2+$A563,Sheet2!BX:NB,2,0)</f>
        <v>16-30 April 21</v>
      </c>
      <c r="I563" t="str">
        <f>IF(OR(HLOOKUP(I$2+$A563,Sheet2!BX:NB,$B563,0),HLOOKUP(I$2+$A563,Sheet2!BX:NB,$B563,0)&lt;&gt;""),HLOOKUP(I$2+$A563,Sheet2!BX:NB,$B563,0),"")</f>
        <v/>
      </c>
      <c r="J563" t="str">
        <f>IF(OR(HLOOKUP(J$2+$A563,Sheet2!BY:NC,$B563,0),HLOOKUP(J$2+$A563,Sheet2!BY:NC,$B563,0)&lt;&gt;""),HLOOKUP(J$2+$A563,Sheet2!BY:NC,$B563,0),"")</f>
        <v/>
      </c>
      <c r="K563" t="str">
        <f>IF(OR(HLOOKUP(K$2+$A563,Sheet2!BZ:ND,$B563,0),HLOOKUP(K$2+$A563,Sheet2!BZ:ND,$B563,0)&lt;&gt;""),HLOOKUP(K$2+$A563,Sheet2!BZ:ND,$B563,0),"")</f>
        <v/>
      </c>
      <c r="L563" t="str">
        <f>IF(OR(HLOOKUP(L$2+$A563,Sheet2!CA:NE,$B563,0),HLOOKUP(L$2+$A563,Sheet2!CA:NE,$B563,0)&lt;&gt;""),HLOOKUP(L$2+$A563,Sheet2!CA:NE,$B563,0),"")</f>
        <v/>
      </c>
      <c r="M563" t="str">
        <f>IF(OR(HLOOKUP(M$2+$A563,Sheet2!CB:NF,$B563,0),HLOOKUP(M$2+$A563,Sheet2!CB:NF,$B563,0)&lt;&gt;""),HLOOKUP(M$2+$A563,Sheet2!CB:NF,$B563,0),"")</f>
        <v/>
      </c>
    </row>
    <row r="564" spans="1:13" x14ac:dyDescent="0.25">
      <c r="A564" s="68">
        <f t="shared" si="58"/>
        <v>0</v>
      </c>
      <c r="B564" s="68">
        <f t="shared" si="59"/>
        <v>75</v>
      </c>
      <c r="C564" s="68">
        <f t="shared" si="61"/>
        <v>1</v>
      </c>
      <c r="D564" s="68">
        <f t="shared" si="60"/>
        <v>71</v>
      </c>
      <c r="E564" s="68">
        <f t="shared" si="62"/>
        <v>351</v>
      </c>
      <c r="F564" s="21" t="str">
        <f>VLOOKUP(D564,Sheet2!A:B,2)</f>
        <v>J20-0890</v>
      </c>
      <c r="G564" s="68" t="str">
        <f>VLOOKUP(F564,Sheet2!B:C,2,0)</f>
        <v xml:space="preserve">งานระบบ Lightning System </v>
      </c>
      <c r="H564" s="68" t="str">
        <f>HLOOKUP(I$2+$A564,Sheet2!BX:NB,2,0)</f>
        <v>1-15 Jan 21</v>
      </c>
      <c r="I564" t="str">
        <f>IF(OR(HLOOKUP(I$2+$A564,Sheet2!BX:NB,$B564,0),HLOOKUP(I$2+$A564,Sheet2!BX:NB,$B564,0)&lt;&gt;""),HLOOKUP(I$2+$A564,Sheet2!BX:NB,$B564,0),"")</f>
        <v/>
      </c>
      <c r="J564" t="str">
        <f>IF(OR(HLOOKUP(J$2+$A564,Sheet2!BY:NC,$B564,0),HLOOKUP(J$2+$A564,Sheet2!BY:NC,$B564,0)&lt;&gt;""),HLOOKUP(J$2+$A564,Sheet2!BY:NC,$B564,0),"")</f>
        <v/>
      </c>
      <c r="K564" t="str">
        <f>IF(OR(HLOOKUP(K$2+$A564,Sheet2!BZ:ND,$B564,0),HLOOKUP(K$2+$A564,Sheet2!BZ:ND,$B564,0)&lt;&gt;""),HLOOKUP(K$2+$A564,Sheet2!BZ:ND,$B564,0),"")</f>
        <v/>
      </c>
      <c r="L564" t="str">
        <f>IF(OR(HLOOKUP(L$2+$A564,Sheet2!CA:NE,$B564,0),HLOOKUP(L$2+$A564,Sheet2!CA:NE,$B564,0)&lt;&gt;""),HLOOKUP(L$2+$A564,Sheet2!CA:NE,$B564,0),"")</f>
        <v/>
      </c>
      <c r="M564" t="str">
        <f>IF(OR(HLOOKUP(M$2+$A564,Sheet2!CB:NF,$B564,0),HLOOKUP(M$2+$A564,Sheet2!CB:NF,$B564,0)&lt;&gt;""),HLOOKUP(M$2+$A564,Sheet2!CB:NF,$B564,0),"")</f>
        <v/>
      </c>
    </row>
    <row r="565" spans="1:13" x14ac:dyDescent="0.25">
      <c r="A565" s="68">
        <f t="shared" si="58"/>
        <v>5</v>
      </c>
      <c r="B565" s="68">
        <f t="shared" si="59"/>
        <v>75</v>
      </c>
      <c r="C565" s="68">
        <f t="shared" si="61"/>
        <v>2</v>
      </c>
      <c r="D565" s="68">
        <f t="shared" si="60"/>
        <v>71</v>
      </c>
      <c r="E565" s="68">
        <f t="shared" si="62"/>
        <v>351</v>
      </c>
      <c r="F565" s="21" t="str">
        <f>VLOOKUP(D565,Sheet2!A:B,2)</f>
        <v>J20-0890</v>
      </c>
      <c r="G565" s="68" t="str">
        <f>VLOOKUP(F565,Sheet2!B:C,2,0)</f>
        <v xml:space="preserve">งานระบบ Lightning System </v>
      </c>
      <c r="H565" s="68" t="str">
        <f>HLOOKUP(I$2+$A565,Sheet2!BX:NB,2,0)</f>
        <v>16-31 Jan 21</v>
      </c>
      <c r="I565" t="str">
        <f>IF(OR(HLOOKUP(I$2+$A565,Sheet2!BX:NB,$B565,0),HLOOKUP(I$2+$A565,Sheet2!BX:NB,$B565,0)&lt;&gt;""),HLOOKUP(I$2+$A565,Sheet2!BX:NB,$B565,0),"")</f>
        <v/>
      </c>
      <c r="J565" t="str">
        <f>IF(OR(HLOOKUP(J$2+$A565,Sheet2!BY:NC,$B565,0),HLOOKUP(J$2+$A565,Sheet2!BY:NC,$B565,0)&lt;&gt;""),HLOOKUP(J$2+$A565,Sheet2!BY:NC,$B565,0),"")</f>
        <v/>
      </c>
      <c r="K565" t="str">
        <f>IF(OR(HLOOKUP(K$2+$A565,Sheet2!BZ:ND,$B565,0),HLOOKUP(K$2+$A565,Sheet2!BZ:ND,$B565,0)&lt;&gt;""),HLOOKUP(K$2+$A565,Sheet2!BZ:ND,$B565,0),"")</f>
        <v/>
      </c>
      <c r="L565" t="str">
        <f>IF(OR(HLOOKUP(L$2+$A565,Sheet2!CA:NE,$B565,0),HLOOKUP(L$2+$A565,Sheet2!CA:NE,$B565,0)&lt;&gt;""),HLOOKUP(L$2+$A565,Sheet2!CA:NE,$B565,0),"")</f>
        <v/>
      </c>
      <c r="M565" t="str">
        <f>IF(OR(HLOOKUP(M$2+$A565,Sheet2!CB:NF,$B565,0),HLOOKUP(M$2+$A565,Sheet2!CB:NF,$B565,0)&lt;&gt;""),HLOOKUP(M$2+$A565,Sheet2!CB:NF,$B565,0),"")</f>
        <v/>
      </c>
    </row>
    <row r="566" spans="1:13" x14ac:dyDescent="0.25">
      <c r="A566" s="68">
        <f t="shared" ref="A566:A629" si="63">IF(C566&lt;&gt;1,A565+5,0)</f>
        <v>10</v>
      </c>
      <c r="B566" s="68">
        <f t="shared" ref="B566:B629" si="64">IF(C566&lt;&gt;1,B565,B565+1)</f>
        <v>75</v>
      </c>
      <c r="C566" s="68">
        <f t="shared" si="61"/>
        <v>3</v>
      </c>
      <c r="D566" s="68">
        <f t="shared" ref="D566:D629" si="65">IF(C566=1,D565+1,D565)</f>
        <v>71</v>
      </c>
      <c r="E566" s="68">
        <f t="shared" si="62"/>
        <v>351</v>
      </c>
      <c r="F566" s="21" t="str">
        <f>VLOOKUP(D566,Sheet2!A:B,2)</f>
        <v>J20-0890</v>
      </c>
      <c r="G566" s="68" t="str">
        <f>VLOOKUP(F566,Sheet2!B:C,2,0)</f>
        <v xml:space="preserve">งานระบบ Lightning System </v>
      </c>
      <c r="H566" s="68" t="str">
        <f>HLOOKUP(I$2+$A566,Sheet2!BX:NB,2,0)</f>
        <v>1-15 Feb 21</v>
      </c>
      <c r="I566" t="str">
        <f>IF(OR(HLOOKUP(I$2+$A566,Sheet2!BX:NB,$B566,0),HLOOKUP(I$2+$A566,Sheet2!BX:NB,$B566,0)&lt;&gt;""),HLOOKUP(I$2+$A566,Sheet2!BX:NB,$B566,0),"")</f>
        <v/>
      </c>
      <c r="J566" t="str">
        <f>IF(OR(HLOOKUP(J$2+$A566,Sheet2!BY:NC,$B566,0),HLOOKUP(J$2+$A566,Sheet2!BY:NC,$B566,0)&lt;&gt;""),HLOOKUP(J$2+$A566,Sheet2!BY:NC,$B566,0),"")</f>
        <v/>
      </c>
      <c r="K566" t="str">
        <f>IF(OR(HLOOKUP(K$2+$A566,Sheet2!BZ:ND,$B566,0),HLOOKUP(K$2+$A566,Sheet2!BZ:ND,$B566,0)&lt;&gt;""),HLOOKUP(K$2+$A566,Sheet2!BZ:ND,$B566,0),"")</f>
        <v/>
      </c>
      <c r="L566" t="str">
        <f>IF(OR(HLOOKUP(L$2+$A566,Sheet2!CA:NE,$B566,0),HLOOKUP(L$2+$A566,Sheet2!CA:NE,$B566,0)&lt;&gt;""),HLOOKUP(L$2+$A566,Sheet2!CA:NE,$B566,0),"")</f>
        <v/>
      </c>
      <c r="M566" t="str">
        <f>IF(OR(HLOOKUP(M$2+$A566,Sheet2!CB:NF,$B566,0),HLOOKUP(M$2+$A566,Sheet2!CB:NF,$B566,0)&lt;&gt;""),HLOOKUP(M$2+$A566,Sheet2!CB:NF,$B566,0),"")</f>
        <v/>
      </c>
    </row>
    <row r="567" spans="1:13" x14ac:dyDescent="0.25">
      <c r="A567" s="68">
        <f t="shared" si="63"/>
        <v>15</v>
      </c>
      <c r="B567" s="68">
        <f t="shared" si="64"/>
        <v>75</v>
      </c>
      <c r="C567" s="68">
        <f t="shared" si="61"/>
        <v>4</v>
      </c>
      <c r="D567" s="68">
        <f t="shared" si="65"/>
        <v>71</v>
      </c>
      <c r="E567" s="68">
        <f t="shared" si="62"/>
        <v>351</v>
      </c>
      <c r="F567" s="21" t="str">
        <f>VLOOKUP(D567,Sheet2!A:B,2)</f>
        <v>J20-0890</v>
      </c>
      <c r="G567" s="68" t="str">
        <f>VLOOKUP(F567,Sheet2!B:C,2,0)</f>
        <v xml:space="preserve">งานระบบ Lightning System </v>
      </c>
      <c r="H567" s="68" t="str">
        <f>HLOOKUP(I$2+$A567,Sheet2!BX:NB,2,0)</f>
        <v>16-28 Feb 21</v>
      </c>
      <c r="I567" t="str">
        <f>IF(OR(HLOOKUP(I$2+$A567,Sheet2!BX:NB,$B567,0),HLOOKUP(I$2+$A567,Sheet2!BX:NB,$B567,0)&lt;&gt;""),HLOOKUP(I$2+$A567,Sheet2!BX:NB,$B567,0),"")</f>
        <v/>
      </c>
      <c r="J567" t="str">
        <f>IF(OR(HLOOKUP(J$2+$A567,Sheet2!BY:NC,$B567,0),HLOOKUP(J$2+$A567,Sheet2!BY:NC,$B567,0)&lt;&gt;""),HLOOKUP(J$2+$A567,Sheet2!BY:NC,$B567,0),"")</f>
        <v/>
      </c>
      <c r="K567" t="str">
        <f>IF(OR(HLOOKUP(K$2+$A567,Sheet2!BZ:ND,$B567,0),HLOOKUP(K$2+$A567,Sheet2!BZ:ND,$B567,0)&lt;&gt;""),HLOOKUP(K$2+$A567,Sheet2!BZ:ND,$B567,0),"")</f>
        <v/>
      </c>
      <c r="L567" t="str">
        <f>IF(OR(HLOOKUP(L$2+$A567,Sheet2!CA:NE,$B567,0),HLOOKUP(L$2+$A567,Sheet2!CA:NE,$B567,0)&lt;&gt;""),HLOOKUP(L$2+$A567,Sheet2!CA:NE,$B567,0),"")</f>
        <v/>
      </c>
      <c r="M567" t="str">
        <f>IF(OR(HLOOKUP(M$2+$A567,Sheet2!CB:NF,$B567,0),HLOOKUP(M$2+$A567,Sheet2!CB:NF,$B567,0)&lt;&gt;""),HLOOKUP(M$2+$A567,Sheet2!CB:NF,$B567,0),"")</f>
        <v/>
      </c>
    </row>
    <row r="568" spans="1:13" x14ac:dyDescent="0.25">
      <c r="A568" s="68">
        <f t="shared" si="63"/>
        <v>20</v>
      </c>
      <c r="B568" s="68">
        <f t="shared" si="64"/>
        <v>75</v>
      </c>
      <c r="C568" s="68">
        <f t="shared" si="61"/>
        <v>5</v>
      </c>
      <c r="D568" s="68">
        <f t="shared" si="65"/>
        <v>71</v>
      </c>
      <c r="E568" s="68">
        <f t="shared" si="62"/>
        <v>351</v>
      </c>
      <c r="F568" s="21" t="str">
        <f>VLOOKUP(D568,Sheet2!A:B,2)</f>
        <v>J20-0890</v>
      </c>
      <c r="G568" s="68" t="str">
        <f>VLOOKUP(F568,Sheet2!B:C,2,0)</f>
        <v xml:space="preserve">งานระบบ Lightning System </v>
      </c>
      <c r="H568" s="68" t="str">
        <f>HLOOKUP(I$2+$A568,Sheet2!BX:NB,2,0)</f>
        <v>1-15 Mar 2021</v>
      </c>
      <c r="I568" t="str">
        <f>IF(OR(HLOOKUP(I$2+$A568,Sheet2!BX:NB,$B568,0),HLOOKUP(I$2+$A568,Sheet2!BX:NB,$B568,0)&lt;&gt;""),HLOOKUP(I$2+$A568,Sheet2!BX:NB,$B568,0),"")</f>
        <v/>
      </c>
      <c r="J568" t="str">
        <f>IF(OR(HLOOKUP(J$2+$A568,Sheet2!BY:NC,$B568,0),HLOOKUP(J$2+$A568,Sheet2!BY:NC,$B568,0)&lt;&gt;""),HLOOKUP(J$2+$A568,Sheet2!BY:NC,$B568,0),"")</f>
        <v/>
      </c>
      <c r="K568" t="str">
        <f>IF(OR(HLOOKUP(K$2+$A568,Sheet2!BZ:ND,$B568,0),HLOOKUP(K$2+$A568,Sheet2!BZ:ND,$B568,0)&lt;&gt;""),HLOOKUP(K$2+$A568,Sheet2!BZ:ND,$B568,0),"")</f>
        <v/>
      </c>
      <c r="L568" t="str">
        <f>IF(OR(HLOOKUP(L$2+$A568,Sheet2!CA:NE,$B568,0),HLOOKUP(L$2+$A568,Sheet2!CA:NE,$B568,0)&lt;&gt;""),HLOOKUP(L$2+$A568,Sheet2!CA:NE,$B568,0),"")</f>
        <v/>
      </c>
      <c r="M568" t="str">
        <f>IF(OR(HLOOKUP(M$2+$A568,Sheet2!CB:NF,$B568,0),HLOOKUP(M$2+$A568,Sheet2!CB:NF,$B568,0)&lt;&gt;""),HLOOKUP(M$2+$A568,Sheet2!CB:NF,$B568,0),"")</f>
        <v/>
      </c>
    </row>
    <row r="569" spans="1:13" x14ac:dyDescent="0.25">
      <c r="A569" s="68">
        <f t="shared" si="63"/>
        <v>25</v>
      </c>
      <c r="B569" s="68">
        <f t="shared" si="64"/>
        <v>75</v>
      </c>
      <c r="C569" s="68">
        <f t="shared" si="61"/>
        <v>6</v>
      </c>
      <c r="D569" s="68">
        <f t="shared" si="65"/>
        <v>71</v>
      </c>
      <c r="E569" s="68">
        <f t="shared" si="62"/>
        <v>351</v>
      </c>
      <c r="F569" s="21" t="str">
        <f>VLOOKUP(D569,Sheet2!A:B,2)</f>
        <v>J20-0890</v>
      </c>
      <c r="G569" s="68" t="str">
        <f>VLOOKUP(F569,Sheet2!B:C,2,0)</f>
        <v xml:space="preserve">งานระบบ Lightning System </v>
      </c>
      <c r="H569" s="68" t="str">
        <f>HLOOKUP(I$2+$A569,Sheet2!BX:NB,2,0)</f>
        <v>16-31 Mar 21</v>
      </c>
      <c r="I569" t="str">
        <f>IF(OR(HLOOKUP(I$2+$A569,Sheet2!BX:NB,$B569,0),HLOOKUP(I$2+$A569,Sheet2!BX:NB,$B569,0)&lt;&gt;""),HLOOKUP(I$2+$A569,Sheet2!BX:NB,$B569,0),"")</f>
        <v/>
      </c>
      <c r="J569" t="str">
        <f>IF(OR(HLOOKUP(J$2+$A569,Sheet2!BY:NC,$B569,0),HLOOKUP(J$2+$A569,Sheet2!BY:NC,$B569,0)&lt;&gt;""),HLOOKUP(J$2+$A569,Sheet2!BY:NC,$B569,0),"")</f>
        <v/>
      </c>
      <c r="K569" t="str">
        <f>IF(OR(HLOOKUP(K$2+$A569,Sheet2!BZ:ND,$B569,0),HLOOKUP(K$2+$A569,Sheet2!BZ:ND,$B569,0)&lt;&gt;""),HLOOKUP(K$2+$A569,Sheet2!BZ:ND,$B569,0),"")</f>
        <v/>
      </c>
      <c r="L569" t="str">
        <f>IF(OR(HLOOKUP(L$2+$A569,Sheet2!CA:NE,$B569,0),HLOOKUP(L$2+$A569,Sheet2!CA:NE,$B569,0)&lt;&gt;""),HLOOKUP(L$2+$A569,Sheet2!CA:NE,$B569,0),"")</f>
        <v/>
      </c>
      <c r="M569" t="str">
        <f>IF(OR(HLOOKUP(M$2+$A569,Sheet2!CB:NF,$B569,0),HLOOKUP(M$2+$A569,Sheet2!CB:NF,$B569,0)&lt;&gt;""),HLOOKUP(M$2+$A569,Sheet2!CB:NF,$B569,0),"")</f>
        <v/>
      </c>
    </row>
    <row r="570" spans="1:13" x14ac:dyDescent="0.25">
      <c r="A570" s="68">
        <f t="shared" si="63"/>
        <v>30</v>
      </c>
      <c r="B570" s="68">
        <f t="shared" si="64"/>
        <v>75</v>
      </c>
      <c r="C570" s="68">
        <f t="shared" si="61"/>
        <v>7</v>
      </c>
      <c r="D570" s="68">
        <f t="shared" si="65"/>
        <v>71</v>
      </c>
      <c r="E570" s="68">
        <f t="shared" si="62"/>
        <v>351</v>
      </c>
      <c r="F570" s="21" t="str">
        <f>VLOOKUP(D570,Sheet2!A:B,2)</f>
        <v>J20-0890</v>
      </c>
      <c r="G570" s="68" t="str">
        <f>VLOOKUP(F570,Sheet2!B:C,2,0)</f>
        <v xml:space="preserve">งานระบบ Lightning System </v>
      </c>
      <c r="H570" s="68" t="str">
        <f>HLOOKUP(I$2+$A570,Sheet2!BX:NB,2,0)</f>
        <v>1-15 April 21</v>
      </c>
      <c r="I570" t="str">
        <f>IF(OR(HLOOKUP(I$2+$A570,Sheet2!BX:NB,$B570,0),HLOOKUP(I$2+$A570,Sheet2!BX:NB,$B570,0)&lt;&gt;""),HLOOKUP(I$2+$A570,Sheet2!BX:NB,$B570,0),"")</f>
        <v/>
      </c>
      <c r="J570" t="str">
        <f>IF(OR(HLOOKUP(J$2+$A570,Sheet2!BY:NC,$B570,0),HLOOKUP(J$2+$A570,Sheet2!BY:NC,$B570,0)&lt;&gt;""),HLOOKUP(J$2+$A570,Sheet2!BY:NC,$B570,0),"")</f>
        <v/>
      </c>
      <c r="K570" t="str">
        <f>IF(OR(HLOOKUP(K$2+$A570,Sheet2!BZ:ND,$B570,0),HLOOKUP(K$2+$A570,Sheet2!BZ:ND,$B570,0)&lt;&gt;""),HLOOKUP(K$2+$A570,Sheet2!BZ:ND,$B570,0),"")</f>
        <v/>
      </c>
      <c r="L570" t="str">
        <f>IF(OR(HLOOKUP(L$2+$A570,Sheet2!CA:NE,$B570,0),HLOOKUP(L$2+$A570,Sheet2!CA:NE,$B570,0)&lt;&gt;""),HLOOKUP(L$2+$A570,Sheet2!CA:NE,$B570,0),"")</f>
        <v/>
      </c>
      <c r="M570" t="str">
        <f>IF(OR(HLOOKUP(M$2+$A570,Sheet2!CB:NF,$B570,0),HLOOKUP(M$2+$A570,Sheet2!CB:NF,$B570,0)&lt;&gt;""),HLOOKUP(M$2+$A570,Sheet2!CB:NF,$B570,0),"")</f>
        <v/>
      </c>
    </row>
    <row r="571" spans="1:13" x14ac:dyDescent="0.25">
      <c r="A571" s="68">
        <f t="shared" si="63"/>
        <v>35</v>
      </c>
      <c r="B571" s="68">
        <f t="shared" si="64"/>
        <v>75</v>
      </c>
      <c r="C571" s="68">
        <f t="shared" si="61"/>
        <v>8</v>
      </c>
      <c r="D571" s="68">
        <f t="shared" si="65"/>
        <v>71</v>
      </c>
      <c r="E571" s="68">
        <f t="shared" si="62"/>
        <v>351</v>
      </c>
      <c r="F571" s="21" t="str">
        <f>VLOOKUP(D571,Sheet2!A:B,2)</f>
        <v>J20-0890</v>
      </c>
      <c r="G571" s="68" t="str">
        <f>VLOOKUP(F571,Sheet2!B:C,2,0)</f>
        <v xml:space="preserve">งานระบบ Lightning System </v>
      </c>
      <c r="H571" s="68" t="str">
        <f>HLOOKUP(I$2+$A571,Sheet2!BX:NB,2,0)</f>
        <v>16-30 April 21</v>
      </c>
      <c r="I571" t="str">
        <f>IF(OR(HLOOKUP(I$2+$A571,Sheet2!BX:NB,$B571,0),HLOOKUP(I$2+$A571,Sheet2!BX:NB,$B571,0)&lt;&gt;""),HLOOKUP(I$2+$A571,Sheet2!BX:NB,$B571,0),"")</f>
        <v/>
      </c>
      <c r="J571" t="str">
        <f>IF(OR(HLOOKUP(J$2+$A571,Sheet2!BY:NC,$B571,0),HLOOKUP(J$2+$A571,Sheet2!BY:NC,$B571,0)&lt;&gt;""),HLOOKUP(J$2+$A571,Sheet2!BY:NC,$B571,0),"")</f>
        <v/>
      </c>
      <c r="K571" t="str">
        <f>IF(OR(HLOOKUP(K$2+$A571,Sheet2!BZ:ND,$B571,0),HLOOKUP(K$2+$A571,Sheet2!BZ:ND,$B571,0)&lt;&gt;""),HLOOKUP(K$2+$A571,Sheet2!BZ:ND,$B571,0),"")</f>
        <v/>
      </c>
      <c r="L571" t="str">
        <f>IF(OR(HLOOKUP(L$2+$A571,Sheet2!CA:NE,$B571,0),HLOOKUP(L$2+$A571,Sheet2!CA:NE,$B571,0)&lt;&gt;""),HLOOKUP(L$2+$A571,Sheet2!CA:NE,$B571,0),"")</f>
        <v/>
      </c>
      <c r="M571" t="str">
        <f>IF(OR(HLOOKUP(M$2+$A571,Sheet2!CB:NF,$B571,0),HLOOKUP(M$2+$A571,Sheet2!CB:NF,$B571,0)&lt;&gt;""),HLOOKUP(M$2+$A571,Sheet2!CB:NF,$B571,0),"")</f>
        <v/>
      </c>
    </row>
    <row r="572" spans="1:13" x14ac:dyDescent="0.25">
      <c r="A572" s="68">
        <f t="shared" si="63"/>
        <v>0</v>
      </c>
      <c r="B572" s="68">
        <f t="shared" si="64"/>
        <v>76</v>
      </c>
      <c r="C572" s="68">
        <f t="shared" si="61"/>
        <v>1</v>
      </c>
      <c r="D572" s="68">
        <f t="shared" si="65"/>
        <v>72</v>
      </c>
      <c r="E572" s="68">
        <f t="shared" si="62"/>
        <v>356</v>
      </c>
      <c r="F572" s="21" t="str">
        <f>VLOOKUP(D572,Sheet2!A:B,2)</f>
        <v>J20-0896</v>
      </c>
      <c r="G572" s="68" t="str">
        <f>VLOOKUP(F572,Sheet2!B:C,2,0)</f>
        <v>Replace And Install paging system v2 (TPC)</v>
      </c>
      <c r="H572" s="68" t="str">
        <f>HLOOKUP(I$2+$A572,Sheet2!BX:NB,2,0)</f>
        <v>1-15 Jan 21</v>
      </c>
      <c r="I572" t="str">
        <f>IF(OR(HLOOKUP(I$2+$A572,Sheet2!BX:NB,$B572,0),HLOOKUP(I$2+$A572,Sheet2!BX:NB,$B572,0)&lt;&gt;""),HLOOKUP(I$2+$A572,Sheet2!BX:NB,$B572,0),"")</f>
        <v/>
      </c>
      <c r="J572" t="str">
        <f>IF(OR(HLOOKUP(J$2+$A572,Sheet2!BY:NC,$B572,0),HLOOKUP(J$2+$A572,Sheet2!BY:NC,$B572,0)&lt;&gt;""),HLOOKUP(J$2+$A572,Sheet2!BY:NC,$B572,0),"")</f>
        <v/>
      </c>
      <c r="K572" t="str">
        <f>IF(OR(HLOOKUP(K$2+$A572,Sheet2!BZ:ND,$B572,0),HLOOKUP(K$2+$A572,Sheet2!BZ:ND,$B572,0)&lt;&gt;""),HLOOKUP(K$2+$A572,Sheet2!BZ:ND,$B572,0),"")</f>
        <v/>
      </c>
      <c r="L572" t="str">
        <f>IF(OR(HLOOKUP(L$2+$A572,Sheet2!CA:NE,$B572,0),HLOOKUP(L$2+$A572,Sheet2!CA:NE,$B572,0)&lt;&gt;""),HLOOKUP(L$2+$A572,Sheet2!CA:NE,$B572,0),"")</f>
        <v/>
      </c>
      <c r="M572" t="str">
        <f>IF(OR(HLOOKUP(M$2+$A572,Sheet2!CB:NF,$B572,0),HLOOKUP(M$2+$A572,Sheet2!CB:NF,$B572,0)&lt;&gt;""),HLOOKUP(M$2+$A572,Sheet2!CB:NF,$B572,0),"")</f>
        <v/>
      </c>
    </row>
    <row r="573" spans="1:13" x14ac:dyDescent="0.25">
      <c r="A573" s="68">
        <f t="shared" si="63"/>
        <v>5</v>
      </c>
      <c r="B573" s="68">
        <f t="shared" si="64"/>
        <v>76</v>
      </c>
      <c r="C573" s="68">
        <f t="shared" si="61"/>
        <v>2</v>
      </c>
      <c r="D573" s="68">
        <f t="shared" si="65"/>
        <v>72</v>
      </c>
      <c r="E573" s="68">
        <f t="shared" si="62"/>
        <v>356</v>
      </c>
      <c r="F573" s="21" t="str">
        <f>VLOOKUP(D573,Sheet2!A:B,2)</f>
        <v>J20-0896</v>
      </c>
      <c r="G573" s="68" t="str">
        <f>VLOOKUP(F573,Sheet2!B:C,2,0)</f>
        <v>Replace And Install paging system v2 (TPC)</v>
      </c>
      <c r="H573" s="68" t="str">
        <f>HLOOKUP(I$2+$A573,Sheet2!BX:NB,2,0)</f>
        <v>16-31 Jan 21</v>
      </c>
      <c r="I573" t="str">
        <f>IF(OR(HLOOKUP(I$2+$A573,Sheet2!BX:NB,$B573,0),HLOOKUP(I$2+$A573,Sheet2!BX:NB,$B573,0)&lt;&gt;""),HLOOKUP(I$2+$A573,Sheet2!BX:NB,$B573,0),"")</f>
        <v/>
      </c>
      <c r="J573" t="str">
        <f>IF(OR(HLOOKUP(J$2+$A573,Sheet2!BY:NC,$B573,0),HLOOKUP(J$2+$A573,Sheet2!BY:NC,$B573,0)&lt;&gt;""),HLOOKUP(J$2+$A573,Sheet2!BY:NC,$B573,0),"")</f>
        <v/>
      </c>
      <c r="K573" t="str">
        <f>IF(OR(HLOOKUP(K$2+$A573,Sheet2!BZ:ND,$B573,0),HLOOKUP(K$2+$A573,Sheet2!BZ:ND,$B573,0)&lt;&gt;""),HLOOKUP(K$2+$A573,Sheet2!BZ:ND,$B573,0),"")</f>
        <v/>
      </c>
      <c r="L573" t="str">
        <f>IF(OR(HLOOKUP(L$2+$A573,Sheet2!CA:NE,$B573,0),HLOOKUP(L$2+$A573,Sheet2!CA:NE,$B573,0)&lt;&gt;""),HLOOKUP(L$2+$A573,Sheet2!CA:NE,$B573,0),"")</f>
        <v/>
      </c>
      <c r="M573" t="str">
        <f>IF(OR(HLOOKUP(M$2+$A573,Sheet2!CB:NF,$B573,0),HLOOKUP(M$2+$A573,Sheet2!CB:NF,$B573,0)&lt;&gt;""),HLOOKUP(M$2+$A573,Sheet2!CB:NF,$B573,0),"")</f>
        <v/>
      </c>
    </row>
    <row r="574" spans="1:13" x14ac:dyDescent="0.25">
      <c r="A574" s="68">
        <f t="shared" si="63"/>
        <v>10</v>
      </c>
      <c r="B574" s="68">
        <f t="shared" si="64"/>
        <v>76</v>
      </c>
      <c r="C574" s="68">
        <f t="shared" si="61"/>
        <v>3</v>
      </c>
      <c r="D574" s="68">
        <f t="shared" si="65"/>
        <v>72</v>
      </c>
      <c r="E574" s="68">
        <f t="shared" si="62"/>
        <v>356</v>
      </c>
      <c r="F574" s="21" t="str">
        <f>VLOOKUP(D574,Sheet2!A:B,2)</f>
        <v>J20-0896</v>
      </c>
      <c r="G574" s="68" t="str">
        <f>VLOOKUP(F574,Sheet2!B:C,2,0)</f>
        <v>Replace And Install paging system v2 (TPC)</v>
      </c>
      <c r="H574" s="68" t="str">
        <f>HLOOKUP(I$2+$A574,Sheet2!BX:NB,2,0)</f>
        <v>1-15 Feb 21</v>
      </c>
      <c r="I574" t="str">
        <f>IF(OR(HLOOKUP(I$2+$A574,Sheet2!BX:NB,$B574,0),HLOOKUP(I$2+$A574,Sheet2!BX:NB,$B574,0)&lt;&gt;""),HLOOKUP(I$2+$A574,Sheet2!BX:NB,$B574,0),"")</f>
        <v/>
      </c>
      <c r="J574" t="str">
        <f>IF(OR(HLOOKUP(J$2+$A574,Sheet2!BY:NC,$B574,0),HLOOKUP(J$2+$A574,Sheet2!BY:NC,$B574,0)&lt;&gt;""),HLOOKUP(J$2+$A574,Sheet2!BY:NC,$B574,0),"")</f>
        <v/>
      </c>
      <c r="K574" t="str">
        <f>IF(OR(HLOOKUP(K$2+$A574,Sheet2!BZ:ND,$B574,0),HLOOKUP(K$2+$A574,Sheet2!BZ:ND,$B574,0)&lt;&gt;""),HLOOKUP(K$2+$A574,Sheet2!BZ:ND,$B574,0),"")</f>
        <v/>
      </c>
      <c r="L574" t="str">
        <f>IF(OR(HLOOKUP(L$2+$A574,Sheet2!CA:NE,$B574,0),HLOOKUP(L$2+$A574,Sheet2!CA:NE,$B574,0)&lt;&gt;""),HLOOKUP(L$2+$A574,Sheet2!CA:NE,$B574,0),"")</f>
        <v/>
      </c>
      <c r="M574" t="str">
        <f>IF(OR(HLOOKUP(M$2+$A574,Sheet2!CB:NF,$B574,0),HLOOKUP(M$2+$A574,Sheet2!CB:NF,$B574,0)&lt;&gt;""),HLOOKUP(M$2+$A574,Sheet2!CB:NF,$B574,0),"")</f>
        <v/>
      </c>
    </row>
    <row r="575" spans="1:13" x14ac:dyDescent="0.25">
      <c r="A575" s="68">
        <f t="shared" si="63"/>
        <v>15</v>
      </c>
      <c r="B575" s="68">
        <f t="shared" si="64"/>
        <v>76</v>
      </c>
      <c r="C575" s="68">
        <f t="shared" si="61"/>
        <v>4</v>
      </c>
      <c r="D575" s="68">
        <f t="shared" si="65"/>
        <v>72</v>
      </c>
      <c r="E575" s="68">
        <f t="shared" si="62"/>
        <v>356</v>
      </c>
      <c r="F575" s="21" t="str">
        <f>VLOOKUP(D575,Sheet2!A:B,2)</f>
        <v>J20-0896</v>
      </c>
      <c r="G575" s="68" t="str">
        <f>VLOOKUP(F575,Sheet2!B:C,2,0)</f>
        <v>Replace And Install paging system v2 (TPC)</v>
      </c>
      <c r="H575" s="68" t="str">
        <f>HLOOKUP(I$2+$A575,Sheet2!BX:NB,2,0)</f>
        <v>16-28 Feb 21</v>
      </c>
      <c r="I575" t="str">
        <f>IF(OR(HLOOKUP(I$2+$A575,Sheet2!BX:NB,$B575,0),HLOOKUP(I$2+$A575,Sheet2!BX:NB,$B575,0)&lt;&gt;""),HLOOKUP(I$2+$A575,Sheet2!BX:NB,$B575,0),"")</f>
        <v/>
      </c>
      <c r="J575" t="str">
        <f>IF(OR(HLOOKUP(J$2+$A575,Sheet2!BY:NC,$B575,0),HLOOKUP(J$2+$A575,Sheet2!BY:NC,$B575,0)&lt;&gt;""),HLOOKUP(J$2+$A575,Sheet2!BY:NC,$B575,0),"")</f>
        <v/>
      </c>
      <c r="K575" t="str">
        <f>IF(OR(HLOOKUP(K$2+$A575,Sheet2!BZ:ND,$B575,0),HLOOKUP(K$2+$A575,Sheet2!BZ:ND,$B575,0)&lt;&gt;""),HLOOKUP(K$2+$A575,Sheet2!BZ:ND,$B575,0),"")</f>
        <v/>
      </c>
      <c r="L575" t="str">
        <f>IF(OR(HLOOKUP(L$2+$A575,Sheet2!CA:NE,$B575,0),HLOOKUP(L$2+$A575,Sheet2!CA:NE,$B575,0)&lt;&gt;""),HLOOKUP(L$2+$A575,Sheet2!CA:NE,$B575,0),"")</f>
        <v/>
      </c>
      <c r="M575" t="str">
        <f>IF(OR(HLOOKUP(M$2+$A575,Sheet2!CB:NF,$B575,0),HLOOKUP(M$2+$A575,Sheet2!CB:NF,$B575,0)&lt;&gt;""),HLOOKUP(M$2+$A575,Sheet2!CB:NF,$B575,0),"")</f>
        <v/>
      </c>
    </row>
    <row r="576" spans="1:13" x14ac:dyDescent="0.25">
      <c r="A576" s="68">
        <f t="shared" si="63"/>
        <v>20</v>
      </c>
      <c r="B576" s="68">
        <f t="shared" si="64"/>
        <v>76</v>
      </c>
      <c r="C576" s="68">
        <f t="shared" si="61"/>
        <v>5</v>
      </c>
      <c r="D576" s="68">
        <f t="shared" si="65"/>
        <v>72</v>
      </c>
      <c r="E576" s="68">
        <f t="shared" si="62"/>
        <v>356</v>
      </c>
      <c r="F576" s="21" t="str">
        <f>VLOOKUP(D576,Sheet2!A:B,2)</f>
        <v>J20-0896</v>
      </c>
      <c r="G576" s="68" t="str">
        <f>VLOOKUP(F576,Sheet2!B:C,2,0)</f>
        <v>Replace And Install paging system v2 (TPC)</v>
      </c>
      <c r="H576" s="68" t="str">
        <f>HLOOKUP(I$2+$A576,Sheet2!BX:NB,2,0)</f>
        <v>1-15 Mar 2021</v>
      </c>
      <c r="I576">
        <f>IF(OR(HLOOKUP(I$2+$A576,Sheet2!BX:NB,$B576,0),HLOOKUP(I$2+$A576,Sheet2!BX:NB,$B576,0)&lt;&gt;""),HLOOKUP(I$2+$A576,Sheet2!BX:NB,$B576,0),"")</f>
        <v>61940</v>
      </c>
      <c r="J576" t="str">
        <f>IF(OR(HLOOKUP(J$2+$A576,Sheet2!BY:NC,$B576,0),HLOOKUP(J$2+$A576,Sheet2!BY:NC,$B576,0)&lt;&gt;""),HLOOKUP(J$2+$A576,Sheet2!BY:NC,$B576,0),"")</f>
        <v/>
      </c>
      <c r="K576" t="str">
        <f>IF(OR(HLOOKUP(K$2+$A576,Sheet2!BZ:ND,$B576,0),HLOOKUP(K$2+$A576,Sheet2!BZ:ND,$B576,0)&lt;&gt;""),HLOOKUP(K$2+$A576,Sheet2!BZ:ND,$B576,0),"")</f>
        <v/>
      </c>
      <c r="L576" t="str">
        <f>IF(OR(HLOOKUP(L$2+$A576,Sheet2!CA:NE,$B576,0),HLOOKUP(L$2+$A576,Sheet2!CA:NE,$B576,0)&lt;&gt;""),HLOOKUP(L$2+$A576,Sheet2!CA:NE,$B576,0),"")</f>
        <v/>
      </c>
      <c r="M576" t="str">
        <f>IF(OR(HLOOKUP(M$2+$A576,Sheet2!CB:NF,$B576,0),HLOOKUP(M$2+$A576,Sheet2!CB:NF,$B576,0)&lt;&gt;""),HLOOKUP(M$2+$A576,Sheet2!CB:NF,$B576,0),"")</f>
        <v/>
      </c>
    </row>
    <row r="577" spans="1:13" x14ac:dyDescent="0.25">
      <c r="A577" s="68">
        <f t="shared" si="63"/>
        <v>25</v>
      </c>
      <c r="B577" s="68">
        <f t="shared" si="64"/>
        <v>76</v>
      </c>
      <c r="C577" s="68">
        <f t="shared" si="61"/>
        <v>6</v>
      </c>
      <c r="D577" s="68">
        <f t="shared" si="65"/>
        <v>72</v>
      </c>
      <c r="E577" s="68">
        <f t="shared" si="62"/>
        <v>356</v>
      </c>
      <c r="F577" s="21" t="str">
        <f>VLOOKUP(D577,Sheet2!A:B,2)</f>
        <v>J20-0896</v>
      </c>
      <c r="G577" s="68" t="str">
        <f>VLOOKUP(F577,Sheet2!B:C,2,0)</f>
        <v>Replace And Install paging system v2 (TPC)</v>
      </c>
      <c r="H577" s="68" t="str">
        <f>HLOOKUP(I$2+$A577,Sheet2!BX:NB,2,0)</f>
        <v>16-31 Mar 21</v>
      </c>
      <c r="I577">
        <f>IF(OR(HLOOKUP(I$2+$A577,Sheet2!BX:NB,$B577,0),HLOOKUP(I$2+$A577,Sheet2!BX:NB,$B577,0)&lt;&gt;""),HLOOKUP(I$2+$A577,Sheet2!BX:NB,$B577,0),"")</f>
        <v>52315</v>
      </c>
      <c r="J577">
        <f>IF(OR(HLOOKUP(J$2+$A577,Sheet2!BY:NC,$B577,0),HLOOKUP(J$2+$A577,Sheet2!BY:NC,$B577,0)&lt;&gt;""),HLOOKUP(J$2+$A577,Sheet2!BY:NC,$B577,0),"")</f>
        <v>1399</v>
      </c>
      <c r="K577" t="str">
        <f>IF(OR(HLOOKUP(K$2+$A577,Sheet2!BZ:ND,$B577,0),HLOOKUP(K$2+$A577,Sheet2!BZ:ND,$B577,0)&lt;&gt;""),HLOOKUP(K$2+$A577,Sheet2!BZ:ND,$B577,0),"")</f>
        <v/>
      </c>
      <c r="L577" t="str">
        <f>IF(OR(HLOOKUP(L$2+$A577,Sheet2!CA:NE,$B577,0),HLOOKUP(L$2+$A577,Sheet2!CA:NE,$B577,0)&lt;&gt;""),HLOOKUP(L$2+$A577,Sheet2!CA:NE,$B577,0),"")</f>
        <v/>
      </c>
      <c r="M577" t="str">
        <f>IF(OR(HLOOKUP(M$2+$A577,Sheet2!CB:NF,$B577,0),HLOOKUP(M$2+$A577,Sheet2!CB:NF,$B577,0)&lt;&gt;""),HLOOKUP(M$2+$A577,Sheet2!CB:NF,$B577,0),"")</f>
        <v/>
      </c>
    </row>
    <row r="578" spans="1:13" x14ac:dyDescent="0.25">
      <c r="A578" s="68">
        <f t="shared" si="63"/>
        <v>30</v>
      </c>
      <c r="B578" s="68">
        <f t="shared" si="64"/>
        <v>76</v>
      </c>
      <c r="C578" s="68">
        <f t="shared" si="61"/>
        <v>7</v>
      </c>
      <c r="D578" s="68">
        <f t="shared" si="65"/>
        <v>72</v>
      </c>
      <c r="E578" s="68">
        <f t="shared" si="62"/>
        <v>356</v>
      </c>
      <c r="F578" s="21" t="str">
        <f>VLOOKUP(D578,Sheet2!A:B,2)</f>
        <v>J20-0896</v>
      </c>
      <c r="G578" s="68" t="str">
        <f>VLOOKUP(F578,Sheet2!B:C,2,0)</f>
        <v>Replace And Install paging system v2 (TPC)</v>
      </c>
      <c r="H578" s="68" t="str">
        <f>HLOOKUP(I$2+$A578,Sheet2!BX:NB,2,0)</f>
        <v>1-15 April 21</v>
      </c>
      <c r="I578">
        <f>IF(OR(HLOOKUP(I$2+$A578,Sheet2!BX:NB,$B578,0),HLOOKUP(I$2+$A578,Sheet2!BX:NB,$B578,0)&lt;&gt;""),HLOOKUP(I$2+$A578,Sheet2!BX:NB,$B578,0),"")</f>
        <v>41165</v>
      </c>
      <c r="J578">
        <f>IF(OR(HLOOKUP(J$2+$A578,Sheet2!BY:NC,$B578,0),HLOOKUP(J$2+$A578,Sheet2!BY:NC,$B578,0)&lt;&gt;""),HLOOKUP(J$2+$A578,Sheet2!BY:NC,$B578,0),"")</f>
        <v>4418</v>
      </c>
      <c r="K578" t="str">
        <f>IF(OR(HLOOKUP(K$2+$A578,Sheet2!BZ:ND,$B578,0),HLOOKUP(K$2+$A578,Sheet2!BZ:ND,$B578,0)&lt;&gt;""),HLOOKUP(K$2+$A578,Sheet2!BZ:ND,$B578,0),"")</f>
        <v/>
      </c>
      <c r="L578" t="str">
        <f>IF(OR(HLOOKUP(L$2+$A578,Sheet2!CA:NE,$B578,0),HLOOKUP(L$2+$A578,Sheet2!CA:NE,$B578,0)&lt;&gt;""),HLOOKUP(L$2+$A578,Sheet2!CA:NE,$B578,0),"")</f>
        <v/>
      </c>
      <c r="M578" t="str">
        <f>IF(OR(HLOOKUP(M$2+$A578,Sheet2!CB:NF,$B578,0),HLOOKUP(M$2+$A578,Sheet2!CB:NF,$B578,0)&lt;&gt;""),HLOOKUP(M$2+$A578,Sheet2!CB:NF,$B578,0),"")</f>
        <v/>
      </c>
    </row>
    <row r="579" spans="1:13" x14ac:dyDescent="0.25">
      <c r="A579" s="68">
        <f t="shared" si="63"/>
        <v>35</v>
      </c>
      <c r="B579" s="68">
        <f t="shared" si="64"/>
        <v>76</v>
      </c>
      <c r="C579" s="68">
        <f t="shared" si="61"/>
        <v>8</v>
      </c>
      <c r="D579" s="68">
        <f t="shared" si="65"/>
        <v>72</v>
      </c>
      <c r="E579" s="68">
        <f t="shared" si="62"/>
        <v>356</v>
      </c>
      <c r="F579" s="21" t="str">
        <f>VLOOKUP(D579,Sheet2!A:B,2)</f>
        <v>J20-0896</v>
      </c>
      <c r="G579" s="68" t="str">
        <f>VLOOKUP(F579,Sheet2!B:C,2,0)</f>
        <v>Replace And Install paging system v2 (TPC)</v>
      </c>
      <c r="H579" s="68" t="str">
        <f>HLOOKUP(I$2+$A579,Sheet2!BX:NB,2,0)</f>
        <v>16-30 April 21</v>
      </c>
      <c r="I579" t="str">
        <f>IF(OR(HLOOKUP(I$2+$A579,Sheet2!BX:NB,$B579,0),HLOOKUP(I$2+$A579,Sheet2!BX:NB,$B579,0)&lt;&gt;""),HLOOKUP(I$2+$A579,Sheet2!BX:NB,$B579,0),"")</f>
        <v/>
      </c>
      <c r="J579" t="str">
        <f>IF(OR(HLOOKUP(J$2+$A579,Sheet2!BY:NC,$B579,0),HLOOKUP(J$2+$A579,Sheet2!BY:NC,$B579,0)&lt;&gt;""),HLOOKUP(J$2+$A579,Sheet2!BY:NC,$B579,0),"")</f>
        <v/>
      </c>
      <c r="K579" t="str">
        <f>IF(OR(HLOOKUP(K$2+$A579,Sheet2!BZ:ND,$B579,0),HLOOKUP(K$2+$A579,Sheet2!BZ:ND,$B579,0)&lt;&gt;""),HLOOKUP(K$2+$A579,Sheet2!BZ:ND,$B579,0),"")</f>
        <v/>
      </c>
      <c r="L579" t="str">
        <f>IF(OR(HLOOKUP(L$2+$A579,Sheet2!CA:NE,$B579,0),HLOOKUP(L$2+$A579,Sheet2!CA:NE,$B579,0)&lt;&gt;""),HLOOKUP(L$2+$A579,Sheet2!CA:NE,$B579,0),"")</f>
        <v/>
      </c>
      <c r="M579" t="str">
        <f>IF(OR(HLOOKUP(M$2+$A579,Sheet2!CB:NF,$B579,0),HLOOKUP(M$2+$A579,Sheet2!CB:NF,$B579,0)&lt;&gt;""),HLOOKUP(M$2+$A579,Sheet2!CB:NF,$B579,0),"")</f>
        <v/>
      </c>
    </row>
    <row r="580" spans="1:13" x14ac:dyDescent="0.25">
      <c r="A580" s="68">
        <f t="shared" si="63"/>
        <v>0</v>
      </c>
      <c r="B580" s="68">
        <f t="shared" si="64"/>
        <v>77</v>
      </c>
      <c r="C580" s="68">
        <f t="shared" si="61"/>
        <v>1</v>
      </c>
      <c r="D580" s="68">
        <f t="shared" si="65"/>
        <v>73</v>
      </c>
      <c r="E580" s="68">
        <f t="shared" si="62"/>
        <v>361</v>
      </c>
      <c r="F580" s="21" t="str">
        <f>VLOOKUP(D580,Sheet2!A:B,2)</f>
        <v>J20-0936</v>
      </c>
      <c r="G580" s="68" t="str">
        <f>VLOOKUP(F580,Sheet2!B:C,2,0)</f>
        <v>Alignment 11kV (บัวใหญ่ไบโอพาวเวอร์)</v>
      </c>
      <c r="H580" s="68" t="str">
        <f>HLOOKUP(I$2+$A580,Sheet2!BX:NB,2,0)</f>
        <v>1-15 Jan 21</v>
      </c>
      <c r="I580" t="str">
        <f>IF(OR(HLOOKUP(I$2+$A580,Sheet2!BX:NB,$B580,0),HLOOKUP(I$2+$A580,Sheet2!BX:NB,$B580,0)&lt;&gt;""),HLOOKUP(I$2+$A580,Sheet2!BX:NB,$B580,0),"")</f>
        <v/>
      </c>
      <c r="J580" t="str">
        <f>IF(OR(HLOOKUP(J$2+$A580,Sheet2!BY:NC,$B580,0),HLOOKUP(J$2+$A580,Sheet2!BY:NC,$B580,0)&lt;&gt;""),HLOOKUP(J$2+$A580,Sheet2!BY:NC,$B580,0),"")</f>
        <v/>
      </c>
      <c r="K580" t="str">
        <f>IF(OR(HLOOKUP(K$2+$A580,Sheet2!BZ:ND,$B580,0),HLOOKUP(K$2+$A580,Sheet2!BZ:ND,$B580,0)&lt;&gt;""),HLOOKUP(K$2+$A580,Sheet2!BZ:ND,$B580,0),"")</f>
        <v/>
      </c>
      <c r="L580" t="str">
        <f>IF(OR(HLOOKUP(L$2+$A580,Sheet2!CA:NE,$B580,0),HLOOKUP(L$2+$A580,Sheet2!CA:NE,$B580,0)&lt;&gt;""),HLOOKUP(L$2+$A580,Sheet2!CA:NE,$B580,0),"")</f>
        <v/>
      </c>
      <c r="M580" t="str">
        <f>IF(OR(HLOOKUP(M$2+$A580,Sheet2!CB:NF,$B580,0),HLOOKUP(M$2+$A580,Sheet2!CB:NF,$B580,0)&lt;&gt;""),HLOOKUP(M$2+$A580,Sheet2!CB:NF,$B580,0),"")</f>
        <v/>
      </c>
    </row>
    <row r="581" spans="1:13" x14ac:dyDescent="0.25">
      <c r="A581" s="68">
        <f t="shared" si="63"/>
        <v>5</v>
      </c>
      <c r="B581" s="68">
        <f t="shared" si="64"/>
        <v>77</v>
      </c>
      <c r="C581" s="68">
        <f t="shared" si="61"/>
        <v>2</v>
      </c>
      <c r="D581" s="68">
        <f t="shared" si="65"/>
        <v>73</v>
      </c>
      <c r="E581" s="68">
        <f t="shared" si="62"/>
        <v>361</v>
      </c>
      <c r="F581" s="21" t="str">
        <f>VLOOKUP(D581,Sheet2!A:B,2)</f>
        <v>J20-0936</v>
      </c>
      <c r="G581" s="68" t="str">
        <f>VLOOKUP(F581,Sheet2!B:C,2,0)</f>
        <v>Alignment 11kV (บัวใหญ่ไบโอพาวเวอร์)</v>
      </c>
      <c r="H581" s="68" t="str">
        <f>HLOOKUP(I$2+$A581,Sheet2!BX:NB,2,0)</f>
        <v>16-31 Jan 21</v>
      </c>
      <c r="I581" t="str">
        <f>IF(OR(HLOOKUP(I$2+$A581,Sheet2!BX:NB,$B581,0),HLOOKUP(I$2+$A581,Sheet2!BX:NB,$B581,0)&lt;&gt;""),HLOOKUP(I$2+$A581,Sheet2!BX:NB,$B581,0),"")</f>
        <v/>
      </c>
      <c r="J581" t="str">
        <f>IF(OR(HLOOKUP(J$2+$A581,Sheet2!BY:NC,$B581,0),HLOOKUP(J$2+$A581,Sheet2!BY:NC,$B581,0)&lt;&gt;""),HLOOKUP(J$2+$A581,Sheet2!BY:NC,$B581,0),"")</f>
        <v/>
      </c>
      <c r="K581" t="str">
        <f>IF(OR(HLOOKUP(K$2+$A581,Sheet2!BZ:ND,$B581,0),HLOOKUP(K$2+$A581,Sheet2!BZ:ND,$B581,0)&lt;&gt;""),HLOOKUP(K$2+$A581,Sheet2!BZ:ND,$B581,0),"")</f>
        <v/>
      </c>
      <c r="L581" t="str">
        <f>IF(OR(HLOOKUP(L$2+$A581,Sheet2!CA:NE,$B581,0),HLOOKUP(L$2+$A581,Sheet2!CA:NE,$B581,0)&lt;&gt;""),HLOOKUP(L$2+$A581,Sheet2!CA:NE,$B581,0),"")</f>
        <v/>
      </c>
      <c r="M581" t="str">
        <f>IF(OR(HLOOKUP(M$2+$A581,Sheet2!CB:NF,$B581,0),HLOOKUP(M$2+$A581,Sheet2!CB:NF,$B581,0)&lt;&gt;""),HLOOKUP(M$2+$A581,Sheet2!CB:NF,$B581,0),"")</f>
        <v/>
      </c>
    </row>
    <row r="582" spans="1:13" x14ac:dyDescent="0.25">
      <c r="A582" s="68">
        <f t="shared" si="63"/>
        <v>10</v>
      </c>
      <c r="B582" s="68">
        <f t="shared" si="64"/>
        <v>77</v>
      </c>
      <c r="C582" s="68">
        <f t="shared" si="61"/>
        <v>3</v>
      </c>
      <c r="D582" s="68">
        <f t="shared" si="65"/>
        <v>73</v>
      </c>
      <c r="E582" s="68">
        <f t="shared" si="62"/>
        <v>361</v>
      </c>
      <c r="F582" s="21" t="str">
        <f>VLOOKUP(D582,Sheet2!A:B,2)</f>
        <v>J20-0936</v>
      </c>
      <c r="G582" s="68" t="str">
        <f>VLOOKUP(F582,Sheet2!B:C,2,0)</f>
        <v>Alignment 11kV (บัวใหญ่ไบโอพาวเวอร์)</v>
      </c>
      <c r="H582" s="68" t="str">
        <f>HLOOKUP(I$2+$A582,Sheet2!BX:NB,2,0)</f>
        <v>1-15 Feb 21</v>
      </c>
      <c r="I582" t="str">
        <f>IF(OR(HLOOKUP(I$2+$A582,Sheet2!BX:NB,$B582,0),HLOOKUP(I$2+$A582,Sheet2!BX:NB,$B582,0)&lt;&gt;""),HLOOKUP(I$2+$A582,Sheet2!BX:NB,$B582,0),"")</f>
        <v/>
      </c>
      <c r="J582" t="str">
        <f>IF(OR(HLOOKUP(J$2+$A582,Sheet2!BY:NC,$B582,0),HLOOKUP(J$2+$A582,Sheet2!BY:NC,$B582,0)&lt;&gt;""),HLOOKUP(J$2+$A582,Sheet2!BY:NC,$B582,0),"")</f>
        <v/>
      </c>
      <c r="K582" t="str">
        <f>IF(OR(HLOOKUP(K$2+$A582,Sheet2!BZ:ND,$B582,0),HLOOKUP(K$2+$A582,Sheet2!BZ:ND,$B582,0)&lt;&gt;""),HLOOKUP(K$2+$A582,Sheet2!BZ:ND,$B582,0),"")</f>
        <v/>
      </c>
      <c r="L582" t="str">
        <f>IF(OR(HLOOKUP(L$2+$A582,Sheet2!CA:NE,$B582,0),HLOOKUP(L$2+$A582,Sheet2!CA:NE,$B582,0)&lt;&gt;""),HLOOKUP(L$2+$A582,Sheet2!CA:NE,$B582,0),"")</f>
        <v/>
      </c>
      <c r="M582" t="str">
        <f>IF(OR(HLOOKUP(M$2+$A582,Sheet2!CB:NF,$B582,0),HLOOKUP(M$2+$A582,Sheet2!CB:NF,$B582,0)&lt;&gt;""),HLOOKUP(M$2+$A582,Sheet2!CB:NF,$B582,0),"")</f>
        <v/>
      </c>
    </row>
    <row r="583" spans="1:13" x14ac:dyDescent="0.25">
      <c r="A583" s="68">
        <f t="shared" si="63"/>
        <v>15</v>
      </c>
      <c r="B583" s="68">
        <f t="shared" si="64"/>
        <v>77</v>
      </c>
      <c r="C583" s="68">
        <f t="shared" si="61"/>
        <v>4</v>
      </c>
      <c r="D583" s="68">
        <f t="shared" si="65"/>
        <v>73</v>
      </c>
      <c r="E583" s="68">
        <f t="shared" si="62"/>
        <v>361</v>
      </c>
      <c r="F583" s="21" t="str">
        <f>VLOOKUP(D583,Sheet2!A:B,2)</f>
        <v>J20-0936</v>
      </c>
      <c r="G583" s="68" t="str">
        <f>VLOOKUP(F583,Sheet2!B:C,2,0)</f>
        <v>Alignment 11kV (บัวใหญ่ไบโอพาวเวอร์)</v>
      </c>
      <c r="H583" s="68" t="str">
        <f>HLOOKUP(I$2+$A583,Sheet2!BX:NB,2,0)</f>
        <v>16-28 Feb 21</v>
      </c>
      <c r="I583" t="str">
        <f>IF(OR(HLOOKUP(I$2+$A583,Sheet2!BX:NB,$B583,0),HLOOKUP(I$2+$A583,Sheet2!BX:NB,$B583,0)&lt;&gt;""),HLOOKUP(I$2+$A583,Sheet2!BX:NB,$B583,0),"")</f>
        <v/>
      </c>
      <c r="J583" t="str">
        <f>IF(OR(HLOOKUP(J$2+$A583,Sheet2!BY:NC,$B583,0),HLOOKUP(J$2+$A583,Sheet2!BY:NC,$B583,0)&lt;&gt;""),HLOOKUP(J$2+$A583,Sheet2!BY:NC,$B583,0),"")</f>
        <v/>
      </c>
      <c r="K583" t="str">
        <f>IF(OR(HLOOKUP(K$2+$A583,Sheet2!BZ:ND,$B583,0),HLOOKUP(K$2+$A583,Sheet2!BZ:ND,$B583,0)&lt;&gt;""),HLOOKUP(K$2+$A583,Sheet2!BZ:ND,$B583,0),"")</f>
        <v/>
      </c>
      <c r="L583" t="str">
        <f>IF(OR(HLOOKUP(L$2+$A583,Sheet2!CA:NE,$B583,0),HLOOKUP(L$2+$A583,Sheet2!CA:NE,$B583,0)&lt;&gt;""),HLOOKUP(L$2+$A583,Sheet2!CA:NE,$B583,0),"")</f>
        <v/>
      </c>
      <c r="M583" t="str">
        <f>IF(OR(HLOOKUP(M$2+$A583,Sheet2!CB:NF,$B583,0),HLOOKUP(M$2+$A583,Sheet2!CB:NF,$B583,0)&lt;&gt;""),HLOOKUP(M$2+$A583,Sheet2!CB:NF,$B583,0),"")</f>
        <v/>
      </c>
    </row>
    <row r="584" spans="1:13" x14ac:dyDescent="0.25">
      <c r="A584" s="68">
        <f t="shared" si="63"/>
        <v>20</v>
      </c>
      <c r="B584" s="68">
        <f t="shared" si="64"/>
        <v>77</v>
      </c>
      <c r="C584" s="68">
        <f t="shared" si="61"/>
        <v>5</v>
      </c>
      <c r="D584" s="68">
        <f t="shared" si="65"/>
        <v>73</v>
      </c>
      <c r="E584" s="68">
        <f t="shared" si="62"/>
        <v>361</v>
      </c>
      <c r="F584" s="21" t="str">
        <f>VLOOKUP(D584,Sheet2!A:B,2)</f>
        <v>J20-0936</v>
      </c>
      <c r="G584" s="68" t="str">
        <f>VLOOKUP(F584,Sheet2!B:C,2,0)</f>
        <v>Alignment 11kV (บัวใหญ่ไบโอพาวเวอร์)</v>
      </c>
      <c r="H584" s="68" t="str">
        <f>HLOOKUP(I$2+$A584,Sheet2!BX:NB,2,0)</f>
        <v>1-15 Mar 2021</v>
      </c>
      <c r="I584" t="str">
        <f>IF(OR(HLOOKUP(I$2+$A584,Sheet2!BX:NB,$B584,0),HLOOKUP(I$2+$A584,Sheet2!BX:NB,$B584,0)&lt;&gt;""),HLOOKUP(I$2+$A584,Sheet2!BX:NB,$B584,0),"")</f>
        <v/>
      </c>
      <c r="J584" t="str">
        <f>IF(OR(HLOOKUP(J$2+$A584,Sheet2!BY:NC,$B584,0),HLOOKUP(J$2+$A584,Sheet2!BY:NC,$B584,0)&lt;&gt;""),HLOOKUP(J$2+$A584,Sheet2!BY:NC,$B584,0),"")</f>
        <v/>
      </c>
      <c r="K584" t="str">
        <f>IF(OR(HLOOKUP(K$2+$A584,Sheet2!BZ:ND,$B584,0),HLOOKUP(K$2+$A584,Sheet2!BZ:ND,$B584,0)&lt;&gt;""),HLOOKUP(K$2+$A584,Sheet2!BZ:ND,$B584,0),"")</f>
        <v/>
      </c>
      <c r="L584" t="str">
        <f>IF(OR(HLOOKUP(L$2+$A584,Sheet2!CA:NE,$B584,0),HLOOKUP(L$2+$A584,Sheet2!CA:NE,$B584,0)&lt;&gt;""),HLOOKUP(L$2+$A584,Sheet2!CA:NE,$B584,0),"")</f>
        <v/>
      </c>
      <c r="M584" t="str">
        <f>IF(OR(HLOOKUP(M$2+$A584,Sheet2!CB:NF,$B584,0),HLOOKUP(M$2+$A584,Sheet2!CB:NF,$B584,0)&lt;&gt;""),HLOOKUP(M$2+$A584,Sheet2!CB:NF,$B584,0),"")</f>
        <v/>
      </c>
    </row>
    <row r="585" spans="1:13" x14ac:dyDescent="0.25">
      <c r="A585" s="68">
        <f t="shared" si="63"/>
        <v>25</v>
      </c>
      <c r="B585" s="68">
        <f t="shared" si="64"/>
        <v>77</v>
      </c>
      <c r="C585" s="68">
        <f t="shared" si="61"/>
        <v>6</v>
      </c>
      <c r="D585" s="68">
        <f t="shared" si="65"/>
        <v>73</v>
      </c>
      <c r="E585" s="68">
        <f t="shared" si="62"/>
        <v>361</v>
      </c>
      <c r="F585" s="21" t="str">
        <f>VLOOKUP(D585,Sheet2!A:B,2)</f>
        <v>J20-0936</v>
      </c>
      <c r="G585" s="68" t="str">
        <f>VLOOKUP(F585,Sheet2!B:C,2,0)</f>
        <v>Alignment 11kV (บัวใหญ่ไบโอพาวเวอร์)</v>
      </c>
      <c r="H585" s="68" t="str">
        <f>HLOOKUP(I$2+$A585,Sheet2!BX:NB,2,0)</f>
        <v>16-31 Mar 21</v>
      </c>
      <c r="I585" t="str">
        <f>IF(OR(HLOOKUP(I$2+$A585,Sheet2!BX:NB,$B585,0),HLOOKUP(I$2+$A585,Sheet2!BX:NB,$B585,0)&lt;&gt;""),HLOOKUP(I$2+$A585,Sheet2!BX:NB,$B585,0),"")</f>
        <v/>
      </c>
      <c r="J585" t="str">
        <f>IF(OR(HLOOKUP(J$2+$A585,Sheet2!BY:NC,$B585,0),HLOOKUP(J$2+$A585,Sheet2!BY:NC,$B585,0)&lt;&gt;""),HLOOKUP(J$2+$A585,Sheet2!BY:NC,$B585,0),"")</f>
        <v/>
      </c>
      <c r="K585" t="str">
        <f>IF(OR(HLOOKUP(K$2+$A585,Sheet2!BZ:ND,$B585,0),HLOOKUP(K$2+$A585,Sheet2!BZ:ND,$B585,0)&lt;&gt;""),HLOOKUP(K$2+$A585,Sheet2!BZ:ND,$B585,0),"")</f>
        <v/>
      </c>
      <c r="L585" t="str">
        <f>IF(OR(HLOOKUP(L$2+$A585,Sheet2!CA:NE,$B585,0),HLOOKUP(L$2+$A585,Sheet2!CA:NE,$B585,0)&lt;&gt;""),HLOOKUP(L$2+$A585,Sheet2!CA:NE,$B585,0),"")</f>
        <v/>
      </c>
      <c r="M585" t="str">
        <f>IF(OR(HLOOKUP(M$2+$A585,Sheet2!CB:NF,$B585,0),HLOOKUP(M$2+$A585,Sheet2!CB:NF,$B585,0)&lt;&gt;""),HLOOKUP(M$2+$A585,Sheet2!CB:NF,$B585,0),"")</f>
        <v/>
      </c>
    </row>
    <row r="586" spans="1:13" x14ac:dyDescent="0.25">
      <c r="A586" s="68">
        <f t="shared" si="63"/>
        <v>30</v>
      </c>
      <c r="B586" s="68">
        <f t="shared" si="64"/>
        <v>77</v>
      </c>
      <c r="C586" s="68">
        <f t="shared" si="61"/>
        <v>7</v>
      </c>
      <c r="D586" s="68">
        <f t="shared" si="65"/>
        <v>73</v>
      </c>
      <c r="E586" s="68">
        <f t="shared" si="62"/>
        <v>361</v>
      </c>
      <c r="F586" s="21" t="str">
        <f>VLOOKUP(D586,Sheet2!A:B,2)</f>
        <v>J20-0936</v>
      </c>
      <c r="G586" s="68" t="str">
        <f>VLOOKUP(F586,Sheet2!B:C,2,0)</f>
        <v>Alignment 11kV (บัวใหญ่ไบโอพาวเวอร์)</v>
      </c>
      <c r="H586" s="68" t="str">
        <f>HLOOKUP(I$2+$A586,Sheet2!BX:NB,2,0)</f>
        <v>1-15 April 21</v>
      </c>
      <c r="I586" t="str">
        <f>IF(OR(HLOOKUP(I$2+$A586,Sheet2!BX:NB,$B586,0),HLOOKUP(I$2+$A586,Sheet2!BX:NB,$B586,0)&lt;&gt;""),HLOOKUP(I$2+$A586,Sheet2!BX:NB,$B586,0),"")</f>
        <v/>
      </c>
      <c r="J586" t="str">
        <f>IF(OR(HLOOKUP(J$2+$A586,Sheet2!BY:NC,$B586,0),HLOOKUP(J$2+$A586,Sheet2!BY:NC,$B586,0)&lt;&gt;""),HLOOKUP(J$2+$A586,Sheet2!BY:NC,$B586,0),"")</f>
        <v/>
      </c>
      <c r="K586" t="str">
        <f>IF(OR(HLOOKUP(K$2+$A586,Sheet2!BZ:ND,$B586,0),HLOOKUP(K$2+$A586,Sheet2!BZ:ND,$B586,0)&lt;&gt;""),HLOOKUP(K$2+$A586,Sheet2!BZ:ND,$B586,0),"")</f>
        <v/>
      </c>
      <c r="L586" t="str">
        <f>IF(OR(HLOOKUP(L$2+$A586,Sheet2!CA:NE,$B586,0),HLOOKUP(L$2+$A586,Sheet2!CA:NE,$B586,0)&lt;&gt;""),HLOOKUP(L$2+$A586,Sheet2!CA:NE,$B586,0),"")</f>
        <v/>
      </c>
      <c r="M586" t="str">
        <f>IF(OR(HLOOKUP(M$2+$A586,Sheet2!CB:NF,$B586,0),HLOOKUP(M$2+$A586,Sheet2!CB:NF,$B586,0)&lt;&gt;""),HLOOKUP(M$2+$A586,Sheet2!CB:NF,$B586,0),"")</f>
        <v/>
      </c>
    </row>
    <row r="587" spans="1:13" x14ac:dyDescent="0.25">
      <c r="A587" s="68">
        <f t="shared" si="63"/>
        <v>35</v>
      </c>
      <c r="B587" s="68">
        <f t="shared" si="64"/>
        <v>77</v>
      </c>
      <c r="C587" s="68">
        <f t="shared" si="61"/>
        <v>8</v>
      </c>
      <c r="D587" s="68">
        <f t="shared" si="65"/>
        <v>73</v>
      </c>
      <c r="E587" s="68">
        <f t="shared" si="62"/>
        <v>361</v>
      </c>
      <c r="F587" s="21" t="str">
        <f>VLOOKUP(D587,Sheet2!A:B,2)</f>
        <v>J20-0936</v>
      </c>
      <c r="G587" s="68" t="str">
        <f>VLOOKUP(F587,Sheet2!B:C,2,0)</f>
        <v>Alignment 11kV (บัวใหญ่ไบโอพาวเวอร์)</v>
      </c>
      <c r="H587" s="68" t="str">
        <f>HLOOKUP(I$2+$A587,Sheet2!BX:NB,2,0)</f>
        <v>16-30 April 21</v>
      </c>
      <c r="I587" t="str">
        <f>IF(OR(HLOOKUP(I$2+$A587,Sheet2!BX:NB,$B587,0),HLOOKUP(I$2+$A587,Sheet2!BX:NB,$B587,0)&lt;&gt;""),HLOOKUP(I$2+$A587,Sheet2!BX:NB,$B587,0),"")</f>
        <v/>
      </c>
      <c r="J587" t="str">
        <f>IF(OR(HLOOKUP(J$2+$A587,Sheet2!BY:NC,$B587,0),HLOOKUP(J$2+$A587,Sheet2!BY:NC,$B587,0)&lt;&gt;""),HLOOKUP(J$2+$A587,Sheet2!BY:NC,$B587,0),"")</f>
        <v/>
      </c>
      <c r="K587" t="str">
        <f>IF(OR(HLOOKUP(K$2+$A587,Sheet2!BZ:ND,$B587,0),HLOOKUP(K$2+$A587,Sheet2!BZ:ND,$B587,0)&lt;&gt;""),HLOOKUP(K$2+$A587,Sheet2!BZ:ND,$B587,0),"")</f>
        <v/>
      </c>
      <c r="L587" t="str">
        <f>IF(OR(HLOOKUP(L$2+$A587,Sheet2!CA:NE,$B587,0),HLOOKUP(L$2+$A587,Sheet2!CA:NE,$B587,0)&lt;&gt;""),HLOOKUP(L$2+$A587,Sheet2!CA:NE,$B587,0),"")</f>
        <v/>
      </c>
      <c r="M587" t="str">
        <f>IF(OR(HLOOKUP(M$2+$A587,Sheet2!CB:NF,$B587,0),HLOOKUP(M$2+$A587,Sheet2!CB:NF,$B587,0)&lt;&gt;""),HLOOKUP(M$2+$A587,Sheet2!CB:NF,$B587,0),"")</f>
        <v/>
      </c>
    </row>
    <row r="588" spans="1:13" x14ac:dyDescent="0.25">
      <c r="A588" s="68">
        <f t="shared" si="63"/>
        <v>0</v>
      </c>
      <c r="B588" s="68">
        <f t="shared" si="64"/>
        <v>78</v>
      </c>
      <c r="C588" s="68">
        <f t="shared" si="61"/>
        <v>1</v>
      </c>
      <c r="D588" s="68">
        <f t="shared" si="65"/>
        <v>74</v>
      </c>
      <c r="E588" s="68">
        <f t="shared" si="62"/>
        <v>366</v>
      </c>
      <c r="F588" s="21" t="str">
        <f>VLOOKUP(D588,Sheet2!A:B,2)</f>
        <v>J20-0872</v>
      </c>
      <c r="G588" s="68" t="str">
        <f>VLOOKUP(F588,Sheet2!B:C,2,0)</f>
        <v>งานจ้างเหมาระบบ Instrument 2020</v>
      </c>
      <c r="H588" s="68" t="str">
        <f>HLOOKUP(I$2+$A588,Sheet2!BX:NB,2,0)</f>
        <v>1-15 Jan 21</v>
      </c>
      <c r="I588" t="str">
        <f>IF(OR(HLOOKUP(I$2+$A588,Sheet2!BX:NB,$B588,0),HLOOKUP(I$2+$A588,Sheet2!BX:NB,$B588,0)&lt;&gt;""),HLOOKUP(I$2+$A588,Sheet2!BX:NB,$B588,0),"")</f>
        <v/>
      </c>
      <c r="J588" t="str">
        <f>IF(OR(HLOOKUP(J$2+$A588,Sheet2!BY:NC,$B588,0),HLOOKUP(J$2+$A588,Sheet2!BY:NC,$B588,0)&lt;&gt;""),HLOOKUP(J$2+$A588,Sheet2!BY:NC,$B588,0),"")</f>
        <v/>
      </c>
      <c r="K588" t="str">
        <f>IF(OR(HLOOKUP(K$2+$A588,Sheet2!BZ:ND,$B588,0),HLOOKUP(K$2+$A588,Sheet2!BZ:ND,$B588,0)&lt;&gt;""),HLOOKUP(K$2+$A588,Sheet2!BZ:ND,$B588,0),"")</f>
        <v/>
      </c>
      <c r="L588" t="str">
        <f>IF(OR(HLOOKUP(L$2+$A588,Sheet2!CA:NE,$B588,0),HLOOKUP(L$2+$A588,Sheet2!CA:NE,$B588,0)&lt;&gt;""),HLOOKUP(L$2+$A588,Sheet2!CA:NE,$B588,0),"")</f>
        <v/>
      </c>
      <c r="M588" t="str">
        <f>IF(OR(HLOOKUP(M$2+$A588,Sheet2!CB:NF,$B588,0),HLOOKUP(M$2+$A588,Sheet2!CB:NF,$B588,0)&lt;&gt;""),HLOOKUP(M$2+$A588,Sheet2!CB:NF,$B588,0),"")</f>
        <v/>
      </c>
    </row>
    <row r="589" spans="1:13" x14ac:dyDescent="0.25">
      <c r="A589" s="68">
        <f t="shared" si="63"/>
        <v>5</v>
      </c>
      <c r="B589" s="68">
        <f t="shared" si="64"/>
        <v>78</v>
      </c>
      <c r="C589" s="68">
        <f t="shared" ref="C589:C652" si="66">IF($C$3-C588=0,1,C588+1)</f>
        <v>2</v>
      </c>
      <c r="D589" s="68">
        <f t="shared" si="65"/>
        <v>74</v>
      </c>
      <c r="E589" s="68">
        <f t="shared" si="62"/>
        <v>366</v>
      </c>
      <c r="F589" s="21" t="str">
        <f>VLOOKUP(D589,Sheet2!A:B,2)</f>
        <v>J20-0872</v>
      </c>
      <c r="G589" s="68" t="str">
        <f>VLOOKUP(F589,Sheet2!B:C,2,0)</f>
        <v>งานจ้างเหมาระบบ Instrument 2020</v>
      </c>
      <c r="H589" s="68" t="str">
        <f>HLOOKUP(I$2+$A589,Sheet2!BX:NB,2,0)</f>
        <v>16-31 Jan 21</v>
      </c>
      <c r="I589" t="str">
        <f>IF(OR(HLOOKUP(I$2+$A589,Sheet2!BX:NB,$B589,0),HLOOKUP(I$2+$A589,Sheet2!BX:NB,$B589,0)&lt;&gt;""),HLOOKUP(I$2+$A589,Sheet2!BX:NB,$B589,0),"")</f>
        <v/>
      </c>
      <c r="J589" t="str">
        <f>IF(OR(HLOOKUP(J$2+$A589,Sheet2!BY:NC,$B589,0),HLOOKUP(J$2+$A589,Sheet2!BY:NC,$B589,0)&lt;&gt;""),HLOOKUP(J$2+$A589,Sheet2!BY:NC,$B589,0),"")</f>
        <v/>
      </c>
      <c r="K589" t="str">
        <f>IF(OR(HLOOKUP(K$2+$A589,Sheet2!BZ:ND,$B589,0),HLOOKUP(K$2+$A589,Sheet2!BZ:ND,$B589,0)&lt;&gt;""),HLOOKUP(K$2+$A589,Sheet2!BZ:ND,$B589,0),"")</f>
        <v/>
      </c>
      <c r="L589" t="str">
        <f>IF(OR(HLOOKUP(L$2+$A589,Sheet2!CA:NE,$B589,0),HLOOKUP(L$2+$A589,Sheet2!CA:NE,$B589,0)&lt;&gt;""),HLOOKUP(L$2+$A589,Sheet2!CA:NE,$B589,0),"")</f>
        <v/>
      </c>
      <c r="M589" t="str">
        <f>IF(OR(HLOOKUP(M$2+$A589,Sheet2!CB:NF,$B589,0),HLOOKUP(M$2+$A589,Sheet2!CB:NF,$B589,0)&lt;&gt;""),HLOOKUP(M$2+$A589,Sheet2!CB:NF,$B589,0),"")</f>
        <v/>
      </c>
    </row>
    <row r="590" spans="1:13" x14ac:dyDescent="0.25">
      <c r="A590" s="68">
        <f t="shared" si="63"/>
        <v>10</v>
      </c>
      <c r="B590" s="68">
        <f t="shared" si="64"/>
        <v>78</v>
      </c>
      <c r="C590" s="68">
        <f t="shared" si="66"/>
        <v>3</v>
      </c>
      <c r="D590" s="68">
        <f t="shared" si="65"/>
        <v>74</v>
      </c>
      <c r="E590" s="68">
        <f t="shared" si="62"/>
        <v>366</v>
      </c>
      <c r="F590" s="21" t="str">
        <f>VLOOKUP(D590,Sheet2!A:B,2)</f>
        <v>J20-0872</v>
      </c>
      <c r="G590" s="68" t="str">
        <f>VLOOKUP(F590,Sheet2!B:C,2,0)</f>
        <v>งานจ้างเหมาระบบ Instrument 2020</v>
      </c>
      <c r="H590" s="68" t="str">
        <f>HLOOKUP(I$2+$A590,Sheet2!BX:NB,2,0)</f>
        <v>1-15 Feb 21</v>
      </c>
      <c r="I590" t="str">
        <f>IF(OR(HLOOKUP(I$2+$A590,Sheet2!BX:NB,$B590,0),HLOOKUP(I$2+$A590,Sheet2!BX:NB,$B590,0)&lt;&gt;""),HLOOKUP(I$2+$A590,Sheet2!BX:NB,$B590,0),"")</f>
        <v/>
      </c>
      <c r="J590" t="str">
        <f>IF(OR(HLOOKUP(J$2+$A590,Sheet2!BY:NC,$B590,0),HLOOKUP(J$2+$A590,Sheet2!BY:NC,$B590,0)&lt;&gt;""),HLOOKUP(J$2+$A590,Sheet2!BY:NC,$B590,0),"")</f>
        <v/>
      </c>
      <c r="K590" t="str">
        <f>IF(OR(HLOOKUP(K$2+$A590,Sheet2!BZ:ND,$B590,0),HLOOKUP(K$2+$A590,Sheet2!BZ:ND,$B590,0)&lt;&gt;""),HLOOKUP(K$2+$A590,Sheet2!BZ:ND,$B590,0),"")</f>
        <v/>
      </c>
      <c r="L590" t="str">
        <f>IF(OR(HLOOKUP(L$2+$A590,Sheet2!CA:NE,$B590,0),HLOOKUP(L$2+$A590,Sheet2!CA:NE,$B590,0)&lt;&gt;""),HLOOKUP(L$2+$A590,Sheet2!CA:NE,$B590,0),"")</f>
        <v/>
      </c>
      <c r="M590" t="str">
        <f>IF(OR(HLOOKUP(M$2+$A590,Sheet2!CB:NF,$B590,0),HLOOKUP(M$2+$A590,Sheet2!CB:NF,$B590,0)&lt;&gt;""),HLOOKUP(M$2+$A590,Sheet2!CB:NF,$B590,0),"")</f>
        <v/>
      </c>
    </row>
    <row r="591" spans="1:13" x14ac:dyDescent="0.25">
      <c r="A591" s="68">
        <f t="shared" si="63"/>
        <v>15</v>
      </c>
      <c r="B591" s="68">
        <f t="shared" si="64"/>
        <v>78</v>
      </c>
      <c r="C591" s="68">
        <f t="shared" si="66"/>
        <v>4</v>
      </c>
      <c r="D591" s="68">
        <f t="shared" si="65"/>
        <v>74</v>
      </c>
      <c r="E591" s="68">
        <f t="shared" si="62"/>
        <v>366</v>
      </c>
      <c r="F591" s="21" t="str">
        <f>VLOOKUP(D591,Sheet2!A:B,2)</f>
        <v>J20-0872</v>
      </c>
      <c r="G591" s="68" t="str">
        <f>VLOOKUP(F591,Sheet2!B:C,2,0)</f>
        <v>งานจ้างเหมาระบบ Instrument 2020</v>
      </c>
      <c r="H591" s="68" t="str">
        <f>HLOOKUP(I$2+$A591,Sheet2!BX:NB,2,0)</f>
        <v>16-28 Feb 21</v>
      </c>
      <c r="I591" t="str">
        <f>IF(OR(HLOOKUP(I$2+$A591,Sheet2!BX:NB,$B591,0),HLOOKUP(I$2+$A591,Sheet2!BX:NB,$B591,0)&lt;&gt;""),HLOOKUP(I$2+$A591,Sheet2!BX:NB,$B591,0),"")</f>
        <v/>
      </c>
      <c r="J591" t="str">
        <f>IF(OR(HLOOKUP(J$2+$A591,Sheet2!BY:NC,$B591,0),HLOOKUP(J$2+$A591,Sheet2!BY:NC,$B591,0)&lt;&gt;""),HLOOKUP(J$2+$A591,Sheet2!BY:NC,$B591,0),"")</f>
        <v/>
      </c>
      <c r="K591" t="str">
        <f>IF(OR(HLOOKUP(K$2+$A591,Sheet2!BZ:ND,$B591,0),HLOOKUP(K$2+$A591,Sheet2!BZ:ND,$B591,0)&lt;&gt;""),HLOOKUP(K$2+$A591,Sheet2!BZ:ND,$B591,0),"")</f>
        <v/>
      </c>
      <c r="L591" t="str">
        <f>IF(OR(HLOOKUP(L$2+$A591,Sheet2!CA:NE,$B591,0),HLOOKUP(L$2+$A591,Sheet2!CA:NE,$B591,0)&lt;&gt;""),HLOOKUP(L$2+$A591,Sheet2!CA:NE,$B591,0),"")</f>
        <v/>
      </c>
      <c r="M591" t="str">
        <f>IF(OR(HLOOKUP(M$2+$A591,Sheet2!CB:NF,$B591,0),HLOOKUP(M$2+$A591,Sheet2!CB:NF,$B591,0)&lt;&gt;""),HLOOKUP(M$2+$A591,Sheet2!CB:NF,$B591,0),"")</f>
        <v/>
      </c>
    </row>
    <row r="592" spans="1:13" x14ac:dyDescent="0.25">
      <c r="A592" s="68">
        <f t="shared" si="63"/>
        <v>20</v>
      </c>
      <c r="B592" s="68">
        <f t="shared" si="64"/>
        <v>78</v>
      </c>
      <c r="C592" s="68">
        <f t="shared" si="66"/>
        <v>5</v>
      </c>
      <c r="D592" s="68">
        <f t="shared" si="65"/>
        <v>74</v>
      </c>
      <c r="E592" s="68">
        <f t="shared" si="62"/>
        <v>366</v>
      </c>
      <c r="F592" s="21" t="str">
        <f>VLOOKUP(D592,Sheet2!A:B,2)</f>
        <v>J20-0872</v>
      </c>
      <c r="G592" s="68" t="str">
        <f>VLOOKUP(F592,Sheet2!B:C,2,0)</f>
        <v>งานจ้างเหมาระบบ Instrument 2020</v>
      </c>
      <c r="H592" s="68" t="str">
        <f>HLOOKUP(I$2+$A592,Sheet2!BX:NB,2,0)</f>
        <v>1-15 Mar 2021</v>
      </c>
      <c r="I592" t="str">
        <f>IF(OR(HLOOKUP(I$2+$A592,Sheet2!BX:NB,$B592,0),HLOOKUP(I$2+$A592,Sheet2!BX:NB,$B592,0)&lt;&gt;""),HLOOKUP(I$2+$A592,Sheet2!BX:NB,$B592,0),"")</f>
        <v/>
      </c>
      <c r="J592" t="str">
        <f>IF(OR(HLOOKUP(J$2+$A592,Sheet2!BY:NC,$B592,0),HLOOKUP(J$2+$A592,Sheet2!BY:NC,$B592,0)&lt;&gt;""),HLOOKUP(J$2+$A592,Sheet2!BY:NC,$B592,0),"")</f>
        <v/>
      </c>
      <c r="K592" t="str">
        <f>IF(OR(HLOOKUP(K$2+$A592,Sheet2!BZ:ND,$B592,0),HLOOKUP(K$2+$A592,Sheet2!BZ:ND,$B592,0)&lt;&gt;""),HLOOKUP(K$2+$A592,Sheet2!BZ:ND,$B592,0),"")</f>
        <v/>
      </c>
      <c r="L592" t="str">
        <f>IF(OR(HLOOKUP(L$2+$A592,Sheet2!CA:NE,$B592,0),HLOOKUP(L$2+$A592,Sheet2!CA:NE,$B592,0)&lt;&gt;""),HLOOKUP(L$2+$A592,Sheet2!CA:NE,$B592,0),"")</f>
        <v/>
      </c>
      <c r="M592" t="str">
        <f>IF(OR(HLOOKUP(M$2+$A592,Sheet2!CB:NF,$B592,0),HLOOKUP(M$2+$A592,Sheet2!CB:NF,$B592,0)&lt;&gt;""),HLOOKUP(M$2+$A592,Sheet2!CB:NF,$B592,0),"")</f>
        <v/>
      </c>
    </row>
    <row r="593" spans="1:13" x14ac:dyDescent="0.25">
      <c r="A593" s="68">
        <f t="shared" si="63"/>
        <v>25</v>
      </c>
      <c r="B593" s="68">
        <f t="shared" si="64"/>
        <v>78</v>
      </c>
      <c r="C593" s="68">
        <f t="shared" si="66"/>
        <v>6</v>
      </c>
      <c r="D593" s="68">
        <f t="shared" si="65"/>
        <v>74</v>
      </c>
      <c r="E593" s="68">
        <f t="shared" si="62"/>
        <v>366</v>
      </c>
      <c r="F593" s="21" t="str">
        <f>VLOOKUP(D593,Sheet2!A:B,2)</f>
        <v>J20-0872</v>
      </c>
      <c r="G593" s="68" t="str">
        <f>VLOOKUP(F593,Sheet2!B:C,2,0)</f>
        <v>งานจ้างเหมาระบบ Instrument 2020</v>
      </c>
      <c r="H593" s="68" t="str">
        <f>HLOOKUP(I$2+$A593,Sheet2!BX:NB,2,0)</f>
        <v>16-31 Mar 21</v>
      </c>
      <c r="I593" t="str">
        <f>IF(OR(HLOOKUP(I$2+$A593,Sheet2!BX:NB,$B593,0),HLOOKUP(I$2+$A593,Sheet2!BX:NB,$B593,0)&lt;&gt;""),HLOOKUP(I$2+$A593,Sheet2!BX:NB,$B593,0),"")</f>
        <v/>
      </c>
      <c r="J593" t="str">
        <f>IF(OR(HLOOKUP(J$2+$A593,Sheet2!BY:NC,$B593,0),HLOOKUP(J$2+$A593,Sheet2!BY:NC,$B593,0)&lt;&gt;""),HLOOKUP(J$2+$A593,Sheet2!BY:NC,$B593,0),"")</f>
        <v/>
      </c>
      <c r="K593" t="str">
        <f>IF(OR(HLOOKUP(K$2+$A593,Sheet2!BZ:ND,$B593,0),HLOOKUP(K$2+$A593,Sheet2!BZ:ND,$B593,0)&lt;&gt;""),HLOOKUP(K$2+$A593,Sheet2!BZ:ND,$B593,0),"")</f>
        <v/>
      </c>
      <c r="L593" t="str">
        <f>IF(OR(HLOOKUP(L$2+$A593,Sheet2!CA:NE,$B593,0),HLOOKUP(L$2+$A593,Sheet2!CA:NE,$B593,0)&lt;&gt;""),HLOOKUP(L$2+$A593,Sheet2!CA:NE,$B593,0),"")</f>
        <v/>
      </c>
      <c r="M593" t="str">
        <f>IF(OR(HLOOKUP(M$2+$A593,Sheet2!CB:NF,$B593,0),HLOOKUP(M$2+$A593,Sheet2!CB:NF,$B593,0)&lt;&gt;""),HLOOKUP(M$2+$A593,Sheet2!CB:NF,$B593,0),"")</f>
        <v/>
      </c>
    </row>
    <row r="594" spans="1:13" x14ac:dyDescent="0.25">
      <c r="A594" s="68">
        <f t="shared" si="63"/>
        <v>30</v>
      </c>
      <c r="B594" s="68">
        <f t="shared" si="64"/>
        <v>78</v>
      </c>
      <c r="C594" s="68">
        <f t="shared" si="66"/>
        <v>7</v>
      </c>
      <c r="D594" s="68">
        <f t="shared" si="65"/>
        <v>74</v>
      </c>
      <c r="E594" s="68">
        <f t="shared" si="62"/>
        <v>366</v>
      </c>
      <c r="F594" s="21" t="str">
        <f>VLOOKUP(D594,Sheet2!A:B,2)</f>
        <v>J20-0872</v>
      </c>
      <c r="G594" s="68" t="str">
        <f>VLOOKUP(F594,Sheet2!B:C,2,0)</f>
        <v>งานจ้างเหมาระบบ Instrument 2020</v>
      </c>
      <c r="H594" s="68" t="str">
        <f>HLOOKUP(I$2+$A594,Sheet2!BX:NB,2,0)</f>
        <v>1-15 April 21</v>
      </c>
      <c r="I594" t="str">
        <f>IF(OR(HLOOKUP(I$2+$A594,Sheet2!BX:NB,$B594,0),HLOOKUP(I$2+$A594,Sheet2!BX:NB,$B594,0)&lt;&gt;""),HLOOKUP(I$2+$A594,Sheet2!BX:NB,$B594,0),"")</f>
        <v/>
      </c>
      <c r="J594" t="str">
        <f>IF(OR(HLOOKUP(J$2+$A594,Sheet2!BY:NC,$B594,0),HLOOKUP(J$2+$A594,Sheet2!BY:NC,$B594,0)&lt;&gt;""),HLOOKUP(J$2+$A594,Sheet2!BY:NC,$B594,0),"")</f>
        <v/>
      </c>
      <c r="K594" t="str">
        <f>IF(OR(HLOOKUP(K$2+$A594,Sheet2!BZ:ND,$B594,0),HLOOKUP(K$2+$A594,Sheet2!BZ:ND,$B594,0)&lt;&gt;""),HLOOKUP(K$2+$A594,Sheet2!BZ:ND,$B594,0),"")</f>
        <v/>
      </c>
      <c r="L594" t="str">
        <f>IF(OR(HLOOKUP(L$2+$A594,Sheet2!CA:NE,$B594,0),HLOOKUP(L$2+$A594,Sheet2!CA:NE,$B594,0)&lt;&gt;""),HLOOKUP(L$2+$A594,Sheet2!CA:NE,$B594,0),"")</f>
        <v/>
      </c>
      <c r="M594" t="str">
        <f>IF(OR(HLOOKUP(M$2+$A594,Sheet2!CB:NF,$B594,0),HLOOKUP(M$2+$A594,Sheet2!CB:NF,$B594,0)&lt;&gt;""),HLOOKUP(M$2+$A594,Sheet2!CB:NF,$B594,0),"")</f>
        <v/>
      </c>
    </row>
    <row r="595" spans="1:13" x14ac:dyDescent="0.25">
      <c r="A595" s="68">
        <f t="shared" si="63"/>
        <v>35</v>
      </c>
      <c r="B595" s="68">
        <f t="shared" si="64"/>
        <v>78</v>
      </c>
      <c r="C595" s="68">
        <f t="shared" si="66"/>
        <v>8</v>
      </c>
      <c r="D595" s="68">
        <f t="shared" si="65"/>
        <v>74</v>
      </c>
      <c r="E595" s="68">
        <f t="shared" si="62"/>
        <v>366</v>
      </c>
      <c r="F595" s="21" t="str">
        <f>VLOOKUP(D595,Sheet2!A:B,2)</f>
        <v>J20-0872</v>
      </c>
      <c r="G595" s="68" t="str">
        <f>VLOOKUP(F595,Sheet2!B:C,2,0)</f>
        <v>งานจ้างเหมาระบบ Instrument 2020</v>
      </c>
      <c r="H595" s="68" t="str">
        <f>HLOOKUP(I$2+$A595,Sheet2!BX:NB,2,0)</f>
        <v>16-30 April 21</v>
      </c>
      <c r="I595" t="str">
        <f>IF(OR(HLOOKUP(I$2+$A595,Sheet2!BX:NB,$B595,0),HLOOKUP(I$2+$A595,Sheet2!BX:NB,$B595,0)&lt;&gt;""),HLOOKUP(I$2+$A595,Sheet2!BX:NB,$B595,0),"")</f>
        <v/>
      </c>
      <c r="J595" t="str">
        <f>IF(OR(HLOOKUP(J$2+$A595,Sheet2!BY:NC,$B595,0),HLOOKUP(J$2+$A595,Sheet2!BY:NC,$B595,0)&lt;&gt;""),HLOOKUP(J$2+$A595,Sheet2!BY:NC,$B595,0),"")</f>
        <v/>
      </c>
      <c r="K595" t="str">
        <f>IF(OR(HLOOKUP(K$2+$A595,Sheet2!BZ:ND,$B595,0),HLOOKUP(K$2+$A595,Sheet2!BZ:ND,$B595,0)&lt;&gt;""),HLOOKUP(K$2+$A595,Sheet2!BZ:ND,$B595,0),"")</f>
        <v/>
      </c>
      <c r="L595" t="str">
        <f>IF(OR(HLOOKUP(L$2+$A595,Sheet2!CA:NE,$B595,0),HLOOKUP(L$2+$A595,Sheet2!CA:NE,$B595,0)&lt;&gt;""),HLOOKUP(L$2+$A595,Sheet2!CA:NE,$B595,0),"")</f>
        <v/>
      </c>
      <c r="M595" t="str">
        <f>IF(OR(HLOOKUP(M$2+$A595,Sheet2!CB:NF,$B595,0),HLOOKUP(M$2+$A595,Sheet2!CB:NF,$B595,0)&lt;&gt;""),HLOOKUP(M$2+$A595,Sheet2!CB:NF,$B595,0),"")</f>
        <v/>
      </c>
    </row>
    <row r="596" spans="1:13" x14ac:dyDescent="0.25">
      <c r="A596" s="68">
        <f t="shared" si="63"/>
        <v>0</v>
      </c>
      <c r="B596" s="68">
        <f t="shared" si="64"/>
        <v>79</v>
      </c>
      <c r="C596" s="68">
        <f t="shared" si="66"/>
        <v>1</v>
      </c>
      <c r="D596" s="68">
        <f t="shared" si="65"/>
        <v>75</v>
      </c>
      <c r="E596" s="68">
        <f t="shared" si="62"/>
        <v>371</v>
      </c>
      <c r="F596" s="21" t="str">
        <f>VLOOKUP(D596,Sheet2!A:B,2)</f>
        <v>J20-0633</v>
      </c>
      <c r="G596" s="68" t="str">
        <f>VLOOKUP(F596,Sheet2!B:C,2,0)</f>
        <v xml:space="preserve">Control System Prevencetive Maiantatance &amp; Field </v>
      </c>
      <c r="H596" s="68" t="str">
        <f>HLOOKUP(I$2+$A596,Sheet2!BX:NB,2,0)</f>
        <v>1-15 Jan 21</v>
      </c>
      <c r="I596" t="str">
        <f>IF(OR(HLOOKUP(I$2+$A596,Sheet2!BX:NB,$B596,0),HLOOKUP(I$2+$A596,Sheet2!BX:NB,$B596,0)&lt;&gt;""),HLOOKUP(I$2+$A596,Sheet2!BX:NB,$B596,0),"")</f>
        <v/>
      </c>
      <c r="J596" t="str">
        <f>IF(OR(HLOOKUP(J$2+$A596,Sheet2!BY:NC,$B596,0),HLOOKUP(J$2+$A596,Sheet2!BY:NC,$B596,0)&lt;&gt;""),HLOOKUP(J$2+$A596,Sheet2!BY:NC,$B596,0),"")</f>
        <v/>
      </c>
      <c r="K596" t="str">
        <f>IF(OR(HLOOKUP(K$2+$A596,Sheet2!BZ:ND,$B596,0),HLOOKUP(K$2+$A596,Sheet2!BZ:ND,$B596,0)&lt;&gt;""),HLOOKUP(K$2+$A596,Sheet2!BZ:ND,$B596,0),"")</f>
        <v/>
      </c>
      <c r="L596" t="str">
        <f>IF(OR(HLOOKUP(L$2+$A596,Sheet2!CA:NE,$B596,0),HLOOKUP(L$2+$A596,Sheet2!CA:NE,$B596,0)&lt;&gt;""),HLOOKUP(L$2+$A596,Sheet2!CA:NE,$B596,0),"")</f>
        <v/>
      </c>
      <c r="M596" t="str">
        <f>IF(OR(HLOOKUP(M$2+$A596,Sheet2!CB:NF,$B596,0),HLOOKUP(M$2+$A596,Sheet2!CB:NF,$B596,0)&lt;&gt;""),HLOOKUP(M$2+$A596,Sheet2!CB:NF,$B596,0),"")</f>
        <v/>
      </c>
    </row>
    <row r="597" spans="1:13" x14ac:dyDescent="0.25">
      <c r="A597" s="68">
        <f t="shared" si="63"/>
        <v>5</v>
      </c>
      <c r="B597" s="68">
        <f t="shared" si="64"/>
        <v>79</v>
      </c>
      <c r="C597" s="68">
        <f t="shared" si="66"/>
        <v>2</v>
      </c>
      <c r="D597" s="68">
        <f t="shared" si="65"/>
        <v>75</v>
      </c>
      <c r="E597" s="68">
        <f t="shared" ref="E597:E660" si="67">IF(D597&lt;&gt;D596,E596+5,E596)</f>
        <v>371</v>
      </c>
      <c r="F597" s="21" t="str">
        <f>VLOOKUP(D597,Sheet2!A:B,2)</f>
        <v>J20-0633</v>
      </c>
      <c r="G597" s="68" t="str">
        <f>VLOOKUP(F597,Sheet2!B:C,2,0)</f>
        <v xml:space="preserve">Control System Prevencetive Maiantatance &amp; Field </v>
      </c>
      <c r="H597" s="68" t="str">
        <f>HLOOKUP(I$2+$A597,Sheet2!BX:NB,2,0)</f>
        <v>16-31 Jan 21</v>
      </c>
      <c r="I597" t="str">
        <f>IF(OR(HLOOKUP(I$2+$A597,Sheet2!BX:NB,$B597,0),HLOOKUP(I$2+$A597,Sheet2!BX:NB,$B597,0)&lt;&gt;""),HLOOKUP(I$2+$A597,Sheet2!BX:NB,$B597,0),"")</f>
        <v/>
      </c>
      <c r="J597" t="str">
        <f>IF(OR(HLOOKUP(J$2+$A597,Sheet2!BY:NC,$B597,0),HLOOKUP(J$2+$A597,Sheet2!BY:NC,$B597,0)&lt;&gt;""),HLOOKUP(J$2+$A597,Sheet2!BY:NC,$B597,0),"")</f>
        <v/>
      </c>
      <c r="K597" t="str">
        <f>IF(OR(HLOOKUP(K$2+$A597,Sheet2!BZ:ND,$B597,0),HLOOKUP(K$2+$A597,Sheet2!BZ:ND,$B597,0)&lt;&gt;""),HLOOKUP(K$2+$A597,Sheet2!BZ:ND,$B597,0),"")</f>
        <v/>
      </c>
      <c r="L597" t="str">
        <f>IF(OR(HLOOKUP(L$2+$A597,Sheet2!CA:NE,$B597,0),HLOOKUP(L$2+$A597,Sheet2!CA:NE,$B597,0)&lt;&gt;""),HLOOKUP(L$2+$A597,Sheet2!CA:NE,$B597,0),"")</f>
        <v/>
      </c>
      <c r="M597" t="str">
        <f>IF(OR(HLOOKUP(M$2+$A597,Sheet2!CB:NF,$B597,0),HLOOKUP(M$2+$A597,Sheet2!CB:NF,$B597,0)&lt;&gt;""),HLOOKUP(M$2+$A597,Sheet2!CB:NF,$B597,0),"")</f>
        <v/>
      </c>
    </row>
    <row r="598" spans="1:13" x14ac:dyDescent="0.25">
      <c r="A598" s="68">
        <f t="shared" si="63"/>
        <v>10</v>
      </c>
      <c r="B598" s="68">
        <f t="shared" si="64"/>
        <v>79</v>
      </c>
      <c r="C598" s="68">
        <f t="shared" si="66"/>
        <v>3</v>
      </c>
      <c r="D598" s="68">
        <f t="shared" si="65"/>
        <v>75</v>
      </c>
      <c r="E598" s="68">
        <f t="shared" si="67"/>
        <v>371</v>
      </c>
      <c r="F598" s="21" t="str">
        <f>VLOOKUP(D598,Sheet2!A:B,2)</f>
        <v>J20-0633</v>
      </c>
      <c r="G598" s="68" t="str">
        <f>VLOOKUP(F598,Sheet2!B:C,2,0)</f>
        <v xml:space="preserve">Control System Prevencetive Maiantatance &amp; Field </v>
      </c>
      <c r="H598" s="68" t="str">
        <f>HLOOKUP(I$2+$A598,Sheet2!BX:NB,2,0)</f>
        <v>1-15 Feb 21</v>
      </c>
      <c r="I598" t="str">
        <f>IF(OR(HLOOKUP(I$2+$A598,Sheet2!BX:NB,$B598,0),HLOOKUP(I$2+$A598,Sheet2!BX:NB,$B598,0)&lt;&gt;""),HLOOKUP(I$2+$A598,Sheet2!BX:NB,$B598,0),"")</f>
        <v/>
      </c>
      <c r="J598" t="str">
        <f>IF(OR(HLOOKUP(J$2+$A598,Sheet2!BY:NC,$B598,0),HLOOKUP(J$2+$A598,Sheet2!BY:NC,$B598,0)&lt;&gt;""),HLOOKUP(J$2+$A598,Sheet2!BY:NC,$B598,0),"")</f>
        <v/>
      </c>
      <c r="K598" t="str">
        <f>IF(OR(HLOOKUP(K$2+$A598,Sheet2!BZ:ND,$B598,0),HLOOKUP(K$2+$A598,Sheet2!BZ:ND,$B598,0)&lt;&gt;""),HLOOKUP(K$2+$A598,Sheet2!BZ:ND,$B598,0),"")</f>
        <v/>
      </c>
      <c r="L598" t="str">
        <f>IF(OR(HLOOKUP(L$2+$A598,Sheet2!CA:NE,$B598,0),HLOOKUP(L$2+$A598,Sheet2!CA:NE,$B598,0)&lt;&gt;""),HLOOKUP(L$2+$A598,Sheet2!CA:NE,$B598,0),"")</f>
        <v/>
      </c>
      <c r="M598" t="str">
        <f>IF(OR(HLOOKUP(M$2+$A598,Sheet2!CB:NF,$B598,0),HLOOKUP(M$2+$A598,Sheet2!CB:NF,$B598,0)&lt;&gt;""),HLOOKUP(M$2+$A598,Sheet2!CB:NF,$B598,0),"")</f>
        <v/>
      </c>
    </row>
    <row r="599" spans="1:13" x14ac:dyDescent="0.25">
      <c r="A599" s="68">
        <f t="shared" si="63"/>
        <v>15</v>
      </c>
      <c r="B599" s="68">
        <f t="shared" si="64"/>
        <v>79</v>
      </c>
      <c r="C599" s="68">
        <f t="shared" si="66"/>
        <v>4</v>
      </c>
      <c r="D599" s="68">
        <f t="shared" si="65"/>
        <v>75</v>
      </c>
      <c r="E599" s="68">
        <f t="shared" si="67"/>
        <v>371</v>
      </c>
      <c r="F599" s="21" t="str">
        <f>VLOOKUP(D599,Sheet2!A:B,2)</f>
        <v>J20-0633</v>
      </c>
      <c r="G599" s="68" t="str">
        <f>VLOOKUP(F599,Sheet2!B:C,2,0)</f>
        <v xml:space="preserve">Control System Prevencetive Maiantatance &amp; Field </v>
      </c>
      <c r="H599" s="68" t="str">
        <f>HLOOKUP(I$2+$A599,Sheet2!BX:NB,2,0)</f>
        <v>16-28 Feb 21</v>
      </c>
      <c r="I599" t="str">
        <f>IF(OR(HLOOKUP(I$2+$A599,Sheet2!BX:NB,$B599,0),HLOOKUP(I$2+$A599,Sheet2!BX:NB,$B599,0)&lt;&gt;""),HLOOKUP(I$2+$A599,Sheet2!BX:NB,$B599,0),"")</f>
        <v/>
      </c>
      <c r="J599" t="str">
        <f>IF(OR(HLOOKUP(J$2+$A599,Sheet2!BY:NC,$B599,0),HLOOKUP(J$2+$A599,Sheet2!BY:NC,$B599,0)&lt;&gt;""),HLOOKUP(J$2+$A599,Sheet2!BY:NC,$B599,0),"")</f>
        <v/>
      </c>
      <c r="K599" t="str">
        <f>IF(OR(HLOOKUP(K$2+$A599,Sheet2!BZ:ND,$B599,0),HLOOKUP(K$2+$A599,Sheet2!BZ:ND,$B599,0)&lt;&gt;""),HLOOKUP(K$2+$A599,Sheet2!BZ:ND,$B599,0),"")</f>
        <v/>
      </c>
      <c r="L599" t="str">
        <f>IF(OR(HLOOKUP(L$2+$A599,Sheet2!CA:NE,$B599,0),HLOOKUP(L$2+$A599,Sheet2!CA:NE,$B599,0)&lt;&gt;""),HLOOKUP(L$2+$A599,Sheet2!CA:NE,$B599,0),"")</f>
        <v/>
      </c>
      <c r="M599" t="str">
        <f>IF(OR(HLOOKUP(M$2+$A599,Sheet2!CB:NF,$B599,0),HLOOKUP(M$2+$A599,Sheet2!CB:NF,$B599,0)&lt;&gt;""),HLOOKUP(M$2+$A599,Sheet2!CB:NF,$B599,0),"")</f>
        <v/>
      </c>
    </row>
    <row r="600" spans="1:13" x14ac:dyDescent="0.25">
      <c r="A600" s="68">
        <f t="shared" si="63"/>
        <v>20</v>
      </c>
      <c r="B600" s="68">
        <f t="shared" si="64"/>
        <v>79</v>
      </c>
      <c r="C600" s="68">
        <f t="shared" si="66"/>
        <v>5</v>
      </c>
      <c r="D600" s="68">
        <f t="shared" si="65"/>
        <v>75</v>
      </c>
      <c r="E600" s="68">
        <f t="shared" si="67"/>
        <v>371</v>
      </c>
      <c r="F600" s="21" t="str">
        <f>VLOOKUP(D600,Sheet2!A:B,2)</f>
        <v>J20-0633</v>
      </c>
      <c r="G600" s="68" t="str">
        <f>VLOOKUP(F600,Sheet2!B:C,2,0)</f>
        <v xml:space="preserve">Control System Prevencetive Maiantatance &amp; Field </v>
      </c>
      <c r="H600" s="68" t="str">
        <f>HLOOKUP(I$2+$A600,Sheet2!BX:NB,2,0)</f>
        <v>1-15 Mar 2021</v>
      </c>
      <c r="I600" t="str">
        <f>IF(OR(HLOOKUP(I$2+$A600,Sheet2!BX:NB,$B600,0),HLOOKUP(I$2+$A600,Sheet2!BX:NB,$B600,0)&lt;&gt;""),HLOOKUP(I$2+$A600,Sheet2!BX:NB,$B600,0),"")</f>
        <v/>
      </c>
      <c r="J600" t="str">
        <f>IF(OR(HLOOKUP(J$2+$A600,Sheet2!BY:NC,$B600,0),HLOOKUP(J$2+$A600,Sheet2!BY:NC,$B600,0)&lt;&gt;""),HLOOKUP(J$2+$A600,Sheet2!BY:NC,$B600,0),"")</f>
        <v/>
      </c>
      <c r="K600" t="str">
        <f>IF(OR(HLOOKUP(K$2+$A600,Sheet2!BZ:ND,$B600,0),HLOOKUP(K$2+$A600,Sheet2!BZ:ND,$B600,0)&lt;&gt;""),HLOOKUP(K$2+$A600,Sheet2!BZ:ND,$B600,0),"")</f>
        <v/>
      </c>
      <c r="L600" t="str">
        <f>IF(OR(HLOOKUP(L$2+$A600,Sheet2!CA:NE,$B600,0),HLOOKUP(L$2+$A600,Sheet2!CA:NE,$B600,0)&lt;&gt;""),HLOOKUP(L$2+$A600,Sheet2!CA:NE,$B600,0),"")</f>
        <v/>
      </c>
      <c r="M600" t="str">
        <f>IF(OR(HLOOKUP(M$2+$A600,Sheet2!CB:NF,$B600,0),HLOOKUP(M$2+$A600,Sheet2!CB:NF,$B600,0)&lt;&gt;""),HLOOKUP(M$2+$A600,Sheet2!CB:NF,$B600,0),"")</f>
        <v/>
      </c>
    </row>
    <row r="601" spans="1:13" x14ac:dyDescent="0.25">
      <c r="A601" s="68">
        <f t="shared" si="63"/>
        <v>25</v>
      </c>
      <c r="B601" s="68">
        <f t="shared" si="64"/>
        <v>79</v>
      </c>
      <c r="C601" s="68">
        <f t="shared" si="66"/>
        <v>6</v>
      </c>
      <c r="D601" s="68">
        <f t="shared" si="65"/>
        <v>75</v>
      </c>
      <c r="E601" s="68">
        <f t="shared" si="67"/>
        <v>371</v>
      </c>
      <c r="F601" s="21" t="str">
        <f>VLOOKUP(D601,Sheet2!A:B,2)</f>
        <v>J20-0633</v>
      </c>
      <c r="G601" s="68" t="str">
        <f>VLOOKUP(F601,Sheet2!B:C,2,0)</f>
        <v xml:space="preserve">Control System Prevencetive Maiantatance &amp; Field </v>
      </c>
      <c r="H601" s="68" t="str">
        <f>HLOOKUP(I$2+$A601,Sheet2!BX:NB,2,0)</f>
        <v>16-31 Mar 21</v>
      </c>
      <c r="I601" t="str">
        <f>IF(OR(HLOOKUP(I$2+$A601,Sheet2!BX:NB,$B601,0),HLOOKUP(I$2+$A601,Sheet2!BX:NB,$B601,0)&lt;&gt;""),HLOOKUP(I$2+$A601,Sheet2!BX:NB,$B601,0),"")</f>
        <v/>
      </c>
      <c r="J601" t="str">
        <f>IF(OR(HLOOKUP(J$2+$A601,Sheet2!BY:NC,$B601,0),HLOOKUP(J$2+$A601,Sheet2!BY:NC,$B601,0)&lt;&gt;""),HLOOKUP(J$2+$A601,Sheet2!BY:NC,$B601,0),"")</f>
        <v/>
      </c>
      <c r="K601" t="str">
        <f>IF(OR(HLOOKUP(K$2+$A601,Sheet2!BZ:ND,$B601,0),HLOOKUP(K$2+$A601,Sheet2!BZ:ND,$B601,0)&lt;&gt;""),HLOOKUP(K$2+$A601,Sheet2!BZ:ND,$B601,0),"")</f>
        <v/>
      </c>
      <c r="L601" t="str">
        <f>IF(OR(HLOOKUP(L$2+$A601,Sheet2!CA:NE,$B601,0),HLOOKUP(L$2+$A601,Sheet2!CA:NE,$B601,0)&lt;&gt;""),HLOOKUP(L$2+$A601,Sheet2!CA:NE,$B601,0),"")</f>
        <v/>
      </c>
      <c r="M601" t="str">
        <f>IF(OR(HLOOKUP(M$2+$A601,Sheet2!CB:NF,$B601,0),HLOOKUP(M$2+$A601,Sheet2!CB:NF,$B601,0)&lt;&gt;""),HLOOKUP(M$2+$A601,Sheet2!CB:NF,$B601,0),"")</f>
        <v/>
      </c>
    </row>
    <row r="602" spans="1:13" x14ac:dyDescent="0.25">
      <c r="A602" s="68">
        <f t="shared" si="63"/>
        <v>30</v>
      </c>
      <c r="B602" s="68">
        <f t="shared" si="64"/>
        <v>79</v>
      </c>
      <c r="C602" s="68">
        <f t="shared" si="66"/>
        <v>7</v>
      </c>
      <c r="D602" s="68">
        <f t="shared" si="65"/>
        <v>75</v>
      </c>
      <c r="E602" s="68">
        <f t="shared" si="67"/>
        <v>371</v>
      </c>
      <c r="F602" s="21" t="str">
        <f>VLOOKUP(D602,Sheet2!A:B,2)</f>
        <v>J20-0633</v>
      </c>
      <c r="G602" s="68" t="str">
        <f>VLOOKUP(F602,Sheet2!B:C,2,0)</f>
        <v xml:space="preserve">Control System Prevencetive Maiantatance &amp; Field </v>
      </c>
      <c r="H602" s="68" t="str">
        <f>HLOOKUP(I$2+$A602,Sheet2!BX:NB,2,0)</f>
        <v>1-15 April 21</v>
      </c>
      <c r="I602" t="str">
        <f>IF(OR(HLOOKUP(I$2+$A602,Sheet2!BX:NB,$B602,0),HLOOKUP(I$2+$A602,Sheet2!BX:NB,$B602,0)&lt;&gt;""),HLOOKUP(I$2+$A602,Sheet2!BX:NB,$B602,0),"")</f>
        <v/>
      </c>
      <c r="J602" t="str">
        <f>IF(OR(HLOOKUP(J$2+$A602,Sheet2!BY:NC,$B602,0),HLOOKUP(J$2+$A602,Sheet2!BY:NC,$B602,0)&lt;&gt;""),HLOOKUP(J$2+$A602,Sheet2!BY:NC,$B602,0),"")</f>
        <v/>
      </c>
      <c r="K602" t="str">
        <f>IF(OR(HLOOKUP(K$2+$A602,Sheet2!BZ:ND,$B602,0),HLOOKUP(K$2+$A602,Sheet2!BZ:ND,$B602,0)&lt;&gt;""),HLOOKUP(K$2+$A602,Sheet2!BZ:ND,$B602,0),"")</f>
        <v/>
      </c>
      <c r="L602" t="str">
        <f>IF(OR(HLOOKUP(L$2+$A602,Sheet2!CA:NE,$B602,0),HLOOKUP(L$2+$A602,Sheet2!CA:NE,$B602,0)&lt;&gt;""),HLOOKUP(L$2+$A602,Sheet2!CA:NE,$B602,0),"")</f>
        <v/>
      </c>
      <c r="M602" t="str">
        <f>IF(OR(HLOOKUP(M$2+$A602,Sheet2!CB:NF,$B602,0),HLOOKUP(M$2+$A602,Sheet2!CB:NF,$B602,0)&lt;&gt;""),HLOOKUP(M$2+$A602,Sheet2!CB:NF,$B602,0),"")</f>
        <v/>
      </c>
    </row>
    <row r="603" spans="1:13" x14ac:dyDescent="0.25">
      <c r="A603" s="68">
        <f t="shared" si="63"/>
        <v>35</v>
      </c>
      <c r="B603" s="68">
        <f t="shared" si="64"/>
        <v>79</v>
      </c>
      <c r="C603" s="68">
        <f t="shared" si="66"/>
        <v>8</v>
      </c>
      <c r="D603" s="68">
        <f t="shared" si="65"/>
        <v>75</v>
      </c>
      <c r="E603" s="68">
        <f t="shared" si="67"/>
        <v>371</v>
      </c>
      <c r="F603" s="21" t="str">
        <f>VLOOKUP(D603,Sheet2!A:B,2)</f>
        <v>J20-0633</v>
      </c>
      <c r="G603" s="68" t="str">
        <f>VLOOKUP(F603,Sheet2!B:C,2,0)</f>
        <v xml:space="preserve">Control System Prevencetive Maiantatance &amp; Field </v>
      </c>
      <c r="H603" s="68" t="str">
        <f>HLOOKUP(I$2+$A603,Sheet2!BX:NB,2,0)</f>
        <v>16-30 April 21</v>
      </c>
      <c r="I603" t="str">
        <f>IF(OR(HLOOKUP(I$2+$A603,Sheet2!BX:NB,$B603,0),HLOOKUP(I$2+$A603,Sheet2!BX:NB,$B603,0)&lt;&gt;""),HLOOKUP(I$2+$A603,Sheet2!BX:NB,$B603,0),"")</f>
        <v/>
      </c>
      <c r="J603" t="str">
        <f>IF(OR(HLOOKUP(J$2+$A603,Sheet2!BY:NC,$B603,0),HLOOKUP(J$2+$A603,Sheet2!BY:NC,$B603,0)&lt;&gt;""),HLOOKUP(J$2+$A603,Sheet2!BY:NC,$B603,0),"")</f>
        <v/>
      </c>
      <c r="K603" t="str">
        <f>IF(OR(HLOOKUP(K$2+$A603,Sheet2!BZ:ND,$B603,0),HLOOKUP(K$2+$A603,Sheet2!BZ:ND,$B603,0)&lt;&gt;""),HLOOKUP(K$2+$A603,Sheet2!BZ:ND,$B603,0),"")</f>
        <v/>
      </c>
      <c r="L603" t="str">
        <f>IF(OR(HLOOKUP(L$2+$A603,Sheet2!CA:NE,$B603,0),HLOOKUP(L$2+$A603,Sheet2!CA:NE,$B603,0)&lt;&gt;""),HLOOKUP(L$2+$A603,Sheet2!CA:NE,$B603,0),"")</f>
        <v/>
      </c>
      <c r="M603" t="str">
        <f>IF(OR(HLOOKUP(M$2+$A603,Sheet2!CB:NF,$B603,0),HLOOKUP(M$2+$A603,Sheet2!CB:NF,$B603,0)&lt;&gt;""),HLOOKUP(M$2+$A603,Sheet2!CB:NF,$B603,0),"")</f>
        <v/>
      </c>
    </row>
    <row r="604" spans="1:13" x14ac:dyDescent="0.25">
      <c r="A604" s="68">
        <f t="shared" si="63"/>
        <v>0</v>
      </c>
      <c r="B604" s="68">
        <f t="shared" si="64"/>
        <v>80</v>
      </c>
      <c r="C604" s="68">
        <f t="shared" si="66"/>
        <v>1</v>
      </c>
      <c r="D604" s="68">
        <f t="shared" si="65"/>
        <v>76</v>
      </c>
      <c r="E604" s="68">
        <f t="shared" si="67"/>
        <v>376</v>
      </c>
      <c r="F604" s="21" t="str">
        <f>VLOOKUP(D604,Sheet2!A:B,2)</f>
        <v>J20-0640</v>
      </c>
      <c r="G604" s="68" t="str">
        <f>VLOOKUP(F604,Sheet2!B:C,2,0)</f>
        <v>NEW ONLINE ANALYZER AT-9204 REVAMP PROJECT</v>
      </c>
      <c r="H604" s="68" t="str">
        <f>HLOOKUP(I$2+$A604,Sheet2!BX:NB,2,0)</f>
        <v>1-15 Jan 21</v>
      </c>
      <c r="I604" t="str">
        <f>IF(OR(HLOOKUP(I$2+$A604,Sheet2!BX:NB,$B604,0),HLOOKUP(I$2+$A604,Sheet2!BX:NB,$B604,0)&lt;&gt;""),HLOOKUP(I$2+$A604,Sheet2!BX:NB,$B604,0),"")</f>
        <v/>
      </c>
      <c r="J604" t="str">
        <f>IF(OR(HLOOKUP(J$2+$A604,Sheet2!BY:NC,$B604,0),HLOOKUP(J$2+$A604,Sheet2!BY:NC,$B604,0)&lt;&gt;""),HLOOKUP(J$2+$A604,Sheet2!BY:NC,$B604,0),"")</f>
        <v/>
      </c>
      <c r="K604" t="str">
        <f>IF(OR(HLOOKUP(K$2+$A604,Sheet2!BZ:ND,$B604,0),HLOOKUP(K$2+$A604,Sheet2!BZ:ND,$B604,0)&lt;&gt;""),HLOOKUP(K$2+$A604,Sheet2!BZ:ND,$B604,0),"")</f>
        <v/>
      </c>
      <c r="L604" t="str">
        <f>IF(OR(HLOOKUP(L$2+$A604,Sheet2!CA:NE,$B604,0),HLOOKUP(L$2+$A604,Sheet2!CA:NE,$B604,0)&lt;&gt;""),HLOOKUP(L$2+$A604,Sheet2!CA:NE,$B604,0),"")</f>
        <v/>
      </c>
      <c r="M604" t="str">
        <f>IF(OR(HLOOKUP(M$2+$A604,Sheet2!CB:NF,$B604,0),HLOOKUP(M$2+$A604,Sheet2!CB:NF,$B604,0)&lt;&gt;""),HLOOKUP(M$2+$A604,Sheet2!CB:NF,$B604,0),"")</f>
        <v/>
      </c>
    </row>
    <row r="605" spans="1:13" x14ac:dyDescent="0.25">
      <c r="A605" s="68">
        <f t="shared" si="63"/>
        <v>5</v>
      </c>
      <c r="B605" s="68">
        <f t="shared" si="64"/>
        <v>80</v>
      </c>
      <c r="C605" s="68">
        <f t="shared" si="66"/>
        <v>2</v>
      </c>
      <c r="D605" s="68">
        <f t="shared" si="65"/>
        <v>76</v>
      </c>
      <c r="E605" s="68">
        <f t="shared" si="67"/>
        <v>376</v>
      </c>
      <c r="F605" s="21" t="str">
        <f>VLOOKUP(D605,Sheet2!A:B,2)</f>
        <v>J20-0640</v>
      </c>
      <c r="G605" s="68" t="str">
        <f>VLOOKUP(F605,Sheet2!B:C,2,0)</f>
        <v>NEW ONLINE ANALYZER AT-9204 REVAMP PROJECT</v>
      </c>
      <c r="H605" s="68" t="str">
        <f>HLOOKUP(I$2+$A605,Sheet2!BX:NB,2,0)</f>
        <v>16-31 Jan 21</v>
      </c>
      <c r="I605" t="str">
        <f>IF(OR(HLOOKUP(I$2+$A605,Sheet2!BX:NB,$B605,0),HLOOKUP(I$2+$A605,Sheet2!BX:NB,$B605,0)&lt;&gt;""),HLOOKUP(I$2+$A605,Sheet2!BX:NB,$B605,0),"")</f>
        <v/>
      </c>
      <c r="J605" t="str">
        <f>IF(OR(HLOOKUP(J$2+$A605,Sheet2!BY:NC,$B605,0),HLOOKUP(J$2+$A605,Sheet2!BY:NC,$B605,0)&lt;&gt;""),HLOOKUP(J$2+$A605,Sheet2!BY:NC,$B605,0),"")</f>
        <v/>
      </c>
      <c r="K605" t="str">
        <f>IF(OR(HLOOKUP(K$2+$A605,Sheet2!BZ:ND,$B605,0),HLOOKUP(K$2+$A605,Sheet2!BZ:ND,$B605,0)&lt;&gt;""),HLOOKUP(K$2+$A605,Sheet2!BZ:ND,$B605,0),"")</f>
        <v/>
      </c>
      <c r="L605" t="str">
        <f>IF(OR(HLOOKUP(L$2+$A605,Sheet2!CA:NE,$B605,0),HLOOKUP(L$2+$A605,Sheet2!CA:NE,$B605,0)&lt;&gt;""),HLOOKUP(L$2+$A605,Sheet2!CA:NE,$B605,0),"")</f>
        <v/>
      </c>
      <c r="M605" t="str">
        <f>IF(OR(HLOOKUP(M$2+$A605,Sheet2!CB:NF,$B605,0),HLOOKUP(M$2+$A605,Sheet2!CB:NF,$B605,0)&lt;&gt;""),HLOOKUP(M$2+$A605,Sheet2!CB:NF,$B605,0),"")</f>
        <v/>
      </c>
    </row>
    <row r="606" spans="1:13" x14ac:dyDescent="0.25">
      <c r="A606" s="68">
        <f t="shared" si="63"/>
        <v>10</v>
      </c>
      <c r="B606" s="68">
        <f t="shared" si="64"/>
        <v>80</v>
      </c>
      <c r="C606" s="68">
        <f t="shared" si="66"/>
        <v>3</v>
      </c>
      <c r="D606" s="68">
        <f t="shared" si="65"/>
        <v>76</v>
      </c>
      <c r="E606" s="68">
        <f t="shared" si="67"/>
        <v>376</v>
      </c>
      <c r="F606" s="21" t="str">
        <f>VLOOKUP(D606,Sheet2!A:B,2)</f>
        <v>J20-0640</v>
      </c>
      <c r="G606" s="68" t="str">
        <f>VLOOKUP(F606,Sheet2!B:C,2,0)</f>
        <v>NEW ONLINE ANALYZER AT-9204 REVAMP PROJECT</v>
      </c>
      <c r="H606" s="68" t="str">
        <f>HLOOKUP(I$2+$A606,Sheet2!BX:NB,2,0)</f>
        <v>1-15 Feb 21</v>
      </c>
      <c r="I606" t="str">
        <f>IF(OR(HLOOKUP(I$2+$A606,Sheet2!BX:NB,$B606,0),HLOOKUP(I$2+$A606,Sheet2!BX:NB,$B606,0)&lt;&gt;""),HLOOKUP(I$2+$A606,Sheet2!BX:NB,$B606,0),"")</f>
        <v/>
      </c>
      <c r="J606" t="str">
        <f>IF(OR(HLOOKUP(J$2+$A606,Sheet2!BY:NC,$B606,0),HLOOKUP(J$2+$A606,Sheet2!BY:NC,$B606,0)&lt;&gt;""),HLOOKUP(J$2+$A606,Sheet2!BY:NC,$B606,0),"")</f>
        <v/>
      </c>
      <c r="K606" t="str">
        <f>IF(OR(HLOOKUP(K$2+$A606,Sheet2!BZ:ND,$B606,0),HLOOKUP(K$2+$A606,Sheet2!BZ:ND,$B606,0)&lt;&gt;""),HLOOKUP(K$2+$A606,Sheet2!BZ:ND,$B606,0),"")</f>
        <v/>
      </c>
      <c r="L606" t="str">
        <f>IF(OR(HLOOKUP(L$2+$A606,Sheet2!CA:NE,$B606,0),HLOOKUP(L$2+$A606,Sheet2!CA:NE,$B606,0)&lt;&gt;""),HLOOKUP(L$2+$A606,Sheet2!CA:NE,$B606,0),"")</f>
        <v/>
      </c>
      <c r="M606" t="str">
        <f>IF(OR(HLOOKUP(M$2+$A606,Sheet2!CB:NF,$B606,0),HLOOKUP(M$2+$A606,Sheet2!CB:NF,$B606,0)&lt;&gt;""),HLOOKUP(M$2+$A606,Sheet2!CB:NF,$B606,0),"")</f>
        <v/>
      </c>
    </row>
    <row r="607" spans="1:13" x14ac:dyDescent="0.25">
      <c r="A607" s="68">
        <f t="shared" si="63"/>
        <v>15</v>
      </c>
      <c r="B607" s="68">
        <f t="shared" si="64"/>
        <v>80</v>
      </c>
      <c r="C607" s="68">
        <f t="shared" si="66"/>
        <v>4</v>
      </c>
      <c r="D607" s="68">
        <f t="shared" si="65"/>
        <v>76</v>
      </c>
      <c r="E607" s="68">
        <f t="shared" si="67"/>
        <v>376</v>
      </c>
      <c r="F607" s="21" t="str">
        <f>VLOOKUP(D607,Sheet2!A:B,2)</f>
        <v>J20-0640</v>
      </c>
      <c r="G607" s="68" t="str">
        <f>VLOOKUP(F607,Sheet2!B:C,2,0)</f>
        <v>NEW ONLINE ANALYZER AT-9204 REVAMP PROJECT</v>
      </c>
      <c r="H607" s="68" t="str">
        <f>HLOOKUP(I$2+$A607,Sheet2!BX:NB,2,0)</f>
        <v>16-28 Feb 21</v>
      </c>
      <c r="I607" t="str">
        <f>IF(OR(HLOOKUP(I$2+$A607,Sheet2!BX:NB,$B607,0),HLOOKUP(I$2+$A607,Sheet2!BX:NB,$B607,0)&lt;&gt;""),HLOOKUP(I$2+$A607,Sheet2!BX:NB,$B607,0),"")</f>
        <v/>
      </c>
      <c r="J607" t="str">
        <f>IF(OR(HLOOKUP(J$2+$A607,Sheet2!BY:NC,$B607,0),HLOOKUP(J$2+$A607,Sheet2!BY:NC,$B607,0)&lt;&gt;""),HLOOKUP(J$2+$A607,Sheet2!BY:NC,$B607,0),"")</f>
        <v/>
      </c>
      <c r="K607" t="str">
        <f>IF(OR(HLOOKUP(K$2+$A607,Sheet2!BZ:ND,$B607,0),HLOOKUP(K$2+$A607,Sheet2!BZ:ND,$B607,0)&lt;&gt;""),HLOOKUP(K$2+$A607,Sheet2!BZ:ND,$B607,0),"")</f>
        <v/>
      </c>
      <c r="L607" t="str">
        <f>IF(OR(HLOOKUP(L$2+$A607,Sheet2!CA:NE,$B607,0),HLOOKUP(L$2+$A607,Sheet2!CA:NE,$B607,0)&lt;&gt;""),HLOOKUP(L$2+$A607,Sheet2!CA:NE,$B607,0),"")</f>
        <v/>
      </c>
      <c r="M607" t="str">
        <f>IF(OR(HLOOKUP(M$2+$A607,Sheet2!CB:NF,$B607,0),HLOOKUP(M$2+$A607,Sheet2!CB:NF,$B607,0)&lt;&gt;""),HLOOKUP(M$2+$A607,Sheet2!CB:NF,$B607,0),"")</f>
        <v/>
      </c>
    </row>
    <row r="608" spans="1:13" x14ac:dyDescent="0.25">
      <c r="A608" s="68">
        <f t="shared" si="63"/>
        <v>20</v>
      </c>
      <c r="B608" s="68">
        <f t="shared" si="64"/>
        <v>80</v>
      </c>
      <c r="C608" s="68">
        <f t="shared" si="66"/>
        <v>5</v>
      </c>
      <c r="D608" s="68">
        <f t="shared" si="65"/>
        <v>76</v>
      </c>
      <c r="E608" s="68">
        <f t="shared" si="67"/>
        <v>376</v>
      </c>
      <c r="F608" s="21" t="str">
        <f>VLOOKUP(D608,Sheet2!A:B,2)</f>
        <v>J20-0640</v>
      </c>
      <c r="G608" s="68" t="str">
        <f>VLOOKUP(F608,Sheet2!B:C,2,0)</f>
        <v>NEW ONLINE ANALYZER AT-9204 REVAMP PROJECT</v>
      </c>
      <c r="H608" s="68" t="str">
        <f>HLOOKUP(I$2+$A608,Sheet2!BX:NB,2,0)</f>
        <v>1-15 Mar 2021</v>
      </c>
      <c r="I608" t="str">
        <f>IF(OR(HLOOKUP(I$2+$A608,Sheet2!BX:NB,$B608,0),HLOOKUP(I$2+$A608,Sheet2!BX:NB,$B608,0)&lt;&gt;""),HLOOKUP(I$2+$A608,Sheet2!BX:NB,$B608,0),"")</f>
        <v/>
      </c>
      <c r="J608" t="str">
        <f>IF(OR(HLOOKUP(J$2+$A608,Sheet2!BY:NC,$B608,0),HLOOKUP(J$2+$A608,Sheet2!BY:NC,$B608,0)&lt;&gt;""),HLOOKUP(J$2+$A608,Sheet2!BY:NC,$B608,0),"")</f>
        <v/>
      </c>
      <c r="K608" t="str">
        <f>IF(OR(HLOOKUP(K$2+$A608,Sheet2!BZ:ND,$B608,0),HLOOKUP(K$2+$A608,Sheet2!BZ:ND,$B608,0)&lt;&gt;""),HLOOKUP(K$2+$A608,Sheet2!BZ:ND,$B608,0),"")</f>
        <v/>
      </c>
      <c r="L608" t="str">
        <f>IF(OR(HLOOKUP(L$2+$A608,Sheet2!CA:NE,$B608,0),HLOOKUP(L$2+$A608,Sheet2!CA:NE,$B608,0)&lt;&gt;""),HLOOKUP(L$2+$A608,Sheet2!CA:NE,$B608,0),"")</f>
        <v/>
      </c>
      <c r="M608" t="str">
        <f>IF(OR(HLOOKUP(M$2+$A608,Sheet2!CB:NF,$B608,0),HLOOKUP(M$2+$A608,Sheet2!CB:NF,$B608,0)&lt;&gt;""),HLOOKUP(M$2+$A608,Sheet2!CB:NF,$B608,0),"")</f>
        <v/>
      </c>
    </row>
    <row r="609" spans="1:13" x14ac:dyDescent="0.25">
      <c r="A609" s="68">
        <f t="shared" si="63"/>
        <v>25</v>
      </c>
      <c r="B609" s="68">
        <f t="shared" si="64"/>
        <v>80</v>
      </c>
      <c r="C609" s="68">
        <f t="shared" si="66"/>
        <v>6</v>
      </c>
      <c r="D609" s="68">
        <f t="shared" si="65"/>
        <v>76</v>
      </c>
      <c r="E609" s="68">
        <f t="shared" si="67"/>
        <v>376</v>
      </c>
      <c r="F609" s="21" t="str">
        <f>VLOOKUP(D609,Sheet2!A:B,2)</f>
        <v>J20-0640</v>
      </c>
      <c r="G609" s="68" t="str">
        <f>VLOOKUP(F609,Sheet2!B:C,2,0)</f>
        <v>NEW ONLINE ANALYZER AT-9204 REVAMP PROJECT</v>
      </c>
      <c r="H609" s="68" t="str">
        <f>HLOOKUP(I$2+$A609,Sheet2!BX:NB,2,0)</f>
        <v>16-31 Mar 21</v>
      </c>
      <c r="I609" t="str">
        <f>IF(OR(HLOOKUP(I$2+$A609,Sheet2!BX:NB,$B609,0),HLOOKUP(I$2+$A609,Sheet2!BX:NB,$B609,0)&lt;&gt;""),HLOOKUP(I$2+$A609,Sheet2!BX:NB,$B609,0),"")</f>
        <v/>
      </c>
      <c r="J609" t="str">
        <f>IF(OR(HLOOKUP(J$2+$A609,Sheet2!BY:NC,$B609,0),HLOOKUP(J$2+$A609,Sheet2!BY:NC,$B609,0)&lt;&gt;""),HLOOKUP(J$2+$A609,Sheet2!BY:NC,$B609,0),"")</f>
        <v/>
      </c>
      <c r="K609" t="str">
        <f>IF(OR(HLOOKUP(K$2+$A609,Sheet2!BZ:ND,$B609,0),HLOOKUP(K$2+$A609,Sheet2!BZ:ND,$B609,0)&lt;&gt;""),HLOOKUP(K$2+$A609,Sheet2!BZ:ND,$B609,0),"")</f>
        <v/>
      </c>
      <c r="L609" t="str">
        <f>IF(OR(HLOOKUP(L$2+$A609,Sheet2!CA:NE,$B609,0),HLOOKUP(L$2+$A609,Sheet2!CA:NE,$B609,0)&lt;&gt;""),HLOOKUP(L$2+$A609,Sheet2!CA:NE,$B609,0),"")</f>
        <v/>
      </c>
      <c r="M609" t="str">
        <f>IF(OR(HLOOKUP(M$2+$A609,Sheet2!CB:NF,$B609,0),HLOOKUP(M$2+$A609,Sheet2!CB:NF,$B609,0)&lt;&gt;""),HLOOKUP(M$2+$A609,Sheet2!CB:NF,$B609,0),"")</f>
        <v/>
      </c>
    </row>
    <row r="610" spans="1:13" x14ac:dyDescent="0.25">
      <c r="A610" s="68">
        <f t="shared" si="63"/>
        <v>30</v>
      </c>
      <c r="B610" s="68">
        <f t="shared" si="64"/>
        <v>80</v>
      </c>
      <c r="C610" s="68">
        <f t="shared" si="66"/>
        <v>7</v>
      </c>
      <c r="D610" s="68">
        <f t="shared" si="65"/>
        <v>76</v>
      </c>
      <c r="E610" s="68">
        <f t="shared" si="67"/>
        <v>376</v>
      </c>
      <c r="F610" s="21" t="str">
        <f>VLOOKUP(D610,Sheet2!A:B,2)</f>
        <v>J20-0640</v>
      </c>
      <c r="G610" s="68" t="str">
        <f>VLOOKUP(F610,Sheet2!B:C,2,0)</f>
        <v>NEW ONLINE ANALYZER AT-9204 REVAMP PROJECT</v>
      </c>
      <c r="H610" s="68" t="str">
        <f>HLOOKUP(I$2+$A610,Sheet2!BX:NB,2,0)</f>
        <v>1-15 April 21</v>
      </c>
      <c r="I610" t="str">
        <f>IF(OR(HLOOKUP(I$2+$A610,Sheet2!BX:NB,$B610,0),HLOOKUP(I$2+$A610,Sheet2!BX:NB,$B610,0)&lt;&gt;""),HLOOKUP(I$2+$A610,Sheet2!BX:NB,$B610,0),"")</f>
        <v/>
      </c>
      <c r="J610" t="str">
        <f>IF(OR(HLOOKUP(J$2+$A610,Sheet2!BY:NC,$B610,0),HLOOKUP(J$2+$A610,Sheet2!BY:NC,$B610,0)&lt;&gt;""),HLOOKUP(J$2+$A610,Sheet2!BY:NC,$B610,0),"")</f>
        <v/>
      </c>
      <c r="K610" t="str">
        <f>IF(OR(HLOOKUP(K$2+$A610,Sheet2!BZ:ND,$B610,0),HLOOKUP(K$2+$A610,Sheet2!BZ:ND,$B610,0)&lt;&gt;""),HLOOKUP(K$2+$A610,Sheet2!BZ:ND,$B610,0),"")</f>
        <v/>
      </c>
      <c r="L610" t="str">
        <f>IF(OR(HLOOKUP(L$2+$A610,Sheet2!CA:NE,$B610,0),HLOOKUP(L$2+$A610,Sheet2!CA:NE,$B610,0)&lt;&gt;""),HLOOKUP(L$2+$A610,Sheet2!CA:NE,$B610,0),"")</f>
        <v/>
      </c>
      <c r="M610" t="str">
        <f>IF(OR(HLOOKUP(M$2+$A610,Sheet2!CB:NF,$B610,0),HLOOKUP(M$2+$A610,Sheet2!CB:NF,$B610,0)&lt;&gt;""),HLOOKUP(M$2+$A610,Sheet2!CB:NF,$B610,0),"")</f>
        <v/>
      </c>
    </row>
    <row r="611" spans="1:13" x14ac:dyDescent="0.25">
      <c r="A611" s="68">
        <f t="shared" si="63"/>
        <v>35</v>
      </c>
      <c r="B611" s="68">
        <f t="shared" si="64"/>
        <v>80</v>
      </c>
      <c r="C611" s="68">
        <f t="shared" si="66"/>
        <v>8</v>
      </c>
      <c r="D611" s="68">
        <f t="shared" si="65"/>
        <v>76</v>
      </c>
      <c r="E611" s="68">
        <f t="shared" si="67"/>
        <v>376</v>
      </c>
      <c r="F611" s="21" t="str">
        <f>VLOOKUP(D611,Sheet2!A:B,2)</f>
        <v>J20-0640</v>
      </c>
      <c r="G611" s="68" t="str">
        <f>VLOOKUP(F611,Sheet2!B:C,2,0)</f>
        <v>NEW ONLINE ANALYZER AT-9204 REVAMP PROJECT</v>
      </c>
      <c r="H611" s="68" t="str">
        <f>HLOOKUP(I$2+$A611,Sheet2!BX:NB,2,0)</f>
        <v>16-30 April 21</v>
      </c>
      <c r="I611" t="str">
        <f>IF(OR(HLOOKUP(I$2+$A611,Sheet2!BX:NB,$B611,0),HLOOKUP(I$2+$A611,Sheet2!BX:NB,$B611,0)&lt;&gt;""),HLOOKUP(I$2+$A611,Sheet2!BX:NB,$B611,0),"")</f>
        <v/>
      </c>
      <c r="J611" t="str">
        <f>IF(OR(HLOOKUP(J$2+$A611,Sheet2!BY:NC,$B611,0),HLOOKUP(J$2+$A611,Sheet2!BY:NC,$B611,0)&lt;&gt;""),HLOOKUP(J$2+$A611,Sheet2!BY:NC,$B611,0),"")</f>
        <v/>
      </c>
      <c r="K611" t="str">
        <f>IF(OR(HLOOKUP(K$2+$A611,Sheet2!BZ:ND,$B611,0),HLOOKUP(K$2+$A611,Sheet2!BZ:ND,$B611,0)&lt;&gt;""),HLOOKUP(K$2+$A611,Sheet2!BZ:ND,$B611,0),"")</f>
        <v/>
      </c>
      <c r="L611" t="str">
        <f>IF(OR(HLOOKUP(L$2+$A611,Sheet2!CA:NE,$B611,0),HLOOKUP(L$2+$A611,Sheet2!CA:NE,$B611,0)&lt;&gt;""),HLOOKUP(L$2+$A611,Sheet2!CA:NE,$B611,0),"")</f>
        <v/>
      </c>
      <c r="M611" t="str">
        <f>IF(OR(HLOOKUP(M$2+$A611,Sheet2!CB:NF,$B611,0),HLOOKUP(M$2+$A611,Sheet2!CB:NF,$B611,0)&lt;&gt;""),HLOOKUP(M$2+$A611,Sheet2!CB:NF,$B611,0),"")</f>
        <v/>
      </c>
    </row>
    <row r="612" spans="1:13" x14ac:dyDescent="0.25">
      <c r="A612" s="68">
        <f t="shared" si="63"/>
        <v>0</v>
      </c>
      <c r="B612" s="68">
        <f t="shared" si="64"/>
        <v>81</v>
      </c>
      <c r="C612" s="68">
        <f t="shared" si="66"/>
        <v>1</v>
      </c>
      <c r="D612" s="68">
        <f t="shared" si="65"/>
        <v>77</v>
      </c>
      <c r="E612" s="68">
        <f t="shared" si="67"/>
        <v>381</v>
      </c>
      <c r="F612" s="21" t="str">
        <f>VLOOKUP(D612,Sheet2!A:B,2)</f>
        <v>J19-1101</v>
      </c>
      <c r="G612" s="68" t="str">
        <f>VLOOKUP(F612,Sheet2!B:C,2,0)</f>
        <v>โครงการติดตั้งเครื่อง TOC</v>
      </c>
      <c r="H612" s="68" t="str">
        <f>HLOOKUP(I$2+$A612,Sheet2!BX:NB,2,0)</f>
        <v>1-15 Jan 21</v>
      </c>
      <c r="I612" t="str">
        <f>IF(OR(HLOOKUP(I$2+$A612,Sheet2!BX:NB,$B612,0),HLOOKUP(I$2+$A612,Sheet2!BX:NB,$B612,0)&lt;&gt;""),HLOOKUP(I$2+$A612,Sheet2!BX:NB,$B612,0),"")</f>
        <v/>
      </c>
      <c r="J612" t="str">
        <f>IF(OR(HLOOKUP(J$2+$A612,Sheet2!BY:NC,$B612,0),HLOOKUP(J$2+$A612,Sheet2!BY:NC,$B612,0)&lt;&gt;""),HLOOKUP(J$2+$A612,Sheet2!BY:NC,$B612,0),"")</f>
        <v/>
      </c>
      <c r="K612" t="str">
        <f>IF(OR(HLOOKUP(K$2+$A612,Sheet2!BZ:ND,$B612,0),HLOOKUP(K$2+$A612,Sheet2!BZ:ND,$B612,0)&lt;&gt;""),HLOOKUP(K$2+$A612,Sheet2!BZ:ND,$B612,0),"")</f>
        <v/>
      </c>
      <c r="L612" t="str">
        <f>IF(OR(HLOOKUP(L$2+$A612,Sheet2!CA:NE,$B612,0),HLOOKUP(L$2+$A612,Sheet2!CA:NE,$B612,0)&lt;&gt;""),HLOOKUP(L$2+$A612,Sheet2!CA:NE,$B612,0),"")</f>
        <v/>
      </c>
      <c r="M612" t="str">
        <f>IF(OR(HLOOKUP(M$2+$A612,Sheet2!CB:NF,$B612,0),HLOOKUP(M$2+$A612,Sheet2!CB:NF,$B612,0)&lt;&gt;""),HLOOKUP(M$2+$A612,Sheet2!CB:NF,$B612,0),"")</f>
        <v/>
      </c>
    </row>
    <row r="613" spans="1:13" x14ac:dyDescent="0.25">
      <c r="A613" s="68">
        <f t="shared" si="63"/>
        <v>5</v>
      </c>
      <c r="B613" s="68">
        <f t="shared" si="64"/>
        <v>81</v>
      </c>
      <c r="C613" s="68">
        <f t="shared" si="66"/>
        <v>2</v>
      </c>
      <c r="D613" s="68">
        <f t="shared" si="65"/>
        <v>77</v>
      </c>
      <c r="E613" s="68">
        <f t="shared" si="67"/>
        <v>381</v>
      </c>
      <c r="F613" s="21" t="str">
        <f>VLOOKUP(D613,Sheet2!A:B,2)</f>
        <v>J19-1101</v>
      </c>
      <c r="G613" s="68" t="str">
        <f>VLOOKUP(F613,Sheet2!B:C,2,0)</f>
        <v>โครงการติดตั้งเครื่อง TOC</v>
      </c>
      <c r="H613" s="68" t="str">
        <f>HLOOKUP(I$2+$A613,Sheet2!BX:NB,2,0)</f>
        <v>16-31 Jan 21</v>
      </c>
      <c r="I613" t="str">
        <f>IF(OR(HLOOKUP(I$2+$A613,Sheet2!BX:NB,$B613,0),HLOOKUP(I$2+$A613,Sheet2!BX:NB,$B613,0)&lt;&gt;""),HLOOKUP(I$2+$A613,Sheet2!BX:NB,$B613,0),"")</f>
        <v/>
      </c>
      <c r="J613" t="str">
        <f>IF(OR(HLOOKUP(J$2+$A613,Sheet2!BY:NC,$B613,0),HLOOKUP(J$2+$A613,Sheet2!BY:NC,$B613,0)&lt;&gt;""),HLOOKUP(J$2+$A613,Sheet2!BY:NC,$B613,0),"")</f>
        <v/>
      </c>
      <c r="K613" t="str">
        <f>IF(OR(HLOOKUP(K$2+$A613,Sheet2!BZ:ND,$B613,0),HLOOKUP(K$2+$A613,Sheet2!BZ:ND,$B613,0)&lt;&gt;""),HLOOKUP(K$2+$A613,Sheet2!BZ:ND,$B613,0),"")</f>
        <v/>
      </c>
      <c r="L613" t="str">
        <f>IF(OR(HLOOKUP(L$2+$A613,Sheet2!CA:NE,$B613,0),HLOOKUP(L$2+$A613,Sheet2!CA:NE,$B613,0)&lt;&gt;""),HLOOKUP(L$2+$A613,Sheet2!CA:NE,$B613,0),"")</f>
        <v/>
      </c>
      <c r="M613" t="str">
        <f>IF(OR(HLOOKUP(M$2+$A613,Sheet2!CB:NF,$B613,0),HLOOKUP(M$2+$A613,Sheet2!CB:NF,$B613,0)&lt;&gt;""),HLOOKUP(M$2+$A613,Sheet2!CB:NF,$B613,0),"")</f>
        <v/>
      </c>
    </row>
    <row r="614" spans="1:13" x14ac:dyDescent="0.25">
      <c r="A614" s="68">
        <f t="shared" si="63"/>
        <v>10</v>
      </c>
      <c r="B614" s="68">
        <f t="shared" si="64"/>
        <v>81</v>
      </c>
      <c r="C614" s="68">
        <f t="shared" si="66"/>
        <v>3</v>
      </c>
      <c r="D614" s="68">
        <f t="shared" si="65"/>
        <v>77</v>
      </c>
      <c r="E614" s="68">
        <f t="shared" si="67"/>
        <v>381</v>
      </c>
      <c r="F614" s="21" t="str">
        <f>VLOOKUP(D614,Sheet2!A:B,2)</f>
        <v>J19-1101</v>
      </c>
      <c r="G614" s="68" t="str">
        <f>VLOOKUP(F614,Sheet2!B:C,2,0)</f>
        <v>โครงการติดตั้งเครื่อง TOC</v>
      </c>
      <c r="H614" s="68" t="str">
        <f>HLOOKUP(I$2+$A614,Sheet2!BX:NB,2,0)</f>
        <v>1-15 Feb 21</v>
      </c>
      <c r="I614" t="str">
        <f>IF(OR(HLOOKUP(I$2+$A614,Sheet2!BX:NB,$B614,0),HLOOKUP(I$2+$A614,Sheet2!BX:NB,$B614,0)&lt;&gt;""),HLOOKUP(I$2+$A614,Sheet2!BX:NB,$B614,0),"")</f>
        <v/>
      </c>
      <c r="J614" t="str">
        <f>IF(OR(HLOOKUP(J$2+$A614,Sheet2!BY:NC,$B614,0),HLOOKUP(J$2+$A614,Sheet2!BY:NC,$B614,0)&lt;&gt;""),HLOOKUP(J$2+$A614,Sheet2!BY:NC,$B614,0),"")</f>
        <v/>
      </c>
      <c r="K614" t="str">
        <f>IF(OR(HLOOKUP(K$2+$A614,Sheet2!BZ:ND,$B614,0),HLOOKUP(K$2+$A614,Sheet2!BZ:ND,$B614,0)&lt;&gt;""),HLOOKUP(K$2+$A614,Sheet2!BZ:ND,$B614,0),"")</f>
        <v/>
      </c>
      <c r="L614" t="str">
        <f>IF(OR(HLOOKUP(L$2+$A614,Sheet2!CA:NE,$B614,0),HLOOKUP(L$2+$A614,Sheet2!CA:NE,$B614,0)&lt;&gt;""),HLOOKUP(L$2+$A614,Sheet2!CA:NE,$B614,0),"")</f>
        <v/>
      </c>
      <c r="M614" t="str">
        <f>IF(OR(HLOOKUP(M$2+$A614,Sheet2!CB:NF,$B614,0),HLOOKUP(M$2+$A614,Sheet2!CB:NF,$B614,0)&lt;&gt;""),HLOOKUP(M$2+$A614,Sheet2!CB:NF,$B614,0),"")</f>
        <v/>
      </c>
    </row>
    <row r="615" spans="1:13" x14ac:dyDescent="0.25">
      <c r="A615" s="68">
        <f t="shared" si="63"/>
        <v>15</v>
      </c>
      <c r="B615" s="68">
        <f t="shared" si="64"/>
        <v>81</v>
      </c>
      <c r="C615" s="68">
        <f t="shared" si="66"/>
        <v>4</v>
      </c>
      <c r="D615" s="68">
        <f t="shared" si="65"/>
        <v>77</v>
      </c>
      <c r="E615" s="68">
        <f t="shared" si="67"/>
        <v>381</v>
      </c>
      <c r="F615" s="21" t="str">
        <f>VLOOKUP(D615,Sheet2!A:B,2)</f>
        <v>J19-1101</v>
      </c>
      <c r="G615" s="68" t="str">
        <f>VLOOKUP(F615,Sheet2!B:C,2,0)</f>
        <v>โครงการติดตั้งเครื่อง TOC</v>
      </c>
      <c r="H615" s="68" t="str">
        <f>HLOOKUP(I$2+$A615,Sheet2!BX:NB,2,0)</f>
        <v>16-28 Feb 21</v>
      </c>
      <c r="I615" t="str">
        <f>IF(OR(HLOOKUP(I$2+$A615,Sheet2!BX:NB,$B615,0),HLOOKUP(I$2+$A615,Sheet2!BX:NB,$B615,0)&lt;&gt;""),HLOOKUP(I$2+$A615,Sheet2!BX:NB,$B615,0),"")</f>
        <v/>
      </c>
      <c r="J615" t="str">
        <f>IF(OR(HLOOKUP(J$2+$A615,Sheet2!BY:NC,$B615,0),HLOOKUP(J$2+$A615,Sheet2!BY:NC,$B615,0)&lt;&gt;""),HLOOKUP(J$2+$A615,Sheet2!BY:NC,$B615,0),"")</f>
        <v/>
      </c>
      <c r="K615" t="str">
        <f>IF(OR(HLOOKUP(K$2+$A615,Sheet2!BZ:ND,$B615,0),HLOOKUP(K$2+$A615,Sheet2!BZ:ND,$B615,0)&lt;&gt;""),HLOOKUP(K$2+$A615,Sheet2!BZ:ND,$B615,0),"")</f>
        <v/>
      </c>
      <c r="L615" t="str">
        <f>IF(OR(HLOOKUP(L$2+$A615,Sheet2!CA:NE,$B615,0),HLOOKUP(L$2+$A615,Sheet2!CA:NE,$B615,0)&lt;&gt;""),HLOOKUP(L$2+$A615,Sheet2!CA:NE,$B615,0),"")</f>
        <v/>
      </c>
      <c r="M615" t="str">
        <f>IF(OR(HLOOKUP(M$2+$A615,Sheet2!CB:NF,$B615,0),HLOOKUP(M$2+$A615,Sheet2!CB:NF,$B615,0)&lt;&gt;""),HLOOKUP(M$2+$A615,Sheet2!CB:NF,$B615,0),"")</f>
        <v/>
      </c>
    </row>
    <row r="616" spans="1:13" x14ac:dyDescent="0.25">
      <c r="A616" s="68">
        <f t="shared" si="63"/>
        <v>20</v>
      </c>
      <c r="B616" s="68">
        <f t="shared" si="64"/>
        <v>81</v>
      </c>
      <c r="C616" s="68">
        <f t="shared" si="66"/>
        <v>5</v>
      </c>
      <c r="D616" s="68">
        <f t="shared" si="65"/>
        <v>77</v>
      </c>
      <c r="E616" s="68">
        <f t="shared" si="67"/>
        <v>381</v>
      </c>
      <c r="F616" s="21" t="str">
        <f>VLOOKUP(D616,Sheet2!A:B,2)</f>
        <v>J19-1101</v>
      </c>
      <c r="G616" s="68" t="str">
        <f>VLOOKUP(F616,Sheet2!B:C,2,0)</f>
        <v>โครงการติดตั้งเครื่อง TOC</v>
      </c>
      <c r="H616" s="68" t="str">
        <f>HLOOKUP(I$2+$A616,Sheet2!BX:NB,2,0)</f>
        <v>1-15 Mar 2021</v>
      </c>
      <c r="I616" t="str">
        <f>IF(OR(HLOOKUP(I$2+$A616,Sheet2!BX:NB,$B616,0),HLOOKUP(I$2+$A616,Sheet2!BX:NB,$B616,0)&lt;&gt;""),HLOOKUP(I$2+$A616,Sheet2!BX:NB,$B616,0),"")</f>
        <v/>
      </c>
      <c r="J616" t="str">
        <f>IF(OR(HLOOKUP(J$2+$A616,Sheet2!BY:NC,$B616,0),HLOOKUP(J$2+$A616,Sheet2!BY:NC,$B616,0)&lt;&gt;""),HLOOKUP(J$2+$A616,Sheet2!BY:NC,$B616,0),"")</f>
        <v/>
      </c>
      <c r="K616" t="str">
        <f>IF(OR(HLOOKUP(K$2+$A616,Sheet2!BZ:ND,$B616,0),HLOOKUP(K$2+$A616,Sheet2!BZ:ND,$B616,0)&lt;&gt;""),HLOOKUP(K$2+$A616,Sheet2!BZ:ND,$B616,0),"")</f>
        <v/>
      </c>
      <c r="L616" t="str">
        <f>IF(OR(HLOOKUP(L$2+$A616,Sheet2!CA:NE,$B616,0),HLOOKUP(L$2+$A616,Sheet2!CA:NE,$B616,0)&lt;&gt;""),HLOOKUP(L$2+$A616,Sheet2!CA:NE,$B616,0),"")</f>
        <v/>
      </c>
      <c r="M616" t="str">
        <f>IF(OR(HLOOKUP(M$2+$A616,Sheet2!CB:NF,$B616,0),HLOOKUP(M$2+$A616,Sheet2!CB:NF,$B616,0)&lt;&gt;""),HLOOKUP(M$2+$A616,Sheet2!CB:NF,$B616,0),"")</f>
        <v/>
      </c>
    </row>
    <row r="617" spans="1:13" x14ac:dyDescent="0.25">
      <c r="A617" s="68">
        <f t="shared" si="63"/>
        <v>25</v>
      </c>
      <c r="B617" s="68">
        <f t="shared" si="64"/>
        <v>81</v>
      </c>
      <c r="C617" s="68">
        <f t="shared" si="66"/>
        <v>6</v>
      </c>
      <c r="D617" s="68">
        <f t="shared" si="65"/>
        <v>77</v>
      </c>
      <c r="E617" s="68">
        <f t="shared" si="67"/>
        <v>381</v>
      </c>
      <c r="F617" s="21" t="str">
        <f>VLOOKUP(D617,Sheet2!A:B,2)</f>
        <v>J19-1101</v>
      </c>
      <c r="G617" s="68" t="str">
        <f>VLOOKUP(F617,Sheet2!B:C,2,0)</f>
        <v>โครงการติดตั้งเครื่อง TOC</v>
      </c>
      <c r="H617" s="68" t="str">
        <f>HLOOKUP(I$2+$A617,Sheet2!BX:NB,2,0)</f>
        <v>16-31 Mar 21</v>
      </c>
      <c r="I617" t="str">
        <f>IF(OR(HLOOKUP(I$2+$A617,Sheet2!BX:NB,$B617,0),HLOOKUP(I$2+$A617,Sheet2!BX:NB,$B617,0)&lt;&gt;""),HLOOKUP(I$2+$A617,Sheet2!BX:NB,$B617,0),"")</f>
        <v/>
      </c>
      <c r="J617" t="str">
        <f>IF(OR(HLOOKUP(J$2+$A617,Sheet2!BY:NC,$B617,0),HLOOKUP(J$2+$A617,Sheet2!BY:NC,$B617,0)&lt;&gt;""),HLOOKUP(J$2+$A617,Sheet2!BY:NC,$B617,0),"")</f>
        <v/>
      </c>
      <c r="K617" t="str">
        <f>IF(OR(HLOOKUP(K$2+$A617,Sheet2!BZ:ND,$B617,0),HLOOKUP(K$2+$A617,Sheet2!BZ:ND,$B617,0)&lt;&gt;""),HLOOKUP(K$2+$A617,Sheet2!BZ:ND,$B617,0),"")</f>
        <v/>
      </c>
      <c r="L617" t="str">
        <f>IF(OR(HLOOKUP(L$2+$A617,Sheet2!CA:NE,$B617,0),HLOOKUP(L$2+$A617,Sheet2!CA:NE,$B617,0)&lt;&gt;""),HLOOKUP(L$2+$A617,Sheet2!CA:NE,$B617,0),"")</f>
        <v/>
      </c>
      <c r="M617" t="str">
        <f>IF(OR(HLOOKUP(M$2+$A617,Sheet2!CB:NF,$B617,0),HLOOKUP(M$2+$A617,Sheet2!CB:NF,$B617,0)&lt;&gt;""),HLOOKUP(M$2+$A617,Sheet2!CB:NF,$B617,0),"")</f>
        <v/>
      </c>
    </row>
    <row r="618" spans="1:13" x14ac:dyDescent="0.25">
      <c r="A618" s="68">
        <f t="shared" si="63"/>
        <v>30</v>
      </c>
      <c r="B618" s="68">
        <f t="shared" si="64"/>
        <v>81</v>
      </c>
      <c r="C618" s="68">
        <f t="shared" si="66"/>
        <v>7</v>
      </c>
      <c r="D618" s="68">
        <f t="shared" si="65"/>
        <v>77</v>
      </c>
      <c r="E618" s="68">
        <f t="shared" si="67"/>
        <v>381</v>
      </c>
      <c r="F618" s="21" t="str">
        <f>VLOOKUP(D618,Sheet2!A:B,2)</f>
        <v>J19-1101</v>
      </c>
      <c r="G618" s="68" t="str">
        <f>VLOOKUP(F618,Sheet2!B:C,2,0)</f>
        <v>โครงการติดตั้งเครื่อง TOC</v>
      </c>
      <c r="H618" s="68" t="str">
        <f>HLOOKUP(I$2+$A618,Sheet2!BX:NB,2,0)</f>
        <v>1-15 April 21</v>
      </c>
      <c r="I618" t="str">
        <f>IF(OR(HLOOKUP(I$2+$A618,Sheet2!BX:NB,$B618,0),HLOOKUP(I$2+$A618,Sheet2!BX:NB,$B618,0)&lt;&gt;""),HLOOKUP(I$2+$A618,Sheet2!BX:NB,$B618,0),"")</f>
        <v/>
      </c>
      <c r="J618" t="str">
        <f>IF(OR(HLOOKUP(J$2+$A618,Sheet2!BY:NC,$B618,0),HLOOKUP(J$2+$A618,Sheet2!BY:NC,$B618,0)&lt;&gt;""),HLOOKUP(J$2+$A618,Sheet2!BY:NC,$B618,0),"")</f>
        <v/>
      </c>
      <c r="K618" t="str">
        <f>IF(OR(HLOOKUP(K$2+$A618,Sheet2!BZ:ND,$B618,0),HLOOKUP(K$2+$A618,Sheet2!BZ:ND,$B618,0)&lt;&gt;""),HLOOKUP(K$2+$A618,Sheet2!BZ:ND,$B618,0),"")</f>
        <v/>
      </c>
      <c r="L618" t="str">
        <f>IF(OR(HLOOKUP(L$2+$A618,Sheet2!CA:NE,$B618,0),HLOOKUP(L$2+$A618,Sheet2!CA:NE,$B618,0)&lt;&gt;""),HLOOKUP(L$2+$A618,Sheet2!CA:NE,$B618,0),"")</f>
        <v/>
      </c>
      <c r="M618" t="str">
        <f>IF(OR(HLOOKUP(M$2+$A618,Sheet2!CB:NF,$B618,0),HLOOKUP(M$2+$A618,Sheet2!CB:NF,$B618,0)&lt;&gt;""),HLOOKUP(M$2+$A618,Sheet2!CB:NF,$B618,0),"")</f>
        <v/>
      </c>
    </row>
    <row r="619" spans="1:13" x14ac:dyDescent="0.25">
      <c r="A619" s="68">
        <f t="shared" si="63"/>
        <v>35</v>
      </c>
      <c r="B619" s="68">
        <f t="shared" si="64"/>
        <v>81</v>
      </c>
      <c r="C619" s="68">
        <f t="shared" si="66"/>
        <v>8</v>
      </c>
      <c r="D619" s="68">
        <f t="shared" si="65"/>
        <v>77</v>
      </c>
      <c r="E619" s="68">
        <f t="shared" si="67"/>
        <v>381</v>
      </c>
      <c r="F619" s="21" t="str">
        <f>VLOOKUP(D619,Sheet2!A:B,2)</f>
        <v>J19-1101</v>
      </c>
      <c r="G619" s="68" t="str">
        <f>VLOOKUP(F619,Sheet2!B:C,2,0)</f>
        <v>โครงการติดตั้งเครื่อง TOC</v>
      </c>
      <c r="H619" s="68" t="str">
        <f>HLOOKUP(I$2+$A619,Sheet2!BX:NB,2,0)</f>
        <v>16-30 April 21</v>
      </c>
      <c r="I619" t="str">
        <f>IF(OR(HLOOKUP(I$2+$A619,Sheet2!BX:NB,$B619,0),HLOOKUP(I$2+$A619,Sheet2!BX:NB,$B619,0)&lt;&gt;""),HLOOKUP(I$2+$A619,Sheet2!BX:NB,$B619,0),"")</f>
        <v/>
      </c>
      <c r="J619" t="str">
        <f>IF(OR(HLOOKUP(J$2+$A619,Sheet2!BY:NC,$B619,0),HLOOKUP(J$2+$A619,Sheet2!BY:NC,$B619,0)&lt;&gt;""),HLOOKUP(J$2+$A619,Sheet2!BY:NC,$B619,0),"")</f>
        <v/>
      </c>
      <c r="K619" t="str">
        <f>IF(OR(HLOOKUP(K$2+$A619,Sheet2!BZ:ND,$B619,0),HLOOKUP(K$2+$A619,Sheet2!BZ:ND,$B619,0)&lt;&gt;""),HLOOKUP(K$2+$A619,Sheet2!BZ:ND,$B619,0),"")</f>
        <v/>
      </c>
      <c r="L619" t="str">
        <f>IF(OR(HLOOKUP(L$2+$A619,Sheet2!CA:NE,$B619,0),HLOOKUP(L$2+$A619,Sheet2!CA:NE,$B619,0)&lt;&gt;""),HLOOKUP(L$2+$A619,Sheet2!CA:NE,$B619,0),"")</f>
        <v/>
      </c>
      <c r="M619" t="str">
        <f>IF(OR(HLOOKUP(M$2+$A619,Sheet2!CB:NF,$B619,0),HLOOKUP(M$2+$A619,Sheet2!CB:NF,$B619,0)&lt;&gt;""),HLOOKUP(M$2+$A619,Sheet2!CB:NF,$B619,0),"")</f>
        <v/>
      </c>
    </row>
    <row r="620" spans="1:13" x14ac:dyDescent="0.25">
      <c r="A620" s="68">
        <f t="shared" si="63"/>
        <v>0</v>
      </c>
      <c r="B620" s="68">
        <f t="shared" si="64"/>
        <v>82</v>
      </c>
      <c r="C620" s="68">
        <f t="shared" si="66"/>
        <v>1</v>
      </c>
      <c r="D620" s="68">
        <f t="shared" si="65"/>
        <v>78</v>
      </c>
      <c r="E620" s="68">
        <f t="shared" si="67"/>
        <v>386</v>
      </c>
      <c r="F620" s="21" t="str">
        <f>VLOOKUP(D620,Sheet2!A:B,2)</f>
        <v>J19-0931</v>
      </c>
      <c r="G620" s="68" t="str">
        <f>VLOOKUP(F620,Sheet2!B:C,2,0)</f>
        <v>งานเดินสายสัญญาณ on/off Valve Control รางA</v>
      </c>
      <c r="H620" s="68" t="str">
        <f>HLOOKUP(I$2+$A620,Sheet2!BX:NB,2,0)</f>
        <v>1-15 Jan 21</v>
      </c>
      <c r="I620" t="str">
        <f>IF(OR(HLOOKUP(I$2+$A620,Sheet2!BX:NB,$B620,0),HLOOKUP(I$2+$A620,Sheet2!BX:NB,$B620,0)&lt;&gt;""),HLOOKUP(I$2+$A620,Sheet2!BX:NB,$B620,0),"")</f>
        <v/>
      </c>
      <c r="J620" t="str">
        <f>IF(OR(HLOOKUP(J$2+$A620,Sheet2!BY:NC,$B620,0),HLOOKUP(J$2+$A620,Sheet2!BY:NC,$B620,0)&lt;&gt;""),HLOOKUP(J$2+$A620,Sheet2!BY:NC,$B620,0),"")</f>
        <v/>
      </c>
      <c r="K620" t="str">
        <f>IF(OR(HLOOKUP(K$2+$A620,Sheet2!BZ:ND,$B620,0),HLOOKUP(K$2+$A620,Sheet2!BZ:ND,$B620,0)&lt;&gt;""),HLOOKUP(K$2+$A620,Sheet2!BZ:ND,$B620,0),"")</f>
        <v/>
      </c>
      <c r="L620" t="str">
        <f>IF(OR(HLOOKUP(L$2+$A620,Sheet2!CA:NE,$B620,0),HLOOKUP(L$2+$A620,Sheet2!CA:NE,$B620,0)&lt;&gt;""),HLOOKUP(L$2+$A620,Sheet2!CA:NE,$B620,0),"")</f>
        <v/>
      </c>
      <c r="M620" t="str">
        <f>IF(OR(HLOOKUP(M$2+$A620,Sheet2!CB:NF,$B620,0),HLOOKUP(M$2+$A620,Sheet2!CB:NF,$B620,0)&lt;&gt;""),HLOOKUP(M$2+$A620,Sheet2!CB:NF,$B620,0),"")</f>
        <v/>
      </c>
    </row>
    <row r="621" spans="1:13" x14ac:dyDescent="0.25">
      <c r="A621" s="68">
        <f t="shared" si="63"/>
        <v>5</v>
      </c>
      <c r="B621" s="68">
        <f t="shared" si="64"/>
        <v>82</v>
      </c>
      <c r="C621" s="68">
        <f t="shared" si="66"/>
        <v>2</v>
      </c>
      <c r="D621" s="68">
        <f t="shared" si="65"/>
        <v>78</v>
      </c>
      <c r="E621" s="68">
        <f t="shared" si="67"/>
        <v>386</v>
      </c>
      <c r="F621" s="21" t="str">
        <f>VLOOKUP(D621,Sheet2!A:B,2)</f>
        <v>J19-0931</v>
      </c>
      <c r="G621" s="68" t="str">
        <f>VLOOKUP(F621,Sheet2!B:C,2,0)</f>
        <v>งานเดินสายสัญญาณ on/off Valve Control รางA</v>
      </c>
      <c r="H621" s="68" t="str">
        <f>HLOOKUP(I$2+$A621,Sheet2!BX:NB,2,0)</f>
        <v>16-31 Jan 21</v>
      </c>
      <c r="I621" t="str">
        <f>IF(OR(HLOOKUP(I$2+$A621,Sheet2!BX:NB,$B621,0),HLOOKUP(I$2+$A621,Sheet2!BX:NB,$B621,0)&lt;&gt;""),HLOOKUP(I$2+$A621,Sheet2!BX:NB,$B621,0),"")</f>
        <v/>
      </c>
      <c r="J621" t="str">
        <f>IF(OR(HLOOKUP(J$2+$A621,Sheet2!BY:NC,$B621,0),HLOOKUP(J$2+$A621,Sheet2!BY:NC,$B621,0)&lt;&gt;""),HLOOKUP(J$2+$A621,Sheet2!BY:NC,$B621,0),"")</f>
        <v/>
      </c>
      <c r="K621" t="str">
        <f>IF(OR(HLOOKUP(K$2+$A621,Sheet2!BZ:ND,$B621,0),HLOOKUP(K$2+$A621,Sheet2!BZ:ND,$B621,0)&lt;&gt;""),HLOOKUP(K$2+$A621,Sheet2!BZ:ND,$B621,0),"")</f>
        <v/>
      </c>
      <c r="L621" t="str">
        <f>IF(OR(HLOOKUP(L$2+$A621,Sheet2!CA:NE,$B621,0),HLOOKUP(L$2+$A621,Sheet2!CA:NE,$B621,0)&lt;&gt;""),HLOOKUP(L$2+$A621,Sheet2!CA:NE,$B621,0),"")</f>
        <v/>
      </c>
      <c r="M621" t="str">
        <f>IF(OR(HLOOKUP(M$2+$A621,Sheet2!CB:NF,$B621,0),HLOOKUP(M$2+$A621,Sheet2!CB:NF,$B621,0)&lt;&gt;""),HLOOKUP(M$2+$A621,Sheet2!CB:NF,$B621,0),"")</f>
        <v/>
      </c>
    </row>
    <row r="622" spans="1:13" x14ac:dyDescent="0.25">
      <c r="A622" s="68">
        <f t="shared" si="63"/>
        <v>10</v>
      </c>
      <c r="B622" s="68">
        <f t="shared" si="64"/>
        <v>82</v>
      </c>
      <c r="C622" s="68">
        <f t="shared" si="66"/>
        <v>3</v>
      </c>
      <c r="D622" s="68">
        <f t="shared" si="65"/>
        <v>78</v>
      </c>
      <c r="E622" s="68">
        <f t="shared" si="67"/>
        <v>386</v>
      </c>
      <c r="F622" s="21" t="str">
        <f>VLOOKUP(D622,Sheet2!A:B,2)</f>
        <v>J19-0931</v>
      </c>
      <c r="G622" s="68" t="str">
        <f>VLOOKUP(F622,Sheet2!B:C,2,0)</f>
        <v>งานเดินสายสัญญาณ on/off Valve Control รางA</v>
      </c>
      <c r="H622" s="68" t="str">
        <f>HLOOKUP(I$2+$A622,Sheet2!BX:NB,2,0)</f>
        <v>1-15 Feb 21</v>
      </c>
      <c r="I622" t="str">
        <f>IF(OR(HLOOKUP(I$2+$A622,Sheet2!BX:NB,$B622,0),HLOOKUP(I$2+$A622,Sheet2!BX:NB,$B622,0)&lt;&gt;""),HLOOKUP(I$2+$A622,Sheet2!BX:NB,$B622,0),"")</f>
        <v/>
      </c>
      <c r="J622" t="str">
        <f>IF(OR(HLOOKUP(J$2+$A622,Sheet2!BY:NC,$B622,0),HLOOKUP(J$2+$A622,Sheet2!BY:NC,$B622,0)&lt;&gt;""),HLOOKUP(J$2+$A622,Sheet2!BY:NC,$B622,0),"")</f>
        <v/>
      </c>
      <c r="K622" t="str">
        <f>IF(OR(HLOOKUP(K$2+$A622,Sheet2!BZ:ND,$B622,0),HLOOKUP(K$2+$A622,Sheet2!BZ:ND,$B622,0)&lt;&gt;""),HLOOKUP(K$2+$A622,Sheet2!BZ:ND,$B622,0),"")</f>
        <v/>
      </c>
      <c r="L622" t="str">
        <f>IF(OR(HLOOKUP(L$2+$A622,Sheet2!CA:NE,$B622,0),HLOOKUP(L$2+$A622,Sheet2!CA:NE,$B622,0)&lt;&gt;""),HLOOKUP(L$2+$A622,Sheet2!CA:NE,$B622,0),"")</f>
        <v/>
      </c>
      <c r="M622" t="str">
        <f>IF(OR(HLOOKUP(M$2+$A622,Sheet2!CB:NF,$B622,0),HLOOKUP(M$2+$A622,Sheet2!CB:NF,$B622,0)&lt;&gt;""),HLOOKUP(M$2+$A622,Sheet2!CB:NF,$B622,0),"")</f>
        <v/>
      </c>
    </row>
    <row r="623" spans="1:13" x14ac:dyDescent="0.25">
      <c r="A623" s="68">
        <f t="shared" si="63"/>
        <v>15</v>
      </c>
      <c r="B623" s="68">
        <f t="shared" si="64"/>
        <v>82</v>
      </c>
      <c r="C623" s="68">
        <f t="shared" si="66"/>
        <v>4</v>
      </c>
      <c r="D623" s="68">
        <f t="shared" si="65"/>
        <v>78</v>
      </c>
      <c r="E623" s="68">
        <f t="shared" si="67"/>
        <v>386</v>
      </c>
      <c r="F623" s="21" t="str">
        <f>VLOOKUP(D623,Sheet2!A:B,2)</f>
        <v>J19-0931</v>
      </c>
      <c r="G623" s="68" t="str">
        <f>VLOOKUP(F623,Sheet2!B:C,2,0)</f>
        <v>งานเดินสายสัญญาณ on/off Valve Control รางA</v>
      </c>
      <c r="H623" s="68" t="str">
        <f>HLOOKUP(I$2+$A623,Sheet2!BX:NB,2,0)</f>
        <v>16-28 Feb 21</v>
      </c>
      <c r="I623" t="str">
        <f>IF(OR(HLOOKUP(I$2+$A623,Sheet2!BX:NB,$B623,0),HLOOKUP(I$2+$A623,Sheet2!BX:NB,$B623,0)&lt;&gt;""),HLOOKUP(I$2+$A623,Sheet2!BX:NB,$B623,0),"")</f>
        <v/>
      </c>
      <c r="J623" t="str">
        <f>IF(OR(HLOOKUP(J$2+$A623,Sheet2!BY:NC,$B623,0),HLOOKUP(J$2+$A623,Sheet2!BY:NC,$B623,0)&lt;&gt;""),HLOOKUP(J$2+$A623,Sheet2!BY:NC,$B623,0),"")</f>
        <v/>
      </c>
      <c r="K623" t="str">
        <f>IF(OR(HLOOKUP(K$2+$A623,Sheet2!BZ:ND,$B623,0),HLOOKUP(K$2+$A623,Sheet2!BZ:ND,$B623,0)&lt;&gt;""),HLOOKUP(K$2+$A623,Sheet2!BZ:ND,$B623,0),"")</f>
        <v/>
      </c>
      <c r="L623" t="str">
        <f>IF(OR(HLOOKUP(L$2+$A623,Sheet2!CA:NE,$B623,0),HLOOKUP(L$2+$A623,Sheet2!CA:NE,$B623,0)&lt;&gt;""),HLOOKUP(L$2+$A623,Sheet2!CA:NE,$B623,0),"")</f>
        <v/>
      </c>
      <c r="M623" t="str">
        <f>IF(OR(HLOOKUP(M$2+$A623,Sheet2!CB:NF,$B623,0),HLOOKUP(M$2+$A623,Sheet2!CB:NF,$B623,0)&lt;&gt;""),HLOOKUP(M$2+$A623,Sheet2!CB:NF,$B623,0),"")</f>
        <v/>
      </c>
    </row>
    <row r="624" spans="1:13" x14ac:dyDescent="0.25">
      <c r="A624" s="68">
        <f t="shared" si="63"/>
        <v>20</v>
      </c>
      <c r="B624" s="68">
        <f t="shared" si="64"/>
        <v>82</v>
      </c>
      <c r="C624" s="68">
        <f t="shared" si="66"/>
        <v>5</v>
      </c>
      <c r="D624" s="68">
        <f t="shared" si="65"/>
        <v>78</v>
      </c>
      <c r="E624" s="68">
        <f t="shared" si="67"/>
        <v>386</v>
      </c>
      <c r="F624" s="21" t="str">
        <f>VLOOKUP(D624,Sheet2!A:B,2)</f>
        <v>J19-0931</v>
      </c>
      <c r="G624" s="68" t="str">
        <f>VLOOKUP(F624,Sheet2!B:C,2,0)</f>
        <v>งานเดินสายสัญญาณ on/off Valve Control รางA</v>
      </c>
      <c r="H624" s="68" t="str">
        <f>HLOOKUP(I$2+$A624,Sheet2!BX:NB,2,0)</f>
        <v>1-15 Mar 2021</v>
      </c>
      <c r="I624" t="str">
        <f>IF(OR(HLOOKUP(I$2+$A624,Sheet2!BX:NB,$B624,0),HLOOKUP(I$2+$A624,Sheet2!BX:NB,$B624,0)&lt;&gt;""),HLOOKUP(I$2+$A624,Sheet2!BX:NB,$B624,0),"")</f>
        <v/>
      </c>
      <c r="J624" t="str">
        <f>IF(OR(HLOOKUP(J$2+$A624,Sheet2!BY:NC,$B624,0),HLOOKUP(J$2+$A624,Sheet2!BY:NC,$B624,0)&lt;&gt;""),HLOOKUP(J$2+$A624,Sheet2!BY:NC,$B624,0),"")</f>
        <v/>
      </c>
      <c r="K624" t="str">
        <f>IF(OR(HLOOKUP(K$2+$A624,Sheet2!BZ:ND,$B624,0),HLOOKUP(K$2+$A624,Sheet2!BZ:ND,$B624,0)&lt;&gt;""),HLOOKUP(K$2+$A624,Sheet2!BZ:ND,$B624,0),"")</f>
        <v/>
      </c>
      <c r="L624" t="str">
        <f>IF(OR(HLOOKUP(L$2+$A624,Sheet2!CA:NE,$B624,0),HLOOKUP(L$2+$A624,Sheet2!CA:NE,$B624,0)&lt;&gt;""),HLOOKUP(L$2+$A624,Sheet2!CA:NE,$B624,0),"")</f>
        <v/>
      </c>
      <c r="M624" t="str">
        <f>IF(OR(HLOOKUP(M$2+$A624,Sheet2!CB:NF,$B624,0),HLOOKUP(M$2+$A624,Sheet2!CB:NF,$B624,0)&lt;&gt;""),HLOOKUP(M$2+$A624,Sheet2!CB:NF,$B624,0),"")</f>
        <v/>
      </c>
    </row>
    <row r="625" spans="1:13" x14ac:dyDescent="0.25">
      <c r="A625" s="68">
        <f t="shared" si="63"/>
        <v>25</v>
      </c>
      <c r="B625" s="68">
        <f t="shared" si="64"/>
        <v>82</v>
      </c>
      <c r="C625" s="68">
        <f t="shared" si="66"/>
        <v>6</v>
      </c>
      <c r="D625" s="68">
        <f t="shared" si="65"/>
        <v>78</v>
      </c>
      <c r="E625" s="68">
        <f t="shared" si="67"/>
        <v>386</v>
      </c>
      <c r="F625" s="21" t="str">
        <f>VLOOKUP(D625,Sheet2!A:B,2)</f>
        <v>J19-0931</v>
      </c>
      <c r="G625" s="68" t="str">
        <f>VLOOKUP(F625,Sheet2!B:C,2,0)</f>
        <v>งานเดินสายสัญญาณ on/off Valve Control รางA</v>
      </c>
      <c r="H625" s="68" t="str">
        <f>HLOOKUP(I$2+$A625,Sheet2!BX:NB,2,0)</f>
        <v>16-31 Mar 21</v>
      </c>
      <c r="I625" t="str">
        <f>IF(OR(HLOOKUP(I$2+$A625,Sheet2!BX:NB,$B625,0),HLOOKUP(I$2+$A625,Sheet2!BX:NB,$B625,0)&lt;&gt;""),HLOOKUP(I$2+$A625,Sheet2!BX:NB,$B625,0),"")</f>
        <v/>
      </c>
      <c r="J625" t="str">
        <f>IF(OR(HLOOKUP(J$2+$A625,Sheet2!BY:NC,$B625,0),HLOOKUP(J$2+$A625,Sheet2!BY:NC,$B625,0)&lt;&gt;""),HLOOKUP(J$2+$A625,Sheet2!BY:NC,$B625,0),"")</f>
        <v/>
      </c>
      <c r="K625" t="str">
        <f>IF(OR(HLOOKUP(K$2+$A625,Sheet2!BZ:ND,$B625,0),HLOOKUP(K$2+$A625,Sheet2!BZ:ND,$B625,0)&lt;&gt;""),HLOOKUP(K$2+$A625,Sheet2!BZ:ND,$B625,0),"")</f>
        <v/>
      </c>
      <c r="L625" t="str">
        <f>IF(OR(HLOOKUP(L$2+$A625,Sheet2!CA:NE,$B625,0),HLOOKUP(L$2+$A625,Sheet2!CA:NE,$B625,0)&lt;&gt;""),HLOOKUP(L$2+$A625,Sheet2!CA:NE,$B625,0),"")</f>
        <v/>
      </c>
      <c r="M625" t="str">
        <f>IF(OR(HLOOKUP(M$2+$A625,Sheet2!CB:NF,$B625,0),HLOOKUP(M$2+$A625,Sheet2!CB:NF,$B625,0)&lt;&gt;""),HLOOKUP(M$2+$A625,Sheet2!CB:NF,$B625,0),"")</f>
        <v/>
      </c>
    </row>
    <row r="626" spans="1:13" x14ac:dyDescent="0.25">
      <c r="A626" s="68">
        <f t="shared" si="63"/>
        <v>30</v>
      </c>
      <c r="B626" s="68">
        <f t="shared" si="64"/>
        <v>82</v>
      </c>
      <c r="C626" s="68">
        <f t="shared" si="66"/>
        <v>7</v>
      </c>
      <c r="D626" s="68">
        <f t="shared" si="65"/>
        <v>78</v>
      </c>
      <c r="E626" s="68">
        <f t="shared" si="67"/>
        <v>386</v>
      </c>
      <c r="F626" s="21" t="str">
        <f>VLOOKUP(D626,Sheet2!A:B,2)</f>
        <v>J19-0931</v>
      </c>
      <c r="G626" s="68" t="str">
        <f>VLOOKUP(F626,Sheet2!B:C,2,0)</f>
        <v>งานเดินสายสัญญาณ on/off Valve Control รางA</v>
      </c>
      <c r="H626" s="68" t="str">
        <f>HLOOKUP(I$2+$A626,Sheet2!BX:NB,2,0)</f>
        <v>1-15 April 21</v>
      </c>
      <c r="I626" t="str">
        <f>IF(OR(HLOOKUP(I$2+$A626,Sheet2!BX:NB,$B626,0),HLOOKUP(I$2+$A626,Sheet2!BX:NB,$B626,0)&lt;&gt;""),HLOOKUP(I$2+$A626,Sheet2!BX:NB,$B626,0),"")</f>
        <v/>
      </c>
      <c r="J626" t="str">
        <f>IF(OR(HLOOKUP(J$2+$A626,Sheet2!BY:NC,$B626,0),HLOOKUP(J$2+$A626,Sheet2!BY:NC,$B626,0)&lt;&gt;""),HLOOKUP(J$2+$A626,Sheet2!BY:NC,$B626,0),"")</f>
        <v/>
      </c>
      <c r="K626" t="str">
        <f>IF(OR(HLOOKUP(K$2+$A626,Sheet2!BZ:ND,$B626,0),HLOOKUP(K$2+$A626,Sheet2!BZ:ND,$B626,0)&lt;&gt;""),HLOOKUP(K$2+$A626,Sheet2!BZ:ND,$B626,0),"")</f>
        <v/>
      </c>
      <c r="L626" t="str">
        <f>IF(OR(HLOOKUP(L$2+$A626,Sheet2!CA:NE,$B626,0),HLOOKUP(L$2+$A626,Sheet2!CA:NE,$B626,0)&lt;&gt;""),HLOOKUP(L$2+$A626,Sheet2!CA:NE,$B626,0),"")</f>
        <v/>
      </c>
      <c r="M626" t="str">
        <f>IF(OR(HLOOKUP(M$2+$A626,Sheet2!CB:NF,$B626,0),HLOOKUP(M$2+$A626,Sheet2!CB:NF,$B626,0)&lt;&gt;""),HLOOKUP(M$2+$A626,Sheet2!CB:NF,$B626,0),"")</f>
        <v/>
      </c>
    </row>
    <row r="627" spans="1:13" x14ac:dyDescent="0.25">
      <c r="A627" s="68">
        <f t="shared" si="63"/>
        <v>35</v>
      </c>
      <c r="B627" s="68">
        <f t="shared" si="64"/>
        <v>82</v>
      </c>
      <c r="C627" s="68">
        <f t="shared" si="66"/>
        <v>8</v>
      </c>
      <c r="D627" s="68">
        <f t="shared" si="65"/>
        <v>78</v>
      </c>
      <c r="E627" s="68">
        <f t="shared" si="67"/>
        <v>386</v>
      </c>
      <c r="F627" s="21" t="str">
        <f>VLOOKUP(D627,Sheet2!A:B,2)</f>
        <v>J19-0931</v>
      </c>
      <c r="G627" s="68" t="str">
        <f>VLOOKUP(F627,Sheet2!B:C,2,0)</f>
        <v>งานเดินสายสัญญาณ on/off Valve Control รางA</v>
      </c>
      <c r="H627" s="68" t="str">
        <f>HLOOKUP(I$2+$A627,Sheet2!BX:NB,2,0)</f>
        <v>16-30 April 21</v>
      </c>
      <c r="I627" t="str">
        <f>IF(OR(HLOOKUP(I$2+$A627,Sheet2!BX:NB,$B627,0),HLOOKUP(I$2+$A627,Sheet2!BX:NB,$B627,0)&lt;&gt;""),HLOOKUP(I$2+$A627,Sheet2!BX:NB,$B627,0),"")</f>
        <v/>
      </c>
      <c r="J627" t="str">
        <f>IF(OR(HLOOKUP(J$2+$A627,Sheet2!BY:NC,$B627,0),HLOOKUP(J$2+$A627,Sheet2!BY:NC,$B627,0)&lt;&gt;""),HLOOKUP(J$2+$A627,Sheet2!BY:NC,$B627,0),"")</f>
        <v/>
      </c>
      <c r="K627" t="str">
        <f>IF(OR(HLOOKUP(K$2+$A627,Sheet2!BZ:ND,$B627,0),HLOOKUP(K$2+$A627,Sheet2!BZ:ND,$B627,0)&lt;&gt;""),HLOOKUP(K$2+$A627,Sheet2!BZ:ND,$B627,0),"")</f>
        <v/>
      </c>
      <c r="L627" t="str">
        <f>IF(OR(HLOOKUP(L$2+$A627,Sheet2!CA:NE,$B627,0),HLOOKUP(L$2+$A627,Sheet2!CA:NE,$B627,0)&lt;&gt;""),HLOOKUP(L$2+$A627,Sheet2!CA:NE,$B627,0),"")</f>
        <v/>
      </c>
      <c r="M627" t="str">
        <f>IF(OR(HLOOKUP(M$2+$A627,Sheet2!CB:NF,$B627,0),HLOOKUP(M$2+$A627,Sheet2!CB:NF,$B627,0)&lt;&gt;""),HLOOKUP(M$2+$A627,Sheet2!CB:NF,$B627,0),"")</f>
        <v/>
      </c>
    </row>
    <row r="628" spans="1:13" x14ac:dyDescent="0.25">
      <c r="A628" s="68">
        <f t="shared" si="63"/>
        <v>0</v>
      </c>
      <c r="B628" s="68">
        <f t="shared" si="64"/>
        <v>83</v>
      </c>
      <c r="C628" s="68">
        <f t="shared" si="66"/>
        <v>1</v>
      </c>
      <c r="D628" s="68">
        <f t="shared" si="65"/>
        <v>79</v>
      </c>
      <c r="E628" s="68">
        <f t="shared" si="67"/>
        <v>391</v>
      </c>
      <c r="F628" s="21" t="str">
        <f>VLOOKUP(D628,Sheet2!A:B,2)</f>
        <v>J19-1155</v>
      </c>
      <c r="G628" s="68" t="str">
        <f>VLOOKUP(F628,Sheet2!B:C,2,0)</f>
        <v xml:space="preserve"> Offline Vibration Sensors for Unsafety Inspection</v>
      </c>
      <c r="H628" s="68" t="str">
        <f>HLOOKUP(I$2+$A628,Sheet2!BX:NB,2,0)</f>
        <v>1-15 Jan 21</v>
      </c>
      <c r="I628" t="str">
        <f>IF(OR(HLOOKUP(I$2+$A628,Sheet2!BX:NB,$B628,0),HLOOKUP(I$2+$A628,Sheet2!BX:NB,$B628,0)&lt;&gt;""),HLOOKUP(I$2+$A628,Sheet2!BX:NB,$B628,0),"")</f>
        <v/>
      </c>
      <c r="J628" t="str">
        <f>IF(OR(HLOOKUP(J$2+$A628,Sheet2!BY:NC,$B628,0),HLOOKUP(J$2+$A628,Sheet2!BY:NC,$B628,0)&lt;&gt;""),HLOOKUP(J$2+$A628,Sheet2!BY:NC,$B628,0),"")</f>
        <v/>
      </c>
      <c r="K628" t="str">
        <f>IF(OR(HLOOKUP(K$2+$A628,Sheet2!BZ:ND,$B628,0),HLOOKUP(K$2+$A628,Sheet2!BZ:ND,$B628,0)&lt;&gt;""),HLOOKUP(K$2+$A628,Sheet2!BZ:ND,$B628,0),"")</f>
        <v/>
      </c>
      <c r="L628" t="str">
        <f>IF(OR(HLOOKUP(L$2+$A628,Sheet2!CA:NE,$B628,0),HLOOKUP(L$2+$A628,Sheet2!CA:NE,$B628,0)&lt;&gt;""),HLOOKUP(L$2+$A628,Sheet2!CA:NE,$B628,0),"")</f>
        <v/>
      </c>
      <c r="M628" t="str">
        <f>IF(OR(HLOOKUP(M$2+$A628,Sheet2!CB:NF,$B628,0),HLOOKUP(M$2+$A628,Sheet2!CB:NF,$B628,0)&lt;&gt;""),HLOOKUP(M$2+$A628,Sheet2!CB:NF,$B628,0),"")</f>
        <v/>
      </c>
    </row>
    <row r="629" spans="1:13" x14ac:dyDescent="0.25">
      <c r="A629" s="68">
        <f t="shared" si="63"/>
        <v>5</v>
      </c>
      <c r="B629" s="68">
        <f t="shared" si="64"/>
        <v>83</v>
      </c>
      <c r="C629" s="68">
        <f t="shared" si="66"/>
        <v>2</v>
      </c>
      <c r="D629" s="68">
        <f t="shared" si="65"/>
        <v>79</v>
      </c>
      <c r="E629" s="68">
        <f t="shared" si="67"/>
        <v>391</v>
      </c>
      <c r="F629" s="21" t="str">
        <f>VLOOKUP(D629,Sheet2!A:B,2)</f>
        <v>J19-1155</v>
      </c>
      <c r="G629" s="68" t="str">
        <f>VLOOKUP(F629,Sheet2!B:C,2,0)</f>
        <v xml:space="preserve"> Offline Vibration Sensors for Unsafety Inspection</v>
      </c>
      <c r="H629" s="68" t="str">
        <f>HLOOKUP(I$2+$A629,Sheet2!BX:NB,2,0)</f>
        <v>16-31 Jan 21</v>
      </c>
      <c r="I629" t="str">
        <f>IF(OR(HLOOKUP(I$2+$A629,Sheet2!BX:NB,$B629,0),HLOOKUP(I$2+$A629,Sheet2!BX:NB,$B629,0)&lt;&gt;""),HLOOKUP(I$2+$A629,Sheet2!BX:NB,$B629,0),"")</f>
        <v/>
      </c>
      <c r="J629" t="str">
        <f>IF(OR(HLOOKUP(J$2+$A629,Sheet2!BY:NC,$B629,0),HLOOKUP(J$2+$A629,Sheet2!BY:NC,$B629,0)&lt;&gt;""),HLOOKUP(J$2+$A629,Sheet2!BY:NC,$B629,0),"")</f>
        <v/>
      </c>
      <c r="K629" t="str">
        <f>IF(OR(HLOOKUP(K$2+$A629,Sheet2!BZ:ND,$B629,0),HLOOKUP(K$2+$A629,Sheet2!BZ:ND,$B629,0)&lt;&gt;""),HLOOKUP(K$2+$A629,Sheet2!BZ:ND,$B629,0),"")</f>
        <v/>
      </c>
      <c r="L629" t="str">
        <f>IF(OR(HLOOKUP(L$2+$A629,Sheet2!CA:NE,$B629,0),HLOOKUP(L$2+$A629,Sheet2!CA:NE,$B629,0)&lt;&gt;""),HLOOKUP(L$2+$A629,Sheet2!CA:NE,$B629,0),"")</f>
        <v/>
      </c>
      <c r="M629" t="str">
        <f>IF(OR(HLOOKUP(M$2+$A629,Sheet2!CB:NF,$B629,0),HLOOKUP(M$2+$A629,Sheet2!CB:NF,$B629,0)&lt;&gt;""),HLOOKUP(M$2+$A629,Sheet2!CB:NF,$B629,0),"")</f>
        <v/>
      </c>
    </row>
    <row r="630" spans="1:13" x14ac:dyDescent="0.25">
      <c r="A630" s="68">
        <f t="shared" ref="A630:A693" si="68">IF(C630&lt;&gt;1,A629+5,0)</f>
        <v>10</v>
      </c>
      <c r="B630" s="68">
        <f t="shared" ref="B630:B693" si="69">IF(C630&lt;&gt;1,B629,B629+1)</f>
        <v>83</v>
      </c>
      <c r="C630" s="68">
        <f t="shared" si="66"/>
        <v>3</v>
      </c>
      <c r="D630" s="68">
        <f t="shared" ref="D630:D693" si="70">IF(C630=1,D629+1,D629)</f>
        <v>79</v>
      </c>
      <c r="E630" s="68">
        <f t="shared" si="67"/>
        <v>391</v>
      </c>
      <c r="F630" s="21" t="str">
        <f>VLOOKUP(D630,Sheet2!A:B,2)</f>
        <v>J19-1155</v>
      </c>
      <c r="G630" s="68" t="str">
        <f>VLOOKUP(F630,Sheet2!B:C,2,0)</f>
        <v xml:space="preserve"> Offline Vibration Sensors for Unsafety Inspection</v>
      </c>
      <c r="H630" s="68" t="str">
        <f>HLOOKUP(I$2+$A630,Sheet2!BX:NB,2,0)</f>
        <v>1-15 Feb 21</v>
      </c>
      <c r="I630" t="str">
        <f>IF(OR(HLOOKUP(I$2+$A630,Sheet2!BX:NB,$B630,0),HLOOKUP(I$2+$A630,Sheet2!BX:NB,$B630,0)&lt;&gt;""),HLOOKUP(I$2+$A630,Sheet2!BX:NB,$B630,0),"")</f>
        <v/>
      </c>
      <c r="J630" t="str">
        <f>IF(OR(HLOOKUP(J$2+$A630,Sheet2!BY:NC,$B630,0),HLOOKUP(J$2+$A630,Sheet2!BY:NC,$B630,0)&lt;&gt;""),HLOOKUP(J$2+$A630,Sheet2!BY:NC,$B630,0),"")</f>
        <v/>
      </c>
      <c r="K630" t="str">
        <f>IF(OR(HLOOKUP(K$2+$A630,Sheet2!BZ:ND,$B630,0),HLOOKUP(K$2+$A630,Sheet2!BZ:ND,$B630,0)&lt;&gt;""),HLOOKUP(K$2+$A630,Sheet2!BZ:ND,$B630,0),"")</f>
        <v/>
      </c>
      <c r="L630" t="str">
        <f>IF(OR(HLOOKUP(L$2+$A630,Sheet2!CA:NE,$B630,0),HLOOKUP(L$2+$A630,Sheet2!CA:NE,$B630,0)&lt;&gt;""),HLOOKUP(L$2+$A630,Sheet2!CA:NE,$B630,0),"")</f>
        <v/>
      </c>
      <c r="M630" t="str">
        <f>IF(OR(HLOOKUP(M$2+$A630,Sheet2!CB:NF,$B630,0),HLOOKUP(M$2+$A630,Sheet2!CB:NF,$B630,0)&lt;&gt;""),HLOOKUP(M$2+$A630,Sheet2!CB:NF,$B630,0),"")</f>
        <v/>
      </c>
    </row>
    <row r="631" spans="1:13" x14ac:dyDescent="0.25">
      <c r="A631" s="68">
        <f t="shared" si="68"/>
        <v>15</v>
      </c>
      <c r="B631" s="68">
        <f t="shared" si="69"/>
        <v>83</v>
      </c>
      <c r="C631" s="68">
        <f t="shared" si="66"/>
        <v>4</v>
      </c>
      <c r="D631" s="68">
        <f t="shared" si="70"/>
        <v>79</v>
      </c>
      <c r="E631" s="68">
        <f t="shared" si="67"/>
        <v>391</v>
      </c>
      <c r="F631" s="21" t="str">
        <f>VLOOKUP(D631,Sheet2!A:B,2)</f>
        <v>J19-1155</v>
      </c>
      <c r="G631" s="68" t="str">
        <f>VLOOKUP(F631,Sheet2!B:C,2,0)</f>
        <v xml:space="preserve"> Offline Vibration Sensors for Unsafety Inspection</v>
      </c>
      <c r="H631" s="68" t="str">
        <f>HLOOKUP(I$2+$A631,Sheet2!BX:NB,2,0)</f>
        <v>16-28 Feb 21</v>
      </c>
      <c r="I631" t="str">
        <f>IF(OR(HLOOKUP(I$2+$A631,Sheet2!BX:NB,$B631,0),HLOOKUP(I$2+$A631,Sheet2!BX:NB,$B631,0)&lt;&gt;""),HLOOKUP(I$2+$A631,Sheet2!BX:NB,$B631,0),"")</f>
        <v/>
      </c>
      <c r="J631" t="str">
        <f>IF(OR(HLOOKUP(J$2+$A631,Sheet2!BY:NC,$B631,0),HLOOKUP(J$2+$A631,Sheet2!BY:NC,$B631,0)&lt;&gt;""),HLOOKUP(J$2+$A631,Sheet2!BY:NC,$B631,0),"")</f>
        <v/>
      </c>
      <c r="K631" t="str">
        <f>IF(OR(HLOOKUP(K$2+$A631,Sheet2!BZ:ND,$B631,0),HLOOKUP(K$2+$A631,Sheet2!BZ:ND,$B631,0)&lt;&gt;""),HLOOKUP(K$2+$A631,Sheet2!BZ:ND,$B631,0),"")</f>
        <v/>
      </c>
      <c r="L631" t="str">
        <f>IF(OR(HLOOKUP(L$2+$A631,Sheet2!CA:NE,$B631,0),HLOOKUP(L$2+$A631,Sheet2!CA:NE,$B631,0)&lt;&gt;""),HLOOKUP(L$2+$A631,Sheet2!CA:NE,$B631,0),"")</f>
        <v/>
      </c>
      <c r="M631" t="str">
        <f>IF(OR(HLOOKUP(M$2+$A631,Sheet2!CB:NF,$B631,0),HLOOKUP(M$2+$A631,Sheet2!CB:NF,$B631,0)&lt;&gt;""),HLOOKUP(M$2+$A631,Sheet2!CB:NF,$B631,0),"")</f>
        <v/>
      </c>
    </row>
    <row r="632" spans="1:13" x14ac:dyDescent="0.25">
      <c r="A632" s="68">
        <f t="shared" si="68"/>
        <v>20</v>
      </c>
      <c r="B632" s="68">
        <f t="shared" si="69"/>
        <v>83</v>
      </c>
      <c r="C632" s="68">
        <f t="shared" si="66"/>
        <v>5</v>
      </c>
      <c r="D632" s="68">
        <f t="shared" si="70"/>
        <v>79</v>
      </c>
      <c r="E632" s="68">
        <f t="shared" si="67"/>
        <v>391</v>
      </c>
      <c r="F632" s="21" t="str">
        <f>VLOOKUP(D632,Sheet2!A:B,2)</f>
        <v>J19-1155</v>
      </c>
      <c r="G632" s="68" t="str">
        <f>VLOOKUP(F632,Sheet2!B:C,2,0)</f>
        <v xml:space="preserve"> Offline Vibration Sensors for Unsafety Inspection</v>
      </c>
      <c r="H632" s="68" t="str">
        <f>HLOOKUP(I$2+$A632,Sheet2!BX:NB,2,0)</f>
        <v>1-15 Mar 2021</v>
      </c>
      <c r="I632" t="str">
        <f>IF(OR(HLOOKUP(I$2+$A632,Sheet2!BX:NB,$B632,0),HLOOKUP(I$2+$A632,Sheet2!BX:NB,$B632,0)&lt;&gt;""),HLOOKUP(I$2+$A632,Sheet2!BX:NB,$B632,0),"")</f>
        <v/>
      </c>
      <c r="J632" t="str">
        <f>IF(OR(HLOOKUP(J$2+$A632,Sheet2!BY:NC,$B632,0),HLOOKUP(J$2+$A632,Sheet2!BY:NC,$B632,0)&lt;&gt;""),HLOOKUP(J$2+$A632,Sheet2!BY:NC,$B632,0),"")</f>
        <v/>
      </c>
      <c r="K632" t="str">
        <f>IF(OR(HLOOKUP(K$2+$A632,Sheet2!BZ:ND,$B632,0),HLOOKUP(K$2+$A632,Sheet2!BZ:ND,$B632,0)&lt;&gt;""),HLOOKUP(K$2+$A632,Sheet2!BZ:ND,$B632,0),"")</f>
        <v/>
      </c>
      <c r="L632" t="str">
        <f>IF(OR(HLOOKUP(L$2+$A632,Sheet2!CA:NE,$B632,0),HLOOKUP(L$2+$A632,Sheet2!CA:NE,$B632,0)&lt;&gt;""),HLOOKUP(L$2+$A632,Sheet2!CA:NE,$B632,0),"")</f>
        <v/>
      </c>
      <c r="M632" t="str">
        <f>IF(OR(HLOOKUP(M$2+$A632,Sheet2!CB:NF,$B632,0),HLOOKUP(M$2+$A632,Sheet2!CB:NF,$B632,0)&lt;&gt;""),HLOOKUP(M$2+$A632,Sheet2!CB:NF,$B632,0),"")</f>
        <v/>
      </c>
    </row>
    <row r="633" spans="1:13" x14ac:dyDescent="0.25">
      <c r="A633" s="68">
        <f t="shared" si="68"/>
        <v>25</v>
      </c>
      <c r="B633" s="68">
        <f t="shared" si="69"/>
        <v>83</v>
      </c>
      <c r="C633" s="68">
        <f t="shared" si="66"/>
        <v>6</v>
      </c>
      <c r="D633" s="68">
        <f t="shared" si="70"/>
        <v>79</v>
      </c>
      <c r="E633" s="68">
        <f t="shared" si="67"/>
        <v>391</v>
      </c>
      <c r="F633" s="21" t="str">
        <f>VLOOKUP(D633,Sheet2!A:B,2)</f>
        <v>J19-1155</v>
      </c>
      <c r="G633" s="68" t="str">
        <f>VLOOKUP(F633,Sheet2!B:C,2,0)</f>
        <v xml:space="preserve"> Offline Vibration Sensors for Unsafety Inspection</v>
      </c>
      <c r="H633" s="68" t="str">
        <f>HLOOKUP(I$2+$A633,Sheet2!BX:NB,2,0)</f>
        <v>16-31 Mar 21</v>
      </c>
      <c r="I633" t="str">
        <f>IF(OR(HLOOKUP(I$2+$A633,Sheet2!BX:NB,$B633,0),HLOOKUP(I$2+$A633,Sheet2!BX:NB,$B633,0)&lt;&gt;""),HLOOKUP(I$2+$A633,Sheet2!BX:NB,$B633,0),"")</f>
        <v/>
      </c>
      <c r="J633" t="str">
        <f>IF(OR(HLOOKUP(J$2+$A633,Sheet2!BY:NC,$B633,0),HLOOKUP(J$2+$A633,Sheet2!BY:NC,$B633,0)&lt;&gt;""),HLOOKUP(J$2+$A633,Sheet2!BY:NC,$B633,0),"")</f>
        <v/>
      </c>
      <c r="K633" t="str">
        <f>IF(OR(HLOOKUP(K$2+$A633,Sheet2!BZ:ND,$B633,0),HLOOKUP(K$2+$A633,Sheet2!BZ:ND,$B633,0)&lt;&gt;""),HLOOKUP(K$2+$A633,Sheet2!BZ:ND,$B633,0),"")</f>
        <v/>
      </c>
      <c r="L633" t="str">
        <f>IF(OR(HLOOKUP(L$2+$A633,Sheet2!CA:NE,$B633,0),HLOOKUP(L$2+$A633,Sheet2!CA:NE,$B633,0)&lt;&gt;""),HLOOKUP(L$2+$A633,Sheet2!CA:NE,$B633,0),"")</f>
        <v/>
      </c>
      <c r="M633" t="str">
        <f>IF(OR(HLOOKUP(M$2+$A633,Sheet2!CB:NF,$B633,0),HLOOKUP(M$2+$A633,Sheet2!CB:NF,$B633,0)&lt;&gt;""),HLOOKUP(M$2+$A633,Sheet2!CB:NF,$B633,0),"")</f>
        <v/>
      </c>
    </row>
    <row r="634" spans="1:13" x14ac:dyDescent="0.25">
      <c r="A634" s="68">
        <f t="shared" si="68"/>
        <v>30</v>
      </c>
      <c r="B634" s="68">
        <f t="shared" si="69"/>
        <v>83</v>
      </c>
      <c r="C634" s="68">
        <f t="shared" si="66"/>
        <v>7</v>
      </c>
      <c r="D634" s="68">
        <f t="shared" si="70"/>
        <v>79</v>
      </c>
      <c r="E634" s="68">
        <f t="shared" si="67"/>
        <v>391</v>
      </c>
      <c r="F634" s="21" t="str">
        <f>VLOOKUP(D634,Sheet2!A:B,2)</f>
        <v>J19-1155</v>
      </c>
      <c r="G634" s="68" t="str">
        <f>VLOOKUP(F634,Sheet2!B:C,2,0)</f>
        <v xml:space="preserve"> Offline Vibration Sensors for Unsafety Inspection</v>
      </c>
      <c r="H634" s="68" t="str">
        <f>HLOOKUP(I$2+$A634,Sheet2!BX:NB,2,0)</f>
        <v>1-15 April 21</v>
      </c>
      <c r="I634" t="str">
        <f>IF(OR(HLOOKUP(I$2+$A634,Sheet2!BX:NB,$B634,0),HLOOKUP(I$2+$A634,Sheet2!BX:NB,$B634,0)&lt;&gt;""),HLOOKUP(I$2+$A634,Sheet2!BX:NB,$B634,0),"")</f>
        <v/>
      </c>
      <c r="J634" t="str">
        <f>IF(OR(HLOOKUP(J$2+$A634,Sheet2!BY:NC,$B634,0),HLOOKUP(J$2+$A634,Sheet2!BY:NC,$B634,0)&lt;&gt;""),HLOOKUP(J$2+$A634,Sheet2!BY:NC,$B634,0),"")</f>
        <v/>
      </c>
      <c r="K634" t="str">
        <f>IF(OR(HLOOKUP(K$2+$A634,Sheet2!BZ:ND,$B634,0),HLOOKUP(K$2+$A634,Sheet2!BZ:ND,$B634,0)&lt;&gt;""),HLOOKUP(K$2+$A634,Sheet2!BZ:ND,$B634,0),"")</f>
        <v/>
      </c>
      <c r="L634" t="str">
        <f>IF(OR(HLOOKUP(L$2+$A634,Sheet2!CA:NE,$B634,0),HLOOKUP(L$2+$A634,Sheet2!CA:NE,$B634,0)&lt;&gt;""),HLOOKUP(L$2+$A634,Sheet2!CA:NE,$B634,0),"")</f>
        <v/>
      </c>
      <c r="M634" t="str">
        <f>IF(OR(HLOOKUP(M$2+$A634,Sheet2!CB:NF,$B634,0),HLOOKUP(M$2+$A634,Sheet2!CB:NF,$B634,0)&lt;&gt;""),HLOOKUP(M$2+$A634,Sheet2!CB:NF,$B634,0),"")</f>
        <v/>
      </c>
    </row>
    <row r="635" spans="1:13" x14ac:dyDescent="0.25">
      <c r="A635" s="68">
        <f t="shared" si="68"/>
        <v>35</v>
      </c>
      <c r="B635" s="68">
        <f t="shared" si="69"/>
        <v>83</v>
      </c>
      <c r="C635" s="68">
        <f t="shared" si="66"/>
        <v>8</v>
      </c>
      <c r="D635" s="68">
        <f t="shared" si="70"/>
        <v>79</v>
      </c>
      <c r="E635" s="68">
        <f t="shared" si="67"/>
        <v>391</v>
      </c>
      <c r="F635" s="21" t="str">
        <f>VLOOKUP(D635,Sheet2!A:B,2)</f>
        <v>J19-1155</v>
      </c>
      <c r="G635" s="68" t="str">
        <f>VLOOKUP(F635,Sheet2!B:C,2,0)</f>
        <v xml:space="preserve"> Offline Vibration Sensors for Unsafety Inspection</v>
      </c>
      <c r="H635" s="68" t="str">
        <f>HLOOKUP(I$2+$A635,Sheet2!BX:NB,2,0)</f>
        <v>16-30 April 21</v>
      </c>
      <c r="I635" t="str">
        <f>IF(OR(HLOOKUP(I$2+$A635,Sheet2!BX:NB,$B635,0),HLOOKUP(I$2+$A635,Sheet2!BX:NB,$B635,0)&lt;&gt;""),HLOOKUP(I$2+$A635,Sheet2!BX:NB,$B635,0),"")</f>
        <v/>
      </c>
      <c r="J635" t="str">
        <f>IF(OR(HLOOKUP(J$2+$A635,Sheet2!BY:NC,$B635,0),HLOOKUP(J$2+$A635,Sheet2!BY:NC,$B635,0)&lt;&gt;""),HLOOKUP(J$2+$A635,Sheet2!BY:NC,$B635,0),"")</f>
        <v/>
      </c>
      <c r="K635" t="str">
        <f>IF(OR(HLOOKUP(K$2+$A635,Sheet2!BZ:ND,$B635,0),HLOOKUP(K$2+$A635,Sheet2!BZ:ND,$B635,0)&lt;&gt;""),HLOOKUP(K$2+$A635,Sheet2!BZ:ND,$B635,0),"")</f>
        <v/>
      </c>
      <c r="L635" t="str">
        <f>IF(OR(HLOOKUP(L$2+$A635,Sheet2!CA:NE,$B635,0),HLOOKUP(L$2+$A635,Sheet2!CA:NE,$B635,0)&lt;&gt;""),HLOOKUP(L$2+$A635,Sheet2!CA:NE,$B635,0),"")</f>
        <v/>
      </c>
      <c r="M635" t="str">
        <f>IF(OR(HLOOKUP(M$2+$A635,Sheet2!CB:NF,$B635,0),HLOOKUP(M$2+$A635,Sheet2!CB:NF,$B635,0)&lt;&gt;""),HLOOKUP(M$2+$A635,Sheet2!CB:NF,$B635,0),"")</f>
        <v/>
      </c>
    </row>
    <row r="636" spans="1:13" x14ac:dyDescent="0.25">
      <c r="A636" s="68">
        <f t="shared" si="68"/>
        <v>0</v>
      </c>
      <c r="B636" s="68">
        <f t="shared" si="69"/>
        <v>84</v>
      </c>
      <c r="C636" s="68">
        <f t="shared" si="66"/>
        <v>1</v>
      </c>
      <c r="D636" s="68">
        <f t="shared" si="70"/>
        <v>80</v>
      </c>
      <c r="E636" s="68">
        <f t="shared" si="67"/>
        <v>396</v>
      </c>
      <c r="F636" s="21" t="str">
        <f>VLOOKUP(D636,Sheet2!A:B,2)</f>
        <v>J19-1021</v>
      </c>
      <c r="G636" s="68" t="str">
        <f>VLOOKUP(F636,Sheet2!B:C,2,0)</f>
        <v>S::CAN Waste water online monitoring system</v>
      </c>
      <c r="H636" s="68" t="str">
        <f>HLOOKUP(I$2+$A636,Sheet2!BX:NB,2,0)</f>
        <v>1-15 Jan 21</v>
      </c>
      <c r="I636" t="str">
        <f>IF(OR(HLOOKUP(I$2+$A636,Sheet2!BX:NB,$B636,0),HLOOKUP(I$2+$A636,Sheet2!BX:NB,$B636,0)&lt;&gt;""),HLOOKUP(I$2+$A636,Sheet2!BX:NB,$B636,0),"")</f>
        <v/>
      </c>
      <c r="J636" t="str">
        <f>IF(OR(HLOOKUP(J$2+$A636,Sheet2!BY:NC,$B636,0),HLOOKUP(J$2+$A636,Sheet2!BY:NC,$B636,0)&lt;&gt;""),HLOOKUP(J$2+$A636,Sheet2!BY:NC,$B636,0),"")</f>
        <v/>
      </c>
      <c r="K636" t="str">
        <f>IF(OR(HLOOKUP(K$2+$A636,Sheet2!BZ:ND,$B636,0),HLOOKUP(K$2+$A636,Sheet2!BZ:ND,$B636,0)&lt;&gt;""),HLOOKUP(K$2+$A636,Sheet2!BZ:ND,$B636,0),"")</f>
        <v/>
      </c>
      <c r="L636" t="str">
        <f>IF(OR(HLOOKUP(L$2+$A636,Sheet2!CA:NE,$B636,0),HLOOKUP(L$2+$A636,Sheet2!CA:NE,$B636,0)&lt;&gt;""),HLOOKUP(L$2+$A636,Sheet2!CA:NE,$B636,0),"")</f>
        <v/>
      </c>
      <c r="M636" t="str">
        <f>IF(OR(HLOOKUP(M$2+$A636,Sheet2!CB:NF,$B636,0),HLOOKUP(M$2+$A636,Sheet2!CB:NF,$B636,0)&lt;&gt;""),HLOOKUP(M$2+$A636,Sheet2!CB:NF,$B636,0),"")</f>
        <v/>
      </c>
    </row>
    <row r="637" spans="1:13" x14ac:dyDescent="0.25">
      <c r="A637" s="68">
        <f t="shared" si="68"/>
        <v>5</v>
      </c>
      <c r="B637" s="68">
        <f t="shared" si="69"/>
        <v>84</v>
      </c>
      <c r="C637" s="68">
        <f t="shared" si="66"/>
        <v>2</v>
      </c>
      <c r="D637" s="68">
        <f t="shared" si="70"/>
        <v>80</v>
      </c>
      <c r="E637" s="68">
        <f t="shared" si="67"/>
        <v>396</v>
      </c>
      <c r="F637" s="21" t="str">
        <f>VLOOKUP(D637,Sheet2!A:B,2)</f>
        <v>J19-1021</v>
      </c>
      <c r="G637" s="68" t="str">
        <f>VLOOKUP(F637,Sheet2!B:C,2,0)</f>
        <v>S::CAN Waste water online monitoring system</v>
      </c>
      <c r="H637" s="68" t="str">
        <f>HLOOKUP(I$2+$A637,Sheet2!BX:NB,2,0)</f>
        <v>16-31 Jan 21</v>
      </c>
      <c r="I637" t="str">
        <f>IF(OR(HLOOKUP(I$2+$A637,Sheet2!BX:NB,$B637,0),HLOOKUP(I$2+$A637,Sheet2!BX:NB,$B637,0)&lt;&gt;""),HLOOKUP(I$2+$A637,Sheet2!BX:NB,$B637,0),"")</f>
        <v/>
      </c>
      <c r="J637" t="str">
        <f>IF(OR(HLOOKUP(J$2+$A637,Sheet2!BY:NC,$B637,0),HLOOKUP(J$2+$A637,Sheet2!BY:NC,$B637,0)&lt;&gt;""),HLOOKUP(J$2+$A637,Sheet2!BY:NC,$B637,0),"")</f>
        <v/>
      </c>
      <c r="K637" t="str">
        <f>IF(OR(HLOOKUP(K$2+$A637,Sheet2!BZ:ND,$B637,0),HLOOKUP(K$2+$A637,Sheet2!BZ:ND,$B637,0)&lt;&gt;""),HLOOKUP(K$2+$A637,Sheet2!BZ:ND,$B637,0),"")</f>
        <v/>
      </c>
      <c r="L637" t="str">
        <f>IF(OR(HLOOKUP(L$2+$A637,Sheet2!CA:NE,$B637,0),HLOOKUP(L$2+$A637,Sheet2!CA:NE,$B637,0)&lt;&gt;""),HLOOKUP(L$2+$A637,Sheet2!CA:NE,$B637,0),"")</f>
        <v/>
      </c>
      <c r="M637" t="str">
        <f>IF(OR(HLOOKUP(M$2+$A637,Sheet2!CB:NF,$B637,0),HLOOKUP(M$2+$A637,Sheet2!CB:NF,$B637,0)&lt;&gt;""),HLOOKUP(M$2+$A637,Sheet2!CB:NF,$B637,0),"")</f>
        <v/>
      </c>
    </row>
    <row r="638" spans="1:13" x14ac:dyDescent="0.25">
      <c r="A638" s="68">
        <f t="shared" si="68"/>
        <v>10</v>
      </c>
      <c r="B638" s="68">
        <f t="shared" si="69"/>
        <v>84</v>
      </c>
      <c r="C638" s="68">
        <f t="shared" si="66"/>
        <v>3</v>
      </c>
      <c r="D638" s="68">
        <f t="shared" si="70"/>
        <v>80</v>
      </c>
      <c r="E638" s="68">
        <f t="shared" si="67"/>
        <v>396</v>
      </c>
      <c r="F638" s="21" t="str">
        <f>VLOOKUP(D638,Sheet2!A:B,2)</f>
        <v>J19-1021</v>
      </c>
      <c r="G638" s="68" t="str">
        <f>VLOOKUP(F638,Sheet2!B:C,2,0)</f>
        <v>S::CAN Waste water online monitoring system</v>
      </c>
      <c r="H638" s="68" t="str">
        <f>HLOOKUP(I$2+$A638,Sheet2!BX:NB,2,0)</f>
        <v>1-15 Feb 21</v>
      </c>
      <c r="I638" t="str">
        <f>IF(OR(HLOOKUP(I$2+$A638,Sheet2!BX:NB,$B638,0),HLOOKUP(I$2+$A638,Sheet2!BX:NB,$B638,0)&lt;&gt;""),HLOOKUP(I$2+$A638,Sheet2!BX:NB,$B638,0),"")</f>
        <v/>
      </c>
      <c r="J638" t="str">
        <f>IF(OR(HLOOKUP(J$2+$A638,Sheet2!BY:NC,$B638,0),HLOOKUP(J$2+$A638,Sheet2!BY:NC,$B638,0)&lt;&gt;""),HLOOKUP(J$2+$A638,Sheet2!BY:NC,$B638,0),"")</f>
        <v/>
      </c>
      <c r="K638" t="str">
        <f>IF(OR(HLOOKUP(K$2+$A638,Sheet2!BZ:ND,$B638,0),HLOOKUP(K$2+$A638,Sheet2!BZ:ND,$B638,0)&lt;&gt;""),HLOOKUP(K$2+$A638,Sheet2!BZ:ND,$B638,0),"")</f>
        <v/>
      </c>
      <c r="L638" t="str">
        <f>IF(OR(HLOOKUP(L$2+$A638,Sheet2!CA:NE,$B638,0),HLOOKUP(L$2+$A638,Sheet2!CA:NE,$B638,0)&lt;&gt;""),HLOOKUP(L$2+$A638,Sheet2!CA:NE,$B638,0),"")</f>
        <v/>
      </c>
      <c r="M638" t="str">
        <f>IF(OR(HLOOKUP(M$2+$A638,Sheet2!CB:NF,$B638,0),HLOOKUP(M$2+$A638,Sheet2!CB:NF,$B638,0)&lt;&gt;""),HLOOKUP(M$2+$A638,Sheet2!CB:NF,$B638,0),"")</f>
        <v/>
      </c>
    </row>
    <row r="639" spans="1:13" x14ac:dyDescent="0.25">
      <c r="A639" s="68">
        <f t="shared" si="68"/>
        <v>15</v>
      </c>
      <c r="B639" s="68">
        <f t="shared" si="69"/>
        <v>84</v>
      </c>
      <c r="C639" s="68">
        <f t="shared" si="66"/>
        <v>4</v>
      </c>
      <c r="D639" s="68">
        <f t="shared" si="70"/>
        <v>80</v>
      </c>
      <c r="E639" s="68">
        <f t="shared" si="67"/>
        <v>396</v>
      </c>
      <c r="F639" s="21" t="str">
        <f>VLOOKUP(D639,Sheet2!A:B,2)</f>
        <v>J19-1021</v>
      </c>
      <c r="G639" s="68" t="str">
        <f>VLOOKUP(F639,Sheet2!B:C,2,0)</f>
        <v>S::CAN Waste water online monitoring system</v>
      </c>
      <c r="H639" s="68" t="str">
        <f>HLOOKUP(I$2+$A639,Sheet2!BX:NB,2,0)</f>
        <v>16-28 Feb 21</v>
      </c>
      <c r="I639" t="str">
        <f>IF(OR(HLOOKUP(I$2+$A639,Sheet2!BX:NB,$B639,0),HLOOKUP(I$2+$A639,Sheet2!BX:NB,$B639,0)&lt;&gt;""),HLOOKUP(I$2+$A639,Sheet2!BX:NB,$B639,0),"")</f>
        <v/>
      </c>
      <c r="J639" t="str">
        <f>IF(OR(HLOOKUP(J$2+$A639,Sheet2!BY:NC,$B639,0),HLOOKUP(J$2+$A639,Sheet2!BY:NC,$B639,0)&lt;&gt;""),HLOOKUP(J$2+$A639,Sheet2!BY:NC,$B639,0),"")</f>
        <v/>
      </c>
      <c r="K639" t="str">
        <f>IF(OR(HLOOKUP(K$2+$A639,Sheet2!BZ:ND,$B639,0),HLOOKUP(K$2+$A639,Sheet2!BZ:ND,$B639,0)&lt;&gt;""),HLOOKUP(K$2+$A639,Sheet2!BZ:ND,$B639,0),"")</f>
        <v/>
      </c>
      <c r="L639" t="str">
        <f>IF(OR(HLOOKUP(L$2+$A639,Sheet2!CA:NE,$B639,0),HLOOKUP(L$2+$A639,Sheet2!CA:NE,$B639,0)&lt;&gt;""),HLOOKUP(L$2+$A639,Sheet2!CA:NE,$B639,0),"")</f>
        <v/>
      </c>
      <c r="M639" t="str">
        <f>IF(OR(HLOOKUP(M$2+$A639,Sheet2!CB:NF,$B639,0),HLOOKUP(M$2+$A639,Sheet2!CB:NF,$B639,0)&lt;&gt;""),HLOOKUP(M$2+$A639,Sheet2!CB:NF,$B639,0),"")</f>
        <v/>
      </c>
    </row>
    <row r="640" spans="1:13" x14ac:dyDescent="0.25">
      <c r="A640" s="68">
        <f t="shared" si="68"/>
        <v>20</v>
      </c>
      <c r="B640" s="68">
        <f t="shared" si="69"/>
        <v>84</v>
      </c>
      <c r="C640" s="68">
        <f t="shared" si="66"/>
        <v>5</v>
      </c>
      <c r="D640" s="68">
        <f t="shared" si="70"/>
        <v>80</v>
      </c>
      <c r="E640" s="68">
        <f t="shared" si="67"/>
        <v>396</v>
      </c>
      <c r="F640" s="21" t="str">
        <f>VLOOKUP(D640,Sheet2!A:B,2)</f>
        <v>J19-1021</v>
      </c>
      <c r="G640" s="68" t="str">
        <f>VLOOKUP(F640,Sheet2!B:C,2,0)</f>
        <v>S::CAN Waste water online monitoring system</v>
      </c>
      <c r="H640" s="68" t="str">
        <f>HLOOKUP(I$2+$A640,Sheet2!BX:NB,2,0)</f>
        <v>1-15 Mar 2021</v>
      </c>
      <c r="I640" t="str">
        <f>IF(OR(HLOOKUP(I$2+$A640,Sheet2!BX:NB,$B640,0),HLOOKUP(I$2+$A640,Sheet2!BX:NB,$B640,0)&lt;&gt;""),HLOOKUP(I$2+$A640,Sheet2!BX:NB,$B640,0),"")</f>
        <v/>
      </c>
      <c r="J640" t="str">
        <f>IF(OR(HLOOKUP(J$2+$A640,Sheet2!BY:NC,$B640,0),HLOOKUP(J$2+$A640,Sheet2!BY:NC,$B640,0)&lt;&gt;""),HLOOKUP(J$2+$A640,Sheet2!BY:NC,$B640,0),"")</f>
        <v/>
      </c>
      <c r="K640" t="str">
        <f>IF(OR(HLOOKUP(K$2+$A640,Sheet2!BZ:ND,$B640,0),HLOOKUP(K$2+$A640,Sheet2!BZ:ND,$B640,0)&lt;&gt;""),HLOOKUP(K$2+$A640,Sheet2!BZ:ND,$B640,0),"")</f>
        <v/>
      </c>
      <c r="L640" t="str">
        <f>IF(OR(HLOOKUP(L$2+$A640,Sheet2!CA:NE,$B640,0),HLOOKUP(L$2+$A640,Sheet2!CA:NE,$B640,0)&lt;&gt;""),HLOOKUP(L$2+$A640,Sheet2!CA:NE,$B640,0),"")</f>
        <v/>
      </c>
      <c r="M640" t="str">
        <f>IF(OR(HLOOKUP(M$2+$A640,Sheet2!CB:NF,$B640,0),HLOOKUP(M$2+$A640,Sheet2!CB:NF,$B640,0)&lt;&gt;""),HLOOKUP(M$2+$A640,Sheet2!CB:NF,$B640,0),"")</f>
        <v/>
      </c>
    </row>
    <row r="641" spans="1:13" x14ac:dyDescent="0.25">
      <c r="A641" s="68">
        <f t="shared" si="68"/>
        <v>25</v>
      </c>
      <c r="B641" s="68">
        <f t="shared" si="69"/>
        <v>84</v>
      </c>
      <c r="C641" s="68">
        <f t="shared" si="66"/>
        <v>6</v>
      </c>
      <c r="D641" s="68">
        <f t="shared" si="70"/>
        <v>80</v>
      </c>
      <c r="E641" s="68">
        <f t="shared" si="67"/>
        <v>396</v>
      </c>
      <c r="F641" s="21" t="str">
        <f>VLOOKUP(D641,Sheet2!A:B,2)</f>
        <v>J19-1021</v>
      </c>
      <c r="G641" s="68" t="str">
        <f>VLOOKUP(F641,Sheet2!B:C,2,0)</f>
        <v>S::CAN Waste water online monitoring system</v>
      </c>
      <c r="H641" s="68" t="str">
        <f>HLOOKUP(I$2+$A641,Sheet2!BX:NB,2,0)</f>
        <v>16-31 Mar 21</v>
      </c>
      <c r="I641" t="str">
        <f>IF(OR(HLOOKUP(I$2+$A641,Sheet2!BX:NB,$B641,0),HLOOKUP(I$2+$A641,Sheet2!BX:NB,$B641,0)&lt;&gt;""),HLOOKUP(I$2+$A641,Sheet2!BX:NB,$B641,0),"")</f>
        <v/>
      </c>
      <c r="J641" t="str">
        <f>IF(OR(HLOOKUP(J$2+$A641,Sheet2!BY:NC,$B641,0),HLOOKUP(J$2+$A641,Sheet2!BY:NC,$B641,0)&lt;&gt;""),HLOOKUP(J$2+$A641,Sheet2!BY:NC,$B641,0),"")</f>
        <v/>
      </c>
      <c r="K641" t="str">
        <f>IF(OR(HLOOKUP(K$2+$A641,Sheet2!BZ:ND,$B641,0),HLOOKUP(K$2+$A641,Sheet2!BZ:ND,$B641,0)&lt;&gt;""),HLOOKUP(K$2+$A641,Sheet2!BZ:ND,$B641,0),"")</f>
        <v/>
      </c>
      <c r="L641" t="str">
        <f>IF(OR(HLOOKUP(L$2+$A641,Sheet2!CA:NE,$B641,0),HLOOKUP(L$2+$A641,Sheet2!CA:NE,$B641,0)&lt;&gt;""),HLOOKUP(L$2+$A641,Sheet2!CA:NE,$B641,0),"")</f>
        <v/>
      </c>
      <c r="M641" t="str">
        <f>IF(OR(HLOOKUP(M$2+$A641,Sheet2!CB:NF,$B641,0),HLOOKUP(M$2+$A641,Sheet2!CB:NF,$B641,0)&lt;&gt;""),HLOOKUP(M$2+$A641,Sheet2!CB:NF,$B641,0),"")</f>
        <v/>
      </c>
    </row>
    <row r="642" spans="1:13" x14ac:dyDescent="0.25">
      <c r="A642" s="68">
        <f t="shared" si="68"/>
        <v>30</v>
      </c>
      <c r="B642" s="68">
        <f t="shared" si="69"/>
        <v>84</v>
      </c>
      <c r="C642" s="68">
        <f t="shared" si="66"/>
        <v>7</v>
      </c>
      <c r="D642" s="68">
        <f t="shared" si="70"/>
        <v>80</v>
      </c>
      <c r="E642" s="68">
        <f t="shared" si="67"/>
        <v>396</v>
      </c>
      <c r="F642" s="21" t="str">
        <f>VLOOKUP(D642,Sheet2!A:B,2)</f>
        <v>J19-1021</v>
      </c>
      <c r="G642" s="68" t="str">
        <f>VLOOKUP(F642,Sheet2!B:C,2,0)</f>
        <v>S::CAN Waste water online monitoring system</v>
      </c>
      <c r="H642" s="68" t="str">
        <f>HLOOKUP(I$2+$A642,Sheet2!BX:NB,2,0)</f>
        <v>1-15 April 21</v>
      </c>
      <c r="I642" t="str">
        <f>IF(OR(HLOOKUP(I$2+$A642,Sheet2!BX:NB,$B642,0),HLOOKUP(I$2+$A642,Sheet2!BX:NB,$B642,0)&lt;&gt;""),HLOOKUP(I$2+$A642,Sheet2!BX:NB,$B642,0),"")</f>
        <v/>
      </c>
      <c r="J642" t="str">
        <f>IF(OR(HLOOKUP(J$2+$A642,Sheet2!BY:NC,$B642,0),HLOOKUP(J$2+$A642,Sheet2!BY:NC,$B642,0)&lt;&gt;""),HLOOKUP(J$2+$A642,Sheet2!BY:NC,$B642,0),"")</f>
        <v/>
      </c>
      <c r="K642" t="str">
        <f>IF(OR(HLOOKUP(K$2+$A642,Sheet2!BZ:ND,$B642,0),HLOOKUP(K$2+$A642,Sheet2!BZ:ND,$B642,0)&lt;&gt;""),HLOOKUP(K$2+$A642,Sheet2!BZ:ND,$B642,0),"")</f>
        <v/>
      </c>
      <c r="L642" t="str">
        <f>IF(OR(HLOOKUP(L$2+$A642,Sheet2!CA:NE,$B642,0),HLOOKUP(L$2+$A642,Sheet2!CA:NE,$B642,0)&lt;&gt;""),HLOOKUP(L$2+$A642,Sheet2!CA:NE,$B642,0),"")</f>
        <v/>
      </c>
      <c r="M642" t="str">
        <f>IF(OR(HLOOKUP(M$2+$A642,Sheet2!CB:NF,$B642,0),HLOOKUP(M$2+$A642,Sheet2!CB:NF,$B642,0)&lt;&gt;""),HLOOKUP(M$2+$A642,Sheet2!CB:NF,$B642,0),"")</f>
        <v/>
      </c>
    </row>
    <row r="643" spans="1:13" x14ac:dyDescent="0.25">
      <c r="A643" s="68">
        <f t="shared" si="68"/>
        <v>35</v>
      </c>
      <c r="B643" s="68">
        <f t="shared" si="69"/>
        <v>84</v>
      </c>
      <c r="C643" s="68">
        <f t="shared" si="66"/>
        <v>8</v>
      </c>
      <c r="D643" s="68">
        <f t="shared" si="70"/>
        <v>80</v>
      </c>
      <c r="E643" s="68">
        <f t="shared" si="67"/>
        <v>396</v>
      </c>
      <c r="F643" s="21" t="str">
        <f>VLOOKUP(D643,Sheet2!A:B,2)</f>
        <v>J19-1021</v>
      </c>
      <c r="G643" s="68" t="str">
        <f>VLOOKUP(F643,Sheet2!B:C,2,0)</f>
        <v>S::CAN Waste water online monitoring system</v>
      </c>
      <c r="H643" s="68" t="str">
        <f>HLOOKUP(I$2+$A643,Sheet2!BX:NB,2,0)</f>
        <v>16-30 April 21</v>
      </c>
      <c r="I643" t="str">
        <f>IF(OR(HLOOKUP(I$2+$A643,Sheet2!BX:NB,$B643,0),HLOOKUP(I$2+$A643,Sheet2!BX:NB,$B643,0)&lt;&gt;""),HLOOKUP(I$2+$A643,Sheet2!BX:NB,$B643,0),"")</f>
        <v/>
      </c>
      <c r="J643" t="str">
        <f>IF(OR(HLOOKUP(J$2+$A643,Sheet2!BY:NC,$B643,0),HLOOKUP(J$2+$A643,Sheet2!BY:NC,$B643,0)&lt;&gt;""),HLOOKUP(J$2+$A643,Sheet2!BY:NC,$B643,0),"")</f>
        <v/>
      </c>
      <c r="K643" t="str">
        <f>IF(OR(HLOOKUP(K$2+$A643,Sheet2!BZ:ND,$B643,0),HLOOKUP(K$2+$A643,Sheet2!BZ:ND,$B643,0)&lt;&gt;""),HLOOKUP(K$2+$A643,Sheet2!BZ:ND,$B643,0),"")</f>
        <v/>
      </c>
      <c r="L643" t="str">
        <f>IF(OR(HLOOKUP(L$2+$A643,Sheet2!CA:NE,$B643,0),HLOOKUP(L$2+$A643,Sheet2!CA:NE,$B643,0)&lt;&gt;""),HLOOKUP(L$2+$A643,Sheet2!CA:NE,$B643,0),"")</f>
        <v/>
      </c>
      <c r="M643" t="str">
        <f>IF(OR(HLOOKUP(M$2+$A643,Sheet2!CB:NF,$B643,0),HLOOKUP(M$2+$A643,Sheet2!CB:NF,$B643,0)&lt;&gt;""),HLOOKUP(M$2+$A643,Sheet2!CB:NF,$B643,0),"")</f>
        <v/>
      </c>
    </row>
    <row r="644" spans="1:13" x14ac:dyDescent="0.25">
      <c r="A644" s="68">
        <f t="shared" si="68"/>
        <v>0</v>
      </c>
      <c r="B644" s="68">
        <f t="shared" si="69"/>
        <v>85</v>
      </c>
      <c r="C644" s="68">
        <f t="shared" si="66"/>
        <v>1</v>
      </c>
      <c r="D644" s="68">
        <f t="shared" si="70"/>
        <v>81</v>
      </c>
      <c r="E644" s="68">
        <f t="shared" si="67"/>
        <v>401</v>
      </c>
      <c r="F644" s="21" t="str">
        <f>VLOOKUP(D644,Sheet2!A:B,2)</f>
        <v>J18-1547</v>
      </c>
      <c r="G644" s="68" t="str">
        <f>VLOOKUP(F644,Sheet2!B:C,2,0)</f>
        <v>OFF GAS OPTIMIZATION PROJECT FOR HDPE1</v>
      </c>
      <c r="H644" s="68" t="str">
        <f>HLOOKUP(I$2+$A644,Sheet2!BX:NB,2,0)</f>
        <v>1-15 Jan 21</v>
      </c>
      <c r="I644" t="str">
        <f>IF(OR(HLOOKUP(I$2+$A644,Sheet2!BX:NB,$B644,0),HLOOKUP(I$2+$A644,Sheet2!BX:NB,$B644,0)&lt;&gt;""),HLOOKUP(I$2+$A644,Sheet2!BX:NB,$B644,0),"")</f>
        <v/>
      </c>
      <c r="J644" t="str">
        <f>IF(OR(HLOOKUP(J$2+$A644,Sheet2!BY:NC,$B644,0),HLOOKUP(J$2+$A644,Sheet2!BY:NC,$B644,0)&lt;&gt;""),HLOOKUP(J$2+$A644,Sheet2!BY:NC,$B644,0),"")</f>
        <v/>
      </c>
      <c r="K644" t="str">
        <f>IF(OR(HLOOKUP(K$2+$A644,Sheet2!BZ:ND,$B644,0),HLOOKUP(K$2+$A644,Sheet2!BZ:ND,$B644,0)&lt;&gt;""),HLOOKUP(K$2+$A644,Sheet2!BZ:ND,$B644,0),"")</f>
        <v/>
      </c>
      <c r="L644" t="str">
        <f>IF(OR(HLOOKUP(L$2+$A644,Sheet2!CA:NE,$B644,0),HLOOKUP(L$2+$A644,Sheet2!CA:NE,$B644,0)&lt;&gt;""),HLOOKUP(L$2+$A644,Sheet2!CA:NE,$B644,0),"")</f>
        <v/>
      </c>
      <c r="M644" t="str">
        <f>IF(OR(HLOOKUP(M$2+$A644,Sheet2!CB:NF,$B644,0),HLOOKUP(M$2+$A644,Sheet2!CB:NF,$B644,0)&lt;&gt;""),HLOOKUP(M$2+$A644,Sheet2!CB:NF,$B644,0),"")</f>
        <v/>
      </c>
    </row>
    <row r="645" spans="1:13" x14ac:dyDescent="0.25">
      <c r="A645" s="68">
        <f t="shared" si="68"/>
        <v>5</v>
      </c>
      <c r="B645" s="68">
        <f t="shared" si="69"/>
        <v>85</v>
      </c>
      <c r="C645" s="68">
        <f t="shared" si="66"/>
        <v>2</v>
      </c>
      <c r="D645" s="68">
        <f t="shared" si="70"/>
        <v>81</v>
      </c>
      <c r="E645" s="68">
        <f t="shared" si="67"/>
        <v>401</v>
      </c>
      <c r="F645" s="21" t="str">
        <f>VLOOKUP(D645,Sheet2!A:B,2)</f>
        <v>J18-1547</v>
      </c>
      <c r="G645" s="68" t="str">
        <f>VLOOKUP(F645,Sheet2!B:C,2,0)</f>
        <v>OFF GAS OPTIMIZATION PROJECT FOR HDPE1</v>
      </c>
      <c r="H645" s="68" t="str">
        <f>HLOOKUP(I$2+$A645,Sheet2!BX:NB,2,0)</f>
        <v>16-31 Jan 21</v>
      </c>
      <c r="I645" t="str">
        <f>IF(OR(HLOOKUP(I$2+$A645,Sheet2!BX:NB,$B645,0),HLOOKUP(I$2+$A645,Sheet2!BX:NB,$B645,0)&lt;&gt;""),HLOOKUP(I$2+$A645,Sheet2!BX:NB,$B645,0),"")</f>
        <v/>
      </c>
      <c r="J645" t="str">
        <f>IF(OR(HLOOKUP(J$2+$A645,Sheet2!BY:NC,$B645,0),HLOOKUP(J$2+$A645,Sheet2!BY:NC,$B645,0)&lt;&gt;""),HLOOKUP(J$2+$A645,Sheet2!BY:NC,$B645,0),"")</f>
        <v/>
      </c>
      <c r="K645" t="str">
        <f>IF(OR(HLOOKUP(K$2+$A645,Sheet2!BZ:ND,$B645,0),HLOOKUP(K$2+$A645,Sheet2!BZ:ND,$B645,0)&lt;&gt;""),HLOOKUP(K$2+$A645,Sheet2!BZ:ND,$B645,0),"")</f>
        <v/>
      </c>
      <c r="L645" t="str">
        <f>IF(OR(HLOOKUP(L$2+$A645,Sheet2!CA:NE,$B645,0),HLOOKUP(L$2+$A645,Sheet2!CA:NE,$B645,0)&lt;&gt;""),HLOOKUP(L$2+$A645,Sheet2!CA:NE,$B645,0),"")</f>
        <v/>
      </c>
      <c r="M645" t="str">
        <f>IF(OR(HLOOKUP(M$2+$A645,Sheet2!CB:NF,$B645,0),HLOOKUP(M$2+$A645,Sheet2!CB:NF,$B645,0)&lt;&gt;""),HLOOKUP(M$2+$A645,Sheet2!CB:NF,$B645,0),"")</f>
        <v/>
      </c>
    </row>
    <row r="646" spans="1:13" x14ac:dyDescent="0.25">
      <c r="A646" s="68">
        <f t="shared" si="68"/>
        <v>10</v>
      </c>
      <c r="B646" s="68">
        <f t="shared" si="69"/>
        <v>85</v>
      </c>
      <c r="C646" s="68">
        <f t="shared" si="66"/>
        <v>3</v>
      </c>
      <c r="D646" s="68">
        <f t="shared" si="70"/>
        <v>81</v>
      </c>
      <c r="E646" s="68">
        <f t="shared" si="67"/>
        <v>401</v>
      </c>
      <c r="F646" s="21" t="str">
        <f>VLOOKUP(D646,Sheet2!A:B,2)</f>
        <v>J18-1547</v>
      </c>
      <c r="G646" s="68" t="str">
        <f>VLOOKUP(F646,Sheet2!B:C,2,0)</f>
        <v>OFF GAS OPTIMIZATION PROJECT FOR HDPE1</v>
      </c>
      <c r="H646" s="68" t="str">
        <f>HLOOKUP(I$2+$A646,Sheet2!BX:NB,2,0)</f>
        <v>1-15 Feb 21</v>
      </c>
      <c r="I646" t="str">
        <f>IF(OR(HLOOKUP(I$2+$A646,Sheet2!BX:NB,$B646,0),HLOOKUP(I$2+$A646,Sheet2!BX:NB,$B646,0)&lt;&gt;""),HLOOKUP(I$2+$A646,Sheet2!BX:NB,$B646,0),"")</f>
        <v/>
      </c>
      <c r="J646" t="str">
        <f>IF(OR(HLOOKUP(J$2+$A646,Sheet2!BY:NC,$B646,0),HLOOKUP(J$2+$A646,Sheet2!BY:NC,$B646,0)&lt;&gt;""),HLOOKUP(J$2+$A646,Sheet2!BY:NC,$B646,0),"")</f>
        <v/>
      </c>
      <c r="K646" t="str">
        <f>IF(OR(HLOOKUP(K$2+$A646,Sheet2!BZ:ND,$B646,0),HLOOKUP(K$2+$A646,Sheet2!BZ:ND,$B646,0)&lt;&gt;""),HLOOKUP(K$2+$A646,Sheet2!BZ:ND,$B646,0),"")</f>
        <v/>
      </c>
      <c r="L646" t="str">
        <f>IF(OR(HLOOKUP(L$2+$A646,Sheet2!CA:NE,$B646,0),HLOOKUP(L$2+$A646,Sheet2!CA:NE,$B646,0)&lt;&gt;""),HLOOKUP(L$2+$A646,Sheet2!CA:NE,$B646,0),"")</f>
        <v/>
      </c>
      <c r="M646" t="str">
        <f>IF(OR(HLOOKUP(M$2+$A646,Sheet2!CB:NF,$B646,0),HLOOKUP(M$2+$A646,Sheet2!CB:NF,$B646,0)&lt;&gt;""),HLOOKUP(M$2+$A646,Sheet2!CB:NF,$B646,0),"")</f>
        <v/>
      </c>
    </row>
    <row r="647" spans="1:13" x14ac:dyDescent="0.25">
      <c r="A647" s="68">
        <f t="shared" si="68"/>
        <v>15</v>
      </c>
      <c r="B647" s="68">
        <f t="shared" si="69"/>
        <v>85</v>
      </c>
      <c r="C647" s="68">
        <f t="shared" si="66"/>
        <v>4</v>
      </c>
      <c r="D647" s="68">
        <f t="shared" si="70"/>
        <v>81</v>
      </c>
      <c r="E647" s="68">
        <f t="shared" si="67"/>
        <v>401</v>
      </c>
      <c r="F647" s="21" t="str">
        <f>VLOOKUP(D647,Sheet2!A:B,2)</f>
        <v>J18-1547</v>
      </c>
      <c r="G647" s="68" t="str">
        <f>VLOOKUP(F647,Sheet2!B:C,2,0)</f>
        <v>OFF GAS OPTIMIZATION PROJECT FOR HDPE1</v>
      </c>
      <c r="H647" s="68" t="str">
        <f>HLOOKUP(I$2+$A647,Sheet2!BX:NB,2,0)</f>
        <v>16-28 Feb 21</v>
      </c>
      <c r="I647" t="str">
        <f>IF(OR(HLOOKUP(I$2+$A647,Sheet2!BX:NB,$B647,0),HLOOKUP(I$2+$A647,Sheet2!BX:NB,$B647,0)&lt;&gt;""),HLOOKUP(I$2+$A647,Sheet2!BX:NB,$B647,0),"")</f>
        <v/>
      </c>
      <c r="J647" t="str">
        <f>IF(OR(HLOOKUP(J$2+$A647,Sheet2!BY:NC,$B647,0),HLOOKUP(J$2+$A647,Sheet2!BY:NC,$B647,0)&lt;&gt;""),HLOOKUP(J$2+$A647,Sheet2!BY:NC,$B647,0),"")</f>
        <v/>
      </c>
      <c r="K647" t="str">
        <f>IF(OR(HLOOKUP(K$2+$A647,Sheet2!BZ:ND,$B647,0),HLOOKUP(K$2+$A647,Sheet2!BZ:ND,$B647,0)&lt;&gt;""),HLOOKUP(K$2+$A647,Sheet2!BZ:ND,$B647,0),"")</f>
        <v/>
      </c>
      <c r="L647" t="str">
        <f>IF(OR(HLOOKUP(L$2+$A647,Sheet2!CA:NE,$B647,0),HLOOKUP(L$2+$A647,Sheet2!CA:NE,$B647,0)&lt;&gt;""),HLOOKUP(L$2+$A647,Sheet2!CA:NE,$B647,0),"")</f>
        <v/>
      </c>
      <c r="M647" t="str">
        <f>IF(OR(HLOOKUP(M$2+$A647,Sheet2!CB:NF,$B647,0),HLOOKUP(M$2+$A647,Sheet2!CB:NF,$B647,0)&lt;&gt;""),HLOOKUP(M$2+$A647,Sheet2!CB:NF,$B647,0),"")</f>
        <v/>
      </c>
    </row>
    <row r="648" spans="1:13" x14ac:dyDescent="0.25">
      <c r="A648" s="68">
        <f t="shared" si="68"/>
        <v>20</v>
      </c>
      <c r="B648" s="68">
        <f t="shared" si="69"/>
        <v>85</v>
      </c>
      <c r="C648" s="68">
        <f t="shared" si="66"/>
        <v>5</v>
      </c>
      <c r="D648" s="68">
        <f t="shared" si="70"/>
        <v>81</v>
      </c>
      <c r="E648" s="68">
        <f t="shared" si="67"/>
        <v>401</v>
      </c>
      <c r="F648" s="21" t="str">
        <f>VLOOKUP(D648,Sheet2!A:B,2)</f>
        <v>J18-1547</v>
      </c>
      <c r="G648" s="68" t="str">
        <f>VLOOKUP(F648,Sheet2!B:C,2,0)</f>
        <v>OFF GAS OPTIMIZATION PROJECT FOR HDPE1</v>
      </c>
      <c r="H648" s="68" t="str">
        <f>HLOOKUP(I$2+$A648,Sheet2!BX:NB,2,0)</f>
        <v>1-15 Mar 2021</v>
      </c>
      <c r="I648" t="str">
        <f>IF(OR(HLOOKUP(I$2+$A648,Sheet2!BX:NB,$B648,0),HLOOKUP(I$2+$A648,Sheet2!BX:NB,$B648,0)&lt;&gt;""),HLOOKUP(I$2+$A648,Sheet2!BX:NB,$B648,0),"")</f>
        <v/>
      </c>
      <c r="J648" t="str">
        <f>IF(OR(HLOOKUP(J$2+$A648,Sheet2!BY:NC,$B648,0),HLOOKUP(J$2+$A648,Sheet2!BY:NC,$B648,0)&lt;&gt;""),HLOOKUP(J$2+$A648,Sheet2!BY:NC,$B648,0),"")</f>
        <v/>
      </c>
      <c r="K648" t="str">
        <f>IF(OR(HLOOKUP(K$2+$A648,Sheet2!BZ:ND,$B648,0),HLOOKUP(K$2+$A648,Sheet2!BZ:ND,$B648,0)&lt;&gt;""),HLOOKUP(K$2+$A648,Sheet2!BZ:ND,$B648,0),"")</f>
        <v/>
      </c>
      <c r="L648" t="str">
        <f>IF(OR(HLOOKUP(L$2+$A648,Sheet2!CA:NE,$B648,0),HLOOKUP(L$2+$A648,Sheet2!CA:NE,$B648,0)&lt;&gt;""),HLOOKUP(L$2+$A648,Sheet2!CA:NE,$B648,0),"")</f>
        <v/>
      </c>
      <c r="M648" t="str">
        <f>IF(OR(HLOOKUP(M$2+$A648,Sheet2!CB:NF,$B648,0),HLOOKUP(M$2+$A648,Sheet2!CB:NF,$B648,0)&lt;&gt;""),HLOOKUP(M$2+$A648,Sheet2!CB:NF,$B648,0),"")</f>
        <v/>
      </c>
    </row>
    <row r="649" spans="1:13" x14ac:dyDescent="0.25">
      <c r="A649" s="68">
        <f t="shared" si="68"/>
        <v>25</v>
      </c>
      <c r="B649" s="68">
        <f t="shared" si="69"/>
        <v>85</v>
      </c>
      <c r="C649" s="68">
        <f t="shared" si="66"/>
        <v>6</v>
      </c>
      <c r="D649" s="68">
        <f t="shared" si="70"/>
        <v>81</v>
      </c>
      <c r="E649" s="68">
        <f t="shared" si="67"/>
        <v>401</v>
      </c>
      <c r="F649" s="21" t="str">
        <f>VLOOKUP(D649,Sheet2!A:B,2)</f>
        <v>J18-1547</v>
      </c>
      <c r="G649" s="68" t="str">
        <f>VLOOKUP(F649,Sheet2!B:C,2,0)</f>
        <v>OFF GAS OPTIMIZATION PROJECT FOR HDPE1</v>
      </c>
      <c r="H649" s="68" t="str">
        <f>HLOOKUP(I$2+$A649,Sheet2!BX:NB,2,0)</f>
        <v>16-31 Mar 21</v>
      </c>
      <c r="I649" t="str">
        <f>IF(OR(HLOOKUP(I$2+$A649,Sheet2!BX:NB,$B649,0),HLOOKUP(I$2+$A649,Sheet2!BX:NB,$B649,0)&lt;&gt;""),HLOOKUP(I$2+$A649,Sheet2!BX:NB,$B649,0),"")</f>
        <v/>
      </c>
      <c r="J649" t="str">
        <f>IF(OR(HLOOKUP(J$2+$A649,Sheet2!BY:NC,$B649,0),HLOOKUP(J$2+$A649,Sheet2!BY:NC,$B649,0)&lt;&gt;""),HLOOKUP(J$2+$A649,Sheet2!BY:NC,$B649,0),"")</f>
        <v/>
      </c>
      <c r="K649" t="str">
        <f>IF(OR(HLOOKUP(K$2+$A649,Sheet2!BZ:ND,$B649,0),HLOOKUP(K$2+$A649,Sheet2!BZ:ND,$B649,0)&lt;&gt;""),HLOOKUP(K$2+$A649,Sheet2!BZ:ND,$B649,0),"")</f>
        <v/>
      </c>
      <c r="L649" t="str">
        <f>IF(OR(HLOOKUP(L$2+$A649,Sheet2!CA:NE,$B649,0),HLOOKUP(L$2+$A649,Sheet2!CA:NE,$B649,0)&lt;&gt;""),HLOOKUP(L$2+$A649,Sheet2!CA:NE,$B649,0),"")</f>
        <v/>
      </c>
      <c r="M649" t="str">
        <f>IF(OR(HLOOKUP(M$2+$A649,Sheet2!CB:NF,$B649,0),HLOOKUP(M$2+$A649,Sheet2!CB:NF,$B649,0)&lt;&gt;""),HLOOKUP(M$2+$A649,Sheet2!CB:NF,$B649,0),"")</f>
        <v/>
      </c>
    </row>
    <row r="650" spans="1:13" x14ac:dyDescent="0.25">
      <c r="A650" s="68">
        <f t="shared" si="68"/>
        <v>30</v>
      </c>
      <c r="B650" s="68">
        <f t="shared" si="69"/>
        <v>85</v>
      </c>
      <c r="C650" s="68">
        <f t="shared" si="66"/>
        <v>7</v>
      </c>
      <c r="D650" s="68">
        <f t="shared" si="70"/>
        <v>81</v>
      </c>
      <c r="E650" s="68">
        <f t="shared" si="67"/>
        <v>401</v>
      </c>
      <c r="F650" s="21" t="str">
        <f>VLOOKUP(D650,Sheet2!A:B,2)</f>
        <v>J18-1547</v>
      </c>
      <c r="G650" s="68" t="str">
        <f>VLOOKUP(F650,Sheet2!B:C,2,0)</f>
        <v>OFF GAS OPTIMIZATION PROJECT FOR HDPE1</v>
      </c>
      <c r="H650" s="68" t="str">
        <f>HLOOKUP(I$2+$A650,Sheet2!BX:NB,2,0)</f>
        <v>1-15 April 21</v>
      </c>
      <c r="I650" t="str">
        <f>IF(OR(HLOOKUP(I$2+$A650,Sheet2!BX:NB,$B650,0),HLOOKUP(I$2+$A650,Sheet2!BX:NB,$B650,0)&lt;&gt;""),HLOOKUP(I$2+$A650,Sheet2!BX:NB,$B650,0),"")</f>
        <v/>
      </c>
      <c r="J650" t="str">
        <f>IF(OR(HLOOKUP(J$2+$A650,Sheet2!BY:NC,$B650,0),HLOOKUP(J$2+$A650,Sheet2!BY:NC,$B650,0)&lt;&gt;""),HLOOKUP(J$2+$A650,Sheet2!BY:NC,$B650,0),"")</f>
        <v/>
      </c>
      <c r="K650" t="str">
        <f>IF(OR(HLOOKUP(K$2+$A650,Sheet2!BZ:ND,$B650,0),HLOOKUP(K$2+$A650,Sheet2!BZ:ND,$B650,0)&lt;&gt;""),HLOOKUP(K$2+$A650,Sheet2!BZ:ND,$B650,0),"")</f>
        <v/>
      </c>
      <c r="L650" t="str">
        <f>IF(OR(HLOOKUP(L$2+$A650,Sheet2!CA:NE,$B650,0),HLOOKUP(L$2+$A650,Sheet2!CA:NE,$B650,0)&lt;&gt;""),HLOOKUP(L$2+$A650,Sheet2!CA:NE,$B650,0),"")</f>
        <v/>
      </c>
      <c r="M650" t="str">
        <f>IF(OR(HLOOKUP(M$2+$A650,Sheet2!CB:NF,$B650,0),HLOOKUP(M$2+$A650,Sheet2!CB:NF,$B650,0)&lt;&gt;""),HLOOKUP(M$2+$A650,Sheet2!CB:NF,$B650,0),"")</f>
        <v/>
      </c>
    </row>
    <row r="651" spans="1:13" x14ac:dyDescent="0.25">
      <c r="A651" s="68">
        <f t="shared" si="68"/>
        <v>35</v>
      </c>
      <c r="B651" s="68">
        <f t="shared" si="69"/>
        <v>85</v>
      </c>
      <c r="C651" s="68">
        <f t="shared" si="66"/>
        <v>8</v>
      </c>
      <c r="D651" s="68">
        <f t="shared" si="70"/>
        <v>81</v>
      </c>
      <c r="E651" s="68">
        <f t="shared" si="67"/>
        <v>401</v>
      </c>
      <c r="F651" s="21" t="str">
        <f>VLOOKUP(D651,Sheet2!A:B,2)</f>
        <v>J18-1547</v>
      </c>
      <c r="G651" s="68" t="str">
        <f>VLOOKUP(F651,Sheet2!B:C,2,0)</f>
        <v>OFF GAS OPTIMIZATION PROJECT FOR HDPE1</v>
      </c>
      <c r="H651" s="68" t="str">
        <f>HLOOKUP(I$2+$A651,Sheet2!BX:NB,2,0)</f>
        <v>16-30 April 21</v>
      </c>
      <c r="I651" t="str">
        <f>IF(OR(HLOOKUP(I$2+$A651,Sheet2!BX:NB,$B651,0),HLOOKUP(I$2+$A651,Sheet2!BX:NB,$B651,0)&lt;&gt;""),HLOOKUP(I$2+$A651,Sheet2!BX:NB,$B651,0),"")</f>
        <v/>
      </c>
      <c r="J651" t="str">
        <f>IF(OR(HLOOKUP(J$2+$A651,Sheet2!BY:NC,$B651,0),HLOOKUP(J$2+$A651,Sheet2!BY:NC,$B651,0)&lt;&gt;""),HLOOKUP(J$2+$A651,Sheet2!BY:NC,$B651,0),"")</f>
        <v/>
      </c>
      <c r="K651" t="str">
        <f>IF(OR(HLOOKUP(K$2+$A651,Sheet2!BZ:ND,$B651,0),HLOOKUP(K$2+$A651,Sheet2!BZ:ND,$B651,0)&lt;&gt;""),HLOOKUP(K$2+$A651,Sheet2!BZ:ND,$B651,0),"")</f>
        <v/>
      </c>
      <c r="L651" t="str">
        <f>IF(OR(HLOOKUP(L$2+$A651,Sheet2!CA:NE,$B651,0),HLOOKUP(L$2+$A651,Sheet2!CA:NE,$B651,0)&lt;&gt;""),HLOOKUP(L$2+$A651,Sheet2!CA:NE,$B651,0),"")</f>
        <v/>
      </c>
      <c r="M651" t="str">
        <f>IF(OR(HLOOKUP(M$2+$A651,Sheet2!CB:NF,$B651,0),HLOOKUP(M$2+$A651,Sheet2!CB:NF,$B651,0)&lt;&gt;""),HLOOKUP(M$2+$A651,Sheet2!CB:NF,$B651,0),"")</f>
        <v/>
      </c>
    </row>
    <row r="652" spans="1:13" x14ac:dyDescent="0.25">
      <c r="A652" s="68">
        <f t="shared" si="68"/>
        <v>0</v>
      </c>
      <c r="B652" s="68">
        <f t="shared" si="69"/>
        <v>86</v>
      </c>
      <c r="C652" s="68">
        <f t="shared" si="66"/>
        <v>1</v>
      </c>
      <c r="D652" s="68">
        <f t="shared" si="70"/>
        <v>82</v>
      </c>
      <c r="E652" s="68">
        <f t="shared" si="67"/>
        <v>406</v>
      </c>
      <c r="F652" s="21" t="str">
        <f>VLOOKUP(D652,Sheet2!A:B,2)</f>
        <v>J20-0861</v>
      </c>
      <c r="G652" s="68" t="str">
        <f>VLOOKUP(F652,Sheet2!B:C,2,0)</f>
        <v xml:space="preserve">น้ำตาลมิตรกาฬสินธุ์ </v>
      </c>
      <c r="H652" s="68" t="str">
        <f>HLOOKUP(I$2+$A652,Sheet2!BX:NB,2,0)</f>
        <v>1-15 Jan 21</v>
      </c>
      <c r="I652" t="str">
        <f>IF(OR(HLOOKUP(I$2+$A652,Sheet2!BX:NB,$B652,0),HLOOKUP(I$2+$A652,Sheet2!BX:NB,$B652,0)&lt;&gt;""),HLOOKUP(I$2+$A652,Sheet2!BX:NB,$B652,0),"")</f>
        <v/>
      </c>
      <c r="J652" t="str">
        <f>IF(OR(HLOOKUP(J$2+$A652,Sheet2!BY:NC,$B652,0),HLOOKUP(J$2+$A652,Sheet2!BY:NC,$B652,0)&lt;&gt;""),HLOOKUP(J$2+$A652,Sheet2!BY:NC,$B652,0),"")</f>
        <v/>
      </c>
      <c r="K652" t="str">
        <f>IF(OR(HLOOKUP(K$2+$A652,Sheet2!BZ:ND,$B652,0),HLOOKUP(K$2+$A652,Sheet2!BZ:ND,$B652,0)&lt;&gt;""),HLOOKUP(K$2+$A652,Sheet2!BZ:ND,$B652,0),"")</f>
        <v/>
      </c>
      <c r="L652" t="str">
        <f>IF(OR(HLOOKUP(L$2+$A652,Sheet2!CA:NE,$B652,0),HLOOKUP(L$2+$A652,Sheet2!CA:NE,$B652,0)&lt;&gt;""),HLOOKUP(L$2+$A652,Sheet2!CA:NE,$B652,0),"")</f>
        <v/>
      </c>
      <c r="M652" t="str">
        <f>IF(OR(HLOOKUP(M$2+$A652,Sheet2!CB:NF,$B652,0),HLOOKUP(M$2+$A652,Sheet2!CB:NF,$B652,0)&lt;&gt;""),HLOOKUP(M$2+$A652,Sheet2!CB:NF,$B652,0),"")</f>
        <v/>
      </c>
    </row>
    <row r="653" spans="1:13" x14ac:dyDescent="0.25">
      <c r="A653" s="68">
        <f t="shared" si="68"/>
        <v>5</v>
      </c>
      <c r="B653" s="68">
        <f t="shared" si="69"/>
        <v>86</v>
      </c>
      <c r="C653" s="68">
        <f t="shared" ref="C653:C716" si="71">IF($C$3-C652=0,1,C652+1)</f>
        <v>2</v>
      </c>
      <c r="D653" s="68">
        <f t="shared" si="70"/>
        <v>82</v>
      </c>
      <c r="E653" s="68">
        <f t="shared" si="67"/>
        <v>406</v>
      </c>
      <c r="F653" s="21" t="str">
        <f>VLOOKUP(D653,Sheet2!A:B,2)</f>
        <v>J20-0861</v>
      </c>
      <c r="G653" s="68" t="str">
        <f>VLOOKUP(F653,Sheet2!B:C,2,0)</f>
        <v xml:space="preserve">น้ำตาลมิตรกาฬสินธุ์ </v>
      </c>
      <c r="H653" s="68" t="str">
        <f>HLOOKUP(I$2+$A653,Sheet2!BX:NB,2,0)</f>
        <v>16-31 Jan 21</v>
      </c>
      <c r="I653" t="str">
        <f>IF(OR(HLOOKUP(I$2+$A653,Sheet2!BX:NB,$B653,0),HLOOKUP(I$2+$A653,Sheet2!BX:NB,$B653,0)&lt;&gt;""),HLOOKUP(I$2+$A653,Sheet2!BX:NB,$B653,0),"")</f>
        <v/>
      </c>
      <c r="J653" t="str">
        <f>IF(OR(HLOOKUP(J$2+$A653,Sheet2!BY:NC,$B653,0),HLOOKUP(J$2+$A653,Sheet2!BY:NC,$B653,0)&lt;&gt;""),HLOOKUP(J$2+$A653,Sheet2!BY:NC,$B653,0),"")</f>
        <v/>
      </c>
      <c r="K653" t="str">
        <f>IF(OR(HLOOKUP(K$2+$A653,Sheet2!BZ:ND,$B653,0),HLOOKUP(K$2+$A653,Sheet2!BZ:ND,$B653,0)&lt;&gt;""),HLOOKUP(K$2+$A653,Sheet2!BZ:ND,$B653,0),"")</f>
        <v/>
      </c>
      <c r="L653" t="str">
        <f>IF(OR(HLOOKUP(L$2+$A653,Sheet2!CA:NE,$B653,0),HLOOKUP(L$2+$A653,Sheet2!CA:NE,$B653,0)&lt;&gt;""),HLOOKUP(L$2+$A653,Sheet2!CA:NE,$B653,0),"")</f>
        <v/>
      </c>
      <c r="M653" t="str">
        <f>IF(OR(HLOOKUP(M$2+$A653,Sheet2!CB:NF,$B653,0),HLOOKUP(M$2+$A653,Sheet2!CB:NF,$B653,0)&lt;&gt;""),HLOOKUP(M$2+$A653,Sheet2!CB:NF,$B653,0),"")</f>
        <v/>
      </c>
    </row>
    <row r="654" spans="1:13" x14ac:dyDescent="0.25">
      <c r="A654" s="68">
        <f t="shared" si="68"/>
        <v>10</v>
      </c>
      <c r="B654" s="68">
        <f t="shared" si="69"/>
        <v>86</v>
      </c>
      <c r="C654" s="68">
        <f t="shared" si="71"/>
        <v>3</v>
      </c>
      <c r="D654" s="68">
        <f t="shared" si="70"/>
        <v>82</v>
      </c>
      <c r="E654" s="68">
        <f t="shared" si="67"/>
        <v>406</v>
      </c>
      <c r="F654" s="21" t="str">
        <f>VLOOKUP(D654,Sheet2!A:B,2)</f>
        <v>J20-0861</v>
      </c>
      <c r="G654" s="68" t="str">
        <f>VLOOKUP(F654,Sheet2!B:C,2,0)</f>
        <v xml:space="preserve">น้ำตาลมิตรกาฬสินธุ์ </v>
      </c>
      <c r="H654" s="68" t="str">
        <f>HLOOKUP(I$2+$A654,Sheet2!BX:NB,2,0)</f>
        <v>1-15 Feb 21</v>
      </c>
      <c r="I654" t="str">
        <f>IF(OR(HLOOKUP(I$2+$A654,Sheet2!BX:NB,$B654,0),HLOOKUP(I$2+$A654,Sheet2!BX:NB,$B654,0)&lt;&gt;""),HLOOKUP(I$2+$A654,Sheet2!BX:NB,$B654,0),"")</f>
        <v/>
      </c>
      <c r="J654" t="str">
        <f>IF(OR(HLOOKUP(J$2+$A654,Sheet2!BY:NC,$B654,0),HLOOKUP(J$2+$A654,Sheet2!BY:NC,$B654,0)&lt;&gt;""),HLOOKUP(J$2+$A654,Sheet2!BY:NC,$B654,0),"")</f>
        <v/>
      </c>
      <c r="K654" t="str">
        <f>IF(OR(HLOOKUP(K$2+$A654,Sheet2!BZ:ND,$B654,0),HLOOKUP(K$2+$A654,Sheet2!BZ:ND,$B654,0)&lt;&gt;""),HLOOKUP(K$2+$A654,Sheet2!BZ:ND,$B654,0),"")</f>
        <v/>
      </c>
      <c r="L654" t="str">
        <f>IF(OR(HLOOKUP(L$2+$A654,Sheet2!CA:NE,$B654,0),HLOOKUP(L$2+$A654,Sheet2!CA:NE,$B654,0)&lt;&gt;""),HLOOKUP(L$2+$A654,Sheet2!CA:NE,$B654,0),"")</f>
        <v/>
      </c>
      <c r="M654" t="str">
        <f>IF(OR(HLOOKUP(M$2+$A654,Sheet2!CB:NF,$B654,0),HLOOKUP(M$2+$A654,Sheet2!CB:NF,$B654,0)&lt;&gt;""),HLOOKUP(M$2+$A654,Sheet2!CB:NF,$B654,0),"")</f>
        <v/>
      </c>
    </row>
    <row r="655" spans="1:13" x14ac:dyDescent="0.25">
      <c r="A655" s="68">
        <f t="shared" si="68"/>
        <v>15</v>
      </c>
      <c r="B655" s="68">
        <f t="shared" si="69"/>
        <v>86</v>
      </c>
      <c r="C655" s="68">
        <f t="shared" si="71"/>
        <v>4</v>
      </c>
      <c r="D655" s="68">
        <f t="shared" si="70"/>
        <v>82</v>
      </c>
      <c r="E655" s="68">
        <f t="shared" si="67"/>
        <v>406</v>
      </c>
      <c r="F655" s="21" t="str">
        <f>VLOOKUP(D655,Sheet2!A:B,2)</f>
        <v>J20-0861</v>
      </c>
      <c r="G655" s="68" t="str">
        <f>VLOOKUP(F655,Sheet2!B:C,2,0)</f>
        <v xml:space="preserve">น้ำตาลมิตรกาฬสินธุ์ </v>
      </c>
      <c r="H655" s="68" t="str">
        <f>HLOOKUP(I$2+$A655,Sheet2!BX:NB,2,0)</f>
        <v>16-28 Feb 21</v>
      </c>
      <c r="I655" t="str">
        <f>IF(OR(HLOOKUP(I$2+$A655,Sheet2!BX:NB,$B655,0),HLOOKUP(I$2+$A655,Sheet2!BX:NB,$B655,0)&lt;&gt;""),HLOOKUP(I$2+$A655,Sheet2!BX:NB,$B655,0),"")</f>
        <v/>
      </c>
      <c r="J655" t="str">
        <f>IF(OR(HLOOKUP(J$2+$A655,Sheet2!BY:NC,$B655,0),HLOOKUP(J$2+$A655,Sheet2!BY:NC,$B655,0)&lt;&gt;""),HLOOKUP(J$2+$A655,Sheet2!BY:NC,$B655,0),"")</f>
        <v/>
      </c>
      <c r="K655" t="str">
        <f>IF(OR(HLOOKUP(K$2+$A655,Sheet2!BZ:ND,$B655,0),HLOOKUP(K$2+$A655,Sheet2!BZ:ND,$B655,0)&lt;&gt;""),HLOOKUP(K$2+$A655,Sheet2!BZ:ND,$B655,0),"")</f>
        <v/>
      </c>
      <c r="L655" t="str">
        <f>IF(OR(HLOOKUP(L$2+$A655,Sheet2!CA:NE,$B655,0),HLOOKUP(L$2+$A655,Sheet2!CA:NE,$B655,0)&lt;&gt;""),HLOOKUP(L$2+$A655,Sheet2!CA:NE,$B655,0),"")</f>
        <v/>
      </c>
      <c r="M655" t="str">
        <f>IF(OR(HLOOKUP(M$2+$A655,Sheet2!CB:NF,$B655,0),HLOOKUP(M$2+$A655,Sheet2!CB:NF,$B655,0)&lt;&gt;""),HLOOKUP(M$2+$A655,Sheet2!CB:NF,$B655,0),"")</f>
        <v/>
      </c>
    </row>
    <row r="656" spans="1:13" x14ac:dyDescent="0.25">
      <c r="A656" s="68">
        <f t="shared" si="68"/>
        <v>20</v>
      </c>
      <c r="B656" s="68">
        <f t="shared" si="69"/>
        <v>86</v>
      </c>
      <c r="C656" s="68">
        <f t="shared" si="71"/>
        <v>5</v>
      </c>
      <c r="D656" s="68">
        <f t="shared" si="70"/>
        <v>82</v>
      </c>
      <c r="E656" s="68">
        <f t="shared" si="67"/>
        <v>406</v>
      </c>
      <c r="F656" s="21" t="str">
        <f>VLOOKUP(D656,Sheet2!A:B,2)</f>
        <v>J20-0861</v>
      </c>
      <c r="G656" s="68" t="str">
        <f>VLOOKUP(F656,Sheet2!B:C,2,0)</f>
        <v xml:space="preserve">น้ำตาลมิตรกาฬสินธุ์ </v>
      </c>
      <c r="H656" s="68" t="str">
        <f>HLOOKUP(I$2+$A656,Sheet2!BX:NB,2,0)</f>
        <v>1-15 Mar 2021</v>
      </c>
      <c r="I656" t="str">
        <f>IF(OR(HLOOKUP(I$2+$A656,Sheet2!BX:NB,$B656,0),HLOOKUP(I$2+$A656,Sheet2!BX:NB,$B656,0)&lt;&gt;""),HLOOKUP(I$2+$A656,Sheet2!BX:NB,$B656,0),"")</f>
        <v/>
      </c>
      <c r="J656" t="str">
        <f>IF(OR(HLOOKUP(J$2+$A656,Sheet2!BY:NC,$B656,0),HLOOKUP(J$2+$A656,Sheet2!BY:NC,$B656,0)&lt;&gt;""),HLOOKUP(J$2+$A656,Sheet2!BY:NC,$B656,0),"")</f>
        <v/>
      </c>
      <c r="K656" t="str">
        <f>IF(OR(HLOOKUP(K$2+$A656,Sheet2!BZ:ND,$B656,0),HLOOKUP(K$2+$A656,Sheet2!BZ:ND,$B656,0)&lt;&gt;""),HLOOKUP(K$2+$A656,Sheet2!BZ:ND,$B656,0),"")</f>
        <v/>
      </c>
      <c r="L656" t="str">
        <f>IF(OR(HLOOKUP(L$2+$A656,Sheet2!CA:NE,$B656,0),HLOOKUP(L$2+$A656,Sheet2!CA:NE,$B656,0)&lt;&gt;""),HLOOKUP(L$2+$A656,Sheet2!CA:NE,$B656,0),"")</f>
        <v/>
      </c>
      <c r="M656" t="str">
        <f>IF(OR(HLOOKUP(M$2+$A656,Sheet2!CB:NF,$B656,0),HLOOKUP(M$2+$A656,Sheet2!CB:NF,$B656,0)&lt;&gt;""),HLOOKUP(M$2+$A656,Sheet2!CB:NF,$B656,0),"")</f>
        <v/>
      </c>
    </row>
    <row r="657" spans="1:13" x14ac:dyDescent="0.25">
      <c r="A657" s="68">
        <f t="shared" si="68"/>
        <v>25</v>
      </c>
      <c r="B657" s="68">
        <f t="shared" si="69"/>
        <v>86</v>
      </c>
      <c r="C657" s="68">
        <f t="shared" si="71"/>
        <v>6</v>
      </c>
      <c r="D657" s="68">
        <f t="shared" si="70"/>
        <v>82</v>
      </c>
      <c r="E657" s="68">
        <f t="shared" si="67"/>
        <v>406</v>
      </c>
      <c r="F657" s="21" t="str">
        <f>VLOOKUP(D657,Sheet2!A:B,2)</f>
        <v>J20-0861</v>
      </c>
      <c r="G657" s="68" t="str">
        <f>VLOOKUP(F657,Sheet2!B:C,2,0)</f>
        <v xml:space="preserve">น้ำตาลมิตรกาฬสินธุ์ </v>
      </c>
      <c r="H657" s="68" t="str">
        <f>HLOOKUP(I$2+$A657,Sheet2!BX:NB,2,0)</f>
        <v>16-31 Mar 21</v>
      </c>
      <c r="I657" t="str">
        <f>IF(OR(HLOOKUP(I$2+$A657,Sheet2!BX:NB,$B657,0),HLOOKUP(I$2+$A657,Sheet2!BX:NB,$B657,0)&lt;&gt;""),HLOOKUP(I$2+$A657,Sheet2!BX:NB,$B657,0),"")</f>
        <v/>
      </c>
      <c r="J657" t="str">
        <f>IF(OR(HLOOKUP(J$2+$A657,Sheet2!BY:NC,$B657,0),HLOOKUP(J$2+$A657,Sheet2!BY:NC,$B657,0)&lt;&gt;""),HLOOKUP(J$2+$A657,Sheet2!BY:NC,$B657,0),"")</f>
        <v/>
      </c>
      <c r="K657" t="str">
        <f>IF(OR(HLOOKUP(K$2+$A657,Sheet2!BZ:ND,$B657,0),HLOOKUP(K$2+$A657,Sheet2!BZ:ND,$B657,0)&lt;&gt;""),HLOOKUP(K$2+$A657,Sheet2!BZ:ND,$B657,0),"")</f>
        <v/>
      </c>
      <c r="L657" t="str">
        <f>IF(OR(HLOOKUP(L$2+$A657,Sheet2!CA:NE,$B657,0),HLOOKUP(L$2+$A657,Sheet2!CA:NE,$B657,0)&lt;&gt;""),HLOOKUP(L$2+$A657,Sheet2!CA:NE,$B657,0),"")</f>
        <v/>
      </c>
      <c r="M657" t="str">
        <f>IF(OR(HLOOKUP(M$2+$A657,Sheet2!CB:NF,$B657,0),HLOOKUP(M$2+$A657,Sheet2!CB:NF,$B657,0)&lt;&gt;""),HLOOKUP(M$2+$A657,Sheet2!CB:NF,$B657,0),"")</f>
        <v/>
      </c>
    </row>
    <row r="658" spans="1:13" x14ac:dyDescent="0.25">
      <c r="A658" s="68">
        <f t="shared" si="68"/>
        <v>30</v>
      </c>
      <c r="B658" s="68">
        <f t="shared" si="69"/>
        <v>86</v>
      </c>
      <c r="C658" s="68">
        <f t="shared" si="71"/>
        <v>7</v>
      </c>
      <c r="D658" s="68">
        <f t="shared" si="70"/>
        <v>82</v>
      </c>
      <c r="E658" s="68">
        <f t="shared" si="67"/>
        <v>406</v>
      </c>
      <c r="F658" s="21" t="str">
        <f>VLOOKUP(D658,Sheet2!A:B,2)</f>
        <v>J20-0861</v>
      </c>
      <c r="G658" s="68" t="str">
        <f>VLOOKUP(F658,Sheet2!B:C,2,0)</f>
        <v xml:space="preserve">น้ำตาลมิตรกาฬสินธุ์ </v>
      </c>
      <c r="H658" s="68" t="str">
        <f>HLOOKUP(I$2+$A658,Sheet2!BX:NB,2,0)</f>
        <v>1-15 April 21</v>
      </c>
      <c r="I658" t="str">
        <f>IF(OR(HLOOKUP(I$2+$A658,Sheet2!BX:NB,$B658,0),HLOOKUP(I$2+$A658,Sheet2!BX:NB,$B658,0)&lt;&gt;""),HLOOKUP(I$2+$A658,Sheet2!BX:NB,$B658,0),"")</f>
        <v/>
      </c>
      <c r="J658" t="str">
        <f>IF(OR(HLOOKUP(J$2+$A658,Sheet2!BY:NC,$B658,0),HLOOKUP(J$2+$A658,Sheet2!BY:NC,$B658,0)&lt;&gt;""),HLOOKUP(J$2+$A658,Sheet2!BY:NC,$B658,0),"")</f>
        <v/>
      </c>
      <c r="K658" t="str">
        <f>IF(OR(HLOOKUP(K$2+$A658,Sheet2!BZ:ND,$B658,0),HLOOKUP(K$2+$A658,Sheet2!BZ:ND,$B658,0)&lt;&gt;""),HLOOKUP(K$2+$A658,Sheet2!BZ:ND,$B658,0),"")</f>
        <v/>
      </c>
      <c r="L658" t="str">
        <f>IF(OR(HLOOKUP(L$2+$A658,Sheet2!CA:NE,$B658,0),HLOOKUP(L$2+$A658,Sheet2!CA:NE,$B658,0)&lt;&gt;""),HLOOKUP(L$2+$A658,Sheet2!CA:NE,$B658,0),"")</f>
        <v/>
      </c>
      <c r="M658" t="str">
        <f>IF(OR(HLOOKUP(M$2+$A658,Sheet2!CB:NF,$B658,0),HLOOKUP(M$2+$A658,Sheet2!CB:NF,$B658,0)&lt;&gt;""),HLOOKUP(M$2+$A658,Sheet2!CB:NF,$B658,0),"")</f>
        <v/>
      </c>
    </row>
    <row r="659" spans="1:13" x14ac:dyDescent="0.25">
      <c r="A659" s="68">
        <f t="shared" si="68"/>
        <v>35</v>
      </c>
      <c r="B659" s="68">
        <f t="shared" si="69"/>
        <v>86</v>
      </c>
      <c r="C659" s="68">
        <f t="shared" si="71"/>
        <v>8</v>
      </c>
      <c r="D659" s="68">
        <f t="shared" si="70"/>
        <v>82</v>
      </c>
      <c r="E659" s="68">
        <f t="shared" si="67"/>
        <v>406</v>
      </c>
      <c r="F659" s="21" t="str">
        <f>VLOOKUP(D659,Sheet2!A:B,2)</f>
        <v>J20-0861</v>
      </c>
      <c r="G659" s="68" t="str">
        <f>VLOOKUP(F659,Sheet2!B:C,2,0)</f>
        <v xml:space="preserve">น้ำตาลมิตรกาฬสินธุ์ </v>
      </c>
      <c r="H659" s="68" t="str">
        <f>HLOOKUP(I$2+$A659,Sheet2!BX:NB,2,0)</f>
        <v>16-30 April 21</v>
      </c>
      <c r="I659" t="str">
        <f>IF(OR(HLOOKUP(I$2+$A659,Sheet2!BX:NB,$B659,0),HLOOKUP(I$2+$A659,Sheet2!BX:NB,$B659,0)&lt;&gt;""),HLOOKUP(I$2+$A659,Sheet2!BX:NB,$B659,0),"")</f>
        <v/>
      </c>
      <c r="J659" t="str">
        <f>IF(OR(HLOOKUP(J$2+$A659,Sheet2!BY:NC,$B659,0),HLOOKUP(J$2+$A659,Sheet2!BY:NC,$B659,0)&lt;&gt;""),HLOOKUP(J$2+$A659,Sheet2!BY:NC,$B659,0),"")</f>
        <v/>
      </c>
      <c r="K659" t="str">
        <f>IF(OR(HLOOKUP(K$2+$A659,Sheet2!BZ:ND,$B659,0),HLOOKUP(K$2+$A659,Sheet2!BZ:ND,$B659,0)&lt;&gt;""),HLOOKUP(K$2+$A659,Sheet2!BZ:ND,$B659,0),"")</f>
        <v/>
      </c>
      <c r="L659" t="str">
        <f>IF(OR(HLOOKUP(L$2+$A659,Sheet2!CA:NE,$B659,0),HLOOKUP(L$2+$A659,Sheet2!CA:NE,$B659,0)&lt;&gt;""),HLOOKUP(L$2+$A659,Sheet2!CA:NE,$B659,0),"")</f>
        <v/>
      </c>
      <c r="M659" t="str">
        <f>IF(OR(HLOOKUP(M$2+$A659,Sheet2!CB:NF,$B659,0),HLOOKUP(M$2+$A659,Sheet2!CB:NF,$B659,0)&lt;&gt;""),HLOOKUP(M$2+$A659,Sheet2!CB:NF,$B659,0),"")</f>
        <v/>
      </c>
    </row>
    <row r="660" spans="1:13" x14ac:dyDescent="0.25">
      <c r="A660" s="68">
        <f t="shared" si="68"/>
        <v>0</v>
      </c>
      <c r="B660" s="68">
        <f t="shared" si="69"/>
        <v>87</v>
      </c>
      <c r="C660" s="68">
        <f t="shared" si="71"/>
        <v>1</v>
      </c>
      <c r="D660" s="68">
        <f t="shared" si="70"/>
        <v>83</v>
      </c>
      <c r="E660" s="68">
        <f t="shared" si="67"/>
        <v>411</v>
      </c>
      <c r="F660" s="21" t="str">
        <f>VLOOKUP(D660,Sheet2!A:B,2)</f>
        <v>J20-0773</v>
      </c>
      <c r="G660" s="68" t="str">
        <f>VLOOKUP(F660,Sheet2!B:C,2,0)</f>
        <v>มิตรผลไบโอ-เพาเวอร์(ภูหลวง)</v>
      </c>
      <c r="H660" s="68" t="str">
        <f>HLOOKUP(I$2+$A660,Sheet2!BX:NB,2,0)</f>
        <v>1-15 Jan 21</v>
      </c>
      <c r="I660" t="str">
        <f>IF(OR(HLOOKUP(I$2+$A660,Sheet2!BX:NB,$B660,0),HLOOKUP(I$2+$A660,Sheet2!BX:NB,$B660,0)&lt;&gt;""),HLOOKUP(I$2+$A660,Sheet2!BX:NB,$B660,0),"")</f>
        <v/>
      </c>
      <c r="J660" t="str">
        <f>IF(OR(HLOOKUP(J$2+$A660,Sheet2!BY:NC,$B660,0),HLOOKUP(J$2+$A660,Sheet2!BY:NC,$B660,0)&lt;&gt;""),HLOOKUP(J$2+$A660,Sheet2!BY:NC,$B660,0),"")</f>
        <v/>
      </c>
      <c r="K660" t="str">
        <f>IF(OR(HLOOKUP(K$2+$A660,Sheet2!BZ:ND,$B660,0),HLOOKUP(K$2+$A660,Sheet2!BZ:ND,$B660,0)&lt;&gt;""),HLOOKUP(K$2+$A660,Sheet2!BZ:ND,$B660,0),"")</f>
        <v/>
      </c>
      <c r="L660" t="str">
        <f>IF(OR(HLOOKUP(L$2+$A660,Sheet2!CA:NE,$B660,0),HLOOKUP(L$2+$A660,Sheet2!CA:NE,$B660,0)&lt;&gt;""),HLOOKUP(L$2+$A660,Sheet2!CA:NE,$B660,0),"")</f>
        <v/>
      </c>
      <c r="M660" t="str">
        <f>IF(OR(HLOOKUP(M$2+$A660,Sheet2!CB:NF,$B660,0),HLOOKUP(M$2+$A660,Sheet2!CB:NF,$B660,0)&lt;&gt;""),HLOOKUP(M$2+$A660,Sheet2!CB:NF,$B660,0),"")</f>
        <v/>
      </c>
    </row>
    <row r="661" spans="1:13" x14ac:dyDescent="0.25">
      <c r="A661" s="68">
        <f t="shared" si="68"/>
        <v>5</v>
      </c>
      <c r="B661" s="68">
        <f t="shared" si="69"/>
        <v>87</v>
      </c>
      <c r="C661" s="68">
        <f t="shared" si="71"/>
        <v>2</v>
      </c>
      <c r="D661" s="68">
        <f t="shared" si="70"/>
        <v>83</v>
      </c>
      <c r="E661" s="68">
        <f t="shared" ref="E661:E724" si="72">IF(D661&lt;&gt;D660,E660+5,E660)</f>
        <v>411</v>
      </c>
      <c r="F661" s="21" t="str">
        <f>VLOOKUP(D661,Sheet2!A:B,2)</f>
        <v>J20-0773</v>
      </c>
      <c r="G661" s="68" t="str">
        <f>VLOOKUP(F661,Sheet2!B:C,2,0)</f>
        <v>มิตรผลไบโอ-เพาเวอร์(ภูหลวง)</v>
      </c>
      <c r="H661" s="68" t="str">
        <f>HLOOKUP(I$2+$A661,Sheet2!BX:NB,2,0)</f>
        <v>16-31 Jan 21</v>
      </c>
      <c r="I661" t="str">
        <f>IF(OR(HLOOKUP(I$2+$A661,Sheet2!BX:NB,$B661,0),HLOOKUP(I$2+$A661,Sheet2!BX:NB,$B661,0)&lt;&gt;""),HLOOKUP(I$2+$A661,Sheet2!BX:NB,$B661,0),"")</f>
        <v/>
      </c>
      <c r="J661" t="str">
        <f>IF(OR(HLOOKUP(J$2+$A661,Sheet2!BY:NC,$B661,0),HLOOKUP(J$2+$A661,Sheet2!BY:NC,$B661,0)&lt;&gt;""),HLOOKUP(J$2+$A661,Sheet2!BY:NC,$B661,0),"")</f>
        <v/>
      </c>
      <c r="K661" t="str">
        <f>IF(OR(HLOOKUP(K$2+$A661,Sheet2!BZ:ND,$B661,0),HLOOKUP(K$2+$A661,Sheet2!BZ:ND,$B661,0)&lt;&gt;""),HLOOKUP(K$2+$A661,Sheet2!BZ:ND,$B661,0),"")</f>
        <v/>
      </c>
      <c r="L661" t="str">
        <f>IF(OR(HLOOKUP(L$2+$A661,Sheet2!CA:NE,$B661,0),HLOOKUP(L$2+$A661,Sheet2!CA:NE,$B661,0)&lt;&gt;""),HLOOKUP(L$2+$A661,Sheet2!CA:NE,$B661,0),"")</f>
        <v/>
      </c>
      <c r="M661" t="str">
        <f>IF(OR(HLOOKUP(M$2+$A661,Sheet2!CB:NF,$B661,0),HLOOKUP(M$2+$A661,Sheet2!CB:NF,$B661,0)&lt;&gt;""),HLOOKUP(M$2+$A661,Sheet2!CB:NF,$B661,0),"")</f>
        <v/>
      </c>
    </row>
    <row r="662" spans="1:13" x14ac:dyDescent="0.25">
      <c r="A662" s="68">
        <f t="shared" si="68"/>
        <v>10</v>
      </c>
      <c r="B662" s="68">
        <f t="shared" si="69"/>
        <v>87</v>
      </c>
      <c r="C662" s="68">
        <f t="shared" si="71"/>
        <v>3</v>
      </c>
      <c r="D662" s="68">
        <f t="shared" si="70"/>
        <v>83</v>
      </c>
      <c r="E662" s="68">
        <f t="shared" si="72"/>
        <v>411</v>
      </c>
      <c r="F662" s="21" t="str">
        <f>VLOOKUP(D662,Sheet2!A:B,2)</f>
        <v>J20-0773</v>
      </c>
      <c r="G662" s="68" t="str">
        <f>VLOOKUP(F662,Sheet2!B:C,2,0)</f>
        <v>มิตรผลไบโอ-เพาเวอร์(ภูหลวง)</v>
      </c>
      <c r="H662" s="68" t="str">
        <f>HLOOKUP(I$2+$A662,Sheet2!BX:NB,2,0)</f>
        <v>1-15 Feb 21</v>
      </c>
      <c r="I662" t="str">
        <f>IF(OR(HLOOKUP(I$2+$A662,Sheet2!BX:NB,$B662,0),HLOOKUP(I$2+$A662,Sheet2!BX:NB,$B662,0)&lt;&gt;""),HLOOKUP(I$2+$A662,Sheet2!BX:NB,$B662,0),"")</f>
        <v/>
      </c>
      <c r="J662" t="str">
        <f>IF(OR(HLOOKUP(J$2+$A662,Sheet2!BY:NC,$B662,0),HLOOKUP(J$2+$A662,Sheet2!BY:NC,$B662,0)&lt;&gt;""),HLOOKUP(J$2+$A662,Sheet2!BY:NC,$B662,0),"")</f>
        <v/>
      </c>
      <c r="K662" t="str">
        <f>IF(OR(HLOOKUP(K$2+$A662,Sheet2!BZ:ND,$B662,0),HLOOKUP(K$2+$A662,Sheet2!BZ:ND,$B662,0)&lt;&gt;""),HLOOKUP(K$2+$A662,Sheet2!BZ:ND,$B662,0),"")</f>
        <v/>
      </c>
      <c r="L662" t="str">
        <f>IF(OR(HLOOKUP(L$2+$A662,Sheet2!CA:NE,$B662,0),HLOOKUP(L$2+$A662,Sheet2!CA:NE,$B662,0)&lt;&gt;""),HLOOKUP(L$2+$A662,Sheet2!CA:NE,$B662,0),"")</f>
        <v/>
      </c>
      <c r="M662" t="str">
        <f>IF(OR(HLOOKUP(M$2+$A662,Sheet2!CB:NF,$B662,0),HLOOKUP(M$2+$A662,Sheet2!CB:NF,$B662,0)&lt;&gt;""),HLOOKUP(M$2+$A662,Sheet2!CB:NF,$B662,0),"")</f>
        <v/>
      </c>
    </row>
    <row r="663" spans="1:13" x14ac:dyDescent="0.25">
      <c r="A663" s="68">
        <f t="shared" si="68"/>
        <v>15</v>
      </c>
      <c r="B663" s="68">
        <f t="shared" si="69"/>
        <v>87</v>
      </c>
      <c r="C663" s="68">
        <f t="shared" si="71"/>
        <v>4</v>
      </c>
      <c r="D663" s="68">
        <f t="shared" si="70"/>
        <v>83</v>
      </c>
      <c r="E663" s="68">
        <f t="shared" si="72"/>
        <v>411</v>
      </c>
      <c r="F663" s="21" t="str">
        <f>VLOOKUP(D663,Sheet2!A:B,2)</f>
        <v>J20-0773</v>
      </c>
      <c r="G663" s="68" t="str">
        <f>VLOOKUP(F663,Sheet2!B:C,2,0)</f>
        <v>มิตรผลไบโอ-เพาเวอร์(ภูหลวง)</v>
      </c>
      <c r="H663" s="68" t="str">
        <f>HLOOKUP(I$2+$A663,Sheet2!BX:NB,2,0)</f>
        <v>16-28 Feb 21</v>
      </c>
      <c r="I663" t="str">
        <f>IF(OR(HLOOKUP(I$2+$A663,Sheet2!BX:NB,$B663,0),HLOOKUP(I$2+$A663,Sheet2!BX:NB,$B663,0)&lt;&gt;""),HLOOKUP(I$2+$A663,Sheet2!BX:NB,$B663,0),"")</f>
        <v/>
      </c>
      <c r="J663" t="str">
        <f>IF(OR(HLOOKUP(J$2+$A663,Sheet2!BY:NC,$B663,0),HLOOKUP(J$2+$A663,Sheet2!BY:NC,$B663,0)&lt;&gt;""),HLOOKUP(J$2+$A663,Sheet2!BY:NC,$B663,0),"")</f>
        <v/>
      </c>
      <c r="K663" t="str">
        <f>IF(OR(HLOOKUP(K$2+$A663,Sheet2!BZ:ND,$B663,0),HLOOKUP(K$2+$A663,Sheet2!BZ:ND,$B663,0)&lt;&gt;""),HLOOKUP(K$2+$A663,Sheet2!BZ:ND,$B663,0),"")</f>
        <v/>
      </c>
      <c r="L663" t="str">
        <f>IF(OR(HLOOKUP(L$2+$A663,Sheet2!CA:NE,$B663,0),HLOOKUP(L$2+$A663,Sheet2!CA:NE,$B663,0)&lt;&gt;""),HLOOKUP(L$2+$A663,Sheet2!CA:NE,$B663,0),"")</f>
        <v/>
      </c>
      <c r="M663" t="str">
        <f>IF(OR(HLOOKUP(M$2+$A663,Sheet2!CB:NF,$B663,0),HLOOKUP(M$2+$A663,Sheet2!CB:NF,$B663,0)&lt;&gt;""),HLOOKUP(M$2+$A663,Sheet2!CB:NF,$B663,0),"")</f>
        <v/>
      </c>
    </row>
    <row r="664" spans="1:13" x14ac:dyDescent="0.25">
      <c r="A664" s="68">
        <f t="shared" si="68"/>
        <v>20</v>
      </c>
      <c r="B664" s="68">
        <f t="shared" si="69"/>
        <v>87</v>
      </c>
      <c r="C664" s="68">
        <f t="shared" si="71"/>
        <v>5</v>
      </c>
      <c r="D664" s="68">
        <f t="shared" si="70"/>
        <v>83</v>
      </c>
      <c r="E664" s="68">
        <f t="shared" si="72"/>
        <v>411</v>
      </c>
      <c r="F664" s="21" t="str">
        <f>VLOOKUP(D664,Sheet2!A:B,2)</f>
        <v>J20-0773</v>
      </c>
      <c r="G664" s="68" t="str">
        <f>VLOOKUP(F664,Sheet2!B:C,2,0)</f>
        <v>มิตรผลไบโอ-เพาเวอร์(ภูหลวง)</v>
      </c>
      <c r="H664" s="68" t="str">
        <f>HLOOKUP(I$2+$A664,Sheet2!BX:NB,2,0)</f>
        <v>1-15 Mar 2021</v>
      </c>
      <c r="I664" t="str">
        <f>IF(OR(HLOOKUP(I$2+$A664,Sheet2!BX:NB,$B664,0),HLOOKUP(I$2+$A664,Sheet2!BX:NB,$B664,0)&lt;&gt;""),HLOOKUP(I$2+$A664,Sheet2!BX:NB,$B664,0),"")</f>
        <v/>
      </c>
      <c r="J664" t="str">
        <f>IF(OR(HLOOKUP(J$2+$A664,Sheet2!BY:NC,$B664,0),HLOOKUP(J$2+$A664,Sheet2!BY:NC,$B664,0)&lt;&gt;""),HLOOKUP(J$2+$A664,Sheet2!BY:NC,$B664,0),"")</f>
        <v/>
      </c>
      <c r="K664" t="str">
        <f>IF(OR(HLOOKUP(K$2+$A664,Sheet2!BZ:ND,$B664,0),HLOOKUP(K$2+$A664,Sheet2!BZ:ND,$B664,0)&lt;&gt;""),HLOOKUP(K$2+$A664,Sheet2!BZ:ND,$B664,0),"")</f>
        <v/>
      </c>
      <c r="L664" t="str">
        <f>IF(OR(HLOOKUP(L$2+$A664,Sheet2!CA:NE,$B664,0),HLOOKUP(L$2+$A664,Sheet2!CA:NE,$B664,0)&lt;&gt;""),HLOOKUP(L$2+$A664,Sheet2!CA:NE,$B664,0),"")</f>
        <v/>
      </c>
      <c r="M664" t="str">
        <f>IF(OR(HLOOKUP(M$2+$A664,Sheet2!CB:NF,$B664,0),HLOOKUP(M$2+$A664,Sheet2!CB:NF,$B664,0)&lt;&gt;""),HLOOKUP(M$2+$A664,Sheet2!CB:NF,$B664,0),"")</f>
        <v/>
      </c>
    </row>
    <row r="665" spans="1:13" x14ac:dyDescent="0.25">
      <c r="A665" s="68">
        <f t="shared" si="68"/>
        <v>25</v>
      </c>
      <c r="B665" s="68">
        <f t="shared" si="69"/>
        <v>87</v>
      </c>
      <c r="C665" s="68">
        <f t="shared" si="71"/>
        <v>6</v>
      </c>
      <c r="D665" s="68">
        <f t="shared" si="70"/>
        <v>83</v>
      </c>
      <c r="E665" s="68">
        <f t="shared" si="72"/>
        <v>411</v>
      </c>
      <c r="F665" s="21" t="str">
        <f>VLOOKUP(D665,Sheet2!A:B,2)</f>
        <v>J20-0773</v>
      </c>
      <c r="G665" s="68" t="str">
        <f>VLOOKUP(F665,Sheet2!B:C,2,0)</f>
        <v>มิตรผลไบโอ-เพาเวอร์(ภูหลวง)</v>
      </c>
      <c r="H665" s="68" t="str">
        <f>HLOOKUP(I$2+$A665,Sheet2!BX:NB,2,0)</f>
        <v>16-31 Mar 21</v>
      </c>
      <c r="I665" t="str">
        <f>IF(OR(HLOOKUP(I$2+$A665,Sheet2!BX:NB,$B665,0),HLOOKUP(I$2+$A665,Sheet2!BX:NB,$B665,0)&lt;&gt;""),HLOOKUP(I$2+$A665,Sheet2!BX:NB,$B665,0),"")</f>
        <v/>
      </c>
      <c r="J665" t="str">
        <f>IF(OR(HLOOKUP(J$2+$A665,Sheet2!BY:NC,$B665,0),HLOOKUP(J$2+$A665,Sheet2!BY:NC,$B665,0)&lt;&gt;""),HLOOKUP(J$2+$A665,Sheet2!BY:NC,$B665,0),"")</f>
        <v/>
      </c>
      <c r="K665" t="str">
        <f>IF(OR(HLOOKUP(K$2+$A665,Sheet2!BZ:ND,$B665,0),HLOOKUP(K$2+$A665,Sheet2!BZ:ND,$B665,0)&lt;&gt;""),HLOOKUP(K$2+$A665,Sheet2!BZ:ND,$B665,0),"")</f>
        <v/>
      </c>
      <c r="L665" t="str">
        <f>IF(OR(HLOOKUP(L$2+$A665,Sheet2!CA:NE,$B665,0),HLOOKUP(L$2+$A665,Sheet2!CA:NE,$B665,0)&lt;&gt;""),HLOOKUP(L$2+$A665,Sheet2!CA:NE,$B665,0),"")</f>
        <v/>
      </c>
      <c r="M665" t="str">
        <f>IF(OR(HLOOKUP(M$2+$A665,Sheet2!CB:NF,$B665,0),HLOOKUP(M$2+$A665,Sheet2!CB:NF,$B665,0)&lt;&gt;""),HLOOKUP(M$2+$A665,Sheet2!CB:NF,$B665,0),"")</f>
        <v/>
      </c>
    </row>
    <row r="666" spans="1:13" x14ac:dyDescent="0.25">
      <c r="A666" s="68">
        <f t="shared" si="68"/>
        <v>30</v>
      </c>
      <c r="B666" s="68">
        <f t="shared" si="69"/>
        <v>87</v>
      </c>
      <c r="C666" s="68">
        <f t="shared" si="71"/>
        <v>7</v>
      </c>
      <c r="D666" s="68">
        <f t="shared" si="70"/>
        <v>83</v>
      </c>
      <c r="E666" s="68">
        <f t="shared" si="72"/>
        <v>411</v>
      </c>
      <c r="F666" s="21" t="str">
        <f>VLOOKUP(D666,Sheet2!A:B,2)</f>
        <v>J20-0773</v>
      </c>
      <c r="G666" s="68" t="str">
        <f>VLOOKUP(F666,Sheet2!B:C,2,0)</f>
        <v>มิตรผลไบโอ-เพาเวอร์(ภูหลวง)</v>
      </c>
      <c r="H666" s="68" t="str">
        <f>HLOOKUP(I$2+$A666,Sheet2!BX:NB,2,0)</f>
        <v>1-15 April 21</v>
      </c>
      <c r="I666" t="str">
        <f>IF(OR(HLOOKUP(I$2+$A666,Sheet2!BX:NB,$B666,0),HLOOKUP(I$2+$A666,Sheet2!BX:NB,$B666,0)&lt;&gt;""),HLOOKUP(I$2+$A666,Sheet2!BX:NB,$B666,0),"")</f>
        <v/>
      </c>
      <c r="J666" t="str">
        <f>IF(OR(HLOOKUP(J$2+$A666,Sheet2!BY:NC,$B666,0),HLOOKUP(J$2+$A666,Sheet2!BY:NC,$B666,0)&lt;&gt;""),HLOOKUP(J$2+$A666,Sheet2!BY:NC,$B666,0),"")</f>
        <v/>
      </c>
      <c r="K666" t="str">
        <f>IF(OR(HLOOKUP(K$2+$A666,Sheet2!BZ:ND,$B666,0),HLOOKUP(K$2+$A666,Sheet2!BZ:ND,$B666,0)&lt;&gt;""),HLOOKUP(K$2+$A666,Sheet2!BZ:ND,$B666,0),"")</f>
        <v/>
      </c>
      <c r="L666" t="str">
        <f>IF(OR(HLOOKUP(L$2+$A666,Sheet2!CA:NE,$B666,0),HLOOKUP(L$2+$A666,Sheet2!CA:NE,$B666,0)&lt;&gt;""),HLOOKUP(L$2+$A666,Sheet2!CA:NE,$B666,0),"")</f>
        <v/>
      </c>
      <c r="M666" t="str">
        <f>IF(OR(HLOOKUP(M$2+$A666,Sheet2!CB:NF,$B666,0),HLOOKUP(M$2+$A666,Sheet2!CB:NF,$B666,0)&lt;&gt;""),HLOOKUP(M$2+$A666,Sheet2!CB:NF,$B666,0),"")</f>
        <v/>
      </c>
    </row>
    <row r="667" spans="1:13" x14ac:dyDescent="0.25">
      <c r="A667" s="68">
        <f t="shared" si="68"/>
        <v>35</v>
      </c>
      <c r="B667" s="68">
        <f t="shared" si="69"/>
        <v>87</v>
      </c>
      <c r="C667" s="68">
        <f t="shared" si="71"/>
        <v>8</v>
      </c>
      <c r="D667" s="68">
        <f t="shared" si="70"/>
        <v>83</v>
      </c>
      <c r="E667" s="68">
        <f t="shared" si="72"/>
        <v>411</v>
      </c>
      <c r="F667" s="21" t="str">
        <f>VLOOKUP(D667,Sheet2!A:B,2)</f>
        <v>J20-0773</v>
      </c>
      <c r="G667" s="68" t="str">
        <f>VLOOKUP(F667,Sheet2!B:C,2,0)</f>
        <v>มิตรผลไบโอ-เพาเวอร์(ภูหลวง)</v>
      </c>
      <c r="H667" s="68" t="str">
        <f>HLOOKUP(I$2+$A667,Sheet2!BX:NB,2,0)</f>
        <v>16-30 April 21</v>
      </c>
      <c r="I667" t="str">
        <f>IF(OR(HLOOKUP(I$2+$A667,Sheet2!BX:NB,$B667,0),HLOOKUP(I$2+$A667,Sheet2!BX:NB,$B667,0)&lt;&gt;""),HLOOKUP(I$2+$A667,Sheet2!BX:NB,$B667,0),"")</f>
        <v/>
      </c>
      <c r="J667" t="str">
        <f>IF(OR(HLOOKUP(J$2+$A667,Sheet2!BY:NC,$B667,0),HLOOKUP(J$2+$A667,Sheet2!BY:NC,$B667,0)&lt;&gt;""),HLOOKUP(J$2+$A667,Sheet2!BY:NC,$B667,0),"")</f>
        <v/>
      </c>
      <c r="K667" t="str">
        <f>IF(OR(HLOOKUP(K$2+$A667,Sheet2!BZ:ND,$B667,0),HLOOKUP(K$2+$A667,Sheet2!BZ:ND,$B667,0)&lt;&gt;""),HLOOKUP(K$2+$A667,Sheet2!BZ:ND,$B667,0),"")</f>
        <v/>
      </c>
      <c r="L667" t="str">
        <f>IF(OR(HLOOKUP(L$2+$A667,Sheet2!CA:NE,$B667,0),HLOOKUP(L$2+$A667,Sheet2!CA:NE,$B667,0)&lt;&gt;""),HLOOKUP(L$2+$A667,Sheet2!CA:NE,$B667,0),"")</f>
        <v/>
      </c>
      <c r="M667" t="str">
        <f>IF(OR(HLOOKUP(M$2+$A667,Sheet2!CB:NF,$B667,0),HLOOKUP(M$2+$A667,Sheet2!CB:NF,$B667,0)&lt;&gt;""),HLOOKUP(M$2+$A667,Sheet2!CB:NF,$B667,0),"")</f>
        <v/>
      </c>
    </row>
    <row r="668" spans="1:13" x14ac:dyDescent="0.25">
      <c r="A668" s="68">
        <f t="shared" si="68"/>
        <v>0</v>
      </c>
      <c r="B668" s="68">
        <f t="shared" si="69"/>
        <v>88</v>
      </c>
      <c r="C668" s="68">
        <f t="shared" si="71"/>
        <v>1</v>
      </c>
      <c r="D668" s="68">
        <f t="shared" si="70"/>
        <v>84</v>
      </c>
      <c r="E668" s="68">
        <f t="shared" si="72"/>
        <v>416</v>
      </c>
      <c r="F668" s="21" t="str">
        <f>VLOOKUP(D668,Sheet2!A:B,2)</f>
        <v>J20-0745</v>
      </c>
      <c r="G668" s="68" t="str">
        <f>VLOOKUP(F668,Sheet2!B:C,2,0)</f>
        <v>รวมเกษตรกรอุตสาหกรรม</v>
      </c>
      <c r="H668" s="68" t="str">
        <f>HLOOKUP(I$2+$A668,Sheet2!BX:NB,2,0)</f>
        <v>1-15 Jan 21</v>
      </c>
      <c r="I668" t="str">
        <f>IF(OR(HLOOKUP(I$2+$A668,Sheet2!BX:NB,$B668,0),HLOOKUP(I$2+$A668,Sheet2!BX:NB,$B668,0)&lt;&gt;""),HLOOKUP(I$2+$A668,Sheet2!BX:NB,$B668,0),"")</f>
        <v/>
      </c>
      <c r="J668" t="str">
        <f>IF(OR(HLOOKUP(J$2+$A668,Sheet2!BY:NC,$B668,0),HLOOKUP(J$2+$A668,Sheet2!BY:NC,$B668,0)&lt;&gt;""),HLOOKUP(J$2+$A668,Sheet2!BY:NC,$B668,0),"")</f>
        <v/>
      </c>
      <c r="K668" t="str">
        <f>IF(OR(HLOOKUP(K$2+$A668,Sheet2!BZ:ND,$B668,0),HLOOKUP(K$2+$A668,Sheet2!BZ:ND,$B668,0)&lt;&gt;""),HLOOKUP(K$2+$A668,Sheet2!BZ:ND,$B668,0),"")</f>
        <v/>
      </c>
      <c r="L668" t="str">
        <f>IF(OR(HLOOKUP(L$2+$A668,Sheet2!CA:NE,$B668,0),HLOOKUP(L$2+$A668,Sheet2!CA:NE,$B668,0)&lt;&gt;""),HLOOKUP(L$2+$A668,Sheet2!CA:NE,$B668,0),"")</f>
        <v/>
      </c>
      <c r="M668" t="str">
        <f>IF(OR(HLOOKUP(M$2+$A668,Sheet2!CB:NF,$B668,0),HLOOKUP(M$2+$A668,Sheet2!CB:NF,$B668,0)&lt;&gt;""),HLOOKUP(M$2+$A668,Sheet2!CB:NF,$B668,0),"")</f>
        <v/>
      </c>
    </row>
    <row r="669" spans="1:13" x14ac:dyDescent="0.25">
      <c r="A669" s="68">
        <f t="shared" si="68"/>
        <v>5</v>
      </c>
      <c r="B669" s="68">
        <f t="shared" si="69"/>
        <v>88</v>
      </c>
      <c r="C669" s="68">
        <f t="shared" si="71"/>
        <v>2</v>
      </c>
      <c r="D669" s="68">
        <f t="shared" si="70"/>
        <v>84</v>
      </c>
      <c r="E669" s="68">
        <f t="shared" si="72"/>
        <v>416</v>
      </c>
      <c r="F669" s="21" t="str">
        <f>VLOOKUP(D669,Sheet2!A:B,2)</f>
        <v>J20-0745</v>
      </c>
      <c r="G669" s="68" t="str">
        <f>VLOOKUP(F669,Sheet2!B:C,2,0)</f>
        <v>รวมเกษตรกรอุตสาหกรรม</v>
      </c>
      <c r="H669" s="68" t="str">
        <f>HLOOKUP(I$2+$A669,Sheet2!BX:NB,2,0)</f>
        <v>16-31 Jan 21</v>
      </c>
      <c r="I669" t="str">
        <f>IF(OR(HLOOKUP(I$2+$A669,Sheet2!BX:NB,$B669,0),HLOOKUP(I$2+$A669,Sheet2!BX:NB,$B669,0)&lt;&gt;""),HLOOKUP(I$2+$A669,Sheet2!BX:NB,$B669,0),"")</f>
        <v/>
      </c>
      <c r="J669" t="str">
        <f>IF(OR(HLOOKUP(J$2+$A669,Sheet2!BY:NC,$B669,0),HLOOKUP(J$2+$A669,Sheet2!BY:NC,$B669,0)&lt;&gt;""),HLOOKUP(J$2+$A669,Sheet2!BY:NC,$B669,0),"")</f>
        <v/>
      </c>
      <c r="K669" t="str">
        <f>IF(OR(HLOOKUP(K$2+$A669,Sheet2!BZ:ND,$B669,0),HLOOKUP(K$2+$A669,Sheet2!BZ:ND,$B669,0)&lt;&gt;""),HLOOKUP(K$2+$A669,Sheet2!BZ:ND,$B669,0),"")</f>
        <v/>
      </c>
      <c r="L669" t="str">
        <f>IF(OR(HLOOKUP(L$2+$A669,Sheet2!CA:NE,$B669,0),HLOOKUP(L$2+$A669,Sheet2!CA:NE,$B669,0)&lt;&gt;""),HLOOKUP(L$2+$A669,Sheet2!CA:NE,$B669,0),"")</f>
        <v/>
      </c>
      <c r="M669" t="str">
        <f>IF(OR(HLOOKUP(M$2+$A669,Sheet2!CB:NF,$B669,0),HLOOKUP(M$2+$A669,Sheet2!CB:NF,$B669,0)&lt;&gt;""),HLOOKUP(M$2+$A669,Sheet2!CB:NF,$B669,0),"")</f>
        <v/>
      </c>
    </row>
    <row r="670" spans="1:13" x14ac:dyDescent="0.25">
      <c r="A670" s="68">
        <f t="shared" si="68"/>
        <v>10</v>
      </c>
      <c r="B670" s="68">
        <f t="shared" si="69"/>
        <v>88</v>
      </c>
      <c r="C670" s="68">
        <f t="shared" si="71"/>
        <v>3</v>
      </c>
      <c r="D670" s="68">
        <f t="shared" si="70"/>
        <v>84</v>
      </c>
      <c r="E670" s="68">
        <f t="shared" si="72"/>
        <v>416</v>
      </c>
      <c r="F670" s="21" t="str">
        <f>VLOOKUP(D670,Sheet2!A:B,2)</f>
        <v>J20-0745</v>
      </c>
      <c r="G670" s="68" t="str">
        <f>VLOOKUP(F670,Sheet2!B:C,2,0)</f>
        <v>รวมเกษตรกรอุตสาหกรรม</v>
      </c>
      <c r="H670" s="68" t="str">
        <f>HLOOKUP(I$2+$A670,Sheet2!BX:NB,2,0)</f>
        <v>1-15 Feb 21</v>
      </c>
      <c r="I670" t="str">
        <f>IF(OR(HLOOKUP(I$2+$A670,Sheet2!BX:NB,$B670,0),HLOOKUP(I$2+$A670,Sheet2!BX:NB,$B670,0)&lt;&gt;""),HLOOKUP(I$2+$A670,Sheet2!BX:NB,$B670,0),"")</f>
        <v/>
      </c>
      <c r="J670" t="str">
        <f>IF(OR(HLOOKUP(J$2+$A670,Sheet2!BY:NC,$B670,0),HLOOKUP(J$2+$A670,Sheet2!BY:NC,$B670,0)&lt;&gt;""),HLOOKUP(J$2+$A670,Sheet2!BY:NC,$B670,0),"")</f>
        <v/>
      </c>
      <c r="K670" t="str">
        <f>IF(OR(HLOOKUP(K$2+$A670,Sheet2!BZ:ND,$B670,0),HLOOKUP(K$2+$A670,Sheet2!BZ:ND,$B670,0)&lt;&gt;""),HLOOKUP(K$2+$A670,Sheet2!BZ:ND,$B670,0),"")</f>
        <v/>
      </c>
      <c r="L670" t="str">
        <f>IF(OR(HLOOKUP(L$2+$A670,Sheet2!CA:NE,$B670,0),HLOOKUP(L$2+$A670,Sheet2!CA:NE,$B670,0)&lt;&gt;""),HLOOKUP(L$2+$A670,Sheet2!CA:NE,$B670,0),"")</f>
        <v/>
      </c>
      <c r="M670" t="str">
        <f>IF(OR(HLOOKUP(M$2+$A670,Sheet2!CB:NF,$B670,0),HLOOKUP(M$2+$A670,Sheet2!CB:NF,$B670,0)&lt;&gt;""),HLOOKUP(M$2+$A670,Sheet2!CB:NF,$B670,0),"")</f>
        <v/>
      </c>
    </row>
    <row r="671" spans="1:13" x14ac:dyDescent="0.25">
      <c r="A671" s="68">
        <f t="shared" si="68"/>
        <v>15</v>
      </c>
      <c r="B671" s="68">
        <f t="shared" si="69"/>
        <v>88</v>
      </c>
      <c r="C671" s="68">
        <f t="shared" si="71"/>
        <v>4</v>
      </c>
      <c r="D671" s="68">
        <f t="shared" si="70"/>
        <v>84</v>
      </c>
      <c r="E671" s="68">
        <f t="shared" si="72"/>
        <v>416</v>
      </c>
      <c r="F671" s="21" t="str">
        <f>VLOOKUP(D671,Sheet2!A:B,2)</f>
        <v>J20-0745</v>
      </c>
      <c r="G671" s="68" t="str">
        <f>VLOOKUP(F671,Sheet2!B:C,2,0)</f>
        <v>รวมเกษตรกรอุตสาหกรรม</v>
      </c>
      <c r="H671" s="68" t="str">
        <f>HLOOKUP(I$2+$A671,Sheet2!BX:NB,2,0)</f>
        <v>16-28 Feb 21</v>
      </c>
      <c r="I671" t="str">
        <f>IF(OR(HLOOKUP(I$2+$A671,Sheet2!BX:NB,$B671,0),HLOOKUP(I$2+$A671,Sheet2!BX:NB,$B671,0)&lt;&gt;""),HLOOKUP(I$2+$A671,Sheet2!BX:NB,$B671,0),"")</f>
        <v/>
      </c>
      <c r="J671" t="str">
        <f>IF(OR(HLOOKUP(J$2+$A671,Sheet2!BY:NC,$B671,0),HLOOKUP(J$2+$A671,Sheet2!BY:NC,$B671,0)&lt;&gt;""),HLOOKUP(J$2+$A671,Sheet2!BY:NC,$B671,0),"")</f>
        <v/>
      </c>
      <c r="K671" t="str">
        <f>IF(OR(HLOOKUP(K$2+$A671,Sheet2!BZ:ND,$B671,0),HLOOKUP(K$2+$A671,Sheet2!BZ:ND,$B671,0)&lt;&gt;""),HLOOKUP(K$2+$A671,Sheet2!BZ:ND,$B671,0),"")</f>
        <v/>
      </c>
      <c r="L671" t="str">
        <f>IF(OR(HLOOKUP(L$2+$A671,Sheet2!CA:NE,$B671,0),HLOOKUP(L$2+$A671,Sheet2!CA:NE,$B671,0)&lt;&gt;""),HLOOKUP(L$2+$A671,Sheet2!CA:NE,$B671,0),"")</f>
        <v/>
      </c>
      <c r="M671" t="str">
        <f>IF(OR(HLOOKUP(M$2+$A671,Sheet2!CB:NF,$B671,0),HLOOKUP(M$2+$A671,Sheet2!CB:NF,$B671,0)&lt;&gt;""),HLOOKUP(M$2+$A671,Sheet2!CB:NF,$B671,0),"")</f>
        <v/>
      </c>
    </row>
    <row r="672" spans="1:13" x14ac:dyDescent="0.25">
      <c r="A672" s="68">
        <f t="shared" si="68"/>
        <v>20</v>
      </c>
      <c r="B672" s="68">
        <f t="shared" si="69"/>
        <v>88</v>
      </c>
      <c r="C672" s="68">
        <f t="shared" si="71"/>
        <v>5</v>
      </c>
      <c r="D672" s="68">
        <f t="shared" si="70"/>
        <v>84</v>
      </c>
      <c r="E672" s="68">
        <f t="shared" si="72"/>
        <v>416</v>
      </c>
      <c r="F672" s="21" t="str">
        <f>VLOOKUP(D672,Sheet2!A:B,2)</f>
        <v>J20-0745</v>
      </c>
      <c r="G672" s="68" t="str">
        <f>VLOOKUP(F672,Sheet2!B:C,2,0)</f>
        <v>รวมเกษตรกรอุตสาหกรรม</v>
      </c>
      <c r="H672" s="68" t="str">
        <f>HLOOKUP(I$2+$A672,Sheet2!BX:NB,2,0)</f>
        <v>1-15 Mar 2021</v>
      </c>
      <c r="I672" t="str">
        <f>IF(OR(HLOOKUP(I$2+$A672,Sheet2!BX:NB,$B672,0),HLOOKUP(I$2+$A672,Sheet2!BX:NB,$B672,0)&lt;&gt;""),HLOOKUP(I$2+$A672,Sheet2!BX:NB,$B672,0),"")</f>
        <v/>
      </c>
      <c r="J672" t="str">
        <f>IF(OR(HLOOKUP(J$2+$A672,Sheet2!BY:NC,$B672,0),HLOOKUP(J$2+$A672,Sheet2!BY:NC,$B672,0)&lt;&gt;""),HLOOKUP(J$2+$A672,Sheet2!BY:NC,$B672,0),"")</f>
        <v/>
      </c>
      <c r="K672" t="str">
        <f>IF(OR(HLOOKUP(K$2+$A672,Sheet2!BZ:ND,$B672,0),HLOOKUP(K$2+$A672,Sheet2!BZ:ND,$B672,0)&lt;&gt;""),HLOOKUP(K$2+$A672,Sheet2!BZ:ND,$B672,0),"")</f>
        <v/>
      </c>
      <c r="L672" t="str">
        <f>IF(OR(HLOOKUP(L$2+$A672,Sheet2!CA:NE,$B672,0),HLOOKUP(L$2+$A672,Sheet2!CA:NE,$B672,0)&lt;&gt;""),HLOOKUP(L$2+$A672,Sheet2!CA:NE,$B672,0),"")</f>
        <v/>
      </c>
      <c r="M672" t="str">
        <f>IF(OR(HLOOKUP(M$2+$A672,Sheet2!CB:NF,$B672,0),HLOOKUP(M$2+$A672,Sheet2!CB:NF,$B672,0)&lt;&gt;""),HLOOKUP(M$2+$A672,Sheet2!CB:NF,$B672,0),"")</f>
        <v/>
      </c>
    </row>
    <row r="673" spans="1:13" x14ac:dyDescent="0.25">
      <c r="A673" s="68">
        <f t="shared" si="68"/>
        <v>25</v>
      </c>
      <c r="B673" s="68">
        <f t="shared" si="69"/>
        <v>88</v>
      </c>
      <c r="C673" s="68">
        <f t="shared" si="71"/>
        <v>6</v>
      </c>
      <c r="D673" s="68">
        <f t="shared" si="70"/>
        <v>84</v>
      </c>
      <c r="E673" s="68">
        <f t="shared" si="72"/>
        <v>416</v>
      </c>
      <c r="F673" s="21" t="str">
        <f>VLOOKUP(D673,Sheet2!A:B,2)</f>
        <v>J20-0745</v>
      </c>
      <c r="G673" s="68" t="str">
        <f>VLOOKUP(F673,Sheet2!B:C,2,0)</f>
        <v>รวมเกษตรกรอุตสาหกรรม</v>
      </c>
      <c r="H673" s="68" t="str">
        <f>HLOOKUP(I$2+$A673,Sheet2!BX:NB,2,0)</f>
        <v>16-31 Mar 21</v>
      </c>
      <c r="I673" t="str">
        <f>IF(OR(HLOOKUP(I$2+$A673,Sheet2!BX:NB,$B673,0),HLOOKUP(I$2+$A673,Sheet2!BX:NB,$B673,0)&lt;&gt;""),HLOOKUP(I$2+$A673,Sheet2!BX:NB,$B673,0),"")</f>
        <v/>
      </c>
      <c r="J673" t="str">
        <f>IF(OR(HLOOKUP(J$2+$A673,Sheet2!BY:NC,$B673,0),HLOOKUP(J$2+$A673,Sheet2!BY:NC,$B673,0)&lt;&gt;""),HLOOKUP(J$2+$A673,Sheet2!BY:NC,$B673,0),"")</f>
        <v/>
      </c>
      <c r="K673" t="str">
        <f>IF(OR(HLOOKUP(K$2+$A673,Sheet2!BZ:ND,$B673,0),HLOOKUP(K$2+$A673,Sheet2!BZ:ND,$B673,0)&lt;&gt;""),HLOOKUP(K$2+$A673,Sheet2!BZ:ND,$B673,0),"")</f>
        <v/>
      </c>
      <c r="L673" t="str">
        <f>IF(OR(HLOOKUP(L$2+$A673,Sheet2!CA:NE,$B673,0),HLOOKUP(L$2+$A673,Sheet2!CA:NE,$B673,0)&lt;&gt;""),HLOOKUP(L$2+$A673,Sheet2!CA:NE,$B673,0),"")</f>
        <v/>
      </c>
      <c r="M673" t="str">
        <f>IF(OR(HLOOKUP(M$2+$A673,Sheet2!CB:NF,$B673,0),HLOOKUP(M$2+$A673,Sheet2!CB:NF,$B673,0)&lt;&gt;""),HLOOKUP(M$2+$A673,Sheet2!CB:NF,$B673,0),"")</f>
        <v/>
      </c>
    </row>
    <row r="674" spans="1:13" x14ac:dyDescent="0.25">
      <c r="A674" s="68">
        <f t="shared" si="68"/>
        <v>30</v>
      </c>
      <c r="B674" s="68">
        <f t="shared" si="69"/>
        <v>88</v>
      </c>
      <c r="C674" s="68">
        <f t="shared" si="71"/>
        <v>7</v>
      </c>
      <c r="D674" s="68">
        <f t="shared" si="70"/>
        <v>84</v>
      </c>
      <c r="E674" s="68">
        <f t="shared" si="72"/>
        <v>416</v>
      </c>
      <c r="F674" s="21" t="str">
        <f>VLOOKUP(D674,Sheet2!A:B,2)</f>
        <v>J20-0745</v>
      </c>
      <c r="G674" s="68" t="str">
        <f>VLOOKUP(F674,Sheet2!B:C,2,0)</f>
        <v>รวมเกษตรกรอุตสาหกรรม</v>
      </c>
      <c r="H674" s="68" t="str">
        <f>HLOOKUP(I$2+$A674,Sheet2!BX:NB,2,0)</f>
        <v>1-15 April 21</v>
      </c>
      <c r="I674" t="str">
        <f>IF(OR(HLOOKUP(I$2+$A674,Sheet2!BX:NB,$B674,0),HLOOKUP(I$2+$A674,Sheet2!BX:NB,$B674,0)&lt;&gt;""),HLOOKUP(I$2+$A674,Sheet2!BX:NB,$B674,0),"")</f>
        <v/>
      </c>
      <c r="J674" t="str">
        <f>IF(OR(HLOOKUP(J$2+$A674,Sheet2!BY:NC,$B674,0),HLOOKUP(J$2+$A674,Sheet2!BY:NC,$B674,0)&lt;&gt;""),HLOOKUP(J$2+$A674,Sheet2!BY:NC,$B674,0),"")</f>
        <v/>
      </c>
      <c r="K674" t="str">
        <f>IF(OR(HLOOKUP(K$2+$A674,Sheet2!BZ:ND,$B674,0),HLOOKUP(K$2+$A674,Sheet2!BZ:ND,$B674,0)&lt;&gt;""),HLOOKUP(K$2+$A674,Sheet2!BZ:ND,$B674,0),"")</f>
        <v/>
      </c>
      <c r="L674" t="str">
        <f>IF(OR(HLOOKUP(L$2+$A674,Sheet2!CA:NE,$B674,0),HLOOKUP(L$2+$A674,Sheet2!CA:NE,$B674,0)&lt;&gt;""),HLOOKUP(L$2+$A674,Sheet2!CA:NE,$B674,0),"")</f>
        <v/>
      </c>
      <c r="M674" t="str">
        <f>IF(OR(HLOOKUP(M$2+$A674,Sheet2!CB:NF,$B674,0),HLOOKUP(M$2+$A674,Sheet2!CB:NF,$B674,0)&lt;&gt;""),HLOOKUP(M$2+$A674,Sheet2!CB:NF,$B674,0),"")</f>
        <v/>
      </c>
    </row>
    <row r="675" spans="1:13" x14ac:dyDescent="0.25">
      <c r="A675" s="68">
        <f t="shared" si="68"/>
        <v>35</v>
      </c>
      <c r="B675" s="68">
        <f t="shared" si="69"/>
        <v>88</v>
      </c>
      <c r="C675" s="68">
        <f t="shared" si="71"/>
        <v>8</v>
      </c>
      <c r="D675" s="68">
        <f t="shared" si="70"/>
        <v>84</v>
      </c>
      <c r="E675" s="68">
        <f t="shared" si="72"/>
        <v>416</v>
      </c>
      <c r="F675" s="21" t="str">
        <f>VLOOKUP(D675,Sheet2!A:B,2)</f>
        <v>J20-0745</v>
      </c>
      <c r="G675" s="68" t="str">
        <f>VLOOKUP(F675,Sheet2!B:C,2,0)</f>
        <v>รวมเกษตรกรอุตสาหกรรม</v>
      </c>
      <c r="H675" s="68" t="str">
        <f>HLOOKUP(I$2+$A675,Sheet2!BX:NB,2,0)</f>
        <v>16-30 April 21</v>
      </c>
      <c r="I675" t="str">
        <f>IF(OR(HLOOKUP(I$2+$A675,Sheet2!BX:NB,$B675,0),HLOOKUP(I$2+$A675,Sheet2!BX:NB,$B675,0)&lt;&gt;""),HLOOKUP(I$2+$A675,Sheet2!BX:NB,$B675,0),"")</f>
        <v/>
      </c>
      <c r="J675" t="str">
        <f>IF(OR(HLOOKUP(J$2+$A675,Sheet2!BY:NC,$B675,0),HLOOKUP(J$2+$A675,Sheet2!BY:NC,$B675,0)&lt;&gt;""),HLOOKUP(J$2+$A675,Sheet2!BY:NC,$B675,0),"")</f>
        <v/>
      </c>
      <c r="K675" t="str">
        <f>IF(OR(HLOOKUP(K$2+$A675,Sheet2!BZ:ND,$B675,0),HLOOKUP(K$2+$A675,Sheet2!BZ:ND,$B675,0)&lt;&gt;""),HLOOKUP(K$2+$A675,Sheet2!BZ:ND,$B675,0),"")</f>
        <v/>
      </c>
      <c r="L675" t="str">
        <f>IF(OR(HLOOKUP(L$2+$A675,Sheet2!CA:NE,$B675,0),HLOOKUP(L$2+$A675,Sheet2!CA:NE,$B675,0)&lt;&gt;""),HLOOKUP(L$2+$A675,Sheet2!CA:NE,$B675,0),"")</f>
        <v/>
      </c>
      <c r="M675" t="str">
        <f>IF(OR(HLOOKUP(M$2+$A675,Sheet2!CB:NF,$B675,0),HLOOKUP(M$2+$A675,Sheet2!CB:NF,$B675,0)&lt;&gt;""),HLOOKUP(M$2+$A675,Sheet2!CB:NF,$B675,0),"")</f>
        <v/>
      </c>
    </row>
    <row r="676" spans="1:13" x14ac:dyDescent="0.25">
      <c r="A676" s="68">
        <f t="shared" si="68"/>
        <v>0</v>
      </c>
      <c r="B676" s="68">
        <f t="shared" si="69"/>
        <v>89</v>
      </c>
      <c r="C676" s="68">
        <f t="shared" si="71"/>
        <v>1</v>
      </c>
      <c r="D676" s="68">
        <f t="shared" si="70"/>
        <v>85</v>
      </c>
      <c r="E676" s="68">
        <f t="shared" si="72"/>
        <v>421</v>
      </c>
      <c r="F676" s="21" t="str">
        <f>VLOOKUP(D676,Sheet2!A:B,2)</f>
        <v>J20-0509</v>
      </c>
      <c r="G676" s="68" t="str">
        <f>VLOOKUP(F676,Sheet2!B:C,2,0)</f>
        <v>Installation Work (TMMA)</v>
      </c>
      <c r="H676" s="68" t="str">
        <f>HLOOKUP(I$2+$A676,Sheet2!BX:NB,2,0)</f>
        <v>1-15 Jan 21</v>
      </c>
      <c r="I676" t="str">
        <f>IF(OR(HLOOKUP(I$2+$A676,Sheet2!BX:NB,$B676,0),HLOOKUP(I$2+$A676,Sheet2!BX:NB,$B676,0)&lt;&gt;""),HLOOKUP(I$2+$A676,Sheet2!BX:NB,$B676,0),"")</f>
        <v/>
      </c>
      <c r="J676" t="str">
        <f>IF(OR(HLOOKUP(J$2+$A676,Sheet2!BY:NC,$B676,0),HLOOKUP(J$2+$A676,Sheet2!BY:NC,$B676,0)&lt;&gt;""),HLOOKUP(J$2+$A676,Sheet2!BY:NC,$B676,0),"")</f>
        <v/>
      </c>
      <c r="K676" t="str">
        <f>IF(OR(HLOOKUP(K$2+$A676,Sheet2!BZ:ND,$B676,0),HLOOKUP(K$2+$A676,Sheet2!BZ:ND,$B676,0)&lt;&gt;""),HLOOKUP(K$2+$A676,Sheet2!BZ:ND,$B676,0),"")</f>
        <v/>
      </c>
      <c r="L676" t="str">
        <f>IF(OR(HLOOKUP(L$2+$A676,Sheet2!CA:NE,$B676,0),HLOOKUP(L$2+$A676,Sheet2!CA:NE,$B676,0)&lt;&gt;""),HLOOKUP(L$2+$A676,Sheet2!CA:NE,$B676,0),"")</f>
        <v/>
      </c>
      <c r="M676" t="str">
        <f>IF(OR(HLOOKUP(M$2+$A676,Sheet2!CB:NF,$B676,0),HLOOKUP(M$2+$A676,Sheet2!CB:NF,$B676,0)&lt;&gt;""),HLOOKUP(M$2+$A676,Sheet2!CB:NF,$B676,0),"")</f>
        <v/>
      </c>
    </row>
    <row r="677" spans="1:13" x14ac:dyDescent="0.25">
      <c r="A677" s="68">
        <f t="shared" si="68"/>
        <v>5</v>
      </c>
      <c r="B677" s="68">
        <f t="shared" si="69"/>
        <v>89</v>
      </c>
      <c r="C677" s="68">
        <f t="shared" si="71"/>
        <v>2</v>
      </c>
      <c r="D677" s="68">
        <f t="shared" si="70"/>
        <v>85</v>
      </c>
      <c r="E677" s="68">
        <f t="shared" si="72"/>
        <v>421</v>
      </c>
      <c r="F677" s="21" t="str">
        <f>VLOOKUP(D677,Sheet2!A:B,2)</f>
        <v>J20-0509</v>
      </c>
      <c r="G677" s="68" t="str">
        <f>VLOOKUP(F677,Sheet2!B:C,2,0)</f>
        <v>Installation Work (TMMA)</v>
      </c>
      <c r="H677" s="68" t="str">
        <f>HLOOKUP(I$2+$A677,Sheet2!BX:NB,2,0)</f>
        <v>16-31 Jan 21</v>
      </c>
      <c r="I677" t="str">
        <f>IF(OR(HLOOKUP(I$2+$A677,Sheet2!BX:NB,$B677,0),HLOOKUP(I$2+$A677,Sheet2!BX:NB,$B677,0)&lt;&gt;""),HLOOKUP(I$2+$A677,Sheet2!BX:NB,$B677,0),"")</f>
        <v/>
      </c>
      <c r="J677" t="str">
        <f>IF(OR(HLOOKUP(J$2+$A677,Sheet2!BY:NC,$B677,0),HLOOKUP(J$2+$A677,Sheet2!BY:NC,$B677,0)&lt;&gt;""),HLOOKUP(J$2+$A677,Sheet2!BY:NC,$B677,0),"")</f>
        <v/>
      </c>
      <c r="K677" t="str">
        <f>IF(OR(HLOOKUP(K$2+$A677,Sheet2!BZ:ND,$B677,0),HLOOKUP(K$2+$A677,Sheet2!BZ:ND,$B677,0)&lt;&gt;""),HLOOKUP(K$2+$A677,Sheet2!BZ:ND,$B677,0),"")</f>
        <v/>
      </c>
      <c r="L677" t="str">
        <f>IF(OR(HLOOKUP(L$2+$A677,Sheet2!CA:NE,$B677,0),HLOOKUP(L$2+$A677,Sheet2!CA:NE,$B677,0)&lt;&gt;""),HLOOKUP(L$2+$A677,Sheet2!CA:NE,$B677,0),"")</f>
        <v/>
      </c>
      <c r="M677" t="str">
        <f>IF(OR(HLOOKUP(M$2+$A677,Sheet2!CB:NF,$B677,0),HLOOKUP(M$2+$A677,Sheet2!CB:NF,$B677,0)&lt;&gt;""),HLOOKUP(M$2+$A677,Sheet2!CB:NF,$B677,0),"")</f>
        <v/>
      </c>
    </row>
    <row r="678" spans="1:13" x14ac:dyDescent="0.25">
      <c r="A678" s="68">
        <f t="shared" si="68"/>
        <v>10</v>
      </c>
      <c r="B678" s="68">
        <f t="shared" si="69"/>
        <v>89</v>
      </c>
      <c r="C678" s="68">
        <f t="shared" si="71"/>
        <v>3</v>
      </c>
      <c r="D678" s="68">
        <f t="shared" si="70"/>
        <v>85</v>
      </c>
      <c r="E678" s="68">
        <f t="shared" si="72"/>
        <v>421</v>
      </c>
      <c r="F678" s="21" t="str">
        <f>VLOOKUP(D678,Sheet2!A:B,2)</f>
        <v>J20-0509</v>
      </c>
      <c r="G678" s="68" t="str">
        <f>VLOOKUP(F678,Sheet2!B:C,2,0)</f>
        <v>Installation Work (TMMA)</v>
      </c>
      <c r="H678" s="68" t="str">
        <f>HLOOKUP(I$2+$A678,Sheet2!BX:NB,2,0)</f>
        <v>1-15 Feb 21</v>
      </c>
      <c r="I678" t="str">
        <f>IF(OR(HLOOKUP(I$2+$A678,Sheet2!BX:NB,$B678,0),HLOOKUP(I$2+$A678,Sheet2!BX:NB,$B678,0)&lt;&gt;""),HLOOKUP(I$2+$A678,Sheet2!BX:NB,$B678,0),"")</f>
        <v/>
      </c>
      <c r="J678" t="str">
        <f>IF(OR(HLOOKUP(J$2+$A678,Sheet2!BY:NC,$B678,0),HLOOKUP(J$2+$A678,Sheet2!BY:NC,$B678,0)&lt;&gt;""),HLOOKUP(J$2+$A678,Sheet2!BY:NC,$B678,0),"")</f>
        <v/>
      </c>
      <c r="K678" t="str">
        <f>IF(OR(HLOOKUP(K$2+$A678,Sheet2!BZ:ND,$B678,0),HLOOKUP(K$2+$A678,Sheet2!BZ:ND,$B678,0)&lt;&gt;""),HLOOKUP(K$2+$A678,Sheet2!BZ:ND,$B678,0),"")</f>
        <v/>
      </c>
      <c r="L678" t="str">
        <f>IF(OR(HLOOKUP(L$2+$A678,Sheet2!CA:NE,$B678,0),HLOOKUP(L$2+$A678,Sheet2!CA:NE,$B678,0)&lt;&gt;""),HLOOKUP(L$2+$A678,Sheet2!CA:NE,$B678,0),"")</f>
        <v/>
      </c>
      <c r="M678" t="str">
        <f>IF(OR(HLOOKUP(M$2+$A678,Sheet2!CB:NF,$B678,0),HLOOKUP(M$2+$A678,Sheet2!CB:NF,$B678,0)&lt;&gt;""),HLOOKUP(M$2+$A678,Sheet2!CB:NF,$B678,0),"")</f>
        <v/>
      </c>
    </row>
    <row r="679" spans="1:13" x14ac:dyDescent="0.25">
      <c r="A679" s="68">
        <f t="shared" si="68"/>
        <v>15</v>
      </c>
      <c r="B679" s="68">
        <f t="shared" si="69"/>
        <v>89</v>
      </c>
      <c r="C679" s="68">
        <f t="shared" si="71"/>
        <v>4</v>
      </c>
      <c r="D679" s="68">
        <f t="shared" si="70"/>
        <v>85</v>
      </c>
      <c r="E679" s="68">
        <f t="shared" si="72"/>
        <v>421</v>
      </c>
      <c r="F679" s="21" t="str">
        <f>VLOOKUP(D679,Sheet2!A:B,2)</f>
        <v>J20-0509</v>
      </c>
      <c r="G679" s="68" t="str">
        <f>VLOOKUP(F679,Sheet2!B:C,2,0)</f>
        <v>Installation Work (TMMA)</v>
      </c>
      <c r="H679" s="68" t="str">
        <f>HLOOKUP(I$2+$A679,Sheet2!BX:NB,2,0)</f>
        <v>16-28 Feb 21</v>
      </c>
      <c r="I679" t="str">
        <f>IF(OR(HLOOKUP(I$2+$A679,Sheet2!BX:NB,$B679,0),HLOOKUP(I$2+$A679,Sheet2!BX:NB,$B679,0)&lt;&gt;""),HLOOKUP(I$2+$A679,Sheet2!BX:NB,$B679,0),"")</f>
        <v/>
      </c>
      <c r="J679" t="str">
        <f>IF(OR(HLOOKUP(J$2+$A679,Sheet2!BY:NC,$B679,0),HLOOKUP(J$2+$A679,Sheet2!BY:NC,$B679,0)&lt;&gt;""),HLOOKUP(J$2+$A679,Sheet2!BY:NC,$B679,0),"")</f>
        <v/>
      </c>
      <c r="K679" t="str">
        <f>IF(OR(HLOOKUP(K$2+$A679,Sheet2!BZ:ND,$B679,0),HLOOKUP(K$2+$A679,Sheet2!BZ:ND,$B679,0)&lt;&gt;""),HLOOKUP(K$2+$A679,Sheet2!BZ:ND,$B679,0),"")</f>
        <v/>
      </c>
      <c r="L679" t="str">
        <f>IF(OR(HLOOKUP(L$2+$A679,Sheet2!CA:NE,$B679,0),HLOOKUP(L$2+$A679,Sheet2!CA:NE,$B679,0)&lt;&gt;""),HLOOKUP(L$2+$A679,Sheet2!CA:NE,$B679,0),"")</f>
        <v/>
      </c>
      <c r="M679" t="str">
        <f>IF(OR(HLOOKUP(M$2+$A679,Sheet2!CB:NF,$B679,0),HLOOKUP(M$2+$A679,Sheet2!CB:NF,$B679,0)&lt;&gt;""),HLOOKUP(M$2+$A679,Sheet2!CB:NF,$B679,0),"")</f>
        <v/>
      </c>
    </row>
    <row r="680" spans="1:13" x14ac:dyDescent="0.25">
      <c r="A680" s="68">
        <f t="shared" si="68"/>
        <v>20</v>
      </c>
      <c r="B680" s="68">
        <f t="shared" si="69"/>
        <v>89</v>
      </c>
      <c r="C680" s="68">
        <f t="shared" si="71"/>
        <v>5</v>
      </c>
      <c r="D680" s="68">
        <f t="shared" si="70"/>
        <v>85</v>
      </c>
      <c r="E680" s="68">
        <f t="shared" si="72"/>
        <v>421</v>
      </c>
      <c r="F680" s="21" t="str">
        <f>VLOOKUP(D680,Sheet2!A:B,2)</f>
        <v>J20-0509</v>
      </c>
      <c r="G680" s="68" t="str">
        <f>VLOOKUP(F680,Sheet2!B:C,2,0)</f>
        <v>Installation Work (TMMA)</v>
      </c>
      <c r="H680" s="68" t="str">
        <f>HLOOKUP(I$2+$A680,Sheet2!BX:NB,2,0)</f>
        <v>1-15 Mar 2021</v>
      </c>
      <c r="I680" t="str">
        <f>IF(OR(HLOOKUP(I$2+$A680,Sheet2!BX:NB,$B680,0),HLOOKUP(I$2+$A680,Sheet2!BX:NB,$B680,0)&lt;&gt;""),HLOOKUP(I$2+$A680,Sheet2!BX:NB,$B680,0),"")</f>
        <v/>
      </c>
      <c r="J680" t="str">
        <f>IF(OR(HLOOKUP(J$2+$A680,Sheet2!BY:NC,$B680,0),HLOOKUP(J$2+$A680,Sheet2!BY:NC,$B680,0)&lt;&gt;""),HLOOKUP(J$2+$A680,Sheet2!BY:NC,$B680,0),"")</f>
        <v/>
      </c>
      <c r="K680" t="str">
        <f>IF(OR(HLOOKUP(K$2+$A680,Sheet2!BZ:ND,$B680,0),HLOOKUP(K$2+$A680,Sheet2!BZ:ND,$B680,0)&lt;&gt;""),HLOOKUP(K$2+$A680,Sheet2!BZ:ND,$B680,0),"")</f>
        <v/>
      </c>
      <c r="L680" t="str">
        <f>IF(OR(HLOOKUP(L$2+$A680,Sheet2!CA:NE,$B680,0),HLOOKUP(L$2+$A680,Sheet2!CA:NE,$B680,0)&lt;&gt;""),HLOOKUP(L$2+$A680,Sheet2!CA:NE,$B680,0),"")</f>
        <v/>
      </c>
      <c r="M680" t="str">
        <f>IF(OR(HLOOKUP(M$2+$A680,Sheet2!CB:NF,$B680,0),HLOOKUP(M$2+$A680,Sheet2!CB:NF,$B680,0)&lt;&gt;""),HLOOKUP(M$2+$A680,Sheet2!CB:NF,$B680,0),"")</f>
        <v/>
      </c>
    </row>
    <row r="681" spans="1:13" x14ac:dyDescent="0.25">
      <c r="A681" s="68">
        <f t="shared" si="68"/>
        <v>25</v>
      </c>
      <c r="B681" s="68">
        <f t="shared" si="69"/>
        <v>89</v>
      </c>
      <c r="C681" s="68">
        <f t="shared" si="71"/>
        <v>6</v>
      </c>
      <c r="D681" s="68">
        <f t="shared" si="70"/>
        <v>85</v>
      </c>
      <c r="E681" s="68">
        <f t="shared" si="72"/>
        <v>421</v>
      </c>
      <c r="F681" s="21" t="str">
        <f>VLOOKUP(D681,Sheet2!A:B,2)</f>
        <v>J20-0509</v>
      </c>
      <c r="G681" s="68" t="str">
        <f>VLOOKUP(F681,Sheet2!B:C,2,0)</f>
        <v>Installation Work (TMMA)</v>
      </c>
      <c r="H681" s="68" t="str">
        <f>HLOOKUP(I$2+$A681,Sheet2!BX:NB,2,0)</f>
        <v>16-31 Mar 21</v>
      </c>
      <c r="I681" t="str">
        <f>IF(OR(HLOOKUP(I$2+$A681,Sheet2!BX:NB,$B681,0),HLOOKUP(I$2+$A681,Sheet2!BX:NB,$B681,0)&lt;&gt;""),HLOOKUP(I$2+$A681,Sheet2!BX:NB,$B681,0),"")</f>
        <v/>
      </c>
      <c r="J681" t="str">
        <f>IF(OR(HLOOKUP(J$2+$A681,Sheet2!BY:NC,$B681,0),HLOOKUP(J$2+$A681,Sheet2!BY:NC,$B681,0)&lt;&gt;""),HLOOKUP(J$2+$A681,Sheet2!BY:NC,$B681,0),"")</f>
        <v/>
      </c>
      <c r="K681" t="str">
        <f>IF(OR(HLOOKUP(K$2+$A681,Sheet2!BZ:ND,$B681,0),HLOOKUP(K$2+$A681,Sheet2!BZ:ND,$B681,0)&lt;&gt;""),HLOOKUP(K$2+$A681,Sheet2!BZ:ND,$B681,0),"")</f>
        <v/>
      </c>
      <c r="L681" t="str">
        <f>IF(OR(HLOOKUP(L$2+$A681,Sheet2!CA:NE,$B681,0),HLOOKUP(L$2+$A681,Sheet2!CA:NE,$B681,0)&lt;&gt;""),HLOOKUP(L$2+$A681,Sheet2!CA:NE,$B681,0),"")</f>
        <v/>
      </c>
      <c r="M681" t="str">
        <f>IF(OR(HLOOKUP(M$2+$A681,Sheet2!CB:NF,$B681,0),HLOOKUP(M$2+$A681,Sheet2!CB:NF,$B681,0)&lt;&gt;""),HLOOKUP(M$2+$A681,Sheet2!CB:NF,$B681,0),"")</f>
        <v/>
      </c>
    </row>
    <row r="682" spans="1:13" x14ac:dyDescent="0.25">
      <c r="A682" s="68">
        <f t="shared" si="68"/>
        <v>30</v>
      </c>
      <c r="B682" s="68">
        <f t="shared" si="69"/>
        <v>89</v>
      </c>
      <c r="C682" s="68">
        <f t="shared" si="71"/>
        <v>7</v>
      </c>
      <c r="D682" s="68">
        <f t="shared" si="70"/>
        <v>85</v>
      </c>
      <c r="E682" s="68">
        <f t="shared" si="72"/>
        <v>421</v>
      </c>
      <c r="F682" s="21" t="str">
        <f>VLOOKUP(D682,Sheet2!A:B,2)</f>
        <v>J20-0509</v>
      </c>
      <c r="G682" s="68" t="str">
        <f>VLOOKUP(F682,Sheet2!B:C,2,0)</f>
        <v>Installation Work (TMMA)</v>
      </c>
      <c r="H682" s="68" t="str">
        <f>HLOOKUP(I$2+$A682,Sheet2!BX:NB,2,0)</f>
        <v>1-15 April 21</v>
      </c>
      <c r="I682" t="str">
        <f>IF(OR(HLOOKUP(I$2+$A682,Sheet2!BX:NB,$B682,0),HLOOKUP(I$2+$A682,Sheet2!BX:NB,$B682,0)&lt;&gt;""),HLOOKUP(I$2+$A682,Sheet2!BX:NB,$B682,0),"")</f>
        <v/>
      </c>
      <c r="J682" t="str">
        <f>IF(OR(HLOOKUP(J$2+$A682,Sheet2!BY:NC,$B682,0),HLOOKUP(J$2+$A682,Sheet2!BY:NC,$B682,0)&lt;&gt;""),HLOOKUP(J$2+$A682,Sheet2!BY:NC,$B682,0),"")</f>
        <v/>
      </c>
      <c r="K682" t="str">
        <f>IF(OR(HLOOKUP(K$2+$A682,Sheet2!BZ:ND,$B682,0),HLOOKUP(K$2+$A682,Sheet2!BZ:ND,$B682,0)&lt;&gt;""),HLOOKUP(K$2+$A682,Sheet2!BZ:ND,$B682,0),"")</f>
        <v/>
      </c>
      <c r="L682" t="str">
        <f>IF(OR(HLOOKUP(L$2+$A682,Sheet2!CA:NE,$B682,0),HLOOKUP(L$2+$A682,Sheet2!CA:NE,$B682,0)&lt;&gt;""),HLOOKUP(L$2+$A682,Sheet2!CA:NE,$B682,0),"")</f>
        <v/>
      </c>
      <c r="M682" t="str">
        <f>IF(OR(HLOOKUP(M$2+$A682,Sheet2!CB:NF,$B682,0),HLOOKUP(M$2+$A682,Sheet2!CB:NF,$B682,0)&lt;&gt;""),HLOOKUP(M$2+$A682,Sheet2!CB:NF,$B682,0),"")</f>
        <v/>
      </c>
    </row>
    <row r="683" spans="1:13" x14ac:dyDescent="0.25">
      <c r="A683" s="68">
        <f t="shared" si="68"/>
        <v>35</v>
      </c>
      <c r="B683" s="68">
        <f t="shared" si="69"/>
        <v>89</v>
      </c>
      <c r="C683" s="68">
        <f t="shared" si="71"/>
        <v>8</v>
      </c>
      <c r="D683" s="68">
        <f t="shared" si="70"/>
        <v>85</v>
      </c>
      <c r="E683" s="68">
        <f t="shared" si="72"/>
        <v>421</v>
      </c>
      <c r="F683" s="21" t="str">
        <f>VLOOKUP(D683,Sheet2!A:B,2)</f>
        <v>J20-0509</v>
      </c>
      <c r="G683" s="68" t="str">
        <f>VLOOKUP(F683,Sheet2!B:C,2,0)</f>
        <v>Installation Work (TMMA)</v>
      </c>
      <c r="H683" s="68" t="str">
        <f>HLOOKUP(I$2+$A683,Sheet2!BX:NB,2,0)</f>
        <v>16-30 April 21</v>
      </c>
      <c r="I683" t="str">
        <f>IF(OR(HLOOKUP(I$2+$A683,Sheet2!BX:NB,$B683,0),HLOOKUP(I$2+$A683,Sheet2!BX:NB,$B683,0)&lt;&gt;""),HLOOKUP(I$2+$A683,Sheet2!BX:NB,$B683,0),"")</f>
        <v/>
      </c>
      <c r="J683" t="str">
        <f>IF(OR(HLOOKUP(J$2+$A683,Sheet2!BY:NC,$B683,0),HLOOKUP(J$2+$A683,Sheet2!BY:NC,$B683,0)&lt;&gt;""),HLOOKUP(J$2+$A683,Sheet2!BY:NC,$B683,0),"")</f>
        <v/>
      </c>
      <c r="K683" t="str">
        <f>IF(OR(HLOOKUP(K$2+$A683,Sheet2!BZ:ND,$B683,0),HLOOKUP(K$2+$A683,Sheet2!BZ:ND,$B683,0)&lt;&gt;""),HLOOKUP(K$2+$A683,Sheet2!BZ:ND,$B683,0),"")</f>
        <v/>
      </c>
      <c r="L683" t="str">
        <f>IF(OR(HLOOKUP(L$2+$A683,Sheet2!CA:NE,$B683,0),HLOOKUP(L$2+$A683,Sheet2!CA:NE,$B683,0)&lt;&gt;""),HLOOKUP(L$2+$A683,Sheet2!CA:NE,$B683,0),"")</f>
        <v/>
      </c>
      <c r="M683" t="str">
        <f>IF(OR(HLOOKUP(M$2+$A683,Sheet2!CB:NF,$B683,0),HLOOKUP(M$2+$A683,Sheet2!CB:NF,$B683,0)&lt;&gt;""),HLOOKUP(M$2+$A683,Sheet2!CB:NF,$B683,0),"")</f>
        <v/>
      </c>
    </row>
    <row r="684" spans="1:13" x14ac:dyDescent="0.25">
      <c r="A684" s="68">
        <f t="shared" si="68"/>
        <v>0</v>
      </c>
      <c r="B684" s="68">
        <f t="shared" si="69"/>
        <v>90</v>
      </c>
      <c r="C684" s="68">
        <f t="shared" si="71"/>
        <v>1</v>
      </c>
      <c r="D684" s="68">
        <f t="shared" si="70"/>
        <v>86</v>
      </c>
      <c r="E684" s="68">
        <f t="shared" si="72"/>
        <v>426</v>
      </c>
      <c r="F684" s="21" t="str">
        <f>VLOOKUP(D684,Sheet2!A:B,2)</f>
        <v>J20-0891</v>
      </c>
      <c r="G684" s="68" t="str">
        <f>VLOOKUP(F684,Sheet2!B:C,2,0)</f>
        <v xml:space="preserve">น้ำตาลมิตรกาฬสินธุ์ </v>
      </c>
      <c r="H684" s="68" t="str">
        <f>HLOOKUP(I$2+$A684,Sheet2!BX:NB,2,0)</f>
        <v>1-15 Jan 21</v>
      </c>
      <c r="I684" t="str">
        <f>IF(OR(HLOOKUP(I$2+$A684,Sheet2!BX:NB,$B684,0),HLOOKUP(I$2+$A684,Sheet2!BX:NB,$B684,0)&lt;&gt;""),HLOOKUP(I$2+$A684,Sheet2!BX:NB,$B684,0),"")</f>
        <v/>
      </c>
      <c r="J684" t="str">
        <f>IF(OR(HLOOKUP(J$2+$A684,Sheet2!BY:NC,$B684,0),HLOOKUP(J$2+$A684,Sheet2!BY:NC,$B684,0)&lt;&gt;""),HLOOKUP(J$2+$A684,Sheet2!BY:NC,$B684,0),"")</f>
        <v/>
      </c>
      <c r="K684" t="str">
        <f>IF(OR(HLOOKUP(K$2+$A684,Sheet2!BZ:ND,$B684,0),HLOOKUP(K$2+$A684,Sheet2!BZ:ND,$B684,0)&lt;&gt;""),HLOOKUP(K$2+$A684,Sheet2!BZ:ND,$B684,0),"")</f>
        <v/>
      </c>
      <c r="L684" t="str">
        <f>IF(OR(HLOOKUP(L$2+$A684,Sheet2!CA:NE,$B684,0),HLOOKUP(L$2+$A684,Sheet2!CA:NE,$B684,0)&lt;&gt;""),HLOOKUP(L$2+$A684,Sheet2!CA:NE,$B684,0),"")</f>
        <v/>
      </c>
      <c r="M684" t="str">
        <f>IF(OR(HLOOKUP(M$2+$A684,Sheet2!CB:NF,$B684,0),HLOOKUP(M$2+$A684,Sheet2!CB:NF,$B684,0)&lt;&gt;""),HLOOKUP(M$2+$A684,Sheet2!CB:NF,$B684,0),"")</f>
        <v/>
      </c>
    </row>
    <row r="685" spans="1:13" x14ac:dyDescent="0.25">
      <c r="A685" s="68">
        <f t="shared" si="68"/>
        <v>5</v>
      </c>
      <c r="B685" s="68">
        <f t="shared" si="69"/>
        <v>90</v>
      </c>
      <c r="C685" s="68">
        <f t="shared" si="71"/>
        <v>2</v>
      </c>
      <c r="D685" s="68">
        <f t="shared" si="70"/>
        <v>86</v>
      </c>
      <c r="E685" s="68">
        <f t="shared" si="72"/>
        <v>426</v>
      </c>
      <c r="F685" s="21" t="str">
        <f>VLOOKUP(D685,Sheet2!A:B,2)</f>
        <v>J20-0891</v>
      </c>
      <c r="G685" s="68" t="str">
        <f>VLOOKUP(F685,Sheet2!B:C,2,0)</f>
        <v xml:space="preserve">น้ำตาลมิตรกาฬสินธุ์ </v>
      </c>
      <c r="H685" s="68" t="str">
        <f>HLOOKUP(I$2+$A685,Sheet2!BX:NB,2,0)</f>
        <v>16-31 Jan 21</v>
      </c>
      <c r="I685" t="str">
        <f>IF(OR(HLOOKUP(I$2+$A685,Sheet2!BX:NB,$B685,0),HLOOKUP(I$2+$A685,Sheet2!BX:NB,$B685,0)&lt;&gt;""),HLOOKUP(I$2+$A685,Sheet2!BX:NB,$B685,0),"")</f>
        <v/>
      </c>
      <c r="J685" t="str">
        <f>IF(OR(HLOOKUP(J$2+$A685,Sheet2!BY:NC,$B685,0),HLOOKUP(J$2+$A685,Sheet2!BY:NC,$B685,0)&lt;&gt;""),HLOOKUP(J$2+$A685,Sheet2!BY:NC,$B685,0),"")</f>
        <v/>
      </c>
      <c r="K685" t="str">
        <f>IF(OR(HLOOKUP(K$2+$A685,Sheet2!BZ:ND,$B685,0),HLOOKUP(K$2+$A685,Sheet2!BZ:ND,$B685,0)&lt;&gt;""),HLOOKUP(K$2+$A685,Sheet2!BZ:ND,$B685,0),"")</f>
        <v/>
      </c>
      <c r="L685" t="str">
        <f>IF(OR(HLOOKUP(L$2+$A685,Sheet2!CA:NE,$B685,0),HLOOKUP(L$2+$A685,Sheet2!CA:NE,$B685,0)&lt;&gt;""),HLOOKUP(L$2+$A685,Sheet2!CA:NE,$B685,0),"")</f>
        <v/>
      </c>
      <c r="M685" t="str">
        <f>IF(OR(HLOOKUP(M$2+$A685,Sheet2!CB:NF,$B685,0),HLOOKUP(M$2+$A685,Sheet2!CB:NF,$B685,0)&lt;&gt;""),HLOOKUP(M$2+$A685,Sheet2!CB:NF,$B685,0),"")</f>
        <v/>
      </c>
    </row>
    <row r="686" spans="1:13" x14ac:dyDescent="0.25">
      <c r="A686" s="68">
        <f t="shared" si="68"/>
        <v>10</v>
      </c>
      <c r="B686" s="68">
        <f t="shared" si="69"/>
        <v>90</v>
      </c>
      <c r="C686" s="68">
        <f t="shared" si="71"/>
        <v>3</v>
      </c>
      <c r="D686" s="68">
        <f t="shared" si="70"/>
        <v>86</v>
      </c>
      <c r="E686" s="68">
        <f t="shared" si="72"/>
        <v>426</v>
      </c>
      <c r="F686" s="21" t="str">
        <f>VLOOKUP(D686,Sheet2!A:B,2)</f>
        <v>J20-0891</v>
      </c>
      <c r="G686" s="68" t="str">
        <f>VLOOKUP(F686,Sheet2!B:C,2,0)</f>
        <v xml:space="preserve">น้ำตาลมิตรกาฬสินธุ์ </v>
      </c>
      <c r="H686" s="68" t="str">
        <f>HLOOKUP(I$2+$A686,Sheet2!BX:NB,2,0)</f>
        <v>1-15 Feb 21</v>
      </c>
      <c r="I686" t="str">
        <f>IF(OR(HLOOKUP(I$2+$A686,Sheet2!BX:NB,$B686,0),HLOOKUP(I$2+$A686,Sheet2!BX:NB,$B686,0)&lt;&gt;""),HLOOKUP(I$2+$A686,Sheet2!BX:NB,$B686,0),"")</f>
        <v/>
      </c>
      <c r="J686" t="str">
        <f>IF(OR(HLOOKUP(J$2+$A686,Sheet2!BY:NC,$B686,0),HLOOKUP(J$2+$A686,Sheet2!BY:NC,$B686,0)&lt;&gt;""),HLOOKUP(J$2+$A686,Sheet2!BY:NC,$B686,0),"")</f>
        <v/>
      </c>
      <c r="K686" t="str">
        <f>IF(OR(HLOOKUP(K$2+$A686,Sheet2!BZ:ND,$B686,0),HLOOKUP(K$2+$A686,Sheet2!BZ:ND,$B686,0)&lt;&gt;""),HLOOKUP(K$2+$A686,Sheet2!BZ:ND,$B686,0),"")</f>
        <v/>
      </c>
      <c r="L686" t="str">
        <f>IF(OR(HLOOKUP(L$2+$A686,Sheet2!CA:NE,$B686,0),HLOOKUP(L$2+$A686,Sheet2!CA:NE,$B686,0)&lt;&gt;""),HLOOKUP(L$2+$A686,Sheet2!CA:NE,$B686,0),"")</f>
        <v/>
      </c>
      <c r="M686" t="str">
        <f>IF(OR(HLOOKUP(M$2+$A686,Sheet2!CB:NF,$B686,0),HLOOKUP(M$2+$A686,Sheet2!CB:NF,$B686,0)&lt;&gt;""),HLOOKUP(M$2+$A686,Sheet2!CB:NF,$B686,0),"")</f>
        <v/>
      </c>
    </row>
    <row r="687" spans="1:13" x14ac:dyDescent="0.25">
      <c r="A687" s="68">
        <f t="shared" si="68"/>
        <v>15</v>
      </c>
      <c r="B687" s="68">
        <f t="shared" si="69"/>
        <v>90</v>
      </c>
      <c r="C687" s="68">
        <f t="shared" si="71"/>
        <v>4</v>
      </c>
      <c r="D687" s="68">
        <f t="shared" si="70"/>
        <v>86</v>
      </c>
      <c r="E687" s="68">
        <f t="shared" si="72"/>
        <v>426</v>
      </c>
      <c r="F687" s="21" t="str">
        <f>VLOOKUP(D687,Sheet2!A:B,2)</f>
        <v>J20-0891</v>
      </c>
      <c r="G687" s="68" t="str">
        <f>VLOOKUP(F687,Sheet2!B:C,2,0)</f>
        <v xml:space="preserve">น้ำตาลมิตรกาฬสินธุ์ </v>
      </c>
      <c r="H687" s="68" t="str">
        <f>HLOOKUP(I$2+$A687,Sheet2!BX:NB,2,0)</f>
        <v>16-28 Feb 21</v>
      </c>
      <c r="I687" t="str">
        <f>IF(OR(HLOOKUP(I$2+$A687,Sheet2!BX:NB,$B687,0),HLOOKUP(I$2+$A687,Sheet2!BX:NB,$B687,0)&lt;&gt;""),HLOOKUP(I$2+$A687,Sheet2!BX:NB,$B687,0),"")</f>
        <v/>
      </c>
      <c r="J687" t="str">
        <f>IF(OR(HLOOKUP(J$2+$A687,Sheet2!BY:NC,$B687,0),HLOOKUP(J$2+$A687,Sheet2!BY:NC,$B687,0)&lt;&gt;""),HLOOKUP(J$2+$A687,Sheet2!BY:NC,$B687,0),"")</f>
        <v/>
      </c>
      <c r="K687" t="str">
        <f>IF(OR(HLOOKUP(K$2+$A687,Sheet2!BZ:ND,$B687,0),HLOOKUP(K$2+$A687,Sheet2!BZ:ND,$B687,0)&lt;&gt;""),HLOOKUP(K$2+$A687,Sheet2!BZ:ND,$B687,0),"")</f>
        <v/>
      </c>
      <c r="L687" t="str">
        <f>IF(OR(HLOOKUP(L$2+$A687,Sheet2!CA:NE,$B687,0),HLOOKUP(L$2+$A687,Sheet2!CA:NE,$B687,0)&lt;&gt;""),HLOOKUP(L$2+$A687,Sheet2!CA:NE,$B687,0),"")</f>
        <v/>
      </c>
      <c r="M687" t="str">
        <f>IF(OR(HLOOKUP(M$2+$A687,Sheet2!CB:NF,$B687,0),HLOOKUP(M$2+$A687,Sheet2!CB:NF,$B687,0)&lt;&gt;""),HLOOKUP(M$2+$A687,Sheet2!CB:NF,$B687,0),"")</f>
        <v/>
      </c>
    </row>
    <row r="688" spans="1:13" x14ac:dyDescent="0.25">
      <c r="A688" s="68">
        <f t="shared" si="68"/>
        <v>20</v>
      </c>
      <c r="B688" s="68">
        <f t="shared" si="69"/>
        <v>90</v>
      </c>
      <c r="C688" s="68">
        <f t="shared" si="71"/>
        <v>5</v>
      </c>
      <c r="D688" s="68">
        <f t="shared" si="70"/>
        <v>86</v>
      </c>
      <c r="E688" s="68">
        <f t="shared" si="72"/>
        <v>426</v>
      </c>
      <c r="F688" s="21" t="str">
        <f>VLOOKUP(D688,Sheet2!A:B,2)</f>
        <v>J20-0891</v>
      </c>
      <c r="G688" s="68" t="str">
        <f>VLOOKUP(F688,Sheet2!B:C,2,0)</f>
        <v xml:space="preserve">น้ำตาลมิตรกาฬสินธุ์ </v>
      </c>
      <c r="H688" s="68" t="str">
        <f>HLOOKUP(I$2+$A688,Sheet2!BX:NB,2,0)</f>
        <v>1-15 Mar 2021</v>
      </c>
      <c r="I688" t="str">
        <f>IF(OR(HLOOKUP(I$2+$A688,Sheet2!BX:NB,$B688,0),HLOOKUP(I$2+$A688,Sheet2!BX:NB,$B688,0)&lt;&gt;""),HLOOKUP(I$2+$A688,Sheet2!BX:NB,$B688,0),"")</f>
        <v/>
      </c>
      <c r="J688" t="str">
        <f>IF(OR(HLOOKUP(J$2+$A688,Sheet2!BY:NC,$B688,0),HLOOKUP(J$2+$A688,Sheet2!BY:NC,$B688,0)&lt;&gt;""),HLOOKUP(J$2+$A688,Sheet2!BY:NC,$B688,0),"")</f>
        <v/>
      </c>
      <c r="K688" t="str">
        <f>IF(OR(HLOOKUP(K$2+$A688,Sheet2!BZ:ND,$B688,0),HLOOKUP(K$2+$A688,Sheet2!BZ:ND,$B688,0)&lt;&gt;""),HLOOKUP(K$2+$A688,Sheet2!BZ:ND,$B688,0),"")</f>
        <v/>
      </c>
      <c r="L688" t="str">
        <f>IF(OR(HLOOKUP(L$2+$A688,Sheet2!CA:NE,$B688,0),HLOOKUP(L$2+$A688,Sheet2!CA:NE,$B688,0)&lt;&gt;""),HLOOKUP(L$2+$A688,Sheet2!CA:NE,$B688,0),"")</f>
        <v/>
      </c>
      <c r="M688" t="str">
        <f>IF(OR(HLOOKUP(M$2+$A688,Sheet2!CB:NF,$B688,0),HLOOKUP(M$2+$A688,Sheet2!CB:NF,$B688,0)&lt;&gt;""),HLOOKUP(M$2+$A688,Sheet2!CB:NF,$B688,0),"")</f>
        <v/>
      </c>
    </row>
    <row r="689" spans="1:13" x14ac:dyDescent="0.25">
      <c r="A689" s="68">
        <f t="shared" si="68"/>
        <v>25</v>
      </c>
      <c r="B689" s="68">
        <f t="shared" si="69"/>
        <v>90</v>
      </c>
      <c r="C689" s="68">
        <f t="shared" si="71"/>
        <v>6</v>
      </c>
      <c r="D689" s="68">
        <f t="shared" si="70"/>
        <v>86</v>
      </c>
      <c r="E689" s="68">
        <f t="shared" si="72"/>
        <v>426</v>
      </c>
      <c r="F689" s="21" t="str">
        <f>VLOOKUP(D689,Sheet2!A:B,2)</f>
        <v>J20-0891</v>
      </c>
      <c r="G689" s="68" t="str">
        <f>VLOOKUP(F689,Sheet2!B:C,2,0)</f>
        <v xml:space="preserve">น้ำตาลมิตรกาฬสินธุ์ </v>
      </c>
      <c r="H689" s="68" t="str">
        <f>HLOOKUP(I$2+$A689,Sheet2!BX:NB,2,0)</f>
        <v>16-31 Mar 21</v>
      </c>
      <c r="I689" t="str">
        <f>IF(OR(HLOOKUP(I$2+$A689,Sheet2!BX:NB,$B689,0),HLOOKUP(I$2+$A689,Sheet2!BX:NB,$B689,0)&lt;&gt;""),HLOOKUP(I$2+$A689,Sheet2!BX:NB,$B689,0),"")</f>
        <v/>
      </c>
      <c r="J689" t="str">
        <f>IF(OR(HLOOKUP(J$2+$A689,Sheet2!BY:NC,$B689,0),HLOOKUP(J$2+$A689,Sheet2!BY:NC,$B689,0)&lt;&gt;""),HLOOKUP(J$2+$A689,Sheet2!BY:NC,$B689,0),"")</f>
        <v/>
      </c>
      <c r="K689" t="str">
        <f>IF(OR(HLOOKUP(K$2+$A689,Sheet2!BZ:ND,$B689,0),HLOOKUP(K$2+$A689,Sheet2!BZ:ND,$B689,0)&lt;&gt;""),HLOOKUP(K$2+$A689,Sheet2!BZ:ND,$B689,0),"")</f>
        <v/>
      </c>
      <c r="L689" t="str">
        <f>IF(OR(HLOOKUP(L$2+$A689,Sheet2!CA:NE,$B689,0),HLOOKUP(L$2+$A689,Sheet2!CA:NE,$B689,0)&lt;&gt;""),HLOOKUP(L$2+$A689,Sheet2!CA:NE,$B689,0),"")</f>
        <v/>
      </c>
      <c r="M689" t="str">
        <f>IF(OR(HLOOKUP(M$2+$A689,Sheet2!CB:NF,$B689,0),HLOOKUP(M$2+$A689,Sheet2!CB:NF,$B689,0)&lt;&gt;""),HLOOKUP(M$2+$A689,Sheet2!CB:NF,$B689,0),"")</f>
        <v/>
      </c>
    </row>
    <row r="690" spans="1:13" x14ac:dyDescent="0.25">
      <c r="A690" s="68">
        <f t="shared" si="68"/>
        <v>30</v>
      </c>
      <c r="B690" s="68">
        <f t="shared" si="69"/>
        <v>90</v>
      </c>
      <c r="C690" s="68">
        <f t="shared" si="71"/>
        <v>7</v>
      </c>
      <c r="D690" s="68">
        <f t="shared" si="70"/>
        <v>86</v>
      </c>
      <c r="E690" s="68">
        <f t="shared" si="72"/>
        <v>426</v>
      </c>
      <c r="F690" s="21" t="str">
        <f>VLOOKUP(D690,Sheet2!A:B,2)</f>
        <v>J20-0891</v>
      </c>
      <c r="G690" s="68" t="str">
        <f>VLOOKUP(F690,Sheet2!B:C,2,0)</f>
        <v xml:space="preserve">น้ำตาลมิตรกาฬสินธุ์ </v>
      </c>
      <c r="H690" s="68" t="str">
        <f>HLOOKUP(I$2+$A690,Sheet2!BX:NB,2,0)</f>
        <v>1-15 April 21</v>
      </c>
      <c r="I690" t="str">
        <f>IF(OR(HLOOKUP(I$2+$A690,Sheet2!BX:NB,$B690,0),HLOOKUP(I$2+$A690,Sheet2!BX:NB,$B690,0)&lt;&gt;""),HLOOKUP(I$2+$A690,Sheet2!BX:NB,$B690,0),"")</f>
        <v/>
      </c>
      <c r="J690" t="str">
        <f>IF(OR(HLOOKUP(J$2+$A690,Sheet2!BY:NC,$B690,0),HLOOKUP(J$2+$A690,Sheet2!BY:NC,$B690,0)&lt;&gt;""),HLOOKUP(J$2+$A690,Sheet2!BY:NC,$B690,0),"")</f>
        <v/>
      </c>
      <c r="K690" t="str">
        <f>IF(OR(HLOOKUP(K$2+$A690,Sheet2!BZ:ND,$B690,0),HLOOKUP(K$2+$A690,Sheet2!BZ:ND,$B690,0)&lt;&gt;""),HLOOKUP(K$2+$A690,Sheet2!BZ:ND,$B690,0),"")</f>
        <v/>
      </c>
      <c r="L690" t="str">
        <f>IF(OR(HLOOKUP(L$2+$A690,Sheet2!CA:NE,$B690,0),HLOOKUP(L$2+$A690,Sheet2!CA:NE,$B690,0)&lt;&gt;""),HLOOKUP(L$2+$A690,Sheet2!CA:NE,$B690,0),"")</f>
        <v/>
      </c>
      <c r="M690" t="str">
        <f>IF(OR(HLOOKUP(M$2+$A690,Sheet2!CB:NF,$B690,0),HLOOKUP(M$2+$A690,Sheet2!CB:NF,$B690,0)&lt;&gt;""),HLOOKUP(M$2+$A690,Sheet2!CB:NF,$B690,0),"")</f>
        <v/>
      </c>
    </row>
    <row r="691" spans="1:13" x14ac:dyDescent="0.25">
      <c r="A691" s="68">
        <f t="shared" si="68"/>
        <v>35</v>
      </c>
      <c r="B691" s="68">
        <f t="shared" si="69"/>
        <v>90</v>
      </c>
      <c r="C691" s="68">
        <f t="shared" si="71"/>
        <v>8</v>
      </c>
      <c r="D691" s="68">
        <f t="shared" si="70"/>
        <v>86</v>
      </c>
      <c r="E691" s="68">
        <f t="shared" si="72"/>
        <v>426</v>
      </c>
      <c r="F691" s="21" t="str">
        <f>VLOOKUP(D691,Sheet2!A:B,2)</f>
        <v>J20-0891</v>
      </c>
      <c r="G691" s="68" t="str">
        <f>VLOOKUP(F691,Sheet2!B:C,2,0)</f>
        <v xml:space="preserve">น้ำตาลมิตรกาฬสินธุ์ </v>
      </c>
      <c r="H691" s="68" t="str">
        <f>HLOOKUP(I$2+$A691,Sheet2!BX:NB,2,0)</f>
        <v>16-30 April 21</v>
      </c>
      <c r="I691" t="str">
        <f>IF(OR(HLOOKUP(I$2+$A691,Sheet2!BX:NB,$B691,0),HLOOKUP(I$2+$A691,Sheet2!BX:NB,$B691,0)&lt;&gt;""),HLOOKUP(I$2+$A691,Sheet2!BX:NB,$B691,0),"")</f>
        <v/>
      </c>
      <c r="J691" t="str">
        <f>IF(OR(HLOOKUP(J$2+$A691,Sheet2!BY:NC,$B691,0),HLOOKUP(J$2+$A691,Sheet2!BY:NC,$B691,0)&lt;&gt;""),HLOOKUP(J$2+$A691,Sheet2!BY:NC,$B691,0),"")</f>
        <v/>
      </c>
      <c r="K691" t="str">
        <f>IF(OR(HLOOKUP(K$2+$A691,Sheet2!BZ:ND,$B691,0),HLOOKUP(K$2+$A691,Sheet2!BZ:ND,$B691,0)&lt;&gt;""),HLOOKUP(K$2+$A691,Sheet2!BZ:ND,$B691,0),"")</f>
        <v/>
      </c>
      <c r="L691" t="str">
        <f>IF(OR(HLOOKUP(L$2+$A691,Sheet2!CA:NE,$B691,0),HLOOKUP(L$2+$A691,Sheet2!CA:NE,$B691,0)&lt;&gt;""),HLOOKUP(L$2+$A691,Sheet2!CA:NE,$B691,0),"")</f>
        <v/>
      </c>
      <c r="M691" t="str">
        <f>IF(OR(HLOOKUP(M$2+$A691,Sheet2!CB:NF,$B691,0),HLOOKUP(M$2+$A691,Sheet2!CB:NF,$B691,0)&lt;&gt;""),HLOOKUP(M$2+$A691,Sheet2!CB:NF,$B691,0),"")</f>
        <v/>
      </c>
    </row>
    <row r="692" spans="1:13" x14ac:dyDescent="0.25">
      <c r="A692" s="68">
        <f t="shared" si="68"/>
        <v>0</v>
      </c>
      <c r="B692" s="68">
        <f t="shared" si="69"/>
        <v>91</v>
      </c>
      <c r="C692" s="68">
        <f t="shared" si="71"/>
        <v>1</v>
      </c>
      <c r="D692" s="68">
        <f t="shared" si="70"/>
        <v>87</v>
      </c>
      <c r="E692" s="68">
        <f t="shared" si="72"/>
        <v>431</v>
      </c>
      <c r="F692" s="21" t="str">
        <f>VLOOKUP(D692,Sheet2!A:B,2)</f>
        <v>J20-0467</v>
      </c>
      <c r="G692" s="68" t="str">
        <f>VLOOKUP(F692,Sheet2!B:C,2,0)</f>
        <v>น้ำตาลทิพย์กำแพงเพชร</v>
      </c>
      <c r="H692" s="68" t="str">
        <f>HLOOKUP(I$2+$A692,Sheet2!BX:NB,2,0)</f>
        <v>1-15 Jan 21</v>
      </c>
      <c r="I692" t="str">
        <f>IF(OR(HLOOKUP(I$2+$A692,Sheet2!BX:NB,$B692,0),HLOOKUP(I$2+$A692,Sheet2!BX:NB,$B692,0)&lt;&gt;""),HLOOKUP(I$2+$A692,Sheet2!BX:NB,$B692,0),"")</f>
        <v/>
      </c>
      <c r="J692" t="str">
        <f>IF(OR(HLOOKUP(J$2+$A692,Sheet2!BY:NC,$B692,0),HLOOKUP(J$2+$A692,Sheet2!BY:NC,$B692,0)&lt;&gt;""),HLOOKUP(J$2+$A692,Sheet2!BY:NC,$B692,0),"")</f>
        <v/>
      </c>
      <c r="K692" t="str">
        <f>IF(OR(HLOOKUP(K$2+$A692,Sheet2!BZ:ND,$B692,0),HLOOKUP(K$2+$A692,Sheet2!BZ:ND,$B692,0)&lt;&gt;""),HLOOKUP(K$2+$A692,Sheet2!BZ:ND,$B692,0),"")</f>
        <v/>
      </c>
      <c r="L692" t="str">
        <f>IF(OR(HLOOKUP(L$2+$A692,Sheet2!CA:NE,$B692,0),HLOOKUP(L$2+$A692,Sheet2!CA:NE,$B692,0)&lt;&gt;""),HLOOKUP(L$2+$A692,Sheet2!CA:NE,$B692,0),"")</f>
        <v/>
      </c>
      <c r="M692" t="str">
        <f>IF(OR(HLOOKUP(M$2+$A692,Sheet2!CB:NF,$B692,0),HLOOKUP(M$2+$A692,Sheet2!CB:NF,$B692,0)&lt;&gt;""),HLOOKUP(M$2+$A692,Sheet2!CB:NF,$B692,0),"")</f>
        <v/>
      </c>
    </row>
    <row r="693" spans="1:13" x14ac:dyDescent="0.25">
      <c r="A693" s="68">
        <f t="shared" si="68"/>
        <v>5</v>
      </c>
      <c r="B693" s="68">
        <f t="shared" si="69"/>
        <v>91</v>
      </c>
      <c r="C693" s="68">
        <f t="shared" si="71"/>
        <v>2</v>
      </c>
      <c r="D693" s="68">
        <f t="shared" si="70"/>
        <v>87</v>
      </c>
      <c r="E693" s="68">
        <f t="shared" si="72"/>
        <v>431</v>
      </c>
      <c r="F693" s="21" t="str">
        <f>VLOOKUP(D693,Sheet2!A:B,2)</f>
        <v>J20-0467</v>
      </c>
      <c r="G693" s="68" t="str">
        <f>VLOOKUP(F693,Sheet2!B:C,2,0)</f>
        <v>น้ำตาลทิพย์กำแพงเพชร</v>
      </c>
      <c r="H693" s="68" t="str">
        <f>HLOOKUP(I$2+$A693,Sheet2!BX:NB,2,0)</f>
        <v>16-31 Jan 21</v>
      </c>
      <c r="I693" t="str">
        <f>IF(OR(HLOOKUP(I$2+$A693,Sheet2!BX:NB,$B693,0),HLOOKUP(I$2+$A693,Sheet2!BX:NB,$B693,0)&lt;&gt;""),HLOOKUP(I$2+$A693,Sheet2!BX:NB,$B693,0),"")</f>
        <v/>
      </c>
      <c r="J693" t="str">
        <f>IF(OR(HLOOKUP(J$2+$A693,Sheet2!BY:NC,$B693,0),HLOOKUP(J$2+$A693,Sheet2!BY:NC,$B693,0)&lt;&gt;""),HLOOKUP(J$2+$A693,Sheet2!BY:NC,$B693,0),"")</f>
        <v/>
      </c>
      <c r="K693" t="str">
        <f>IF(OR(HLOOKUP(K$2+$A693,Sheet2!BZ:ND,$B693,0),HLOOKUP(K$2+$A693,Sheet2!BZ:ND,$B693,0)&lt;&gt;""),HLOOKUP(K$2+$A693,Sheet2!BZ:ND,$B693,0),"")</f>
        <v/>
      </c>
      <c r="L693" t="str">
        <f>IF(OR(HLOOKUP(L$2+$A693,Sheet2!CA:NE,$B693,0),HLOOKUP(L$2+$A693,Sheet2!CA:NE,$B693,0)&lt;&gt;""),HLOOKUP(L$2+$A693,Sheet2!CA:NE,$B693,0),"")</f>
        <v/>
      </c>
      <c r="M693" t="str">
        <f>IF(OR(HLOOKUP(M$2+$A693,Sheet2!CB:NF,$B693,0),HLOOKUP(M$2+$A693,Sheet2!CB:NF,$B693,0)&lt;&gt;""),HLOOKUP(M$2+$A693,Sheet2!CB:NF,$B693,0),"")</f>
        <v/>
      </c>
    </row>
    <row r="694" spans="1:13" x14ac:dyDescent="0.25">
      <c r="A694" s="68">
        <f t="shared" ref="A694:A757" si="73">IF(C694&lt;&gt;1,A693+5,0)</f>
        <v>10</v>
      </c>
      <c r="B694" s="68">
        <f t="shared" ref="B694:B757" si="74">IF(C694&lt;&gt;1,B693,B693+1)</f>
        <v>91</v>
      </c>
      <c r="C694" s="68">
        <f t="shared" si="71"/>
        <v>3</v>
      </c>
      <c r="D694" s="68">
        <f t="shared" ref="D694:D757" si="75">IF(C694=1,D693+1,D693)</f>
        <v>87</v>
      </c>
      <c r="E694" s="68">
        <f t="shared" si="72"/>
        <v>431</v>
      </c>
      <c r="F694" s="21" t="str">
        <f>VLOOKUP(D694,Sheet2!A:B,2)</f>
        <v>J20-0467</v>
      </c>
      <c r="G694" s="68" t="str">
        <f>VLOOKUP(F694,Sheet2!B:C,2,0)</f>
        <v>น้ำตาลทิพย์กำแพงเพชร</v>
      </c>
      <c r="H694" s="68" t="str">
        <f>HLOOKUP(I$2+$A694,Sheet2!BX:NB,2,0)</f>
        <v>1-15 Feb 21</v>
      </c>
      <c r="I694" t="str">
        <f>IF(OR(HLOOKUP(I$2+$A694,Sheet2!BX:NB,$B694,0),HLOOKUP(I$2+$A694,Sheet2!BX:NB,$B694,0)&lt;&gt;""),HLOOKUP(I$2+$A694,Sheet2!BX:NB,$B694,0),"")</f>
        <v/>
      </c>
      <c r="J694" t="str">
        <f>IF(OR(HLOOKUP(J$2+$A694,Sheet2!BY:NC,$B694,0),HLOOKUP(J$2+$A694,Sheet2!BY:NC,$B694,0)&lt;&gt;""),HLOOKUP(J$2+$A694,Sheet2!BY:NC,$B694,0),"")</f>
        <v/>
      </c>
      <c r="K694" t="str">
        <f>IF(OR(HLOOKUP(K$2+$A694,Sheet2!BZ:ND,$B694,0),HLOOKUP(K$2+$A694,Sheet2!BZ:ND,$B694,0)&lt;&gt;""),HLOOKUP(K$2+$A694,Sheet2!BZ:ND,$B694,0),"")</f>
        <v/>
      </c>
      <c r="L694" t="str">
        <f>IF(OR(HLOOKUP(L$2+$A694,Sheet2!CA:NE,$B694,0),HLOOKUP(L$2+$A694,Sheet2!CA:NE,$B694,0)&lt;&gt;""),HLOOKUP(L$2+$A694,Sheet2!CA:NE,$B694,0),"")</f>
        <v/>
      </c>
      <c r="M694" t="str">
        <f>IF(OR(HLOOKUP(M$2+$A694,Sheet2!CB:NF,$B694,0),HLOOKUP(M$2+$A694,Sheet2!CB:NF,$B694,0)&lt;&gt;""),HLOOKUP(M$2+$A694,Sheet2!CB:NF,$B694,0),"")</f>
        <v/>
      </c>
    </row>
    <row r="695" spans="1:13" x14ac:dyDescent="0.25">
      <c r="A695" s="68">
        <f t="shared" si="73"/>
        <v>15</v>
      </c>
      <c r="B695" s="68">
        <f t="shared" si="74"/>
        <v>91</v>
      </c>
      <c r="C695" s="68">
        <f t="shared" si="71"/>
        <v>4</v>
      </c>
      <c r="D695" s="68">
        <f t="shared" si="75"/>
        <v>87</v>
      </c>
      <c r="E695" s="68">
        <f t="shared" si="72"/>
        <v>431</v>
      </c>
      <c r="F695" s="21" t="str">
        <f>VLOOKUP(D695,Sheet2!A:B,2)</f>
        <v>J20-0467</v>
      </c>
      <c r="G695" s="68" t="str">
        <f>VLOOKUP(F695,Sheet2!B:C,2,0)</f>
        <v>น้ำตาลทิพย์กำแพงเพชร</v>
      </c>
      <c r="H695" s="68" t="str">
        <f>HLOOKUP(I$2+$A695,Sheet2!BX:NB,2,0)</f>
        <v>16-28 Feb 21</v>
      </c>
      <c r="I695" t="str">
        <f>IF(OR(HLOOKUP(I$2+$A695,Sheet2!BX:NB,$B695,0),HLOOKUP(I$2+$A695,Sheet2!BX:NB,$B695,0)&lt;&gt;""),HLOOKUP(I$2+$A695,Sheet2!BX:NB,$B695,0),"")</f>
        <v/>
      </c>
      <c r="J695" t="str">
        <f>IF(OR(HLOOKUP(J$2+$A695,Sheet2!BY:NC,$B695,0),HLOOKUP(J$2+$A695,Sheet2!BY:NC,$B695,0)&lt;&gt;""),HLOOKUP(J$2+$A695,Sheet2!BY:NC,$B695,0),"")</f>
        <v/>
      </c>
      <c r="K695" t="str">
        <f>IF(OR(HLOOKUP(K$2+$A695,Sheet2!BZ:ND,$B695,0),HLOOKUP(K$2+$A695,Sheet2!BZ:ND,$B695,0)&lt;&gt;""),HLOOKUP(K$2+$A695,Sheet2!BZ:ND,$B695,0),"")</f>
        <v/>
      </c>
      <c r="L695" t="str">
        <f>IF(OR(HLOOKUP(L$2+$A695,Sheet2!CA:NE,$B695,0),HLOOKUP(L$2+$A695,Sheet2!CA:NE,$B695,0)&lt;&gt;""),HLOOKUP(L$2+$A695,Sheet2!CA:NE,$B695,0),"")</f>
        <v/>
      </c>
      <c r="M695" t="str">
        <f>IF(OR(HLOOKUP(M$2+$A695,Sheet2!CB:NF,$B695,0),HLOOKUP(M$2+$A695,Sheet2!CB:NF,$B695,0)&lt;&gt;""),HLOOKUP(M$2+$A695,Sheet2!CB:NF,$B695,0),"")</f>
        <v/>
      </c>
    </row>
    <row r="696" spans="1:13" x14ac:dyDescent="0.25">
      <c r="A696" s="68">
        <f t="shared" si="73"/>
        <v>20</v>
      </c>
      <c r="B696" s="68">
        <f t="shared" si="74"/>
        <v>91</v>
      </c>
      <c r="C696" s="68">
        <f t="shared" si="71"/>
        <v>5</v>
      </c>
      <c r="D696" s="68">
        <f t="shared" si="75"/>
        <v>87</v>
      </c>
      <c r="E696" s="68">
        <f t="shared" si="72"/>
        <v>431</v>
      </c>
      <c r="F696" s="21" t="str">
        <f>VLOOKUP(D696,Sheet2!A:B,2)</f>
        <v>J20-0467</v>
      </c>
      <c r="G696" s="68" t="str">
        <f>VLOOKUP(F696,Sheet2!B:C,2,0)</f>
        <v>น้ำตาลทิพย์กำแพงเพชร</v>
      </c>
      <c r="H696" s="68" t="str">
        <f>HLOOKUP(I$2+$A696,Sheet2!BX:NB,2,0)</f>
        <v>1-15 Mar 2021</v>
      </c>
      <c r="I696" t="str">
        <f>IF(OR(HLOOKUP(I$2+$A696,Sheet2!BX:NB,$B696,0),HLOOKUP(I$2+$A696,Sheet2!BX:NB,$B696,0)&lt;&gt;""),HLOOKUP(I$2+$A696,Sheet2!BX:NB,$B696,0),"")</f>
        <v/>
      </c>
      <c r="J696" t="str">
        <f>IF(OR(HLOOKUP(J$2+$A696,Sheet2!BY:NC,$B696,0),HLOOKUP(J$2+$A696,Sheet2!BY:NC,$B696,0)&lt;&gt;""),HLOOKUP(J$2+$A696,Sheet2!BY:NC,$B696,0),"")</f>
        <v/>
      </c>
      <c r="K696" t="str">
        <f>IF(OR(HLOOKUP(K$2+$A696,Sheet2!BZ:ND,$B696,0),HLOOKUP(K$2+$A696,Sheet2!BZ:ND,$B696,0)&lt;&gt;""),HLOOKUP(K$2+$A696,Sheet2!BZ:ND,$B696,0),"")</f>
        <v/>
      </c>
      <c r="L696" t="str">
        <f>IF(OR(HLOOKUP(L$2+$A696,Sheet2!CA:NE,$B696,0),HLOOKUP(L$2+$A696,Sheet2!CA:NE,$B696,0)&lt;&gt;""),HLOOKUP(L$2+$A696,Sheet2!CA:NE,$B696,0),"")</f>
        <v/>
      </c>
      <c r="M696" t="str">
        <f>IF(OR(HLOOKUP(M$2+$A696,Sheet2!CB:NF,$B696,0),HLOOKUP(M$2+$A696,Sheet2!CB:NF,$B696,0)&lt;&gt;""),HLOOKUP(M$2+$A696,Sheet2!CB:NF,$B696,0),"")</f>
        <v/>
      </c>
    </row>
    <row r="697" spans="1:13" x14ac:dyDescent="0.25">
      <c r="A697" s="68">
        <f t="shared" si="73"/>
        <v>25</v>
      </c>
      <c r="B697" s="68">
        <f t="shared" si="74"/>
        <v>91</v>
      </c>
      <c r="C697" s="68">
        <f t="shared" si="71"/>
        <v>6</v>
      </c>
      <c r="D697" s="68">
        <f t="shared" si="75"/>
        <v>87</v>
      </c>
      <c r="E697" s="68">
        <f t="shared" si="72"/>
        <v>431</v>
      </c>
      <c r="F697" s="21" t="str">
        <f>VLOOKUP(D697,Sheet2!A:B,2)</f>
        <v>J20-0467</v>
      </c>
      <c r="G697" s="68" t="str">
        <f>VLOOKUP(F697,Sheet2!B:C,2,0)</f>
        <v>น้ำตาลทิพย์กำแพงเพชร</v>
      </c>
      <c r="H697" s="68" t="str">
        <f>HLOOKUP(I$2+$A697,Sheet2!BX:NB,2,0)</f>
        <v>16-31 Mar 21</v>
      </c>
      <c r="I697" t="str">
        <f>IF(OR(HLOOKUP(I$2+$A697,Sheet2!BX:NB,$B697,0),HLOOKUP(I$2+$A697,Sheet2!BX:NB,$B697,0)&lt;&gt;""),HLOOKUP(I$2+$A697,Sheet2!BX:NB,$B697,0),"")</f>
        <v/>
      </c>
      <c r="J697" t="str">
        <f>IF(OR(HLOOKUP(J$2+$A697,Sheet2!BY:NC,$B697,0),HLOOKUP(J$2+$A697,Sheet2!BY:NC,$B697,0)&lt;&gt;""),HLOOKUP(J$2+$A697,Sheet2!BY:NC,$B697,0),"")</f>
        <v/>
      </c>
      <c r="K697" t="str">
        <f>IF(OR(HLOOKUP(K$2+$A697,Sheet2!BZ:ND,$B697,0),HLOOKUP(K$2+$A697,Sheet2!BZ:ND,$B697,0)&lt;&gt;""),HLOOKUP(K$2+$A697,Sheet2!BZ:ND,$B697,0),"")</f>
        <v/>
      </c>
      <c r="L697" t="str">
        <f>IF(OR(HLOOKUP(L$2+$A697,Sheet2!CA:NE,$B697,0),HLOOKUP(L$2+$A697,Sheet2!CA:NE,$B697,0)&lt;&gt;""),HLOOKUP(L$2+$A697,Sheet2!CA:NE,$B697,0),"")</f>
        <v/>
      </c>
      <c r="M697" t="str">
        <f>IF(OR(HLOOKUP(M$2+$A697,Sheet2!CB:NF,$B697,0),HLOOKUP(M$2+$A697,Sheet2!CB:NF,$B697,0)&lt;&gt;""),HLOOKUP(M$2+$A697,Sheet2!CB:NF,$B697,0),"")</f>
        <v/>
      </c>
    </row>
    <row r="698" spans="1:13" x14ac:dyDescent="0.25">
      <c r="A698" s="68">
        <f t="shared" si="73"/>
        <v>30</v>
      </c>
      <c r="B698" s="68">
        <f t="shared" si="74"/>
        <v>91</v>
      </c>
      <c r="C698" s="68">
        <f t="shared" si="71"/>
        <v>7</v>
      </c>
      <c r="D698" s="68">
        <f t="shared" si="75"/>
        <v>87</v>
      </c>
      <c r="E698" s="68">
        <f t="shared" si="72"/>
        <v>431</v>
      </c>
      <c r="F698" s="21" t="str">
        <f>VLOOKUP(D698,Sheet2!A:B,2)</f>
        <v>J20-0467</v>
      </c>
      <c r="G698" s="68" t="str">
        <f>VLOOKUP(F698,Sheet2!B:C,2,0)</f>
        <v>น้ำตาลทิพย์กำแพงเพชร</v>
      </c>
      <c r="H698" s="68" t="str">
        <f>HLOOKUP(I$2+$A698,Sheet2!BX:NB,2,0)</f>
        <v>1-15 April 21</v>
      </c>
      <c r="I698" t="str">
        <f>IF(OR(HLOOKUP(I$2+$A698,Sheet2!BX:NB,$B698,0),HLOOKUP(I$2+$A698,Sheet2!BX:NB,$B698,0)&lt;&gt;""),HLOOKUP(I$2+$A698,Sheet2!BX:NB,$B698,0),"")</f>
        <v/>
      </c>
      <c r="J698" t="str">
        <f>IF(OR(HLOOKUP(J$2+$A698,Sheet2!BY:NC,$B698,0),HLOOKUP(J$2+$A698,Sheet2!BY:NC,$B698,0)&lt;&gt;""),HLOOKUP(J$2+$A698,Sheet2!BY:NC,$B698,0),"")</f>
        <v/>
      </c>
      <c r="K698" t="str">
        <f>IF(OR(HLOOKUP(K$2+$A698,Sheet2!BZ:ND,$B698,0),HLOOKUP(K$2+$A698,Sheet2!BZ:ND,$B698,0)&lt;&gt;""),HLOOKUP(K$2+$A698,Sheet2!BZ:ND,$B698,0),"")</f>
        <v/>
      </c>
      <c r="L698" t="str">
        <f>IF(OR(HLOOKUP(L$2+$A698,Sheet2!CA:NE,$B698,0),HLOOKUP(L$2+$A698,Sheet2!CA:NE,$B698,0)&lt;&gt;""),HLOOKUP(L$2+$A698,Sheet2!CA:NE,$B698,0),"")</f>
        <v/>
      </c>
      <c r="M698" t="str">
        <f>IF(OR(HLOOKUP(M$2+$A698,Sheet2!CB:NF,$B698,0),HLOOKUP(M$2+$A698,Sheet2!CB:NF,$B698,0)&lt;&gt;""),HLOOKUP(M$2+$A698,Sheet2!CB:NF,$B698,0),"")</f>
        <v/>
      </c>
    </row>
    <row r="699" spans="1:13" x14ac:dyDescent="0.25">
      <c r="A699" s="68">
        <f t="shared" si="73"/>
        <v>35</v>
      </c>
      <c r="B699" s="68">
        <f t="shared" si="74"/>
        <v>91</v>
      </c>
      <c r="C699" s="68">
        <f t="shared" si="71"/>
        <v>8</v>
      </c>
      <c r="D699" s="68">
        <f t="shared" si="75"/>
        <v>87</v>
      </c>
      <c r="E699" s="68">
        <f t="shared" si="72"/>
        <v>431</v>
      </c>
      <c r="F699" s="21" t="str">
        <f>VLOOKUP(D699,Sheet2!A:B,2)</f>
        <v>J20-0467</v>
      </c>
      <c r="G699" s="68" t="str">
        <f>VLOOKUP(F699,Sheet2!B:C,2,0)</f>
        <v>น้ำตาลทิพย์กำแพงเพชร</v>
      </c>
      <c r="H699" s="68" t="str">
        <f>HLOOKUP(I$2+$A699,Sheet2!BX:NB,2,0)</f>
        <v>16-30 April 21</v>
      </c>
      <c r="I699" t="str">
        <f>IF(OR(HLOOKUP(I$2+$A699,Sheet2!BX:NB,$B699,0),HLOOKUP(I$2+$A699,Sheet2!BX:NB,$B699,0)&lt;&gt;""),HLOOKUP(I$2+$A699,Sheet2!BX:NB,$B699,0),"")</f>
        <v/>
      </c>
      <c r="J699" t="str">
        <f>IF(OR(HLOOKUP(J$2+$A699,Sheet2!BY:NC,$B699,0),HLOOKUP(J$2+$A699,Sheet2!BY:NC,$B699,0)&lt;&gt;""),HLOOKUP(J$2+$A699,Sheet2!BY:NC,$B699,0),"")</f>
        <v/>
      </c>
      <c r="K699" t="str">
        <f>IF(OR(HLOOKUP(K$2+$A699,Sheet2!BZ:ND,$B699,0),HLOOKUP(K$2+$A699,Sheet2!BZ:ND,$B699,0)&lt;&gt;""),HLOOKUP(K$2+$A699,Sheet2!BZ:ND,$B699,0),"")</f>
        <v/>
      </c>
      <c r="L699" t="str">
        <f>IF(OR(HLOOKUP(L$2+$A699,Sheet2!CA:NE,$B699,0),HLOOKUP(L$2+$A699,Sheet2!CA:NE,$B699,0)&lt;&gt;""),HLOOKUP(L$2+$A699,Sheet2!CA:NE,$B699,0),"")</f>
        <v/>
      </c>
      <c r="M699" t="str">
        <f>IF(OR(HLOOKUP(M$2+$A699,Sheet2!CB:NF,$B699,0),HLOOKUP(M$2+$A699,Sheet2!CB:NF,$B699,0)&lt;&gt;""),HLOOKUP(M$2+$A699,Sheet2!CB:NF,$B699,0),"")</f>
        <v/>
      </c>
    </row>
    <row r="700" spans="1:13" x14ac:dyDescent="0.25">
      <c r="A700" s="68">
        <f t="shared" si="73"/>
        <v>0</v>
      </c>
      <c r="B700" s="68">
        <f t="shared" si="74"/>
        <v>92</v>
      </c>
      <c r="C700" s="68">
        <f t="shared" si="71"/>
        <v>1</v>
      </c>
      <c r="D700" s="68">
        <f t="shared" si="75"/>
        <v>88</v>
      </c>
      <c r="E700" s="68">
        <f t="shared" si="72"/>
        <v>436</v>
      </c>
      <c r="F700" s="21" t="str">
        <f>VLOOKUP(D700,Sheet2!A:B,2)</f>
        <v>J20-0981</v>
      </c>
      <c r="G700" s="68" t="str">
        <f>VLOOKUP(F700,Sheet2!B:C,2,0)</f>
        <v>1 (ONE) COMPLETE SET OF WATER IN NMP ONLINE ไออาร์พีซี</v>
      </c>
      <c r="H700" s="68" t="str">
        <f>HLOOKUP(I$2+$A700,Sheet2!BX:NB,2,0)</f>
        <v>1-15 Jan 21</v>
      </c>
      <c r="I700" t="str">
        <f>IF(OR(HLOOKUP(I$2+$A700,Sheet2!BX:NB,$B700,0),HLOOKUP(I$2+$A700,Sheet2!BX:NB,$B700,0)&lt;&gt;""),HLOOKUP(I$2+$A700,Sheet2!BX:NB,$B700,0),"")</f>
        <v/>
      </c>
      <c r="J700" t="str">
        <f>IF(OR(HLOOKUP(J$2+$A700,Sheet2!BY:NC,$B700,0),HLOOKUP(J$2+$A700,Sheet2!BY:NC,$B700,0)&lt;&gt;""),HLOOKUP(J$2+$A700,Sheet2!BY:NC,$B700,0),"")</f>
        <v/>
      </c>
      <c r="K700" t="str">
        <f>IF(OR(HLOOKUP(K$2+$A700,Sheet2!BZ:ND,$B700,0),HLOOKUP(K$2+$A700,Sheet2!BZ:ND,$B700,0)&lt;&gt;""),HLOOKUP(K$2+$A700,Sheet2!BZ:ND,$B700,0),"")</f>
        <v/>
      </c>
      <c r="L700" t="str">
        <f>IF(OR(HLOOKUP(L$2+$A700,Sheet2!CA:NE,$B700,0),HLOOKUP(L$2+$A700,Sheet2!CA:NE,$B700,0)&lt;&gt;""),HLOOKUP(L$2+$A700,Sheet2!CA:NE,$B700,0),"")</f>
        <v/>
      </c>
      <c r="M700" t="str">
        <f>IF(OR(HLOOKUP(M$2+$A700,Sheet2!CB:NF,$B700,0),HLOOKUP(M$2+$A700,Sheet2!CB:NF,$B700,0)&lt;&gt;""),HLOOKUP(M$2+$A700,Sheet2!CB:NF,$B700,0),"")</f>
        <v/>
      </c>
    </row>
    <row r="701" spans="1:13" x14ac:dyDescent="0.25">
      <c r="A701" s="68">
        <f t="shared" si="73"/>
        <v>5</v>
      </c>
      <c r="B701" s="68">
        <f t="shared" si="74"/>
        <v>92</v>
      </c>
      <c r="C701" s="68">
        <f t="shared" si="71"/>
        <v>2</v>
      </c>
      <c r="D701" s="68">
        <f t="shared" si="75"/>
        <v>88</v>
      </c>
      <c r="E701" s="68">
        <f t="shared" si="72"/>
        <v>436</v>
      </c>
      <c r="F701" s="21" t="str">
        <f>VLOOKUP(D701,Sheet2!A:B,2)</f>
        <v>J20-0981</v>
      </c>
      <c r="G701" s="68" t="str">
        <f>VLOOKUP(F701,Sheet2!B:C,2,0)</f>
        <v>1 (ONE) COMPLETE SET OF WATER IN NMP ONLINE ไออาร์พีซี</v>
      </c>
      <c r="H701" s="68" t="str">
        <f>HLOOKUP(I$2+$A701,Sheet2!BX:NB,2,0)</f>
        <v>16-31 Jan 21</v>
      </c>
      <c r="I701" t="str">
        <f>IF(OR(HLOOKUP(I$2+$A701,Sheet2!BX:NB,$B701,0),HLOOKUP(I$2+$A701,Sheet2!BX:NB,$B701,0)&lt;&gt;""),HLOOKUP(I$2+$A701,Sheet2!BX:NB,$B701,0),"")</f>
        <v/>
      </c>
      <c r="J701" t="str">
        <f>IF(OR(HLOOKUP(J$2+$A701,Sheet2!BY:NC,$B701,0),HLOOKUP(J$2+$A701,Sheet2!BY:NC,$B701,0)&lt;&gt;""),HLOOKUP(J$2+$A701,Sheet2!BY:NC,$B701,0),"")</f>
        <v/>
      </c>
      <c r="K701" t="str">
        <f>IF(OR(HLOOKUP(K$2+$A701,Sheet2!BZ:ND,$B701,0),HLOOKUP(K$2+$A701,Sheet2!BZ:ND,$B701,0)&lt;&gt;""),HLOOKUP(K$2+$A701,Sheet2!BZ:ND,$B701,0),"")</f>
        <v/>
      </c>
      <c r="L701" t="str">
        <f>IF(OR(HLOOKUP(L$2+$A701,Sheet2!CA:NE,$B701,0),HLOOKUP(L$2+$A701,Sheet2!CA:NE,$B701,0)&lt;&gt;""),HLOOKUP(L$2+$A701,Sheet2!CA:NE,$B701,0),"")</f>
        <v/>
      </c>
      <c r="M701" t="str">
        <f>IF(OR(HLOOKUP(M$2+$A701,Sheet2!CB:NF,$B701,0),HLOOKUP(M$2+$A701,Sheet2!CB:NF,$B701,0)&lt;&gt;""),HLOOKUP(M$2+$A701,Sheet2!CB:NF,$B701,0),"")</f>
        <v/>
      </c>
    </row>
    <row r="702" spans="1:13" x14ac:dyDescent="0.25">
      <c r="A702" s="68">
        <f t="shared" si="73"/>
        <v>10</v>
      </c>
      <c r="B702" s="68">
        <f t="shared" si="74"/>
        <v>92</v>
      </c>
      <c r="C702" s="68">
        <f t="shared" si="71"/>
        <v>3</v>
      </c>
      <c r="D702" s="68">
        <f t="shared" si="75"/>
        <v>88</v>
      </c>
      <c r="E702" s="68">
        <f t="shared" si="72"/>
        <v>436</v>
      </c>
      <c r="F702" s="21" t="str">
        <f>VLOOKUP(D702,Sheet2!A:B,2)</f>
        <v>J20-0981</v>
      </c>
      <c r="G702" s="68" t="str">
        <f>VLOOKUP(F702,Sheet2!B:C,2,0)</f>
        <v>1 (ONE) COMPLETE SET OF WATER IN NMP ONLINE ไออาร์พีซี</v>
      </c>
      <c r="H702" s="68" t="str">
        <f>HLOOKUP(I$2+$A702,Sheet2!BX:NB,2,0)</f>
        <v>1-15 Feb 21</v>
      </c>
      <c r="I702" t="str">
        <f>IF(OR(HLOOKUP(I$2+$A702,Sheet2!BX:NB,$B702,0),HLOOKUP(I$2+$A702,Sheet2!BX:NB,$B702,0)&lt;&gt;""),HLOOKUP(I$2+$A702,Sheet2!BX:NB,$B702,0),"")</f>
        <v/>
      </c>
      <c r="J702" t="str">
        <f>IF(OR(HLOOKUP(J$2+$A702,Sheet2!BY:NC,$B702,0),HLOOKUP(J$2+$A702,Sheet2!BY:NC,$B702,0)&lt;&gt;""),HLOOKUP(J$2+$A702,Sheet2!BY:NC,$B702,0),"")</f>
        <v/>
      </c>
      <c r="K702" t="str">
        <f>IF(OR(HLOOKUP(K$2+$A702,Sheet2!BZ:ND,$B702,0),HLOOKUP(K$2+$A702,Sheet2!BZ:ND,$B702,0)&lt;&gt;""),HLOOKUP(K$2+$A702,Sheet2!BZ:ND,$B702,0),"")</f>
        <v/>
      </c>
      <c r="L702" t="str">
        <f>IF(OR(HLOOKUP(L$2+$A702,Sheet2!CA:NE,$B702,0),HLOOKUP(L$2+$A702,Sheet2!CA:NE,$B702,0)&lt;&gt;""),HLOOKUP(L$2+$A702,Sheet2!CA:NE,$B702,0),"")</f>
        <v/>
      </c>
      <c r="M702" t="str">
        <f>IF(OR(HLOOKUP(M$2+$A702,Sheet2!CB:NF,$B702,0),HLOOKUP(M$2+$A702,Sheet2!CB:NF,$B702,0)&lt;&gt;""),HLOOKUP(M$2+$A702,Sheet2!CB:NF,$B702,0),"")</f>
        <v/>
      </c>
    </row>
    <row r="703" spans="1:13" x14ac:dyDescent="0.25">
      <c r="A703" s="68">
        <f t="shared" si="73"/>
        <v>15</v>
      </c>
      <c r="B703" s="68">
        <f t="shared" si="74"/>
        <v>92</v>
      </c>
      <c r="C703" s="68">
        <f t="shared" si="71"/>
        <v>4</v>
      </c>
      <c r="D703" s="68">
        <f t="shared" si="75"/>
        <v>88</v>
      </c>
      <c r="E703" s="68">
        <f t="shared" si="72"/>
        <v>436</v>
      </c>
      <c r="F703" s="21" t="str">
        <f>VLOOKUP(D703,Sheet2!A:B,2)</f>
        <v>J20-0981</v>
      </c>
      <c r="G703" s="68" t="str">
        <f>VLOOKUP(F703,Sheet2!B:C,2,0)</f>
        <v>1 (ONE) COMPLETE SET OF WATER IN NMP ONLINE ไออาร์พีซี</v>
      </c>
      <c r="H703" s="68" t="str">
        <f>HLOOKUP(I$2+$A703,Sheet2!BX:NB,2,0)</f>
        <v>16-28 Feb 21</v>
      </c>
      <c r="I703" t="str">
        <f>IF(OR(HLOOKUP(I$2+$A703,Sheet2!BX:NB,$B703,0),HLOOKUP(I$2+$A703,Sheet2!BX:NB,$B703,0)&lt;&gt;""),HLOOKUP(I$2+$A703,Sheet2!BX:NB,$B703,0),"")</f>
        <v/>
      </c>
      <c r="J703" t="str">
        <f>IF(OR(HLOOKUP(J$2+$A703,Sheet2!BY:NC,$B703,0),HLOOKUP(J$2+$A703,Sheet2!BY:NC,$B703,0)&lt;&gt;""),HLOOKUP(J$2+$A703,Sheet2!BY:NC,$B703,0),"")</f>
        <v/>
      </c>
      <c r="K703" t="str">
        <f>IF(OR(HLOOKUP(K$2+$A703,Sheet2!BZ:ND,$B703,0),HLOOKUP(K$2+$A703,Sheet2!BZ:ND,$B703,0)&lt;&gt;""),HLOOKUP(K$2+$A703,Sheet2!BZ:ND,$B703,0),"")</f>
        <v/>
      </c>
      <c r="L703" t="str">
        <f>IF(OR(HLOOKUP(L$2+$A703,Sheet2!CA:NE,$B703,0),HLOOKUP(L$2+$A703,Sheet2!CA:NE,$B703,0)&lt;&gt;""),HLOOKUP(L$2+$A703,Sheet2!CA:NE,$B703,0),"")</f>
        <v/>
      </c>
      <c r="M703" t="str">
        <f>IF(OR(HLOOKUP(M$2+$A703,Sheet2!CB:NF,$B703,0),HLOOKUP(M$2+$A703,Sheet2!CB:NF,$B703,0)&lt;&gt;""),HLOOKUP(M$2+$A703,Sheet2!CB:NF,$B703,0),"")</f>
        <v/>
      </c>
    </row>
    <row r="704" spans="1:13" x14ac:dyDescent="0.25">
      <c r="A704" s="68">
        <f t="shared" si="73"/>
        <v>20</v>
      </c>
      <c r="B704" s="68">
        <f t="shared" si="74"/>
        <v>92</v>
      </c>
      <c r="C704" s="68">
        <f t="shared" si="71"/>
        <v>5</v>
      </c>
      <c r="D704" s="68">
        <f t="shared" si="75"/>
        <v>88</v>
      </c>
      <c r="E704" s="68">
        <f t="shared" si="72"/>
        <v>436</v>
      </c>
      <c r="F704" s="21" t="str">
        <f>VLOOKUP(D704,Sheet2!A:B,2)</f>
        <v>J20-0981</v>
      </c>
      <c r="G704" s="68" t="str">
        <f>VLOOKUP(F704,Sheet2!B:C,2,0)</f>
        <v>1 (ONE) COMPLETE SET OF WATER IN NMP ONLINE ไออาร์พีซี</v>
      </c>
      <c r="H704" s="68" t="str">
        <f>HLOOKUP(I$2+$A704,Sheet2!BX:NB,2,0)</f>
        <v>1-15 Mar 2021</v>
      </c>
      <c r="I704" t="str">
        <f>IF(OR(HLOOKUP(I$2+$A704,Sheet2!BX:NB,$B704,0),HLOOKUP(I$2+$A704,Sheet2!BX:NB,$B704,0)&lt;&gt;""),HLOOKUP(I$2+$A704,Sheet2!BX:NB,$B704,0),"")</f>
        <v/>
      </c>
      <c r="J704" t="str">
        <f>IF(OR(HLOOKUP(J$2+$A704,Sheet2!BY:NC,$B704,0),HLOOKUP(J$2+$A704,Sheet2!BY:NC,$B704,0)&lt;&gt;""),HLOOKUP(J$2+$A704,Sheet2!BY:NC,$B704,0),"")</f>
        <v/>
      </c>
      <c r="K704" t="str">
        <f>IF(OR(HLOOKUP(K$2+$A704,Sheet2!BZ:ND,$B704,0),HLOOKUP(K$2+$A704,Sheet2!BZ:ND,$B704,0)&lt;&gt;""),HLOOKUP(K$2+$A704,Sheet2!BZ:ND,$B704,0),"")</f>
        <v/>
      </c>
      <c r="L704" t="str">
        <f>IF(OR(HLOOKUP(L$2+$A704,Sheet2!CA:NE,$B704,0),HLOOKUP(L$2+$A704,Sheet2!CA:NE,$B704,0)&lt;&gt;""),HLOOKUP(L$2+$A704,Sheet2!CA:NE,$B704,0),"")</f>
        <v/>
      </c>
      <c r="M704" t="str">
        <f>IF(OR(HLOOKUP(M$2+$A704,Sheet2!CB:NF,$B704,0),HLOOKUP(M$2+$A704,Sheet2!CB:NF,$B704,0)&lt;&gt;""),HLOOKUP(M$2+$A704,Sheet2!CB:NF,$B704,0),"")</f>
        <v/>
      </c>
    </row>
    <row r="705" spans="1:13" x14ac:dyDescent="0.25">
      <c r="A705" s="68">
        <f t="shared" si="73"/>
        <v>25</v>
      </c>
      <c r="B705" s="68">
        <f t="shared" si="74"/>
        <v>92</v>
      </c>
      <c r="C705" s="68">
        <f t="shared" si="71"/>
        <v>6</v>
      </c>
      <c r="D705" s="68">
        <f t="shared" si="75"/>
        <v>88</v>
      </c>
      <c r="E705" s="68">
        <f t="shared" si="72"/>
        <v>436</v>
      </c>
      <c r="F705" s="21" t="str">
        <f>VLOOKUP(D705,Sheet2!A:B,2)</f>
        <v>J20-0981</v>
      </c>
      <c r="G705" s="68" t="str">
        <f>VLOOKUP(F705,Sheet2!B:C,2,0)</f>
        <v>1 (ONE) COMPLETE SET OF WATER IN NMP ONLINE ไออาร์พีซี</v>
      </c>
      <c r="H705" s="68" t="str">
        <f>HLOOKUP(I$2+$A705,Sheet2!BX:NB,2,0)</f>
        <v>16-31 Mar 21</v>
      </c>
      <c r="I705">
        <f>IF(OR(HLOOKUP(I$2+$A705,Sheet2!BX:NB,$B705,0),HLOOKUP(I$2+$A705,Sheet2!BX:NB,$B705,0)&lt;&gt;""),HLOOKUP(I$2+$A705,Sheet2!BX:NB,$B705,0),"")</f>
        <v>2780</v>
      </c>
      <c r="J705" t="str">
        <f>IF(OR(HLOOKUP(J$2+$A705,Sheet2!BY:NC,$B705,0),HLOOKUP(J$2+$A705,Sheet2!BY:NC,$B705,0)&lt;&gt;""),HLOOKUP(J$2+$A705,Sheet2!BY:NC,$B705,0),"")</f>
        <v/>
      </c>
      <c r="K705" t="str">
        <f>IF(OR(HLOOKUP(K$2+$A705,Sheet2!BZ:ND,$B705,0),HLOOKUP(K$2+$A705,Sheet2!BZ:ND,$B705,0)&lt;&gt;""),HLOOKUP(K$2+$A705,Sheet2!BZ:ND,$B705,0),"")</f>
        <v/>
      </c>
      <c r="L705" t="str">
        <f>IF(OR(HLOOKUP(L$2+$A705,Sheet2!CA:NE,$B705,0),HLOOKUP(L$2+$A705,Sheet2!CA:NE,$B705,0)&lt;&gt;""),HLOOKUP(L$2+$A705,Sheet2!CA:NE,$B705,0),"")</f>
        <v/>
      </c>
      <c r="M705" t="str">
        <f>IF(OR(HLOOKUP(M$2+$A705,Sheet2!CB:NF,$B705,0),HLOOKUP(M$2+$A705,Sheet2!CB:NF,$B705,0)&lt;&gt;""),HLOOKUP(M$2+$A705,Sheet2!CB:NF,$B705,0),"")</f>
        <v/>
      </c>
    </row>
    <row r="706" spans="1:13" x14ac:dyDescent="0.25">
      <c r="A706" s="68">
        <f t="shared" si="73"/>
        <v>30</v>
      </c>
      <c r="B706" s="68">
        <f t="shared" si="74"/>
        <v>92</v>
      </c>
      <c r="C706" s="68">
        <f t="shared" si="71"/>
        <v>7</v>
      </c>
      <c r="D706" s="68">
        <f t="shared" si="75"/>
        <v>88</v>
      </c>
      <c r="E706" s="68">
        <f t="shared" si="72"/>
        <v>436</v>
      </c>
      <c r="F706" s="21" t="str">
        <f>VLOOKUP(D706,Sheet2!A:B,2)</f>
        <v>J20-0981</v>
      </c>
      <c r="G706" s="68" t="str">
        <f>VLOOKUP(F706,Sheet2!B:C,2,0)</f>
        <v>1 (ONE) COMPLETE SET OF WATER IN NMP ONLINE ไออาร์พีซี</v>
      </c>
      <c r="H706" s="68" t="str">
        <f>HLOOKUP(I$2+$A706,Sheet2!BX:NB,2,0)</f>
        <v>1-15 April 21</v>
      </c>
      <c r="I706">
        <f>IF(OR(HLOOKUP(I$2+$A706,Sheet2!BX:NB,$B706,0),HLOOKUP(I$2+$A706,Sheet2!BX:NB,$B706,0)&lt;&gt;""),HLOOKUP(I$2+$A706,Sheet2!BX:NB,$B706,0),"")</f>
        <v>12000</v>
      </c>
      <c r="J706" t="str">
        <f>IF(OR(HLOOKUP(J$2+$A706,Sheet2!BY:NC,$B706,0),HLOOKUP(J$2+$A706,Sheet2!BY:NC,$B706,0)&lt;&gt;""),HLOOKUP(J$2+$A706,Sheet2!BY:NC,$B706,0),"")</f>
        <v/>
      </c>
      <c r="K706" t="str">
        <f>IF(OR(HLOOKUP(K$2+$A706,Sheet2!BZ:ND,$B706,0),HLOOKUP(K$2+$A706,Sheet2!BZ:ND,$B706,0)&lt;&gt;""),HLOOKUP(K$2+$A706,Sheet2!BZ:ND,$B706,0),"")</f>
        <v/>
      </c>
      <c r="L706" t="str">
        <f>IF(OR(HLOOKUP(L$2+$A706,Sheet2!CA:NE,$B706,0),HLOOKUP(L$2+$A706,Sheet2!CA:NE,$B706,0)&lt;&gt;""),HLOOKUP(L$2+$A706,Sheet2!CA:NE,$B706,0),"")</f>
        <v/>
      </c>
      <c r="M706" t="str">
        <f>IF(OR(HLOOKUP(M$2+$A706,Sheet2!CB:NF,$B706,0),HLOOKUP(M$2+$A706,Sheet2!CB:NF,$B706,0)&lt;&gt;""),HLOOKUP(M$2+$A706,Sheet2!CB:NF,$B706,0),"")</f>
        <v/>
      </c>
    </row>
    <row r="707" spans="1:13" x14ac:dyDescent="0.25">
      <c r="A707" s="68">
        <f t="shared" si="73"/>
        <v>35</v>
      </c>
      <c r="B707" s="68">
        <f t="shared" si="74"/>
        <v>92</v>
      </c>
      <c r="C707" s="68">
        <f t="shared" si="71"/>
        <v>8</v>
      </c>
      <c r="D707" s="68">
        <f t="shared" si="75"/>
        <v>88</v>
      </c>
      <c r="E707" s="68">
        <f t="shared" si="72"/>
        <v>436</v>
      </c>
      <c r="F707" s="21" t="str">
        <f>VLOOKUP(D707,Sheet2!A:B,2)</f>
        <v>J20-0981</v>
      </c>
      <c r="G707" s="68" t="str">
        <f>VLOOKUP(F707,Sheet2!B:C,2,0)</f>
        <v>1 (ONE) COMPLETE SET OF WATER IN NMP ONLINE ไออาร์พีซี</v>
      </c>
      <c r="H707" s="68" t="str">
        <f>HLOOKUP(I$2+$A707,Sheet2!BX:NB,2,0)</f>
        <v>16-30 April 21</v>
      </c>
      <c r="I707" t="str">
        <f>IF(OR(HLOOKUP(I$2+$A707,Sheet2!BX:NB,$B707,0),HLOOKUP(I$2+$A707,Sheet2!BX:NB,$B707,0)&lt;&gt;""),HLOOKUP(I$2+$A707,Sheet2!BX:NB,$B707,0),"")</f>
        <v/>
      </c>
      <c r="J707" t="str">
        <f>IF(OR(HLOOKUP(J$2+$A707,Sheet2!BY:NC,$B707,0),HLOOKUP(J$2+$A707,Sheet2!BY:NC,$B707,0)&lt;&gt;""),HLOOKUP(J$2+$A707,Sheet2!BY:NC,$B707,0),"")</f>
        <v/>
      </c>
      <c r="K707" t="str">
        <f>IF(OR(HLOOKUP(K$2+$A707,Sheet2!BZ:ND,$B707,0),HLOOKUP(K$2+$A707,Sheet2!BZ:ND,$B707,0)&lt;&gt;""),HLOOKUP(K$2+$A707,Sheet2!BZ:ND,$B707,0),"")</f>
        <v/>
      </c>
      <c r="L707" t="str">
        <f>IF(OR(HLOOKUP(L$2+$A707,Sheet2!CA:NE,$B707,0),HLOOKUP(L$2+$A707,Sheet2!CA:NE,$B707,0)&lt;&gt;""),HLOOKUP(L$2+$A707,Sheet2!CA:NE,$B707,0),"")</f>
        <v/>
      </c>
      <c r="M707" t="str">
        <f>IF(OR(HLOOKUP(M$2+$A707,Sheet2!CB:NF,$B707,0),HLOOKUP(M$2+$A707,Sheet2!CB:NF,$B707,0)&lt;&gt;""),HLOOKUP(M$2+$A707,Sheet2!CB:NF,$B707,0),"")</f>
        <v/>
      </c>
    </row>
    <row r="708" spans="1:13" x14ac:dyDescent="0.25">
      <c r="A708" s="68">
        <f t="shared" si="73"/>
        <v>0</v>
      </c>
      <c r="B708" s="68">
        <f t="shared" si="74"/>
        <v>93</v>
      </c>
      <c r="C708" s="68">
        <f t="shared" si="71"/>
        <v>1</v>
      </c>
      <c r="D708" s="68">
        <f t="shared" si="75"/>
        <v>89</v>
      </c>
      <c r="E708" s="68">
        <f t="shared" si="72"/>
        <v>441</v>
      </c>
      <c r="F708" s="21" t="str">
        <f>VLOOKUP(D708,Sheet2!A:B,2)</f>
        <v>J20-1085</v>
      </c>
      <c r="G708" s="68" t="str">
        <f>VLOOKUP(F708,Sheet2!B:C,2,0)</f>
        <v xml:space="preserve">Grounding system modification work at GC8 </v>
      </c>
      <c r="H708" s="68" t="str">
        <f>HLOOKUP(I$2+$A708,Sheet2!BX:NB,2,0)</f>
        <v>1-15 Jan 21</v>
      </c>
      <c r="I708" t="str">
        <f>IF(OR(HLOOKUP(I$2+$A708,Sheet2!BX:NB,$B708,0),HLOOKUP(I$2+$A708,Sheet2!BX:NB,$B708,0)&lt;&gt;""),HLOOKUP(I$2+$A708,Sheet2!BX:NB,$B708,0),"")</f>
        <v/>
      </c>
      <c r="J708" t="str">
        <f>IF(OR(HLOOKUP(J$2+$A708,Sheet2!BY:NC,$B708,0),HLOOKUP(J$2+$A708,Sheet2!BY:NC,$B708,0)&lt;&gt;""),HLOOKUP(J$2+$A708,Sheet2!BY:NC,$B708,0),"")</f>
        <v/>
      </c>
      <c r="K708" t="str">
        <f>IF(OR(HLOOKUP(K$2+$A708,Sheet2!BZ:ND,$B708,0),HLOOKUP(K$2+$A708,Sheet2!BZ:ND,$B708,0)&lt;&gt;""),HLOOKUP(K$2+$A708,Sheet2!BZ:ND,$B708,0),"")</f>
        <v/>
      </c>
      <c r="L708" t="str">
        <f>IF(OR(HLOOKUP(L$2+$A708,Sheet2!CA:NE,$B708,0),HLOOKUP(L$2+$A708,Sheet2!CA:NE,$B708,0)&lt;&gt;""),HLOOKUP(L$2+$A708,Sheet2!CA:NE,$B708,0),"")</f>
        <v/>
      </c>
      <c r="M708" t="str">
        <f>IF(OR(HLOOKUP(M$2+$A708,Sheet2!CB:NF,$B708,0),HLOOKUP(M$2+$A708,Sheet2!CB:NF,$B708,0)&lt;&gt;""),HLOOKUP(M$2+$A708,Sheet2!CB:NF,$B708,0),"")</f>
        <v/>
      </c>
    </row>
    <row r="709" spans="1:13" x14ac:dyDescent="0.25">
      <c r="A709" s="68">
        <f t="shared" si="73"/>
        <v>5</v>
      </c>
      <c r="B709" s="68">
        <f t="shared" si="74"/>
        <v>93</v>
      </c>
      <c r="C709" s="68">
        <f t="shared" si="71"/>
        <v>2</v>
      </c>
      <c r="D709" s="68">
        <f t="shared" si="75"/>
        <v>89</v>
      </c>
      <c r="E709" s="68">
        <f t="shared" si="72"/>
        <v>441</v>
      </c>
      <c r="F709" s="21" t="str">
        <f>VLOOKUP(D709,Sheet2!A:B,2)</f>
        <v>J20-1085</v>
      </c>
      <c r="G709" s="68" t="str">
        <f>VLOOKUP(F709,Sheet2!B:C,2,0)</f>
        <v xml:space="preserve">Grounding system modification work at GC8 </v>
      </c>
      <c r="H709" s="68" t="str">
        <f>HLOOKUP(I$2+$A709,Sheet2!BX:NB,2,0)</f>
        <v>16-31 Jan 21</v>
      </c>
      <c r="I709" t="str">
        <f>IF(OR(HLOOKUP(I$2+$A709,Sheet2!BX:NB,$B709,0),HLOOKUP(I$2+$A709,Sheet2!BX:NB,$B709,0)&lt;&gt;""),HLOOKUP(I$2+$A709,Sheet2!BX:NB,$B709,0),"")</f>
        <v/>
      </c>
      <c r="J709" t="str">
        <f>IF(OR(HLOOKUP(J$2+$A709,Sheet2!BY:NC,$B709,0),HLOOKUP(J$2+$A709,Sheet2!BY:NC,$B709,0)&lt;&gt;""),HLOOKUP(J$2+$A709,Sheet2!BY:NC,$B709,0),"")</f>
        <v/>
      </c>
      <c r="K709" t="str">
        <f>IF(OR(HLOOKUP(K$2+$A709,Sheet2!BZ:ND,$B709,0),HLOOKUP(K$2+$A709,Sheet2!BZ:ND,$B709,0)&lt;&gt;""),HLOOKUP(K$2+$A709,Sheet2!BZ:ND,$B709,0),"")</f>
        <v/>
      </c>
      <c r="L709" t="str">
        <f>IF(OR(HLOOKUP(L$2+$A709,Sheet2!CA:NE,$B709,0),HLOOKUP(L$2+$A709,Sheet2!CA:NE,$B709,0)&lt;&gt;""),HLOOKUP(L$2+$A709,Sheet2!CA:NE,$B709,0),"")</f>
        <v/>
      </c>
      <c r="M709" t="str">
        <f>IF(OR(HLOOKUP(M$2+$A709,Sheet2!CB:NF,$B709,0),HLOOKUP(M$2+$A709,Sheet2!CB:NF,$B709,0)&lt;&gt;""),HLOOKUP(M$2+$A709,Sheet2!CB:NF,$B709,0),"")</f>
        <v/>
      </c>
    </row>
    <row r="710" spans="1:13" x14ac:dyDescent="0.25">
      <c r="A710" s="68">
        <f t="shared" si="73"/>
        <v>10</v>
      </c>
      <c r="B710" s="68">
        <f t="shared" si="74"/>
        <v>93</v>
      </c>
      <c r="C710" s="68">
        <f t="shared" si="71"/>
        <v>3</v>
      </c>
      <c r="D710" s="68">
        <f t="shared" si="75"/>
        <v>89</v>
      </c>
      <c r="E710" s="68">
        <f t="shared" si="72"/>
        <v>441</v>
      </c>
      <c r="F710" s="21" t="str">
        <f>VLOOKUP(D710,Sheet2!A:B,2)</f>
        <v>J20-1085</v>
      </c>
      <c r="G710" s="68" t="str">
        <f>VLOOKUP(F710,Sheet2!B:C,2,0)</f>
        <v xml:space="preserve">Grounding system modification work at GC8 </v>
      </c>
      <c r="H710" s="68" t="str">
        <f>HLOOKUP(I$2+$A710,Sheet2!BX:NB,2,0)</f>
        <v>1-15 Feb 21</v>
      </c>
      <c r="I710" t="str">
        <f>IF(OR(HLOOKUP(I$2+$A710,Sheet2!BX:NB,$B710,0),HLOOKUP(I$2+$A710,Sheet2!BX:NB,$B710,0)&lt;&gt;""),HLOOKUP(I$2+$A710,Sheet2!BX:NB,$B710,0),"")</f>
        <v/>
      </c>
      <c r="J710" t="str">
        <f>IF(OR(HLOOKUP(J$2+$A710,Sheet2!BY:NC,$B710,0),HLOOKUP(J$2+$A710,Sheet2!BY:NC,$B710,0)&lt;&gt;""),HLOOKUP(J$2+$A710,Sheet2!BY:NC,$B710,0),"")</f>
        <v/>
      </c>
      <c r="K710" t="str">
        <f>IF(OR(HLOOKUP(K$2+$A710,Sheet2!BZ:ND,$B710,0),HLOOKUP(K$2+$A710,Sheet2!BZ:ND,$B710,0)&lt;&gt;""),HLOOKUP(K$2+$A710,Sheet2!BZ:ND,$B710,0),"")</f>
        <v/>
      </c>
      <c r="L710" t="str">
        <f>IF(OR(HLOOKUP(L$2+$A710,Sheet2!CA:NE,$B710,0),HLOOKUP(L$2+$A710,Sheet2!CA:NE,$B710,0)&lt;&gt;""),HLOOKUP(L$2+$A710,Sheet2!CA:NE,$B710,0),"")</f>
        <v/>
      </c>
      <c r="M710" t="str">
        <f>IF(OR(HLOOKUP(M$2+$A710,Sheet2!CB:NF,$B710,0),HLOOKUP(M$2+$A710,Sheet2!CB:NF,$B710,0)&lt;&gt;""),HLOOKUP(M$2+$A710,Sheet2!CB:NF,$B710,0),"")</f>
        <v/>
      </c>
    </row>
    <row r="711" spans="1:13" x14ac:dyDescent="0.25">
      <c r="A711" s="68">
        <f t="shared" si="73"/>
        <v>15</v>
      </c>
      <c r="B711" s="68">
        <f t="shared" si="74"/>
        <v>93</v>
      </c>
      <c r="C711" s="68">
        <f t="shared" si="71"/>
        <v>4</v>
      </c>
      <c r="D711" s="68">
        <f t="shared" si="75"/>
        <v>89</v>
      </c>
      <c r="E711" s="68">
        <f t="shared" si="72"/>
        <v>441</v>
      </c>
      <c r="F711" s="21" t="str">
        <f>VLOOKUP(D711,Sheet2!A:B,2)</f>
        <v>J20-1085</v>
      </c>
      <c r="G711" s="68" t="str">
        <f>VLOOKUP(F711,Sheet2!B:C,2,0)</f>
        <v xml:space="preserve">Grounding system modification work at GC8 </v>
      </c>
      <c r="H711" s="68" t="str">
        <f>HLOOKUP(I$2+$A711,Sheet2!BX:NB,2,0)</f>
        <v>16-28 Feb 21</v>
      </c>
      <c r="I711" t="str">
        <f>IF(OR(HLOOKUP(I$2+$A711,Sheet2!BX:NB,$B711,0),HLOOKUP(I$2+$A711,Sheet2!BX:NB,$B711,0)&lt;&gt;""),HLOOKUP(I$2+$A711,Sheet2!BX:NB,$B711,0),"")</f>
        <v/>
      </c>
      <c r="J711" t="str">
        <f>IF(OR(HLOOKUP(J$2+$A711,Sheet2!BY:NC,$B711,0),HLOOKUP(J$2+$A711,Sheet2!BY:NC,$B711,0)&lt;&gt;""),HLOOKUP(J$2+$A711,Sheet2!BY:NC,$B711,0),"")</f>
        <v/>
      </c>
      <c r="K711" t="str">
        <f>IF(OR(HLOOKUP(K$2+$A711,Sheet2!BZ:ND,$B711,0),HLOOKUP(K$2+$A711,Sheet2!BZ:ND,$B711,0)&lt;&gt;""),HLOOKUP(K$2+$A711,Sheet2!BZ:ND,$B711,0),"")</f>
        <v/>
      </c>
      <c r="L711" t="str">
        <f>IF(OR(HLOOKUP(L$2+$A711,Sheet2!CA:NE,$B711,0),HLOOKUP(L$2+$A711,Sheet2!CA:NE,$B711,0)&lt;&gt;""),HLOOKUP(L$2+$A711,Sheet2!CA:NE,$B711,0),"")</f>
        <v/>
      </c>
      <c r="M711" t="str">
        <f>IF(OR(HLOOKUP(M$2+$A711,Sheet2!CB:NF,$B711,0),HLOOKUP(M$2+$A711,Sheet2!CB:NF,$B711,0)&lt;&gt;""),HLOOKUP(M$2+$A711,Sheet2!CB:NF,$B711,0),"")</f>
        <v/>
      </c>
    </row>
    <row r="712" spans="1:13" x14ac:dyDescent="0.25">
      <c r="A712" s="68">
        <f t="shared" si="73"/>
        <v>20</v>
      </c>
      <c r="B712" s="68">
        <f t="shared" si="74"/>
        <v>93</v>
      </c>
      <c r="C712" s="68">
        <f t="shared" si="71"/>
        <v>5</v>
      </c>
      <c r="D712" s="68">
        <f t="shared" si="75"/>
        <v>89</v>
      </c>
      <c r="E712" s="68">
        <f t="shared" si="72"/>
        <v>441</v>
      </c>
      <c r="F712" s="21" t="str">
        <f>VLOOKUP(D712,Sheet2!A:B,2)</f>
        <v>J20-1085</v>
      </c>
      <c r="G712" s="68" t="str">
        <f>VLOOKUP(F712,Sheet2!B:C,2,0)</f>
        <v xml:space="preserve">Grounding system modification work at GC8 </v>
      </c>
      <c r="H712" s="68" t="str">
        <f>HLOOKUP(I$2+$A712,Sheet2!BX:NB,2,0)</f>
        <v>1-15 Mar 2021</v>
      </c>
      <c r="I712" t="str">
        <f>IF(OR(HLOOKUP(I$2+$A712,Sheet2!BX:NB,$B712,0),HLOOKUP(I$2+$A712,Sheet2!BX:NB,$B712,0)&lt;&gt;""),HLOOKUP(I$2+$A712,Sheet2!BX:NB,$B712,0),"")</f>
        <v/>
      </c>
      <c r="J712" t="str">
        <f>IF(OR(HLOOKUP(J$2+$A712,Sheet2!BY:NC,$B712,0),HLOOKUP(J$2+$A712,Sheet2!BY:NC,$B712,0)&lt;&gt;""),HLOOKUP(J$2+$A712,Sheet2!BY:NC,$B712,0),"")</f>
        <v/>
      </c>
      <c r="K712" t="str">
        <f>IF(OR(HLOOKUP(K$2+$A712,Sheet2!BZ:ND,$B712,0),HLOOKUP(K$2+$A712,Sheet2!BZ:ND,$B712,0)&lt;&gt;""),HLOOKUP(K$2+$A712,Sheet2!BZ:ND,$B712,0),"")</f>
        <v/>
      </c>
      <c r="L712" t="str">
        <f>IF(OR(HLOOKUP(L$2+$A712,Sheet2!CA:NE,$B712,0),HLOOKUP(L$2+$A712,Sheet2!CA:NE,$B712,0)&lt;&gt;""),HLOOKUP(L$2+$A712,Sheet2!CA:NE,$B712,0),"")</f>
        <v/>
      </c>
      <c r="M712" t="str">
        <f>IF(OR(HLOOKUP(M$2+$A712,Sheet2!CB:NF,$B712,0),HLOOKUP(M$2+$A712,Sheet2!CB:NF,$B712,0)&lt;&gt;""),HLOOKUP(M$2+$A712,Sheet2!CB:NF,$B712,0),"")</f>
        <v/>
      </c>
    </row>
    <row r="713" spans="1:13" x14ac:dyDescent="0.25">
      <c r="A713" s="68">
        <f t="shared" si="73"/>
        <v>25</v>
      </c>
      <c r="B713" s="68">
        <f t="shared" si="74"/>
        <v>93</v>
      </c>
      <c r="C713" s="68">
        <f t="shared" si="71"/>
        <v>6</v>
      </c>
      <c r="D713" s="68">
        <f t="shared" si="75"/>
        <v>89</v>
      </c>
      <c r="E713" s="68">
        <f t="shared" si="72"/>
        <v>441</v>
      </c>
      <c r="F713" s="21" t="str">
        <f>VLOOKUP(D713,Sheet2!A:B,2)</f>
        <v>J20-1085</v>
      </c>
      <c r="G713" s="68" t="str">
        <f>VLOOKUP(F713,Sheet2!B:C,2,0)</f>
        <v xml:space="preserve">Grounding system modification work at GC8 </v>
      </c>
      <c r="H713" s="68" t="str">
        <f>HLOOKUP(I$2+$A713,Sheet2!BX:NB,2,0)</f>
        <v>16-31 Mar 21</v>
      </c>
      <c r="I713" t="str">
        <f>IF(OR(HLOOKUP(I$2+$A713,Sheet2!BX:NB,$B713,0),HLOOKUP(I$2+$A713,Sheet2!BX:NB,$B713,0)&lt;&gt;""),HLOOKUP(I$2+$A713,Sheet2!BX:NB,$B713,0),"")</f>
        <v/>
      </c>
      <c r="J713" t="str">
        <f>IF(OR(HLOOKUP(J$2+$A713,Sheet2!BY:NC,$B713,0),HLOOKUP(J$2+$A713,Sheet2!BY:NC,$B713,0)&lt;&gt;""),HLOOKUP(J$2+$A713,Sheet2!BY:NC,$B713,0),"")</f>
        <v/>
      </c>
      <c r="K713" t="str">
        <f>IF(OR(HLOOKUP(K$2+$A713,Sheet2!BZ:ND,$B713,0),HLOOKUP(K$2+$A713,Sheet2!BZ:ND,$B713,0)&lt;&gt;""),HLOOKUP(K$2+$A713,Sheet2!BZ:ND,$B713,0),"")</f>
        <v/>
      </c>
      <c r="L713" t="str">
        <f>IF(OR(HLOOKUP(L$2+$A713,Sheet2!CA:NE,$B713,0),HLOOKUP(L$2+$A713,Sheet2!CA:NE,$B713,0)&lt;&gt;""),HLOOKUP(L$2+$A713,Sheet2!CA:NE,$B713,0),"")</f>
        <v/>
      </c>
      <c r="M713" t="str">
        <f>IF(OR(HLOOKUP(M$2+$A713,Sheet2!CB:NF,$B713,0),HLOOKUP(M$2+$A713,Sheet2!CB:NF,$B713,0)&lt;&gt;""),HLOOKUP(M$2+$A713,Sheet2!CB:NF,$B713,0),"")</f>
        <v/>
      </c>
    </row>
    <row r="714" spans="1:13" x14ac:dyDescent="0.25">
      <c r="A714" s="68">
        <f t="shared" si="73"/>
        <v>30</v>
      </c>
      <c r="B714" s="68">
        <f t="shared" si="74"/>
        <v>93</v>
      </c>
      <c r="C714" s="68">
        <f t="shared" si="71"/>
        <v>7</v>
      </c>
      <c r="D714" s="68">
        <f t="shared" si="75"/>
        <v>89</v>
      </c>
      <c r="E714" s="68">
        <f t="shared" si="72"/>
        <v>441</v>
      </c>
      <c r="F714" s="21" t="str">
        <f>VLOOKUP(D714,Sheet2!A:B,2)</f>
        <v>J20-1085</v>
      </c>
      <c r="G714" s="68" t="str">
        <f>VLOOKUP(F714,Sheet2!B:C,2,0)</f>
        <v xml:space="preserve">Grounding system modification work at GC8 </v>
      </c>
      <c r="H714" s="68" t="str">
        <f>HLOOKUP(I$2+$A714,Sheet2!BX:NB,2,0)</f>
        <v>1-15 April 21</v>
      </c>
      <c r="I714" t="str">
        <f>IF(OR(HLOOKUP(I$2+$A714,Sheet2!BX:NB,$B714,0),HLOOKUP(I$2+$A714,Sheet2!BX:NB,$B714,0)&lt;&gt;""),HLOOKUP(I$2+$A714,Sheet2!BX:NB,$B714,0),"")</f>
        <v/>
      </c>
      <c r="J714" t="str">
        <f>IF(OR(HLOOKUP(J$2+$A714,Sheet2!BY:NC,$B714,0),HLOOKUP(J$2+$A714,Sheet2!BY:NC,$B714,0)&lt;&gt;""),HLOOKUP(J$2+$A714,Sheet2!BY:NC,$B714,0),"")</f>
        <v/>
      </c>
      <c r="K714" t="str">
        <f>IF(OR(HLOOKUP(K$2+$A714,Sheet2!BZ:ND,$B714,0),HLOOKUP(K$2+$A714,Sheet2!BZ:ND,$B714,0)&lt;&gt;""),HLOOKUP(K$2+$A714,Sheet2!BZ:ND,$B714,0),"")</f>
        <v/>
      </c>
      <c r="L714" t="str">
        <f>IF(OR(HLOOKUP(L$2+$A714,Sheet2!CA:NE,$B714,0),HLOOKUP(L$2+$A714,Sheet2!CA:NE,$B714,0)&lt;&gt;""),HLOOKUP(L$2+$A714,Sheet2!CA:NE,$B714,0),"")</f>
        <v/>
      </c>
      <c r="M714" t="str">
        <f>IF(OR(HLOOKUP(M$2+$A714,Sheet2!CB:NF,$B714,0),HLOOKUP(M$2+$A714,Sheet2!CB:NF,$B714,0)&lt;&gt;""),HLOOKUP(M$2+$A714,Sheet2!CB:NF,$B714,0),"")</f>
        <v/>
      </c>
    </row>
    <row r="715" spans="1:13" x14ac:dyDescent="0.25">
      <c r="A715" s="68">
        <f t="shared" si="73"/>
        <v>35</v>
      </c>
      <c r="B715" s="68">
        <f t="shared" si="74"/>
        <v>93</v>
      </c>
      <c r="C715" s="68">
        <f t="shared" si="71"/>
        <v>8</v>
      </c>
      <c r="D715" s="68">
        <f t="shared" si="75"/>
        <v>89</v>
      </c>
      <c r="E715" s="68">
        <f t="shared" si="72"/>
        <v>441</v>
      </c>
      <c r="F715" s="21" t="str">
        <f>VLOOKUP(D715,Sheet2!A:B,2)</f>
        <v>J20-1085</v>
      </c>
      <c r="G715" s="68" t="str">
        <f>VLOOKUP(F715,Sheet2!B:C,2,0)</f>
        <v xml:space="preserve">Grounding system modification work at GC8 </v>
      </c>
      <c r="H715" s="68" t="str">
        <f>HLOOKUP(I$2+$A715,Sheet2!BX:NB,2,0)</f>
        <v>16-30 April 21</v>
      </c>
      <c r="I715" t="str">
        <f>IF(OR(HLOOKUP(I$2+$A715,Sheet2!BX:NB,$B715,0),HLOOKUP(I$2+$A715,Sheet2!BX:NB,$B715,0)&lt;&gt;""),HLOOKUP(I$2+$A715,Sheet2!BX:NB,$B715,0),"")</f>
        <v/>
      </c>
      <c r="J715" t="str">
        <f>IF(OR(HLOOKUP(J$2+$A715,Sheet2!BY:NC,$B715,0),HLOOKUP(J$2+$A715,Sheet2!BY:NC,$B715,0)&lt;&gt;""),HLOOKUP(J$2+$A715,Sheet2!BY:NC,$B715,0),"")</f>
        <v/>
      </c>
      <c r="K715" t="str">
        <f>IF(OR(HLOOKUP(K$2+$A715,Sheet2!BZ:ND,$B715,0),HLOOKUP(K$2+$A715,Sheet2!BZ:ND,$B715,0)&lt;&gt;""),HLOOKUP(K$2+$A715,Sheet2!BZ:ND,$B715,0),"")</f>
        <v/>
      </c>
      <c r="L715" t="str">
        <f>IF(OR(HLOOKUP(L$2+$A715,Sheet2!CA:NE,$B715,0),HLOOKUP(L$2+$A715,Sheet2!CA:NE,$B715,0)&lt;&gt;""),HLOOKUP(L$2+$A715,Sheet2!CA:NE,$B715,0),"")</f>
        <v/>
      </c>
      <c r="M715" t="str">
        <f>IF(OR(HLOOKUP(M$2+$A715,Sheet2!CB:NF,$B715,0),HLOOKUP(M$2+$A715,Sheet2!CB:NF,$B715,0)&lt;&gt;""),HLOOKUP(M$2+$A715,Sheet2!CB:NF,$B715,0),"")</f>
        <v/>
      </c>
    </row>
    <row r="716" spans="1:13" x14ac:dyDescent="0.25">
      <c r="A716" s="68">
        <f t="shared" si="73"/>
        <v>0</v>
      </c>
      <c r="B716" s="68">
        <f t="shared" si="74"/>
        <v>94</v>
      </c>
      <c r="C716" s="68">
        <f t="shared" si="71"/>
        <v>1</v>
      </c>
      <c r="D716" s="68">
        <f t="shared" si="75"/>
        <v>90</v>
      </c>
      <c r="E716" s="68">
        <f t="shared" si="72"/>
        <v>446</v>
      </c>
      <c r="F716" s="21" t="str">
        <f>VLOOKUP(D716,Sheet2!A:B,2)</f>
        <v>J20-1112</v>
      </c>
      <c r="G716" s="68" t="str">
        <f>VLOOKUP(F716,Sheet2!B:C,2,0)</f>
        <v>BST ( Gas Detector additional )</v>
      </c>
      <c r="H716" s="68" t="str">
        <f>HLOOKUP(I$2+$A716,Sheet2!BX:NB,2,0)</f>
        <v>1-15 Jan 21</v>
      </c>
      <c r="I716" t="str">
        <f>IF(OR(HLOOKUP(I$2+$A716,Sheet2!BX:NB,$B716,0),HLOOKUP(I$2+$A716,Sheet2!BX:NB,$B716,0)&lt;&gt;""),HLOOKUP(I$2+$A716,Sheet2!BX:NB,$B716,0),"")</f>
        <v/>
      </c>
      <c r="J716" t="str">
        <f>IF(OR(HLOOKUP(J$2+$A716,Sheet2!BY:NC,$B716,0),HLOOKUP(J$2+$A716,Sheet2!BY:NC,$B716,0)&lt;&gt;""),HLOOKUP(J$2+$A716,Sheet2!BY:NC,$B716,0),"")</f>
        <v/>
      </c>
      <c r="K716" t="str">
        <f>IF(OR(HLOOKUP(K$2+$A716,Sheet2!BZ:ND,$B716,0),HLOOKUP(K$2+$A716,Sheet2!BZ:ND,$B716,0)&lt;&gt;""),HLOOKUP(K$2+$A716,Sheet2!BZ:ND,$B716,0),"")</f>
        <v/>
      </c>
      <c r="L716" t="str">
        <f>IF(OR(HLOOKUP(L$2+$A716,Sheet2!CA:NE,$B716,0),HLOOKUP(L$2+$A716,Sheet2!CA:NE,$B716,0)&lt;&gt;""),HLOOKUP(L$2+$A716,Sheet2!CA:NE,$B716,0),"")</f>
        <v/>
      </c>
      <c r="M716" t="str">
        <f>IF(OR(HLOOKUP(M$2+$A716,Sheet2!CB:NF,$B716,0),HLOOKUP(M$2+$A716,Sheet2!CB:NF,$B716,0)&lt;&gt;""),HLOOKUP(M$2+$A716,Sheet2!CB:NF,$B716,0),"")</f>
        <v/>
      </c>
    </row>
    <row r="717" spans="1:13" x14ac:dyDescent="0.25">
      <c r="A717" s="68">
        <f t="shared" si="73"/>
        <v>5</v>
      </c>
      <c r="B717" s="68">
        <f t="shared" si="74"/>
        <v>94</v>
      </c>
      <c r="C717" s="68">
        <f t="shared" ref="C717:C780" si="76">IF($C$3-C716=0,1,C716+1)</f>
        <v>2</v>
      </c>
      <c r="D717" s="68">
        <f t="shared" si="75"/>
        <v>90</v>
      </c>
      <c r="E717" s="68">
        <f t="shared" si="72"/>
        <v>446</v>
      </c>
      <c r="F717" s="21" t="str">
        <f>VLOOKUP(D717,Sheet2!A:B,2)</f>
        <v>J20-1112</v>
      </c>
      <c r="G717" s="68" t="str">
        <f>VLOOKUP(F717,Sheet2!B:C,2,0)</f>
        <v>BST ( Gas Detector additional )</v>
      </c>
      <c r="H717" s="68" t="str">
        <f>HLOOKUP(I$2+$A717,Sheet2!BX:NB,2,0)</f>
        <v>16-31 Jan 21</v>
      </c>
      <c r="I717" t="str">
        <f>IF(OR(HLOOKUP(I$2+$A717,Sheet2!BX:NB,$B717,0),HLOOKUP(I$2+$A717,Sheet2!BX:NB,$B717,0)&lt;&gt;""),HLOOKUP(I$2+$A717,Sheet2!BX:NB,$B717,0),"")</f>
        <v/>
      </c>
      <c r="J717" t="str">
        <f>IF(OR(HLOOKUP(J$2+$A717,Sheet2!BY:NC,$B717,0),HLOOKUP(J$2+$A717,Sheet2!BY:NC,$B717,0)&lt;&gt;""),HLOOKUP(J$2+$A717,Sheet2!BY:NC,$B717,0),"")</f>
        <v/>
      </c>
      <c r="K717" t="str">
        <f>IF(OR(HLOOKUP(K$2+$A717,Sheet2!BZ:ND,$B717,0),HLOOKUP(K$2+$A717,Sheet2!BZ:ND,$B717,0)&lt;&gt;""),HLOOKUP(K$2+$A717,Sheet2!BZ:ND,$B717,0),"")</f>
        <v/>
      </c>
      <c r="L717" t="str">
        <f>IF(OR(HLOOKUP(L$2+$A717,Sheet2!CA:NE,$B717,0),HLOOKUP(L$2+$A717,Sheet2!CA:NE,$B717,0)&lt;&gt;""),HLOOKUP(L$2+$A717,Sheet2!CA:NE,$B717,0),"")</f>
        <v/>
      </c>
      <c r="M717" t="str">
        <f>IF(OR(HLOOKUP(M$2+$A717,Sheet2!CB:NF,$B717,0),HLOOKUP(M$2+$A717,Sheet2!CB:NF,$B717,0)&lt;&gt;""),HLOOKUP(M$2+$A717,Sheet2!CB:NF,$B717,0),"")</f>
        <v/>
      </c>
    </row>
    <row r="718" spans="1:13" x14ac:dyDescent="0.25">
      <c r="A718" s="68">
        <f t="shared" si="73"/>
        <v>10</v>
      </c>
      <c r="B718" s="68">
        <f t="shared" si="74"/>
        <v>94</v>
      </c>
      <c r="C718" s="68">
        <f t="shared" si="76"/>
        <v>3</v>
      </c>
      <c r="D718" s="68">
        <f t="shared" si="75"/>
        <v>90</v>
      </c>
      <c r="E718" s="68">
        <f t="shared" si="72"/>
        <v>446</v>
      </c>
      <c r="F718" s="21" t="str">
        <f>VLOOKUP(D718,Sheet2!A:B,2)</f>
        <v>J20-1112</v>
      </c>
      <c r="G718" s="68" t="str">
        <f>VLOOKUP(F718,Sheet2!B:C,2,0)</f>
        <v>BST ( Gas Detector additional )</v>
      </c>
      <c r="H718" s="68" t="str">
        <f>HLOOKUP(I$2+$A718,Sheet2!BX:NB,2,0)</f>
        <v>1-15 Feb 21</v>
      </c>
      <c r="I718" t="str">
        <f>IF(OR(HLOOKUP(I$2+$A718,Sheet2!BX:NB,$B718,0),HLOOKUP(I$2+$A718,Sheet2!BX:NB,$B718,0)&lt;&gt;""),HLOOKUP(I$2+$A718,Sheet2!BX:NB,$B718,0),"")</f>
        <v/>
      </c>
      <c r="J718" t="str">
        <f>IF(OR(HLOOKUP(J$2+$A718,Sheet2!BY:NC,$B718,0),HLOOKUP(J$2+$A718,Sheet2!BY:NC,$B718,0)&lt;&gt;""),HLOOKUP(J$2+$A718,Sheet2!BY:NC,$B718,0),"")</f>
        <v/>
      </c>
      <c r="K718" t="str">
        <f>IF(OR(HLOOKUP(K$2+$A718,Sheet2!BZ:ND,$B718,0),HLOOKUP(K$2+$A718,Sheet2!BZ:ND,$B718,0)&lt;&gt;""),HLOOKUP(K$2+$A718,Sheet2!BZ:ND,$B718,0),"")</f>
        <v/>
      </c>
      <c r="L718" t="str">
        <f>IF(OR(HLOOKUP(L$2+$A718,Sheet2!CA:NE,$B718,0),HLOOKUP(L$2+$A718,Sheet2!CA:NE,$B718,0)&lt;&gt;""),HLOOKUP(L$2+$A718,Sheet2!CA:NE,$B718,0),"")</f>
        <v/>
      </c>
      <c r="M718" t="str">
        <f>IF(OR(HLOOKUP(M$2+$A718,Sheet2!CB:NF,$B718,0),HLOOKUP(M$2+$A718,Sheet2!CB:NF,$B718,0)&lt;&gt;""),HLOOKUP(M$2+$A718,Sheet2!CB:NF,$B718,0),"")</f>
        <v/>
      </c>
    </row>
    <row r="719" spans="1:13" x14ac:dyDescent="0.25">
      <c r="A719" s="68">
        <f t="shared" si="73"/>
        <v>15</v>
      </c>
      <c r="B719" s="68">
        <f t="shared" si="74"/>
        <v>94</v>
      </c>
      <c r="C719" s="68">
        <f t="shared" si="76"/>
        <v>4</v>
      </c>
      <c r="D719" s="68">
        <f t="shared" si="75"/>
        <v>90</v>
      </c>
      <c r="E719" s="68">
        <f t="shared" si="72"/>
        <v>446</v>
      </c>
      <c r="F719" s="21" t="str">
        <f>VLOOKUP(D719,Sheet2!A:B,2)</f>
        <v>J20-1112</v>
      </c>
      <c r="G719" s="68" t="str">
        <f>VLOOKUP(F719,Sheet2!B:C,2,0)</f>
        <v>BST ( Gas Detector additional )</v>
      </c>
      <c r="H719" s="68" t="str">
        <f>HLOOKUP(I$2+$A719,Sheet2!BX:NB,2,0)</f>
        <v>16-28 Feb 21</v>
      </c>
      <c r="I719" t="str">
        <f>IF(OR(HLOOKUP(I$2+$A719,Sheet2!BX:NB,$B719,0),HLOOKUP(I$2+$A719,Sheet2!BX:NB,$B719,0)&lt;&gt;""),HLOOKUP(I$2+$A719,Sheet2!BX:NB,$B719,0),"")</f>
        <v/>
      </c>
      <c r="J719" t="str">
        <f>IF(OR(HLOOKUP(J$2+$A719,Sheet2!BY:NC,$B719,0),HLOOKUP(J$2+$A719,Sheet2!BY:NC,$B719,0)&lt;&gt;""),HLOOKUP(J$2+$A719,Sheet2!BY:NC,$B719,0),"")</f>
        <v/>
      </c>
      <c r="K719" t="str">
        <f>IF(OR(HLOOKUP(K$2+$A719,Sheet2!BZ:ND,$B719,0),HLOOKUP(K$2+$A719,Sheet2!BZ:ND,$B719,0)&lt;&gt;""),HLOOKUP(K$2+$A719,Sheet2!BZ:ND,$B719,0),"")</f>
        <v/>
      </c>
      <c r="L719" t="str">
        <f>IF(OR(HLOOKUP(L$2+$A719,Sheet2!CA:NE,$B719,0),HLOOKUP(L$2+$A719,Sheet2!CA:NE,$B719,0)&lt;&gt;""),HLOOKUP(L$2+$A719,Sheet2!CA:NE,$B719,0),"")</f>
        <v/>
      </c>
      <c r="M719" t="str">
        <f>IF(OR(HLOOKUP(M$2+$A719,Sheet2!CB:NF,$B719,0),HLOOKUP(M$2+$A719,Sheet2!CB:NF,$B719,0)&lt;&gt;""),HLOOKUP(M$2+$A719,Sheet2!CB:NF,$B719,0),"")</f>
        <v/>
      </c>
    </row>
    <row r="720" spans="1:13" x14ac:dyDescent="0.25">
      <c r="A720" s="68">
        <f t="shared" si="73"/>
        <v>20</v>
      </c>
      <c r="B720" s="68">
        <f t="shared" si="74"/>
        <v>94</v>
      </c>
      <c r="C720" s="68">
        <f t="shared" si="76"/>
        <v>5</v>
      </c>
      <c r="D720" s="68">
        <f t="shared" si="75"/>
        <v>90</v>
      </c>
      <c r="E720" s="68">
        <f t="shared" si="72"/>
        <v>446</v>
      </c>
      <c r="F720" s="21" t="str">
        <f>VLOOKUP(D720,Sheet2!A:B,2)</f>
        <v>J20-1112</v>
      </c>
      <c r="G720" s="68" t="str">
        <f>VLOOKUP(F720,Sheet2!B:C,2,0)</f>
        <v>BST ( Gas Detector additional )</v>
      </c>
      <c r="H720" s="68" t="str">
        <f>HLOOKUP(I$2+$A720,Sheet2!BX:NB,2,0)</f>
        <v>1-15 Mar 2021</v>
      </c>
      <c r="I720" t="str">
        <f>IF(OR(HLOOKUP(I$2+$A720,Sheet2!BX:NB,$B720,0),HLOOKUP(I$2+$A720,Sheet2!BX:NB,$B720,0)&lt;&gt;""),HLOOKUP(I$2+$A720,Sheet2!BX:NB,$B720,0),"")</f>
        <v/>
      </c>
      <c r="J720" t="str">
        <f>IF(OR(HLOOKUP(J$2+$A720,Sheet2!BY:NC,$B720,0),HLOOKUP(J$2+$A720,Sheet2!BY:NC,$B720,0)&lt;&gt;""),HLOOKUP(J$2+$A720,Sheet2!BY:NC,$B720,0),"")</f>
        <v/>
      </c>
      <c r="K720" t="str">
        <f>IF(OR(HLOOKUP(K$2+$A720,Sheet2!BZ:ND,$B720,0),HLOOKUP(K$2+$A720,Sheet2!BZ:ND,$B720,0)&lt;&gt;""),HLOOKUP(K$2+$A720,Sheet2!BZ:ND,$B720,0),"")</f>
        <v/>
      </c>
      <c r="L720" t="str">
        <f>IF(OR(HLOOKUP(L$2+$A720,Sheet2!CA:NE,$B720,0),HLOOKUP(L$2+$A720,Sheet2!CA:NE,$B720,0)&lt;&gt;""),HLOOKUP(L$2+$A720,Sheet2!CA:NE,$B720,0),"")</f>
        <v/>
      </c>
      <c r="M720" t="str">
        <f>IF(OR(HLOOKUP(M$2+$A720,Sheet2!CB:NF,$B720,0),HLOOKUP(M$2+$A720,Sheet2!CB:NF,$B720,0)&lt;&gt;""),HLOOKUP(M$2+$A720,Sheet2!CB:NF,$B720,0),"")</f>
        <v/>
      </c>
    </row>
    <row r="721" spans="1:13" x14ac:dyDescent="0.25">
      <c r="A721" s="68">
        <f t="shared" si="73"/>
        <v>25</v>
      </c>
      <c r="B721" s="68">
        <f t="shared" si="74"/>
        <v>94</v>
      </c>
      <c r="C721" s="68">
        <f t="shared" si="76"/>
        <v>6</v>
      </c>
      <c r="D721" s="68">
        <f t="shared" si="75"/>
        <v>90</v>
      </c>
      <c r="E721" s="68">
        <f t="shared" si="72"/>
        <v>446</v>
      </c>
      <c r="F721" s="21" t="str">
        <f>VLOOKUP(D721,Sheet2!A:B,2)</f>
        <v>J20-1112</v>
      </c>
      <c r="G721" s="68" t="str">
        <f>VLOOKUP(F721,Sheet2!B:C,2,0)</f>
        <v>BST ( Gas Detector additional )</v>
      </c>
      <c r="H721" s="68" t="str">
        <f>HLOOKUP(I$2+$A721,Sheet2!BX:NB,2,0)</f>
        <v>16-31 Mar 21</v>
      </c>
      <c r="I721" t="str">
        <f>IF(OR(HLOOKUP(I$2+$A721,Sheet2!BX:NB,$B721,0),HLOOKUP(I$2+$A721,Sheet2!BX:NB,$B721,0)&lt;&gt;""),HLOOKUP(I$2+$A721,Sheet2!BX:NB,$B721,0),"")</f>
        <v/>
      </c>
      <c r="J721" t="str">
        <f>IF(OR(HLOOKUP(J$2+$A721,Sheet2!BY:NC,$B721,0),HLOOKUP(J$2+$A721,Sheet2!BY:NC,$B721,0)&lt;&gt;""),HLOOKUP(J$2+$A721,Sheet2!BY:NC,$B721,0),"")</f>
        <v/>
      </c>
      <c r="K721" t="str">
        <f>IF(OR(HLOOKUP(K$2+$A721,Sheet2!BZ:ND,$B721,0),HLOOKUP(K$2+$A721,Sheet2!BZ:ND,$B721,0)&lt;&gt;""),HLOOKUP(K$2+$A721,Sheet2!BZ:ND,$B721,0),"")</f>
        <v/>
      </c>
      <c r="L721" t="str">
        <f>IF(OR(HLOOKUP(L$2+$A721,Sheet2!CA:NE,$B721,0),HLOOKUP(L$2+$A721,Sheet2!CA:NE,$B721,0)&lt;&gt;""),HLOOKUP(L$2+$A721,Sheet2!CA:NE,$B721,0),"")</f>
        <v/>
      </c>
      <c r="M721" t="str">
        <f>IF(OR(HLOOKUP(M$2+$A721,Sheet2!CB:NF,$B721,0),HLOOKUP(M$2+$A721,Sheet2!CB:NF,$B721,0)&lt;&gt;""),HLOOKUP(M$2+$A721,Sheet2!CB:NF,$B721,0),"")</f>
        <v/>
      </c>
    </row>
    <row r="722" spans="1:13" x14ac:dyDescent="0.25">
      <c r="A722" s="68">
        <f t="shared" si="73"/>
        <v>30</v>
      </c>
      <c r="B722" s="68">
        <f t="shared" si="74"/>
        <v>94</v>
      </c>
      <c r="C722" s="68">
        <f t="shared" si="76"/>
        <v>7</v>
      </c>
      <c r="D722" s="68">
        <f t="shared" si="75"/>
        <v>90</v>
      </c>
      <c r="E722" s="68">
        <f t="shared" si="72"/>
        <v>446</v>
      </c>
      <c r="F722" s="21" t="str">
        <f>VLOOKUP(D722,Sheet2!A:B,2)</f>
        <v>J20-1112</v>
      </c>
      <c r="G722" s="68" t="str">
        <f>VLOOKUP(F722,Sheet2!B:C,2,0)</f>
        <v>BST ( Gas Detector additional )</v>
      </c>
      <c r="H722" s="68" t="str">
        <f>HLOOKUP(I$2+$A722,Sheet2!BX:NB,2,0)</f>
        <v>1-15 April 21</v>
      </c>
      <c r="I722" t="str">
        <f>IF(OR(HLOOKUP(I$2+$A722,Sheet2!BX:NB,$B722,0),HLOOKUP(I$2+$A722,Sheet2!BX:NB,$B722,0)&lt;&gt;""),HLOOKUP(I$2+$A722,Sheet2!BX:NB,$B722,0),"")</f>
        <v/>
      </c>
      <c r="J722" t="str">
        <f>IF(OR(HLOOKUP(J$2+$A722,Sheet2!BY:NC,$B722,0),HLOOKUP(J$2+$A722,Sheet2!BY:NC,$B722,0)&lt;&gt;""),HLOOKUP(J$2+$A722,Sheet2!BY:NC,$B722,0),"")</f>
        <v/>
      </c>
      <c r="K722" t="str">
        <f>IF(OR(HLOOKUP(K$2+$A722,Sheet2!BZ:ND,$B722,0),HLOOKUP(K$2+$A722,Sheet2!BZ:ND,$B722,0)&lt;&gt;""),HLOOKUP(K$2+$A722,Sheet2!BZ:ND,$B722,0),"")</f>
        <v/>
      </c>
      <c r="L722" t="str">
        <f>IF(OR(HLOOKUP(L$2+$A722,Sheet2!CA:NE,$B722,0),HLOOKUP(L$2+$A722,Sheet2!CA:NE,$B722,0)&lt;&gt;""),HLOOKUP(L$2+$A722,Sheet2!CA:NE,$B722,0),"")</f>
        <v/>
      </c>
      <c r="M722" t="str">
        <f>IF(OR(HLOOKUP(M$2+$A722,Sheet2!CB:NF,$B722,0),HLOOKUP(M$2+$A722,Sheet2!CB:NF,$B722,0)&lt;&gt;""),HLOOKUP(M$2+$A722,Sheet2!CB:NF,$B722,0),"")</f>
        <v/>
      </c>
    </row>
    <row r="723" spans="1:13" x14ac:dyDescent="0.25">
      <c r="A723" s="68">
        <f t="shared" si="73"/>
        <v>35</v>
      </c>
      <c r="B723" s="68">
        <f t="shared" si="74"/>
        <v>94</v>
      </c>
      <c r="C723" s="68">
        <f t="shared" si="76"/>
        <v>8</v>
      </c>
      <c r="D723" s="68">
        <f t="shared" si="75"/>
        <v>90</v>
      </c>
      <c r="E723" s="68">
        <f t="shared" si="72"/>
        <v>446</v>
      </c>
      <c r="F723" s="21" t="str">
        <f>VLOOKUP(D723,Sheet2!A:B,2)</f>
        <v>J20-1112</v>
      </c>
      <c r="G723" s="68" t="str">
        <f>VLOOKUP(F723,Sheet2!B:C,2,0)</f>
        <v>BST ( Gas Detector additional )</v>
      </c>
      <c r="H723" s="68" t="str">
        <f>HLOOKUP(I$2+$A723,Sheet2!BX:NB,2,0)</f>
        <v>16-30 April 21</v>
      </c>
      <c r="I723" t="str">
        <f>IF(OR(HLOOKUP(I$2+$A723,Sheet2!BX:NB,$B723,0),HLOOKUP(I$2+$A723,Sheet2!BX:NB,$B723,0)&lt;&gt;""),HLOOKUP(I$2+$A723,Sheet2!BX:NB,$B723,0),"")</f>
        <v/>
      </c>
      <c r="J723" t="str">
        <f>IF(OR(HLOOKUP(J$2+$A723,Sheet2!BY:NC,$B723,0),HLOOKUP(J$2+$A723,Sheet2!BY:NC,$B723,0)&lt;&gt;""),HLOOKUP(J$2+$A723,Sheet2!BY:NC,$B723,0),"")</f>
        <v/>
      </c>
      <c r="K723" t="str">
        <f>IF(OR(HLOOKUP(K$2+$A723,Sheet2!BZ:ND,$B723,0),HLOOKUP(K$2+$A723,Sheet2!BZ:ND,$B723,0)&lt;&gt;""),HLOOKUP(K$2+$A723,Sheet2!BZ:ND,$B723,0),"")</f>
        <v/>
      </c>
      <c r="L723" t="str">
        <f>IF(OR(HLOOKUP(L$2+$A723,Sheet2!CA:NE,$B723,0),HLOOKUP(L$2+$A723,Sheet2!CA:NE,$B723,0)&lt;&gt;""),HLOOKUP(L$2+$A723,Sheet2!CA:NE,$B723,0),"")</f>
        <v/>
      </c>
      <c r="M723" t="str">
        <f>IF(OR(HLOOKUP(M$2+$A723,Sheet2!CB:NF,$B723,0),HLOOKUP(M$2+$A723,Sheet2!CB:NF,$B723,0)&lt;&gt;""),HLOOKUP(M$2+$A723,Sheet2!CB:NF,$B723,0),"")</f>
        <v/>
      </c>
    </row>
    <row r="724" spans="1:13" x14ac:dyDescent="0.25">
      <c r="A724" s="68">
        <f t="shared" si="73"/>
        <v>0</v>
      </c>
      <c r="B724" s="68">
        <f t="shared" si="74"/>
        <v>95</v>
      </c>
      <c r="C724" s="68">
        <f t="shared" si="76"/>
        <v>1</v>
      </c>
      <c r="D724" s="68">
        <f t="shared" si="75"/>
        <v>91</v>
      </c>
      <c r="E724" s="68">
        <f t="shared" si="72"/>
        <v>451</v>
      </c>
      <c r="F724" s="21" t="str">
        <f>VLOOKUP(D724,Sheet2!A:B,2)</f>
        <v>J20-0858</v>
      </c>
      <c r="G724" s="68" t="str">
        <f>VLOOKUP(F724,Sheet2!B:C,2,0)</f>
        <v>ไนโตรเคมีอุตสาหกรรม</v>
      </c>
      <c r="H724" s="68" t="str">
        <f>HLOOKUP(I$2+$A724,Sheet2!BX:NB,2,0)</f>
        <v>1-15 Jan 21</v>
      </c>
      <c r="I724" t="str">
        <f>IF(OR(HLOOKUP(I$2+$A724,Sheet2!BX:NB,$B724,0),HLOOKUP(I$2+$A724,Sheet2!BX:NB,$B724,0)&lt;&gt;""),HLOOKUP(I$2+$A724,Sheet2!BX:NB,$B724,0),"")</f>
        <v/>
      </c>
      <c r="J724" t="str">
        <f>IF(OR(HLOOKUP(J$2+$A724,Sheet2!BY:NC,$B724,0),HLOOKUP(J$2+$A724,Sheet2!BY:NC,$B724,0)&lt;&gt;""),HLOOKUP(J$2+$A724,Sheet2!BY:NC,$B724,0),"")</f>
        <v/>
      </c>
      <c r="K724" t="str">
        <f>IF(OR(HLOOKUP(K$2+$A724,Sheet2!BZ:ND,$B724,0),HLOOKUP(K$2+$A724,Sheet2!BZ:ND,$B724,0)&lt;&gt;""),HLOOKUP(K$2+$A724,Sheet2!BZ:ND,$B724,0),"")</f>
        <v/>
      </c>
      <c r="L724" t="str">
        <f>IF(OR(HLOOKUP(L$2+$A724,Sheet2!CA:NE,$B724,0),HLOOKUP(L$2+$A724,Sheet2!CA:NE,$B724,0)&lt;&gt;""),HLOOKUP(L$2+$A724,Sheet2!CA:NE,$B724,0),"")</f>
        <v/>
      </c>
      <c r="M724" t="str">
        <f>IF(OR(HLOOKUP(M$2+$A724,Sheet2!CB:NF,$B724,0),HLOOKUP(M$2+$A724,Sheet2!CB:NF,$B724,0)&lt;&gt;""),HLOOKUP(M$2+$A724,Sheet2!CB:NF,$B724,0),"")</f>
        <v/>
      </c>
    </row>
    <row r="725" spans="1:13" x14ac:dyDescent="0.25">
      <c r="A725" s="68">
        <f t="shared" si="73"/>
        <v>5</v>
      </c>
      <c r="B725" s="68">
        <f t="shared" si="74"/>
        <v>95</v>
      </c>
      <c r="C725" s="68">
        <f t="shared" si="76"/>
        <v>2</v>
      </c>
      <c r="D725" s="68">
        <f t="shared" si="75"/>
        <v>91</v>
      </c>
      <c r="E725" s="68">
        <f t="shared" ref="E725:E788" si="77">IF(D725&lt;&gt;D724,E724+5,E724)</f>
        <v>451</v>
      </c>
      <c r="F725" s="21" t="str">
        <f>VLOOKUP(D725,Sheet2!A:B,2)</f>
        <v>J20-0858</v>
      </c>
      <c r="G725" s="68" t="str">
        <f>VLOOKUP(F725,Sheet2!B:C,2,0)</f>
        <v>ไนโตรเคมีอุตสาหกรรม</v>
      </c>
      <c r="H725" s="68" t="str">
        <f>HLOOKUP(I$2+$A725,Sheet2!BX:NB,2,0)</f>
        <v>16-31 Jan 21</v>
      </c>
      <c r="I725" t="str">
        <f>IF(OR(HLOOKUP(I$2+$A725,Sheet2!BX:NB,$B725,0),HLOOKUP(I$2+$A725,Sheet2!BX:NB,$B725,0)&lt;&gt;""),HLOOKUP(I$2+$A725,Sheet2!BX:NB,$B725,0),"")</f>
        <v/>
      </c>
      <c r="J725" t="str">
        <f>IF(OR(HLOOKUP(J$2+$A725,Sheet2!BY:NC,$B725,0),HLOOKUP(J$2+$A725,Sheet2!BY:NC,$B725,0)&lt;&gt;""),HLOOKUP(J$2+$A725,Sheet2!BY:NC,$B725,0),"")</f>
        <v/>
      </c>
      <c r="K725" t="str">
        <f>IF(OR(HLOOKUP(K$2+$A725,Sheet2!BZ:ND,$B725,0),HLOOKUP(K$2+$A725,Sheet2!BZ:ND,$B725,0)&lt;&gt;""),HLOOKUP(K$2+$A725,Sheet2!BZ:ND,$B725,0),"")</f>
        <v/>
      </c>
      <c r="L725" t="str">
        <f>IF(OR(HLOOKUP(L$2+$A725,Sheet2!CA:NE,$B725,0),HLOOKUP(L$2+$A725,Sheet2!CA:NE,$B725,0)&lt;&gt;""),HLOOKUP(L$2+$A725,Sheet2!CA:NE,$B725,0),"")</f>
        <v/>
      </c>
      <c r="M725" t="str">
        <f>IF(OR(HLOOKUP(M$2+$A725,Sheet2!CB:NF,$B725,0),HLOOKUP(M$2+$A725,Sheet2!CB:NF,$B725,0)&lt;&gt;""),HLOOKUP(M$2+$A725,Sheet2!CB:NF,$B725,0),"")</f>
        <v/>
      </c>
    </row>
    <row r="726" spans="1:13" x14ac:dyDescent="0.25">
      <c r="A726" s="68">
        <f t="shared" si="73"/>
        <v>10</v>
      </c>
      <c r="B726" s="68">
        <f t="shared" si="74"/>
        <v>95</v>
      </c>
      <c r="C726" s="68">
        <f t="shared" si="76"/>
        <v>3</v>
      </c>
      <c r="D726" s="68">
        <f t="shared" si="75"/>
        <v>91</v>
      </c>
      <c r="E726" s="68">
        <f t="shared" si="77"/>
        <v>451</v>
      </c>
      <c r="F726" s="21" t="str">
        <f>VLOOKUP(D726,Sheet2!A:B,2)</f>
        <v>J20-0858</v>
      </c>
      <c r="G726" s="68" t="str">
        <f>VLOOKUP(F726,Sheet2!B:C,2,0)</f>
        <v>ไนโตรเคมีอุตสาหกรรม</v>
      </c>
      <c r="H726" s="68" t="str">
        <f>HLOOKUP(I$2+$A726,Sheet2!BX:NB,2,0)</f>
        <v>1-15 Feb 21</v>
      </c>
      <c r="I726" t="str">
        <f>IF(OR(HLOOKUP(I$2+$A726,Sheet2!BX:NB,$B726,0),HLOOKUP(I$2+$A726,Sheet2!BX:NB,$B726,0)&lt;&gt;""),HLOOKUP(I$2+$A726,Sheet2!BX:NB,$B726,0),"")</f>
        <v/>
      </c>
      <c r="J726" t="str">
        <f>IF(OR(HLOOKUP(J$2+$A726,Sheet2!BY:NC,$B726,0),HLOOKUP(J$2+$A726,Sheet2!BY:NC,$B726,0)&lt;&gt;""),HLOOKUP(J$2+$A726,Sheet2!BY:NC,$B726,0),"")</f>
        <v/>
      </c>
      <c r="K726" t="str">
        <f>IF(OR(HLOOKUP(K$2+$A726,Sheet2!BZ:ND,$B726,0),HLOOKUP(K$2+$A726,Sheet2!BZ:ND,$B726,0)&lt;&gt;""),HLOOKUP(K$2+$A726,Sheet2!BZ:ND,$B726,0),"")</f>
        <v/>
      </c>
      <c r="L726" t="str">
        <f>IF(OR(HLOOKUP(L$2+$A726,Sheet2!CA:NE,$B726,0),HLOOKUP(L$2+$A726,Sheet2!CA:NE,$B726,0)&lt;&gt;""),HLOOKUP(L$2+$A726,Sheet2!CA:NE,$B726,0),"")</f>
        <v/>
      </c>
      <c r="M726" t="str">
        <f>IF(OR(HLOOKUP(M$2+$A726,Sheet2!CB:NF,$B726,0),HLOOKUP(M$2+$A726,Sheet2!CB:NF,$B726,0)&lt;&gt;""),HLOOKUP(M$2+$A726,Sheet2!CB:NF,$B726,0),"")</f>
        <v/>
      </c>
    </row>
    <row r="727" spans="1:13" x14ac:dyDescent="0.25">
      <c r="A727" s="68">
        <f t="shared" si="73"/>
        <v>15</v>
      </c>
      <c r="B727" s="68">
        <f t="shared" si="74"/>
        <v>95</v>
      </c>
      <c r="C727" s="68">
        <f t="shared" si="76"/>
        <v>4</v>
      </c>
      <c r="D727" s="68">
        <f t="shared" si="75"/>
        <v>91</v>
      </c>
      <c r="E727" s="68">
        <f t="shared" si="77"/>
        <v>451</v>
      </c>
      <c r="F727" s="21" t="str">
        <f>VLOOKUP(D727,Sheet2!A:B,2)</f>
        <v>J20-0858</v>
      </c>
      <c r="G727" s="68" t="str">
        <f>VLOOKUP(F727,Sheet2!B:C,2,0)</f>
        <v>ไนโตรเคมีอุตสาหกรรม</v>
      </c>
      <c r="H727" s="68" t="str">
        <f>HLOOKUP(I$2+$A727,Sheet2!BX:NB,2,0)</f>
        <v>16-28 Feb 21</v>
      </c>
      <c r="I727">
        <f>IF(OR(HLOOKUP(I$2+$A727,Sheet2!BX:NB,$B727,0),HLOOKUP(I$2+$A727,Sheet2!BX:NB,$B727,0)&lt;&gt;""),HLOOKUP(I$2+$A727,Sheet2!BX:NB,$B727,0),"")</f>
        <v>16520</v>
      </c>
      <c r="J727">
        <f>IF(OR(HLOOKUP(J$2+$A727,Sheet2!BY:NC,$B727,0),HLOOKUP(J$2+$A727,Sheet2!BY:NC,$B727,0)&lt;&gt;""),HLOOKUP(J$2+$A727,Sheet2!BY:NC,$B727,0),"")</f>
        <v>7526</v>
      </c>
      <c r="K727" t="str">
        <f>IF(OR(HLOOKUP(K$2+$A727,Sheet2!BZ:ND,$B727,0),HLOOKUP(K$2+$A727,Sheet2!BZ:ND,$B727,0)&lt;&gt;""),HLOOKUP(K$2+$A727,Sheet2!BZ:ND,$B727,0),"")</f>
        <v/>
      </c>
      <c r="L727" t="str">
        <f>IF(OR(HLOOKUP(L$2+$A727,Sheet2!CA:NE,$B727,0),HLOOKUP(L$2+$A727,Sheet2!CA:NE,$B727,0)&lt;&gt;""),HLOOKUP(L$2+$A727,Sheet2!CA:NE,$B727,0),"")</f>
        <v/>
      </c>
      <c r="M727" t="str">
        <f>IF(OR(HLOOKUP(M$2+$A727,Sheet2!CB:NF,$B727,0),HLOOKUP(M$2+$A727,Sheet2!CB:NF,$B727,0)&lt;&gt;""),HLOOKUP(M$2+$A727,Sheet2!CB:NF,$B727,0),"")</f>
        <v/>
      </c>
    </row>
    <row r="728" spans="1:13" x14ac:dyDescent="0.25">
      <c r="A728" s="68">
        <f t="shared" si="73"/>
        <v>20</v>
      </c>
      <c r="B728" s="68">
        <f t="shared" si="74"/>
        <v>95</v>
      </c>
      <c r="C728" s="68">
        <f t="shared" si="76"/>
        <v>5</v>
      </c>
      <c r="D728" s="68">
        <f t="shared" si="75"/>
        <v>91</v>
      </c>
      <c r="E728" s="68">
        <f t="shared" si="77"/>
        <v>451</v>
      </c>
      <c r="F728" s="21" t="str">
        <f>VLOOKUP(D728,Sheet2!A:B,2)</f>
        <v>J20-0858</v>
      </c>
      <c r="G728" s="68" t="str">
        <f>VLOOKUP(F728,Sheet2!B:C,2,0)</f>
        <v>ไนโตรเคมีอุตสาหกรรม</v>
      </c>
      <c r="H728" s="68" t="str">
        <f>HLOOKUP(I$2+$A728,Sheet2!BX:NB,2,0)</f>
        <v>1-15 Mar 2021</v>
      </c>
      <c r="I728">
        <f>IF(OR(HLOOKUP(I$2+$A728,Sheet2!BX:NB,$B728,0),HLOOKUP(I$2+$A728,Sheet2!BX:NB,$B728,0)&lt;&gt;""),HLOOKUP(I$2+$A728,Sheet2!BX:NB,$B728,0),"")</f>
        <v>14780</v>
      </c>
      <c r="J728">
        <f>IF(OR(HLOOKUP(J$2+$A728,Sheet2!BY:NC,$B728,0),HLOOKUP(J$2+$A728,Sheet2!BY:NC,$B728,0)&lt;&gt;""),HLOOKUP(J$2+$A728,Sheet2!BY:NC,$B728,0),"")</f>
        <v>2770</v>
      </c>
      <c r="K728" t="str">
        <f>IF(OR(HLOOKUP(K$2+$A728,Sheet2!BZ:ND,$B728,0),HLOOKUP(K$2+$A728,Sheet2!BZ:ND,$B728,0)&lt;&gt;""),HLOOKUP(K$2+$A728,Sheet2!BZ:ND,$B728,0),"")</f>
        <v/>
      </c>
      <c r="L728" t="str">
        <f>IF(OR(HLOOKUP(L$2+$A728,Sheet2!CA:NE,$B728,0),HLOOKUP(L$2+$A728,Sheet2!CA:NE,$B728,0)&lt;&gt;""),HLOOKUP(L$2+$A728,Sheet2!CA:NE,$B728,0),"")</f>
        <v/>
      </c>
      <c r="M728" t="str">
        <f>IF(OR(HLOOKUP(M$2+$A728,Sheet2!CB:NF,$B728,0),HLOOKUP(M$2+$A728,Sheet2!CB:NF,$B728,0)&lt;&gt;""),HLOOKUP(M$2+$A728,Sheet2!CB:NF,$B728,0),"")</f>
        <v/>
      </c>
    </row>
    <row r="729" spans="1:13" x14ac:dyDescent="0.25">
      <c r="A729" s="68">
        <f t="shared" si="73"/>
        <v>25</v>
      </c>
      <c r="B729" s="68">
        <f t="shared" si="74"/>
        <v>95</v>
      </c>
      <c r="C729" s="68">
        <f t="shared" si="76"/>
        <v>6</v>
      </c>
      <c r="D729" s="68">
        <f t="shared" si="75"/>
        <v>91</v>
      </c>
      <c r="E729" s="68">
        <f t="shared" si="77"/>
        <v>451</v>
      </c>
      <c r="F729" s="21" t="str">
        <f>VLOOKUP(D729,Sheet2!A:B,2)</f>
        <v>J20-0858</v>
      </c>
      <c r="G729" s="68" t="str">
        <f>VLOOKUP(F729,Sheet2!B:C,2,0)</f>
        <v>ไนโตรเคมีอุตสาหกรรม</v>
      </c>
      <c r="H729" s="68" t="str">
        <f>HLOOKUP(I$2+$A729,Sheet2!BX:NB,2,0)</f>
        <v>16-31 Mar 21</v>
      </c>
      <c r="I729" t="str">
        <f>IF(OR(HLOOKUP(I$2+$A729,Sheet2!BX:NB,$B729,0),HLOOKUP(I$2+$A729,Sheet2!BX:NB,$B729,0)&lt;&gt;""),HLOOKUP(I$2+$A729,Sheet2!BX:NB,$B729,0),"")</f>
        <v/>
      </c>
      <c r="J729" t="str">
        <f>IF(OR(HLOOKUP(J$2+$A729,Sheet2!BY:NC,$B729,0),HLOOKUP(J$2+$A729,Sheet2!BY:NC,$B729,0)&lt;&gt;""),HLOOKUP(J$2+$A729,Sheet2!BY:NC,$B729,0),"")</f>
        <v/>
      </c>
      <c r="K729" t="str">
        <f>IF(OR(HLOOKUP(K$2+$A729,Sheet2!BZ:ND,$B729,0),HLOOKUP(K$2+$A729,Sheet2!BZ:ND,$B729,0)&lt;&gt;""),HLOOKUP(K$2+$A729,Sheet2!BZ:ND,$B729,0),"")</f>
        <v/>
      </c>
      <c r="L729" t="str">
        <f>IF(OR(HLOOKUP(L$2+$A729,Sheet2!CA:NE,$B729,0),HLOOKUP(L$2+$A729,Sheet2!CA:NE,$B729,0)&lt;&gt;""),HLOOKUP(L$2+$A729,Sheet2!CA:NE,$B729,0),"")</f>
        <v/>
      </c>
      <c r="M729" t="str">
        <f>IF(OR(HLOOKUP(M$2+$A729,Sheet2!CB:NF,$B729,0),HLOOKUP(M$2+$A729,Sheet2!CB:NF,$B729,0)&lt;&gt;""),HLOOKUP(M$2+$A729,Sheet2!CB:NF,$B729,0),"")</f>
        <v/>
      </c>
    </row>
    <row r="730" spans="1:13" x14ac:dyDescent="0.25">
      <c r="A730" s="68">
        <f t="shared" si="73"/>
        <v>30</v>
      </c>
      <c r="B730" s="68">
        <f t="shared" si="74"/>
        <v>95</v>
      </c>
      <c r="C730" s="68">
        <f t="shared" si="76"/>
        <v>7</v>
      </c>
      <c r="D730" s="68">
        <f t="shared" si="75"/>
        <v>91</v>
      </c>
      <c r="E730" s="68">
        <f t="shared" si="77"/>
        <v>451</v>
      </c>
      <c r="F730" s="21" t="str">
        <f>VLOOKUP(D730,Sheet2!A:B,2)</f>
        <v>J20-0858</v>
      </c>
      <c r="G730" s="68" t="str">
        <f>VLOOKUP(F730,Sheet2!B:C,2,0)</f>
        <v>ไนโตรเคมีอุตสาหกรรม</v>
      </c>
      <c r="H730" s="68" t="str">
        <f>HLOOKUP(I$2+$A730,Sheet2!BX:NB,2,0)</f>
        <v>1-15 April 21</v>
      </c>
      <c r="I730" t="str">
        <f>IF(OR(HLOOKUP(I$2+$A730,Sheet2!BX:NB,$B730,0),HLOOKUP(I$2+$A730,Sheet2!BX:NB,$B730,0)&lt;&gt;""),HLOOKUP(I$2+$A730,Sheet2!BX:NB,$B730,0),"")</f>
        <v/>
      </c>
      <c r="J730" t="str">
        <f>IF(OR(HLOOKUP(J$2+$A730,Sheet2!BY:NC,$B730,0),HLOOKUP(J$2+$A730,Sheet2!BY:NC,$B730,0)&lt;&gt;""),HLOOKUP(J$2+$A730,Sheet2!BY:NC,$B730,0),"")</f>
        <v/>
      </c>
      <c r="K730" t="str">
        <f>IF(OR(HLOOKUP(K$2+$A730,Sheet2!BZ:ND,$B730,0),HLOOKUP(K$2+$A730,Sheet2!BZ:ND,$B730,0)&lt;&gt;""),HLOOKUP(K$2+$A730,Sheet2!BZ:ND,$B730,0),"")</f>
        <v/>
      </c>
      <c r="L730" t="str">
        <f>IF(OR(HLOOKUP(L$2+$A730,Sheet2!CA:NE,$B730,0),HLOOKUP(L$2+$A730,Sheet2!CA:NE,$B730,0)&lt;&gt;""),HLOOKUP(L$2+$A730,Sheet2!CA:NE,$B730,0),"")</f>
        <v/>
      </c>
      <c r="M730" t="str">
        <f>IF(OR(HLOOKUP(M$2+$A730,Sheet2!CB:NF,$B730,0),HLOOKUP(M$2+$A730,Sheet2!CB:NF,$B730,0)&lt;&gt;""),HLOOKUP(M$2+$A730,Sheet2!CB:NF,$B730,0),"")</f>
        <v/>
      </c>
    </row>
    <row r="731" spans="1:13" x14ac:dyDescent="0.25">
      <c r="A731" s="68">
        <f t="shared" si="73"/>
        <v>35</v>
      </c>
      <c r="B731" s="68">
        <f t="shared" si="74"/>
        <v>95</v>
      </c>
      <c r="C731" s="68">
        <f t="shared" si="76"/>
        <v>8</v>
      </c>
      <c r="D731" s="68">
        <f t="shared" si="75"/>
        <v>91</v>
      </c>
      <c r="E731" s="68">
        <f t="shared" si="77"/>
        <v>451</v>
      </c>
      <c r="F731" s="21" t="str">
        <f>VLOOKUP(D731,Sheet2!A:B,2)</f>
        <v>J20-0858</v>
      </c>
      <c r="G731" s="68" t="str">
        <f>VLOOKUP(F731,Sheet2!B:C,2,0)</f>
        <v>ไนโตรเคมีอุตสาหกรรม</v>
      </c>
      <c r="H731" s="68" t="str">
        <f>HLOOKUP(I$2+$A731,Sheet2!BX:NB,2,0)</f>
        <v>16-30 April 21</v>
      </c>
      <c r="I731" t="str">
        <f>IF(OR(HLOOKUP(I$2+$A731,Sheet2!BX:NB,$B731,0),HLOOKUP(I$2+$A731,Sheet2!BX:NB,$B731,0)&lt;&gt;""),HLOOKUP(I$2+$A731,Sheet2!BX:NB,$B731,0),"")</f>
        <v/>
      </c>
      <c r="J731" t="str">
        <f>IF(OR(HLOOKUP(J$2+$A731,Sheet2!BY:NC,$B731,0),HLOOKUP(J$2+$A731,Sheet2!BY:NC,$B731,0)&lt;&gt;""),HLOOKUP(J$2+$A731,Sheet2!BY:NC,$B731,0),"")</f>
        <v/>
      </c>
      <c r="K731" t="str">
        <f>IF(OR(HLOOKUP(K$2+$A731,Sheet2!BZ:ND,$B731,0),HLOOKUP(K$2+$A731,Sheet2!BZ:ND,$B731,0)&lt;&gt;""),HLOOKUP(K$2+$A731,Sheet2!BZ:ND,$B731,0),"")</f>
        <v/>
      </c>
      <c r="L731" t="str">
        <f>IF(OR(HLOOKUP(L$2+$A731,Sheet2!CA:NE,$B731,0),HLOOKUP(L$2+$A731,Sheet2!CA:NE,$B731,0)&lt;&gt;""),HLOOKUP(L$2+$A731,Sheet2!CA:NE,$B731,0),"")</f>
        <v/>
      </c>
      <c r="M731" t="str">
        <f>IF(OR(HLOOKUP(M$2+$A731,Sheet2!CB:NF,$B731,0),HLOOKUP(M$2+$A731,Sheet2!CB:NF,$B731,0)&lt;&gt;""),HLOOKUP(M$2+$A731,Sheet2!CB:NF,$B731,0),"")</f>
        <v/>
      </c>
    </row>
    <row r="732" spans="1:13" x14ac:dyDescent="0.25">
      <c r="A732" s="68">
        <f t="shared" si="73"/>
        <v>0</v>
      </c>
      <c r="B732" s="68">
        <f t="shared" si="74"/>
        <v>96</v>
      </c>
      <c r="C732" s="68">
        <f t="shared" si="76"/>
        <v>1</v>
      </c>
      <c r="D732" s="68">
        <f t="shared" si="75"/>
        <v>92</v>
      </c>
      <c r="E732" s="68">
        <f t="shared" si="77"/>
        <v>456</v>
      </c>
      <c r="F732" s="21" t="str">
        <f>VLOOKUP(D732,Sheet2!A:B,2)</f>
        <v>J20-0751</v>
      </c>
      <c r="G732" s="68" t="str">
        <f>VLOOKUP(F732,Sheet2!B:C,2,0)</f>
        <v>แอร์ ลิควิด</v>
      </c>
      <c r="H732" s="68" t="str">
        <f>HLOOKUP(I$2+$A732,Sheet2!BX:NB,2,0)</f>
        <v>1-15 Jan 21</v>
      </c>
      <c r="I732" t="str">
        <f>IF(OR(HLOOKUP(I$2+$A732,Sheet2!BX:NB,$B732,0),HLOOKUP(I$2+$A732,Sheet2!BX:NB,$B732,0)&lt;&gt;""),HLOOKUP(I$2+$A732,Sheet2!BX:NB,$B732,0),"")</f>
        <v/>
      </c>
      <c r="J732" t="str">
        <f>IF(OR(HLOOKUP(J$2+$A732,Sheet2!BY:NC,$B732,0),HLOOKUP(J$2+$A732,Sheet2!BY:NC,$B732,0)&lt;&gt;""),HLOOKUP(J$2+$A732,Sheet2!BY:NC,$B732,0),"")</f>
        <v/>
      </c>
      <c r="K732" t="str">
        <f>IF(OR(HLOOKUP(K$2+$A732,Sheet2!BZ:ND,$B732,0),HLOOKUP(K$2+$A732,Sheet2!BZ:ND,$B732,0)&lt;&gt;""),HLOOKUP(K$2+$A732,Sheet2!BZ:ND,$B732,0),"")</f>
        <v/>
      </c>
      <c r="L732" t="str">
        <f>IF(OR(HLOOKUP(L$2+$A732,Sheet2!CA:NE,$B732,0),HLOOKUP(L$2+$A732,Sheet2!CA:NE,$B732,0)&lt;&gt;""),HLOOKUP(L$2+$A732,Sheet2!CA:NE,$B732,0),"")</f>
        <v/>
      </c>
      <c r="M732" t="str">
        <f>IF(OR(HLOOKUP(M$2+$A732,Sheet2!CB:NF,$B732,0),HLOOKUP(M$2+$A732,Sheet2!CB:NF,$B732,0)&lt;&gt;""),HLOOKUP(M$2+$A732,Sheet2!CB:NF,$B732,0),"")</f>
        <v/>
      </c>
    </row>
    <row r="733" spans="1:13" x14ac:dyDescent="0.25">
      <c r="A733" s="68">
        <f t="shared" si="73"/>
        <v>5</v>
      </c>
      <c r="B733" s="68">
        <f t="shared" si="74"/>
        <v>96</v>
      </c>
      <c r="C733" s="68">
        <f t="shared" si="76"/>
        <v>2</v>
      </c>
      <c r="D733" s="68">
        <f t="shared" si="75"/>
        <v>92</v>
      </c>
      <c r="E733" s="68">
        <f t="shared" si="77"/>
        <v>456</v>
      </c>
      <c r="F733" s="21" t="str">
        <f>VLOOKUP(D733,Sheet2!A:B,2)</f>
        <v>J20-0751</v>
      </c>
      <c r="G733" s="68" t="str">
        <f>VLOOKUP(F733,Sheet2!B:C,2,0)</f>
        <v>แอร์ ลิควิด</v>
      </c>
      <c r="H733" s="68" t="str">
        <f>HLOOKUP(I$2+$A733,Sheet2!BX:NB,2,0)</f>
        <v>16-31 Jan 21</v>
      </c>
      <c r="I733" t="str">
        <f>IF(OR(HLOOKUP(I$2+$A733,Sheet2!BX:NB,$B733,0),HLOOKUP(I$2+$A733,Sheet2!BX:NB,$B733,0)&lt;&gt;""),HLOOKUP(I$2+$A733,Sheet2!BX:NB,$B733,0),"")</f>
        <v/>
      </c>
      <c r="J733" t="str">
        <f>IF(OR(HLOOKUP(J$2+$A733,Sheet2!BY:NC,$B733,0),HLOOKUP(J$2+$A733,Sheet2!BY:NC,$B733,0)&lt;&gt;""),HLOOKUP(J$2+$A733,Sheet2!BY:NC,$B733,0),"")</f>
        <v/>
      </c>
      <c r="K733" t="str">
        <f>IF(OR(HLOOKUP(K$2+$A733,Sheet2!BZ:ND,$B733,0),HLOOKUP(K$2+$A733,Sheet2!BZ:ND,$B733,0)&lt;&gt;""),HLOOKUP(K$2+$A733,Sheet2!BZ:ND,$B733,0),"")</f>
        <v/>
      </c>
      <c r="L733" t="str">
        <f>IF(OR(HLOOKUP(L$2+$A733,Sheet2!CA:NE,$B733,0),HLOOKUP(L$2+$A733,Sheet2!CA:NE,$B733,0)&lt;&gt;""),HLOOKUP(L$2+$A733,Sheet2!CA:NE,$B733,0),"")</f>
        <v/>
      </c>
      <c r="M733" t="str">
        <f>IF(OR(HLOOKUP(M$2+$A733,Sheet2!CB:NF,$B733,0),HLOOKUP(M$2+$A733,Sheet2!CB:NF,$B733,0)&lt;&gt;""),HLOOKUP(M$2+$A733,Sheet2!CB:NF,$B733,0),"")</f>
        <v/>
      </c>
    </row>
    <row r="734" spans="1:13" x14ac:dyDescent="0.25">
      <c r="A734" s="68">
        <f t="shared" si="73"/>
        <v>10</v>
      </c>
      <c r="B734" s="68">
        <f t="shared" si="74"/>
        <v>96</v>
      </c>
      <c r="C734" s="68">
        <f t="shared" si="76"/>
        <v>3</v>
      </c>
      <c r="D734" s="68">
        <f t="shared" si="75"/>
        <v>92</v>
      </c>
      <c r="E734" s="68">
        <f t="shared" si="77"/>
        <v>456</v>
      </c>
      <c r="F734" s="21" t="str">
        <f>VLOOKUP(D734,Sheet2!A:B,2)</f>
        <v>J20-0751</v>
      </c>
      <c r="G734" s="68" t="str">
        <f>VLOOKUP(F734,Sheet2!B:C,2,0)</f>
        <v>แอร์ ลิควิด</v>
      </c>
      <c r="H734" s="68" t="str">
        <f>HLOOKUP(I$2+$A734,Sheet2!BX:NB,2,0)</f>
        <v>1-15 Feb 21</v>
      </c>
      <c r="I734" t="str">
        <f>IF(OR(HLOOKUP(I$2+$A734,Sheet2!BX:NB,$B734,0),HLOOKUP(I$2+$A734,Sheet2!BX:NB,$B734,0)&lt;&gt;""),HLOOKUP(I$2+$A734,Sheet2!BX:NB,$B734,0),"")</f>
        <v/>
      </c>
      <c r="J734" t="str">
        <f>IF(OR(HLOOKUP(J$2+$A734,Sheet2!BY:NC,$B734,0),HLOOKUP(J$2+$A734,Sheet2!BY:NC,$B734,0)&lt;&gt;""),HLOOKUP(J$2+$A734,Sheet2!BY:NC,$B734,0),"")</f>
        <v/>
      </c>
      <c r="K734" t="str">
        <f>IF(OR(HLOOKUP(K$2+$A734,Sheet2!BZ:ND,$B734,0),HLOOKUP(K$2+$A734,Sheet2!BZ:ND,$B734,0)&lt;&gt;""),HLOOKUP(K$2+$A734,Sheet2!BZ:ND,$B734,0),"")</f>
        <v/>
      </c>
      <c r="L734" t="str">
        <f>IF(OR(HLOOKUP(L$2+$A734,Sheet2!CA:NE,$B734,0),HLOOKUP(L$2+$A734,Sheet2!CA:NE,$B734,0)&lt;&gt;""),HLOOKUP(L$2+$A734,Sheet2!CA:NE,$B734,0),"")</f>
        <v/>
      </c>
      <c r="M734" t="str">
        <f>IF(OR(HLOOKUP(M$2+$A734,Sheet2!CB:NF,$B734,0),HLOOKUP(M$2+$A734,Sheet2!CB:NF,$B734,0)&lt;&gt;""),HLOOKUP(M$2+$A734,Sheet2!CB:NF,$B734,0),"")</f>
        <v/>
      </c>
    </row>
    <row r="735" spans="1:13" x14ac:dyDescent="0.25">
      <c r="A735" s="68">
        <f t="shared" si="73"/>
        <v>15</v>
      </c>
      <c r="B735" s="68">
        <f t="shared" si="74"/>
        <v>96</v>
      </c>
      <c r="C735" s="68">
        <f t="shared" si="76"/>
        <v>4</v>
      </c>
      <c r="D735" s="68">
        <f t="shared" si="75"/>
        <v>92</v>
      </c>
      <c r="E735" s="68">
        <f t="shared" si="77"/>
        <v>456</v>
      </c>
      <c r="F735" s="21" t="str">
        <f>VLOOKUP(D735,Sheet2!A:B,2)</f>
        <v>J20-0751</v>
      </c>
      <c r="G735" s="68" t="str">
        <f>VLOOKUP(F735,Sheet2!B:C,2,0)</f>
        <v>แอร์ ลิควิด</v>
      </c>
      <c r="H735" s="68" t="str">
        <f>HLOOKUP(I$2+$A735,Sheet2!BX:NB,2,0)</f>
        <v>16-28 Feb 21</v>
      </c>
      <c r="I735" t="str">
        <f>IF(OR(HLOOKUP(I$2+$A735,Sheet2!BX:NB,$B735,0),HLOOKUP(I$2+$A735,Sheet2!BX:NB,$B735,0)&lt;&gt;""),HLOOKUP(I$2+$A735,Sheet2!BX:NB,$B735,0),"")</f>
        <v/>
      </c>
      <c r="J735" t="str">
        <f>IF(OR(HLOOKUP(J$2+$A735,Sheet2!BY:NC,$B735,0),HLOOKUP(J$2+$A735,Sheet2!BY:NC,$B735,0)&lt;&gt;""),HLOOKUP(J$2+$A735,Sheet2!BY:NC,$B735,0),"")</f>
        <v/>
      </c>
      <c r="K735" t="str">
        <f>IF(OR(HLOOKUP(K$2+$A735,Sheet2!BZ:ND,$B735,0),HLOOKUP(K$2+$A735,Sheet2!BZ:ND,$B735,0)&lt;&gt;""),HLOOKUP(K$2+$A735,Sheet2!BZ:ND,$B735,0),"")</f>
        <v/>
      </c>
      <c r="L735" t="str">
        <f>IF(OR(HLOOKUP(L$2+$A735,Sheet2!CA:NE,$B735,0),HLOOKUP(L$2+$A735,Sheet2!CA:NE,$B735,0)&lt;&gt;""),HLOOKUP(L$2+$A735,Sheet2!CA:NE,$B735,0),"")</f>
        <v/>
      </c>
      <c r="M735" t="str">
        <f>IF(OR(HLOOKUP(M$2+$A735,Sheet2!CB:NF,$B735,0),HLOOKUP(M$2+$A735,Sheet2!CB:NF,$B735,0)&lt;&gt;""),HLOOKUP(M$2+$A735,Sheet2!CB:NF,$B735,0),"")</f>
        <v/>
      </c>
    </row>
    <row r="736" spans="1:13" x14ac:dyDescent="0.25">
      <c r="A736" s="68">
        <f t="shared" si="73"/>
        <v>20</v>
      </c>
      <c r="B736" s="68">
        <f t="shared" si="74"/>
        <v>96</v>
      </c>
      <c r="C736" s="68">
        <f t="shared" si="76"/>
        <v>5</v>
      </c>
      <c r="D736" s="68">
        <f t="shared" si="75"/>
        <v>92</v>
      </c>
      <c r="E736" s="68">
        <f t="shared" si="77"/>
        <v>456</v>
      </c>
      <c r="F736" s="21" t="str">
        <f>VLOOKUP(D736,Sheet2!A:B,2)</f>
        <v>J20-0751</v>
      </c>
      <c r="G736" s="68" t="str">
        <f>VLOOKUP(F736,Sheet2!B:C,2,0)</f>
        <v>แอร์ ลิควิด</v>
      </c>
      <c r="H736" s="68" t="str">
        <f>HLOOKUP(I$2+$A736,Sheet2!BX:NB,2,0)</f>
        <v>1-15 Mar 2021</v>
      </c>
      <c r="I736" t="str">
        <f>IF(OR(HLOOKUP(I$2+$A736,Sheet2!BX:NB,$B736,0),HLOOKUP(I$2+$A736,Sheet2!BX:NB,$B736,0)&lt;&gt;""),HLOOKUP(I$2+$A736,Sheet2!BX:NB,$B736,0),"")</f>
        <v/>
      </c>
      <c r="J736" t="str">
        <f>IF(OR(HLOOKUP(J$2+$A736,Sheet2!BY:NC,$B736,0),HLOOKUP(J$2+$A736,Sheet2!BY:NC,$B736,0)&lt;&gt;""),HLOOKUP(J$2+$A736,Sheet2!BY:NC,$B736,0),"")</f>
        <v/>
      </c>
      <c r="K736" t="str">
        <f>IF(OR(HLOOKUP(K$2+$A736,Sheet2!BZ:ND,$B736,0),HLOOKUP(K$2+$A736,Sheet2!BZ:ND,$B736,0)&lt;&gt;""),HLOOKUP(K$2+$A736,Sheet2!BZ:ND,$B736,0),"")</f>
        <v/>
      </c>
      <c r="L736" t="str">
        <f>IF(OR(HLOOKUP(L$2+$A736,Sheet2!CA:NE,$B736,0),HLOOKUP(L$2+$A736,Sheet2!CA:NE,$B736,0)&lt;&gt;""),HLOOKUP(L$2+$A736,Sheet2!CA:NE,$B736,0),"")</f>
        <v/>
      </c>
      <c r="M736" t="str">
        <f>IF(OR(HLOOKUP(M$2+$A736,Sheet2!CB:NF,$B736,0),HLOOKUP(M$2+$A736,Sheet2!CB:NF,$B736,0)&lt;&gt;""),HLOOKUP(M$2+$A736,Sheet2!CB:NF,$B736,0),"")</f>
        <v/>
      </c>
    </row>
    <row r="737" spans="1:13" x14ac:dyDescent="0.25">
      <c r="A737" s="68">
        <f t="shared" si="73"/>
        <v>25</v>
      </c>
      <c r="B737" s="68">
        <f t="shared" si="74"/>
        <v>96</v>
      </c>
      <c r="C737" s="68">
        <f t="shared" si="76"/>
        <v>6</v>
      </c>
      <c r="D737" s="68">
        <f t="shared" si="75"/>
        <v>92</v>
      </c>
      <c r="E737" s="68">
        <f t="shared" si="77"/>
        <v>456</v>
      </c>
      <c r="F737" s="21" t="str">
        <f>VLOOKUP(D737,Sheet2!A:B,2)</f>
        <v>J20-0751</v>
      </c>
      <c r="G737" s="68" t="str">
        <f>VLOOKUP(F737,Sheet2!B:C,2,0)</f>
        <v>แอร์ ลิควิด</v>
      </c>
      <c r="H737" s="68" t="str">
        <f>HLOOKUP(I$2+$A737,Sheet2!BX:NB,2,0)</f>
        <v>16-31 Mar 21</v>
      </c>
      <c r="I737" t="str">
        <f>IF(OR(HLOOKUP(I$2+$A737,Sheet2!BX:NB,$B737,0),HLOOKUP(I$2+$A737,Sheet2!BX:NB,$B737,0)&lt;&gt;""),HLOOKUP(I$2+$A737,Sheet2!BX:NB,$B737,0),"")</f>
        <v/>
      </c>
      <c r="J737" t="str">
        <f>IF(OR(HLOOKUP(J$2+$A737,Sheet2!BY:NC,$B737,0),HLOOKUP(J$2+$A737,Sheet2!BY:NC,$B737,0)&lt;&gt;""),HLOOKUP(J$2+$A737,Sheet2!BY:NC,$B737,0),"")</f>
        <v/>
      </c>
      <c r="K737" t="str">
        <f>IF(OR(HLOOKUP(K$2+$A737,Sheet2!BZ:ND,$B737,0),HLOOKUP(K$2+$A737,Sheet2!BZ:ND,$B737,0)&lt;&gt;""),HLOOKUP(K$2+$A737,Sheet2!BZ:ND,$B737,0),"")</f>
        <v/>
      </c>
      <c r="L737" t="str">
        <f>IF(OR(HLOOKUP(L$2+$A737,Sheet2!CA:NE,$B737,0),HLOOKUP(L$2+$A737,Sheet2!CA:NE,$B737,0)&lt;&gt;""),HLOOKUP(L$2+$A737,Sheet2!CA:NE,$B737,0),"")</f>
        <v/>
      </c>
      <c r="M737" t="str">
        <f>IF(OR(HLOOKUP(M$2+$A737,Sheet2!CB:NF,$B737,0),HLOOKUP(M$2+$A737,Sheet2!CB:NF,$B737,0)&lt;&gt;""),HLOOKUP(M$2+$A737,Sheet2!CB:NF,$B737,0),"")</f>
        <v/>
      </c>
    </row>
    <row r="738" spans="1:13" x14ac:dyDescent="0.25">
      <c r="A738" s="68">
        <f t="shared" si="73"/>
        <v>30</v>
      </c>
      <c r="B738" s="68">
        <f t="shared" si="74"/>
        <v>96</v>
      </c>
      <c r="C738" s="68">
        <f t="shared" si="76"/>
        <v>7</v>
      </c>
      <c r="D738" s="68">
        <f t="shared" si="75"/>
        <v>92</v>
      </c>
      <c r="E738" s="68">
        <f t="shared" si="77"/>
        <v>456</v>
      </c>
      <c r="F738" s="21" t="str">
        <f>VLOOKUP(D738,Sheet2!A:B,2)</f>
        <v>J20-0751</v>
      </c>
      <c r="G738" s="68" t="str">
        <f>VLOOKUP(F738,Sheet2!B:C,2,0)</f>
        <v>แอร์ ลิควิด</v>
      </c>
      <c r="H738" s="68" t="str">
        <f>HLOOKUP(I$2+$A738,Sheet2!BX:NB,2,0)</f>
        <v>1-15 April 21</v>
      </c>
      <c r="I738" t="str">
        <f>IF(OR(HLOOKUP(I$2+$A738,Sheet2!BX:NB,$B738,0),HLOOKUP(I$2+$A738,Sheet2!BX:NB,$B738,0)&lt;&gt;""),HLOOKUP(I$2+$A738,Sheet2!BX:NB,$B738,0),"")</f>
        <v/>
      </c>
      <c r="J738" t="str">
        <f>IF(OR(HLOOKUP(J$2+$A738,Sheet2!BY:NC,$B738,0),HLOOKUP(J$2+$A738,Sheet2!BY:NC,$B738,0)&lt;&gt;""),HLOOKUP(J$2+$A738,Sheet2!BY:NC,$B738,0),"")</f>
        <v/>
      </c>
      <c r="K738" t="str">
        <f>IF(OR(HLOOKUP(K$2+$A738,Sheet2!BZ:ND,$B738,0),HLOOKUP(K$2+$A738,Sheet2!BZ:ND,$B738,0)&lt;&gt;""),HLOOKUP(K$2+$A738,Sheet2!BZ:ND,$B738,0),"")</f>
        <v/>
      </c>
      <c r="L738" t="str">
        <f>IF(OR(HLOOKUP(L$2+$A738,Sheet2!CA:NE,$B738,0),HLOOKUP(L$2+$A738,Sheet2!CA:NE,$B738,0)&lt;&gt;""),HLOOKUP(L$2+$A738,Sheet2!CA:NE,$B738,0),"")</f>
        <v/>
      </c>
      <c r="M738" t="str">
        <f>IF(OR(HLOOKUP(M$2+$A738,Sheet2!CB:NF,$B738,0),HLOOKUP(M$2+$A738,Sheet2!CB:NF,$B738,0)&lt;&gt;""),HLOOKUP(M$2+$A738,Sheet2!CB:NF,$B738,0),"")</f>
        <v/>
      </c>
    </row>
    <row r="739" spans="1:13" x14ac:dyDescent="0.25">
      <c r="A739" s="68">
        <f t="shared" si="73"/>
        <v>35</v>
      </c>
      <c r="B739" s="68">
        <f t="shared" si="74"/>
        <v>96</v>
      </c>
      <c r="C739" s="68">
        <f t="shared" si="76"/>
        <v>8</v>
      </c>
      <c r="D739" s="68">
        <f t="shared" si="75"/>
        <v>92</v>
      </c>
      <c r="E739" s="68">
        <f t="shared" si="77"/>
        <v>456</v>
      </c>
      <c r="F739" s="21" t="str">
        <f>VLOOKUP(D739,Sheet2!A:B,2)</f>
        <v>J20-0751</v>
      </c>
      <c r="G739" s="68" t="str">
        <f>VLOOKUP(F739,Sheet2!B:C,2,0)</f>
        <v>แอร์ ลิควิด</v>
      </c>
      <c r="H739" s="68" t="str">
        <f>HLOOKUP(I$2+$A739,Sheet2!BX:NB,2,0)</f>
        <v>16-30 April 21</v>
      </c>
      <c r="I739" t="str">
        <f>IF(OR(HLOOKUP(I$2+$A739,Sheet2!BX:NB,$B739,0),HLOOKUP(I$2+$A739,Sheet2!BX:NB,$B739,0)&lt;&gt;""),HLOOKUP(I$2+$A739,Sheet2!BX:NB,$B739,0),"")</f>
        <v/>
      </c>
      <c r="J739" t="str">
        <f>IF(OR(HLOOKUP(J$2+$A739,Sheet2!BY:NC,$B739,0),HLOOKUP(J$2+$A739,Sheet2!BY:NC,$B739,0)&lt;&gt;""),HLOOKUP(J$2+$A739,Sheet2!BY:NC,$B739,0),"")</f>
        <v/>
      </c>
      <c r="K739" t="str">
        <f>IF(OR(HLOOKUP(K$2+$A739,Sheet2!BZ:ND,$B739,0),HLOOKUP(K$2+$A739,Sheet2!BZ:ND,$B739,0)&lt;&gt;""),HLOOKUP(K$2+$A739,Sheet2!BZ:ND,$B739,0),"")</f>
        <v/>
      </c>
      <c r="L739" t="str">
        <f>IF(OR(HLOOKUP(L$2+$A739,Sheet2!CA:NE,$B739,0),HLOOKUP(L$2+$A739,Sheet2!CA:NE,$B739,0)&lt;&gt;""),HLOOKUP(L$2+$A739,Sheet2!CA:NE,$B739,0),"")</f>
        <v/>
      </c>
      <c r="M739" t="str">
        <f>IF(OR(HLOOKUP(M$2+$A739,Sheet2!CB:NF,$B739,0),HLOOKUP(M$2+$A739,Sheet2!CB:NF,$B739,0)&lt;&gt;""),HLOOKUP(M$2+$A739,Sheet2!CB:NF,$B739,0),"")</f>
        <v/>
      </c>
    </row>
    <row r="740" spans="1:13" x14ac:dyDescent="0.25">
      <c r="A740" s="68">
        <f t="shared" si="73"/>
        <v>0</v>
      </c>
      <c r="B740" s="68">
        <f t="shared" si="74"/>
        <v>97</v>
      </c>
      <c r="C740" s="68">
        <f t="shared" si="76"/>
        <v>1</v>
      </c>
      <c r="D740" s="68">
        <f t="shared" si="75"/>
        <v>93</v>
      </c>
      <c r="E740" s="68">
        <f t="shared" si="77"/>
        <v>461</v>
      </c>
      <c r="F740" s="21" t="str">
        <f>VLOOKUP(D740,Sheet2!A:B,2)</f>
        <v>J20-0897</v>
      </c>
      <c r="G740" s="68" t="str">
        <f>VLOOKUP(F740,Sheet2!B:C,2,0)</f>
        <v>เรียล โซลูพลัส</v>
      </c>
      <c r="H740" s="68" t="str">
        <f>HLOOKUP(I$2+$A740,Sheet2!BX:NB,2,0)</f>
        <v>1-15 Jan 21</v>
      </c>
      <c r="I740" t="str">
        <f>IF(OR(HLOOKUP(I$2+$A740,Sheet2!BX:NB,$B740,0),HLOOKUP(I$2+$A740,Sheet2!BX:NB,$B740,0)&lt;&gt;""),HLOOKUP(I$2+$A740,Sheet2!BX:NB,$B740,0),"")</f>
        <v/>
      </c>
      <c r="J740" t="str">
        <f>IF(OR(HLOOKUP(J$2+$A740,Sheet2!BY:NC,$B740,0),HLOOKUP(J$2+$A740,Sheet2!BY:NC,$B740,0)&lt;&gt;""),HLOOKUP(J$2+$A740,Sheet2!BY:NC,$B740,0),"")</f>
        <v/>
      </c>
      <c r="K740" t="str">
        <f>IF(OR(HLOOKUP(K$2+$A740,Sheet2!BZ:ND,$B740,0),HLOOKUP(K$2+$A740,Sheet2!BZ:ND,$B740,0)&lt;&gt;""),HLOOKUP(K$2+$A740,Sheet2!BZ:ND,$B740,0),"")</f>
        <v/>
      </c>
      <c r="L740" t="str">
        <f>IF(OR(HLOOKUP(L$2+$A740,Sheet2!CA:NE,$B740,0),HLOOKUP(L$2+$A740,Sheet2!CA:NE,$B740,0)&lt;&gt;""),HLOOKUP(L$2+$A740,Sheet2!CA:NE,$B740,0),"")</f>
        <v/>
      </c>
      <c r="M740" t="str">
        <f>IF(OR(HLOOKUP(M$2+$A740,Sheet2!CB:NF,$B740,0),HLOOKUP(M$2+$A740,Sheet2!CB:NF,$B740,0)&lt;&gt;""),HLOOKUP(M$2+$A740,Sheet2!CB:NF,$B740,0),"")</f>
        <v/>
      </c>
    </row>
    <row r="741" spans="1:13" x14ac:dyDescent="0.25">
      <c r="A741" s="68">
        <f t="shared" si="73"/>
        <v>5</v>
      </c>
      <c r="B741" s="68">
        <f t="shared" si="74"/>
        <v>97</v>
      </c>
      <c r="C741" s="68">
        <f t="shared" si="76"/>
        <v>2</v>
      </c>
      <c r="D741" s="68">
        <f t="shared" si="75"/>
        <v>93</v>
      </c>
      <c r="E741" s="68">
        <f t="shared" si="77"/>
        <v>461</v>
      </c>
      <c r="F741" s="21" t="str">
        <f>VLOOKUP(D741,Sheet2!A:B,2)</f>
        <v>J20-0897</v>
      </c>
      <c r="G741" s="68" t="str">
        <f>VLOOKUP(F741,Sheet2!B:C,2,0)</f>
        <v>เรียล โซลูพลัส</v>
      </c>
      <c r="H741" s="68" t="str">
        <f>HLOOKUP(I$2+$A741,Sheet2!BX:NB,2,0)</f>
        <v>16-31 Jan 21</v>
      </c>
      <c r="I741" t="str">
        <f>IF(OR(HLOOKUP(I$2+$A741,Sheet2!BX:NB,$B741,0),HLOOKUP(I$2+$A741,Sheet2!BX:NB,$B741,0)&lt;&gt;""),HLOOKUP(I$2+$A741,Sheet2!BX:NB,$B741,0),"")</f>
        <v/>
      </c>
      <c r="J741" t="str">
        <f>IF(OR(HLOOKUP(J$2+$A741,Sheet2!BY:NC,$B741,0),HLOOKUP(J$2+$A741,Sheet2!BY:NC,$B741,0)&lt;&gt;""),HLOOKUP(J$2+$A741,Sheet2!BY:NC,$B741,0),"")</f>
        <v/>
      </c>
      <c r="K741" t="str">
        <f>IF(OR(HLOOKUP(K$2+$A741,Sheet2!BZ:ND,$B741,0),HLOOKUP(K$2+$A741,Sheet2!BZ:ND,$B741,0)&lt;&gt;""),HLOOKUP(K$2+$A741,Sheet2!BZ:ND,$B741,0),"")</f>
        <v/>
      </c>
      <c r="L741" t="str">
        <f>IF(OR(HLOOKUP(L$2+$A741,Sheet2!CA:NE,$B741,0),HLOOKUP(L$2+$A741,Sheet2!CA:NE,$B741,0)&lt;&gt;""),HLOOKUP(L$2+$A741,Sheet2!CA:NE,$B741,0),"")</f>
        <v/>
      </c>
      <c r="M741" t="str">
        <f>IF(OR(HLOOKUP(M$2+$A741,Sheet2!CB:NF,$B741,0),HLOOKUP(M$2+$A741,Sheet2!CB:NF,$B741,0)&lt;&gt;""),HLOOKUP(M$2+$A741,Sheet2!CB:NF,$B741,0),"")</f>
        <v/>
      </c>
    </row>
    <row r="742" spans="1:13" x14ac:dyDescent="0.25">
      <c r="A742" s="68">
        <f t="shared" si="73"/>
        <v>10</v>
      </c>
      <c r="B742" s="68">
        <f t="shared" si="74"/>
        <v>97</v>
      </c>
      <c r="C742" s="68">
        <f t="shared" si="76"/>
        <v>3</v>
      </c>
      <c r="D742" s="68">
        <f t="shared" si="75"/>
        <v>93</v>
      </c>
      <c r="E742" s="68">
        <f t="shared" si="77"/>
        <v>461</v>
      </c>
      <c r="F742" s="21" t="str">
        <f>VLOOKUP(D742,Sheet2!A:B,2)</f>
        <v>J20-0897</v>
      </c>
      <c r="G742" s="68" t="str">
        <f>VLOOKUP(F742,Sheet2!B:C,2,0)</f>
        <v>เรียล โซลูพลัส</v>
      </c>
      <c r="H742" s="68" t="str">
        <f>HLOOKUP(I$2+$A742,Sheet2!BX:NB,2,0)</f>
        <v>1-15 Feb 21</v>
      </c>
      <c r="I742" t="str">
        <f>IF(OR(HLOOKUP(I$2+$A742,Sheet2!BX:NB,$B742,0),HLOOKUP(I$2+$A742,Sheet2!BX:NB,$B742,0)&lt;&gt;""),HLOOKUP(I$2+$A742,Sheet2!BX:NB,$B742,0),"")</f>
        <v/>
      </c>
      <c r="J742" t="str">
        <f>IF(OR(HLOOKUP(J$2+$A742,Sheet2!BY:NC,$B742,0),HLOOKUP(J$2+$A742,Sheet2!BY:NC,$B742,0)&lt;&gt;""),HLOOKUP(J$2+$A742,Sheet2!BY:NC,$B742,0),"")</f>
        <v/>
      </c>
      <c r="K742" t="str">
        <f>IF(OR(HLOOKUP(K$2+$A742,Sheet2!BZ:ND,$B742,0),HLOOKUP(K$2+$A742,Sheet2!BZ:ND,$B742,0)&lt;&gt;""),HLOOKUP(K$2+$A742,Sheet2!BZ:ND,$B742,0),"")</f>
        <v/>
      </c>
      <c r="L742" t="str">
        <f>IF(OR(HLOOKUP(L$2+$A742,Sheet2!CA:NE,$B742,0),HLOOKUP(L$2+$A742,Sheet2!CA:NE,$B742,0)&lt;&gt;""),HLOOKUP(L$2+$A742,Sheet2!CA:NE,$B742,0),"")</f>
        <v/>
      </c>
      <c r="M742" t="str">
        <f>IF(OR(HLOOKUP(M$2+$A742,Sheet2!CB:NF,$B742,0),HLOOKUP(M$2+$A742,Sheet2!CB:NF,$B742,0)&lt;&gt;""),HLOOKUP(M$2+$A742,Sheet2!CB:NF,$B742,0),"")</f>
        <v/>
      </c>
    </row>
    <row r="743" spans="1:13" x14ac:dyDescent="0.25">
      <c r="A743" s="68">
        <f t="shared" si="73"/>
        <v>15</v>
      </c>
      <c r="B743" s="68">
        <f t="shared" si="74"/>
        <v>97</v>
      </c>
      <c r="C743" s="68">
        <f t="shared" si="76"/>
        <v>4</v>
      </c>
      <c r="D743" s="68">
        <f t="shared" si="75"/>
        <v>93</v>
      </c>
      <c r="E743" s="68">
        <f t="shared" si="77"/>
        <v>461</v>
      </c>
      <c r="F743" s="21" t="str">
        <f>VLOOKUP(D743,Sheet2!A:B,2)</f>
        <v>J20-0897</v>
      </c>
      <c r="G743" s="68" t="str">
        <f>VLOOKUP(F743,Sheet2!B:C,2,0)</f>
        <v>เรียล โซลูพลัส</v>
      </c>
      <c r="H743" s="68" t="str">
        <f>HLOOKUP(I$2+$A743,Sheet2!BX:NB,2,0)</f>
        <v>16-28 Feb 21</v>
      </c>
      <c r="I743" t="str">
        <f>IF(OR(HLOOKUP(I$2+$A743,Sheet2!BX:NB,$B743,0),HLOOKUP(I$2+$A743,Sheet2!BX:NB,$B743,0)&lt;&gt;""),HLOOKUP(I$2+$A743,Sheet2!BX:NB,$B743,0),"")</f>
        <v/>
      </c>
      <c r="J743" t="str">
        <f>IF(OR(HLOOKUP(J$2+$A743,Sheet2!BY:NC,$B743,0),HLOOKUP(J$2+$A743,Sheet2!BY:NC,$B743,0)&lt;&gt;""),HLOOKUP(J$2+$A743,Sheet2!BY:NC,$B743,0),"")</f>
        <v/>
      </c>
      <c r="K743" t="str">
        <f>IF(OR(HLOOKUP(K$2+$A743,Sheet2!BZ:ND,$B743,0),HLOOKUP(K$2+$A743,Sheet2!BZ:ND,$B743,0)&lt;&gt;""),HLOOKUP(K$2+$A743,Sheet2!BZ:ND,$B743,0),"")</f>
        <v/>
      </c>
      <c r="L743" t="str">
        <f>IF(OR(HLOOKUP(L$2+$A743,Sheet2!CA:NE,$B743,0),HLOOKUP(L$2+$A743,Sheet2!CA:NE,$B743,0)&lt;&gt;""),HLOOKUP(L$2+$A743,Sheet2!CA:NE,$B743,0),"")</f>
        <v/>
      </c>
      <c r="M743" t="str">
        <f>IF(OR(HLOOKUP(M$2+$A743,Sheet2!CB:NF,$B743,0),HLOOKUP(M$2+$A743,Sheet2!CB:NF,$B743,0)&lt;&gt;""),HLOOKUP(M$2+$A743,Sheet2!CB:NF,$B743,0),"")</f>
        <v/>
      </c>
    </row>
    <row r="744" spans="1:13" x14ac:dyDescent="0.25">
      <c r="A744" s="68">
        <f t="shared" si="73"/>
        <v>20</v>
      </c>
      <c r="B744" s="68">
        <f t="shared" si="74"/>
        <v>97</v>
      </c>
      <c r="C744" s="68">
        <f t="shared" si="76"/>
        <v>5</v>
      </c>
      <c r="D744" s="68">
        <f t="shared" si="75"/>
        <v>93</v>
      </c>
      <c r="E744" s="68">
        <f t="shared" si="77"/>
        <v>461</v>
      </c>
      <c r="F744" s="21" t="str">
        <f>VLOOKUP(D744,Sheet2!A:B,2)</f>
        <v>J20-0897</v>
      </c>
      <c r="G744" s="68" t="str">
        <f>VLOOKUP(F744,Sheet2!B:C,2,0)</f>
        <v>เรียล โซลูพลัส</v>
      </c>
      <c r="H744" s="68" t="str">
        <f>HLOOKUP(I$2+$A744,Sheet2!BX:NB,2,0)</f>
        <v>1-15 Mar 2021</v>
      </c>
      <c r="I744" t="str">
        <f>IF(OR(HLOOKUP(I$2+$A744,Sheet2!BX:NB,$B744,0),HLOOKUP(I$2+$A744,Sheet2!BX:NB,$B744,0)&lt;&gt;""),HLOOKUP(I$2+$A744,Sheet2!BX:NB,$B744,0),"")</f>
        <v/>
      </c>
      <c r="J744" t="str">
        <f>IF(OR(HLOOKUP(J$2+$A744,Sheet2!BY:NC,$B744,0),HLOOKUP(J$2+$A744,Sheet2!BY:NC,$B744,0)&lt;&gt;""),HLOOKUP(J$2+$A744,Sheet2!BY:NC,$B744,0),"")</f>
        <v/>
      </c>
      <c r="K744" t="str">
        <f>IF(OR(HLOOKUP(K$2+$A744,Sheet2!BZ:ND,$B744,0),HLOOKUP(K$2+$A744,Sheet2!BZ:ND,$B744,0)&lt;&gt;""),HLOOKUP(K$2+$A744,Sheet2!BZ:ND,$B744,0),"")</f>
        <v/>
      </c>
      <c r="L744" t="str">
        <f>IF(OR(HLOOKUP(L$2+$A744,Sheet2!CA:NE,$B744,0),HLOOKUP(L$2+$A744,Sheet2!CA:NE,$B744,0)&lt;&gt;""),HLOOKUP(L$2+$A744,Sheet2!CA:NE,$B744,0),"")</f>
        <v/>
      </c>
      <c r="M744" t="str">
        <f>IF(OR(HLOOKUP(M$2+$A744,Sheet2!CB:NF,$B744,0),HLOOKUP(M$2+$A744,Sheet2!CB:NF,$B744,0)&lt;&gt;""),HLOOKUP(M$2+$A744,Sheet2!CB:NF,$B744,0),"")</f>
        <v/>
      </c>
    </row>
    <row r="745" spans="1:13" x14ac:dyDescent="0.25">
      <c r="A745" s="68">
        <f t="shared" si="73"/>
        <v>25</v>
      </c>
      <c r="B745" s="68">
        <f t="shared" si="74"/>
        <v>97</v>
      </c>
      <c r="C745" s="68">
        <f t="shared" si="76"/>
        <v>6</v>
      </c>
      <c r="D745" s="68">
        <f t="shared" si="75"/>
        <v>93</v>
      </c>
      <c r="E745" s="68">
        <f t="shared" si="77"/>
        <v>461</v>
      </c>
      <c r="F745" s="21" t="str">
        <f>VLOOKUP(D745,Sheet2!A:B,2)</f>
        <v>J20-0897</v>
      </c>
      <c r="G745" s="68" t="str">
        <f>VLOOKUP(F745,Sheet2!B:C,2,0)</f>
        <v>เรียล โซลูพลัส</v>
      </c>
      <c r="H745" s="68" t="str">
        <f>HLOOKUP(I$2+$A745,Sheet2!BX:NB,2,0)</f>
        <v>16-31 Mar 21</v>
      </c>
      <c r="I745" t="str">
        <f>IF(OR(HLOOKUP(I$2+$A745,Sheet2!BX:NB,$B745,0),HLOOKUP(I$2+$A745,Sheet2!BX:NB,$B745,0)&lt;&gt;""),HLOOKUP(I$2+$A745,Sheet2!BX:NB,$B745,0),"")</f>
        <v/>
      </c>
      <c r="J745" t="str">
        <f>IF(OR(HLOOKUP(J$2+$A745,Sheet2!BY:NC,$B745,0),HLOOKUP(J$2+$A745,Sheet2!BY:NC,$B745,0)&lt;&gt;""),HLOOKUP(J$2+$A745,Sheet2!BY:NC,$B745,0),"")</f>
        <v/>
      </c>
      <c r="K745" t="str">
        <f>IF(OR(HLOOKUP(K$2+$A745,Sheet2!BZ:ND,$B745,0),HLOOKUP(K$2+$A745,Sheet2!BZ:ND,$B745,0)&lt;&gt;""),HLOOKUP(K$2+$A745,Sheet2!BZ:ND,$B745,0),"")</f>
        <v/>
      </c>
      <c r="L745" t="str">
        <f>IF(OR(HLOOKUP(L$2+$A745,Sheet2!CA:NE,$B745,0),HLOOKUP(L$2+$A745,Sheet2!CA:NE,$B745,0)&lt;&gt;""),HLOOKUP(L$2+$A745,Sheet2!CA:NE,$B745,0),"")</f>
        <v/>
      </c>
      <c r="M745" t="str">
        <f>IF(OR(HLOOKUP(M$2+$A745,Sheet2!CB:NF,$B745,0),HLOOKUP(M$2+$A745,Sheet2!CB:NF,$B745,0)&lt;&gt;""),HLOOKUP(M$2+$A745,Sheet2!CB:NF,$B745,0),"")</f>
        <v/>
      </c>
    </row>
    <row r="746" spans="1:13" x14ac:dyDescent="0.25">
      <c r="A746" s="68">
        <f t="shared" si="73"/>
        <v>30</v>
      </c>
      <c r="B746" s="68">
        <f t="shared" si="74"/>
        <v>97</v>
      </c>
      <c r="C746" s="68">
        <f t="shared" si="76"/>
        <v>7</v>
      </c>
      <c r="D746" s="68">
        <f t="shared" si="75"/>
        <v>93</v>
      </c>
      <c r="E746" s="68">
        <f t="shared" si="77"/>
        <v>461</v>
      </c>
      <c r="F746" s="21" t="str">
        <f>VLOOKUP(D746,Sheet2!A:B,2)</f>
        <v>J20-0897</v>
      </c>
      <c r="G746" s="68" t="str">
        <f>VLOOKUP(F746,Sheet2!B:C,2,0)</f>
        <v>เรียล โซลูพลัส</v>
      </c>
      <c r="H746" s="68" t="str">
        <f>HLOOKUP(I$2+$A746,Sheet2!BX:NB,2,0)</f>
        <v>1-15 April 21</v>
      </c>
      <c r="I746" t="str">
        <f>IF(OR(HLOOKUP(I$2+$A746,Sheet2!BX:NB,$B746,0),HLOOKUP(I$2+$A746,Sheet2!BX:NB,$B746,0)&lt;&gt;""),HLOOKUP(I$2+$A746,Sheet2!BX:NB,$B746,0),"")</f>
        <v/>
      </c>
      <c r="J746" t="str">
        <f>IF(OR(HLOOKUP(J$2+$A746,Sheet2!BY:NC,$B746,0),HLOOKUP(J$2+$A746,Sheet2!BY:NC,$B746,0)&lt;&gt;""),HLOOKUP(J$2+$A746,Sheet2!BY:NC,$B746,0),"")</f>
        <v/>
      </c>
      <c r="K746" t="str">
        <f>IF(OR(HLOOKUP(K$2+$A746,Sheet2!BZ:ND,$B746,0),HLOOKUP(K$2+$A746,Sheet2!BZ:ND,$B746,0)&lt;&gt;""),HLOOKUP(K$2+$A746,Sheet2!BZ:ND,$B746,0),"")</f>
        <v/>
      </c>
      <c r="L746" t="str">
        <f>IF(OR(HLOOKUP(L$2+$A746,Sheet2!CA:NE,$B746,0),HLOOKUP(L$2+$A746,Sheet2!CA:NE,$B746,0)&lt;&gt;""),HLOOKUP(L$2+$A746,Sheet2!CA:NE,$B746,0),"")</f>
        <v/>
      </c>
      <c r="M746" t="str">
        <f>IF(OR(HLOOKUP(M$2+$A746,Sheet2!CB:NF,$B746,0),HLOOKUP(M$2+$A746,Sheet2!CB:NF,$B746,0)&lt;&gt;""),HLOOKUP(M$2+$A746,Sheet2!CB:NF,$B746,0),"")</f>
        <v/>
      </c>
    </row>
    <row r="747" spans="1:13" x14ac:dyDescent="0.25">
      <c r="A747" s="68">
        <f t="shared" si="73"/>
        <v>35</v>
      </c>
      <c r="B747" s="68">
        <f t="shared" si="74"/>
        <v>97</v>
      </c>
      <c r="C747" s="68">
        <f t="shared" si="76"/>
        <v>8</v>
      </c>
      <c r="D747" s="68">
        <f t="shared" si="75"/>
        <v>93</v>
      </c>
      <c r="E747" s="68">
        <f t="shared" si="77"/>
        <v>461</v>
      </c>
      <c r="F747" s="21" t="str">
        <f>VLOOKUP(D747,Sheet2!A:B,2)</f>
        <v>J20-0897</v>
      </c>
      <c r="G747" s="68" t="str">
        <f>VLOOKUP(F747,Sheet2!B:C,2,0)</f>
        <v>เรียล โซลูพลัส</v>
      </c>
      <c r="H747" s="68" t="str">
        <f>HLOOKUP(I$2+$A747,Sheet2!BX:NB,2,0)</f>
        <v>16-30 April 21</v>
      </c>
      <c r="I747" t="str">
        <f>IF(OR(HLOOKUP(I$2+$A747,Sheet2!BX:NB,$B747,0),HLOOKUP(I$2+$A747,Sheet2!BX:NB,$B747,0)&lt;&gt;""),HLOOKUP(I$2+$A747,Sheet2!BX:NB,$B747,0),"")</f>
        <v/>
      </c>
      <c r="J747" t="str">
        <f>IF(OR(HLOOKUP(J$2+$A747,Sheet2!BY:NC,$B747,0),HLOOKUP(J$2+$A747,Sheet2!BY:NC,$B747,0)&lt;&gt;""),HLOOKUP(J$2+$A747,Sheet2!BY:NC,$B747,0),"")</f>
        <v/>
      </c>
      <c r="K747" t="str">
        <f>IF(OR(HLOOKUP(K$2+$A747,Sheet2!BZ:ND,$B747,0),HLOOKUP(K$2+$A747,Sheet2!BZ:ND,$B747,0)&lt;&gt;""),HLOOKUP(K$2+$A747,Sheet2!BZ:ND,$B747,0),"")</f>
        <v/>
      </c>
      <c r="L747" t="str">
        <f>IF(OR(HLOOKUP(L$2+$A747,Sheet2!CA:NE,$B747,0),HLOOKUP(L$2+$A747,Sheet2!CA:NE,$B747,0)&lt;&gt;""),HLOOKUP(L$2+$A747,Sheet2!CA:NE,$B747,0),"")</f>
        <v/>
      </c>
      <c r="M747" t="str">
        <f>IF(OR(HLOOKUP(M$2+$A747,Sheet2!CB:NF,$B747,0),HLOOKUP(M$2+$A747,Sheet2!CB:NF,$B747,0)&lt;&gt;""),HLOOKUP(M$2+$A747,Sheet2!CB:NF,$B747,0),"")</f>
        <v/>
      </c>
    </row>
    <row r="748" spans="1:13" x14ac:dyDescent="0.25">
      <c r="A748" s="68">
        <f t="shared" si="73"/>
        <v>0</v>
      </c>
      <c r="B748" s="68">
        <f t="shared" si="74"/>
        <v>98</v>
      </c>
      <c r="C748" s="68">
        <f t="shared" si="76"/>
        <v>1</v>
      </c>
      <c r="D748" s="68">
        <f t="shared" si="75"/>
        <v>94</v>
      </c>
      <c r="E748" s="68">
        <f t="shared" si="77"/>
        <v>466</v>
      </c>
      <c r="F748" s="21" t="str">
        <f>VLOOKUP(D748,Sheet2!A:B,2)</f>
        <v>J20-0948</v>
      </c>
      <c r="G748" s="68" t="str">
        <f>VLOOKUP(F748,Sheet2!B:C,2,0)</f>
        <v>Storage Tanks and Associated Facilities (ORP)</v>
      </c>
      <c r="H748" s="68" t="str">
        <f>HLOOKUP(I$2+$A748,Sheet2!BX:NB,2,0)</f>
        <v>1-15 Jan 21</v>
      </c>
      <c r="I748" t="str">
        <f>IF(OR(HLOOKUP(I$2+$A748,Sheet2!BX:NB,$B748,0),HLOOKUP(I$2+$A748,Sheet2!BX:NB,$B748,0)&lt;&gt;""),HLOOKUP(I$2+$A748,Sheet2!BX:NB,$B748,0),"")</f>
        <v/>
      </c>
      <c r="J748" t="str">
        <f>IF(OR(HLOOKUP(J$2+$A748,Sheet2!BY:NC,$B748,0),HLOOKUP(J$2+$A748,Sheet2!BY:NC,$B748,0)&lt;&gt;""),HLOOKUP(J$2+$A748,Sheet2!BY:NC,$B748,0),"")</f>
        <v/>
      </c>
      <c r="K748" t="str">
        <f>IF(OR(HLOOKUP(K$2+$A748,Sheet2!BZ:ND,$B748,0),HLOOKUP(K$2+$A748,Sheet2!BZ:ND,$B748,0)&lt;&gt;""),HLOOKUP(K$2+$A748,Sheet2!BZ:ND,$B748,0),"")</f>
        <v/>
      </c>
      <c r="L748" t="str">
        <f>IF(OR(HLOOKUP(L$2+$A748,Sheet2!CA:NE,$B748,0),HLOOKUP(L$2+$A748,Sheet2!CA:NE,$B748,0)&lt;&gt;""),HLOOKUP(L$2+$A748,Sheet2!CA:NE,$B748,0),"")</f>
        <v/>
      </c>
      <c r="M748" t="str">
        <f>IF(OR(HLOOKUP(M$2+$A748,Sheet2!CB:NF,$B748,0),HLOOKUP(M$2+$A748,Sheet2!CB:NF,$B748,0)&lt;&gt;""),HLOOKUP(M$2+$A748,Sheet2!CB:NF,$B748,0),"")</f>
        <v/>
      </c>
    </row>
    <row r="749" spans="1:13" x14ac:dyDescent="0.25">
      <c r="A749" s="68">
        <f t="shared" si="73"/>
        <v>5</v>
      </c>
      <c r="B749" s="68">
        <f t="shared" si="74"/>
        <v>98</v>
      </c>
      <c r="C749" s="68">
        <f t="shared" si="76"/>
        <v>2</v>
      </c>
      <c r="D749" s="68">
        <f t="shared" si="75"/>
        <v>94</v>
      </c>
      <c r="E749" s="68">
        <f t="shared" si="77"/>
        <v>466</v>
      </c>
      <c r="F749" s="21" t="str">
        <f>VLOOKUP(D749,Sheet2!A:B,2)</f>
        <v>J20-0948</v>
      </c>
      <c r="G749" s="68" t="str">
        <f>VLOOKUP(F749,Sheet2!B:C,2,0)</f>
        <v>Storage Tanks and Associated Facilities (ORP)</v>
      </c>
      <c r="H749" s="68" t="str">
        <f>HLOOKUP(I$2+$A749,Sheet2!BX:NB,2,0)</f>
        <v>16-31 Jan 21</v>
      </c>
      <c r="I749" t="str">
        <f>IF(OR(HLOOKUP(I$2+$A749,Sheet2!BX:NB,$B749,0),HLOOKUP(I$2+$A749,Sheet2!BX:NB,$B749,0)&lt;&gt;""),HLOOKUP(I$2+$A749,Sheet2!BX:NB,$B749,0),"")</f>
        <v/>
      </c>
      <c r="J749" t="str">
        <f>IF(OR(HLOOKUP(J$2+$A749,Sheet2!BY:NC,$B749,0),HLOOKUP(J$2+$A749,Sheet2!BY:NC,$B749,0)&lt;&gt;""),HLOOKUP(J$2+$A749,Sheet2!BY:NC,$B749,0),"")</f>
        <v/>
      </c>
      <c r="K749" t="str">
        <f>IF(OR(HLOOKUP(K$2+$A749,Sheet2!BZ:ND,$B749,0),HLOOKUP(K$2+$A749,Sheet2!BZ:ND,$B749,0)&lt;&gt;""),HLOOKUP(K$2+$A749,Sheet2!BZ:ND,$B749,0),"")</f>
        <v/>
      </c>
      <c r="L749" t="str">
        <f>IF(OR(HLOOKUP(L$2+$A749,Sheet2!CA:NE,$B749,0),HLOOKUP(L$2+$A749,Sheet2!CA:NE,$B749,0)&lt;&gt;""),HLOOKUP(L$2+$A749,Sheet2!CA:NE,$B749,0),"")</f>
        <v/>
      </c>
      <c r="M749" t="str">
        <f>IF(OR(HLOOKUP(M$2+$A749,Sheet2!CB:NF,$B749,0),HLOOKUP(M$2+$A749,Sheet2!CB:NF,$B749,0)&lt;&gt;""),HLOOKUP(M$2+$A749,Sheet2!CB:NF,$B749,0),"")</f>
        <v/>
      </c>
    </row>
    <row r="750" spans="1:13" x14ac:dyDescent="0.25">
      <c r="A750" s="68">
        <f t="shared" si="73"/>
        <v>10</v>
      </c>
      <c r="B750" s="68">
        <f t="shared" si="74"/>
        <v>98</v>
      </c>
      <c r="C750" s="68">
        <f t="shared" si="76"/>
        <v>3</v>
      </c>
      <c r="D750" s="68">
        <f t="shared" si="75"/>
        <v>94</v>
      </c>
      <c r="E750" s="68">
        <f t="shared" si="77"/>
        <v>466</v>
      </c>
      <c r="F750" s="21" t="str">
        <f>VLOOKUP(D750,Sheet2!A:B,2)</f>
        <v>J20-0948</v>
      </c>
      <c r="G750" s="68" t="str">
        <f>VLOOKUP(F750,Sheet2!B:C,2,0)</f>
        <v>Storage Tanks and Associated Facilities (ORP)</v>
      </c>
      <c r="H750" s="68" t="str">
        <f>HLOOKUP(I$2+$A750,Sheet2!BX:NB,2,0)</f>
        <v>1-15 Feb 21</v>
      </c>
      <c r="I750" t="str">
        <f>IF(OR(HLOOKUP(I$2+$A750,Sheet2!BX:NB,$B750,0),HLOOKUP(I$2+$A750,Sheet2!BX:NB,$B750,0)&lt;&gt;""),HLOOKUP(I$2+$A750,Sheet2!BX:NB,$B750,0),"")</f>
        <v/>
      </c>
      <c r="J750" t="str">
        <f>IF(OR(HLOOKUP(J$2+$A750,Sheet2!BY:NC,$B750,0),HLOOKUP(J$2+$A750,Sheet2!BY:NC,$B750,0)&lt;&gt;""),HLOOKUP(J$2+$A750,Sheet2!BY:NC,$B750,0),"")</f>
        <v/>
      </c>
      <c r="K750" t="str">
        <f>IF(OR(HLOOKUP(K$2+$A750,Sheet2!BZ:ND,$B750,0),HLOOKUP(K$2+$A750,Sheet2!BZ:ND,$B750,0)&lt;&gt;""),HLOOKUP(K$2+$A750,Sheet2!BZ:ND,$B750,0),"")</f>
        <v/>
      </c>
      <c r="L750" t="str">
        <f>IF(OR(HLOOKUP(L$2+$A750,Sheet2!CA:NE,$B750,0),HLOOKUP(L$2+$A750,Sheet2!CA:NE,$B750,0)&lt;&gt;""),HLOOKUP(L$2+$A750,Sheet2!CA:NE,$B750,0),"")</f>
        <v/>
      </c>
      <c r="M750" t="str">
        <f>IF(OR(HLOOKUP(M$2+$A750,Sheet2!CB:NF,$B750,0),HLOOKUP(M$2+$A750,Sheet2!CB:NF,$B750,0)&lt;&gt;""),HLOOKUP(M$2+$A750,Sheet2!CB:NF,$B750,0),"")</f>
        <v/>
      </c>
    </row>
    <row r="751" spans="1:13" x14ac:dyDescent="0.25">
      <c r="A751" s="68">
        <f t="shared" si="73"/>
        <v>15</v>
      </c>
      <c r="B751" s="68">
        <f t="shared" si="74"/>
        <v>98</v>
      </c>
      <c r="C751" s="68">
        <f t="shared" si="76"/>
        <v>4</v>
      </c>
      <c r="D751" s="68">
        <f t="shared" si="75"/>
        <v>94</v>
      </c>
      <c r="E751" s="68">
        <f t="shared" si="77"/>
        <v>466</v>
      </c>
      <c r="F751" s="21" t="str">
        <f>VLOOKUP(D751,Sheet2!A:B,2)</f>
        <v>J20-0948</v>
      </c>
      <c r="G751" s="68" t="str">
        <f>VLOOKUP(F751,Sheet2!B:C,2,0)</f>
        <v>Storage Tanks and Associated Facilities (ORP)</v>
      </c>
      <c r="H751" s="68" t="str">
        <f>HLOOKUP(I$2+$A751,Sheet2!BX:NB,2,0)</f>
        <v>16-28 Feb 21</v>
      </c>
      <c r="I751" t="str">
        <f>IF(OR(HLOOKUP(I$2+$A751,Sheet2!BX:NB,$B751,0),HLOOKUP(I$2+$A751,Sheet2!BX:NB,$B751,0)&lt;&gt;""),HLOOKUP(I$2+$A751,Sheet2!BX:NB,$B751,0),"")</f>
        <v/>
      </c>
      <c r="J751" t="str">
        <f>IF(OR(HLOOKUP(J$2+$A751,Sheet2!BY:NC,$B751,0),HLOOKUP(J$2+$A751,Sheet2!BY:NC,$B751,0)&lt;&gt;""),HLOOKUP(J$2+$A751,Sheet2!BY:NC,$B751,0),"")</f>
        <v/>
      </c>
      <c r="K751" t="str">
        <f>IF(OR(HLOOKUP(K$2+$A751,Sheet2!BZ:ND,$B751,0),HLOOKUP(K$2+$A751,Sheet2!BZ:ND,$B751,0)&lt;&gt;""),HLOOKUP(K$2+$A751,Sheet2!BZ:ND,$B751,0),"")</f>
        <v/>
      </c>
      <c r="L751">
        <f>IF(OR(HLOOKUP(L$2+$A751,Sheet2!CA:NE,$B751,0),HLOOKUP(L$2+$A751,Sheet2!CA:NE,$B751,0)&lt;&gt;""),HLOOKUP(L$2+$A751,Sheet2!CA:NE,$B751,0),"")</f>
        <v>2850</v>
      </c>
      <c r="M751" t="str">
        <f>IF(OR(HLOOKUP(M$2+$A751,Sheet2!CB:NF,$B751,0),HLOOKUP(M$2+$A751,Sheet2!CB:NF,$B751,0)&lt;&gt;""),HLOOKUP(M$2+$A751,Sheet2!CB:NF,$B751,0),"")</f>
        <v/>
      </c>
    </row>
    <row r="752" spans="1:13" x14ac:dyDescent="0.25">
      <c r="A752" s="68">
        <f t="shared" si="73"/>
        <v>20</v>
      </c>
      <c r="B752" s="68">
        <f t="shared" si="74"/>
        <v>98</v>
      </c>
      <c r="C752" s="68">
        <f t="shared" si="76"/>
        <v>5</v>
      </c>
      <c r="D752" s="68">
        <f t="shared" si="75"/>
        <v>94</v>
      </c>
      <c r="E752" s="68">
        <f t="shared" si="77"/>
        <v>466</v>
      </c>
      <c r="F752" s="21" t="str">
        <f>VLOOKUP(D752,Sheet2!A:B,2)</f>
        <v>J20-0948</v>
      </c>
      <c r="G752" s="68" t="str">
        <f>VLOOKUP(F752,Sheet2!B:C,2,0)</f>
        <v>Storage Tanks and Associated Facilities (ORP)</v>
      </c>
      <c r="H752" s="68" t="str">
        <f>HLOOKUP(I$2+$A752,Sheet2!BX:NB,2,0)</f>
        <v>1-15 Mar 2021</v>
      </c>
      <c r="I752" t="str">
        <f>IF(OR(HLOOKUP(I$2+$A752,Sheet2!BX:NB,$B752,0),HLOOKUP(I$2+$A752,Sheet2!BX:NB,$B752,0)&lt;&gt;""),HLOOKUP(I$2+$A752,Sheet2!BX:NB,$B752,0),"")</f>
        <v/>
      </c>
      <c r="J752" t="str">
        <f>IF(OR(HLOOKUP(J$2+$A752,Sheet2!BY:NC,$B752,0),HLOOKUP(J$2+$A752,Sheet2!BY:NC,$B752,0)&lt;&gt;""),HLOOKUP(J$2+$A752,Sheet2!BY:NC,$B752,0),"")</f>
        <v/>
      </c>
      <c r="K752" t="str">
        <f>IF(OR(HLOOKUP(K$2+$A752,Sheet2!BZ:ND,$B752,0),HLOOKUP(K$2+$A752,Sheet2!BZ:ND,$B752,0)&lt;&gt;""),HLOOKUP(K$2+$A752,Sheet2!BZ:ND,$B752,0),"")</f>
        <v/>
      </c>
      <c r="L752" t="str">
        <f>IF(OR(HLOOKUP(L$2+$A752,Sheet2!CA:NE,$B752,0),HLOOKUP(L$2+$A752,Sheet2!CA:NE,$B752,0)&lt;&gt;""),HLOOKUP(L$2+$A752,Sheet2!CA:NE,$B752,0),"")</f>
        <v/>
      </c>
      <c r="M752" t="str">
        <f>IF(OR(HLOOKUP(M$2+$A752,Sheet2!CB:NF,$B752,0),HLOOKUP(M$2+$A752,Sheet2!CB:NF,$B752,0)&lt;&gt;""),HLOOKUP(M$2+$A752,Sheet2!CB:NF,$B752,0),"")</f>
        <v/>
      </c>
    </row>
    <row r="753" spans="1:13" x14ac:dyDescent="0.25">
      <c r="A753" s="68">
        <f t="shared" si="73"/>
        <v>25</v>
      </c>
      <c r="B753" s="68">
        <f t="shared" si="74"/>
        <v>98</v>
      </c>
      <c r="C753" s="68">
        <f t="shared" si="76"/>
        <v>6</v>
      </c>
      <c r="D753" s="68">
        <f t="shared" si="75"/>
        <v>94</v>
      </c>
      <c r="E753" s="68">
        <f t="shared" si="77"/>
        <v>466</v>
      </c>
      <c r="F753" s="21" t="str">
        <f>VLOOKUP(D753,Sheet2!A:B,2)</f>
        <v>J20-0948</v>
      </c>
      <c r="G753" s="68" t="str">
        <f>VLOOKUP(F753,Sheet2!B:C,2,0)</f>
        <v>Storage Tanks and Associated Facilities (ORP)</v>
      </c>
      <c r="H753" s="68" t="str">
        <f>HLOOKUP(I$2+$A753,Sheet2!BX:NB,2,0)</f>
        <v>16-31 Mar 21</v>
      </c>
      <c r="I753" t="str">
        <f>IF(OR(HLOOKUP(I$2+$A753,Sheet2!BX:NB,$B753,0),HLOOKUP(I$2+$A753,Sheet2!BX:NB,$B753,0)&lt;&gt;""),HLOOKUP(I$2+$A753,Sheet2!BX:NB,$B753,0),"")</f>
        <v/>
      </c>
      <c r="J753" t="str">
        <f>IF(OR(HLOOKUP(J$2+$A753,Sheet2!BY:NC,$B753,0),HLOOKUP(J$2+$A753,Sheet2!BY:NC,$B753,0)&lt;&gt;""),HLOOKUP(J$2+$A753,Sheet2!BY:NC,$B753,0),"")</f>
        <v/>
      </c>
      <c r="K753" t="str">
        <f>IF(OR(HLOOKUP(K$2+$A753,Sheet2!BZ:ND,$B753,0),HLOOKUP(K$2+$A753,Sheet2!BZ:ND,$B753,0)&lt;&gt;""),HLOOKUP(K$2+$A753,Sheet2!BZ:ND,$B753,0),"")</f>
        <v/>
      </c>
      <c r="L753" t="str">
        <f>IF(OR(HLOOKUP(L$2+$A753,Sheet2!CA:NE,$B753,0),HLOOKUP(L$2+$A753,Sheet2!CA:NE,$B753,0)&lt;&gt;""),HLOOKUP(L$2+$A753,Sheet2!CA:NE,$B753,0),"")</f>
        <v/>
      </c>
      <c r="M753" t="str">
        <f>IF(OR(HLOOKUP(M$2+$A753,Sheet2!CB:NF,$B753,0),HLOOKUP(M$2+$A753,Sheet2!CB:NF,$B753,0)&lt;&gt;""),HLOOKUP(M$2+$A753,Sheet2!CB:NF,$B753,0),"")</f>
        <v/>
      </c>
    </row>
    <row r="754" spans="1:13" x14ac:dyDescent="0.25">
      <c r="A754" s="68">
        <f t="shared" si="73"/>
        <v>30</v>
      </c>
      <c r="B754" s="68">
        <f t="shared" si="74"/>
        <v>98</v>
      </c>
      <c r="C754" s="68">
        <f t="shared" si="76"/>
        <v>7</v>
      </c>
      <c r="D754" s="68">
        <f t="shared" si="75"/>
        <v>94</v>
      </c>
      <c r="E754" s="68">
        <f t="shared" si="77"/>
        <v>466</v>
      </c>
      <c r="F754" s="21" t="str">
        <f>VLOOKUP(D754,Sheet2!A:B,2)</f>
        <v>J20-0948</v>
      </c>
      <c r="G754" s="68" t="str">
        <f>VLOOKUP(F754,Sheet2!B:C,2,0)</f>
        <v>Storage Tanks and Associated Facilities (ORP)</v>
      </c>
      <c r="H754" s="68" t="str">
        <f>HLOOKUP(I$2+$A754,Sheet2!BX:NB,2,0)</f>
        <v>1-15 April 21</v>
      </c>
      <c r="I754" t="str">
        <f>IF(OR(HLOOKUP(I$2+$A754,Sheet2!BX:NB,$B754,0),HLOOKUP(I$2+$A754,Sheet2!BX:NB,$B754,0)&lt;&gt;""),HLOOKUP(I$2+$A754,Sheet2!BX:NB,$B754,0),"")</f>
        <v/>
      </c>
      <c r="J754" t="str">
        <f>IF(OR(HLOOKUP(J$2+$A754,Sheet2!BY:NC,$B754,0),HLOOKUP(J$2+$A754,Sheet2!BY:NC,$B754,0)&lt;&gt;""),HLOOKUP(J$2+$A754,Sheet2!BY:NC,$B754,0),"")</f>
        <v/>
      </c>
      <c r="K754" t="str">
        <f>IF(OR(HLOOKUP(K$2+$A754,Sheet2!BZ:ND,$B754,0),HLOOKUP(K$2+$A754,Sheet2!BZ:ND,$B754,0)&lt;&gt;""),HLOOKUP(K$2+$A754,Sheet2!BZ:ND,$B754,0),"")</f>
        <v/>
      </c>
      <c r="L754" t="str">
        <f>IF(OR(HLOOKUP(L$2+$A754,Sheet2!CA:NE,$B754,0),HLOOKUP(L$2+$A754,Sheet2!CA:NE,$B754,0)&lt;&gt;""),HLOOKUP(L$2+$A754,Sheet2!CA:NE,$B754,0),"")</f>
        <v/>
      </c>
      <c r="M754" t="str">
        <f>IF(OR(HLOOKUP(M$2+$A754,Sheet2!CB:NF,$B754,0),HLOOKUP(M$2+$A754,Sheet2!CB:NF,$B754,0)&lt;&gt;""),HLOOKUP(M$2+$A754,Sheet2!CB:NF,$B754,0),"")</f>
        <v/>
      </c>
    </row>
    <row r="755" spans="1:13" x14ac:dyDescent="0.25">
      <c r="A755" s="68">
        <f t="shared" si="73"/>
        <v>35</v>
      </c>
      <c r="B755" s="68">
        <f t="shared" si="74"/>
        <v>98</v>
      </c>
      <c r="C755" s="68">
        <f t="shared" si="76"/>
        <v>8</v>
      </c>
      <c r="D755" s="68">
        <f t="shared" si="75"/>
        <v>94</v>
      </c>
      <c r="E755" s="68">
        <f t="shared" si="77"/>
        <v>466</v>
      </c>
      <c r="F755" s="21" t="str">
        <f>VLOOKUP(D755,Sheet2!A:B,2)</f>
        <v>J20-0948</v>
      </c>
      <c r="G755" s="68" t="str">
        <f>VLOOKUP(F755,Sheet2!B:C,2,0)</f>
        <v>Storage Tanks and Associated Facilities (ORP)</v>
      </c>
      <c r="H755" s="68" t="str">
        <f>HLOOKUP(I$2+$A755,Sheet2!BX:NB,2,0)</f>
        <v>16-30 April 21</v>
      </c>
      <c r="I755" t="str">
        <f>IF(OR(HLOOKUP(I$2+$A755,Sheet2!BX:NB,$B755,0),HLOOKUP(I$2+$A755,Sheet2!BX:NB,$B755,0)&lt;&gt;""),HLOOKUP(I$2+$A755,Sheet2!BX:NB,$B755,0),"")</f>
        <v/>
      </c>
      <c r="J755" t="str">
        <f>IF(OR(HLOOKUP(J$2+$A755,Sheet2!BY:NC,$B755,0),HLOOKUP(J$2+$A755,Sheet2!BY:NC,$B755,0)&lt;&gt;""),HLOOKUP(J$2+$A755,Sheet2!BY:NC,$B755,0),"")</f>
        <v/>
      </c>
      <c r="K755" t="str">
        <f>IF(OR(HLOOKUP(K$2+$A755,Sheet2!BZ:ND,$B755,0),HLOOKUP(K$2+$A755,Sheet2!BZ:ND,$B755,0)&lt;&gt;""),HLOOKUP(K$2+$A755,Sheet2!BZ:ND,$B755,0),"")</f>
        <v/>
      </c>
      <c r="L755" t="str">
        <f>IF(OR(HLOOKUP(L$2+$A755,Sheet2!CA:NE,$B755,0),HLOOKUP(L$2+$A755,Sheet2!CA:NE,$B755,0)&lt;&gt;""),HLOOKUP(L$2+$A755,Sheet2!CA:NE,$B755,0),"")</f>
        <v/>
      </c>
      <c r="M755" t="str">
        <f>IF(OR(HLOOKUP(M$2+$A755,Sheet2!CB:NF,$B755,0),HLOOKUP(M$2+$A755,Sheet2!CB:NF,$B755,0)&lt;&gt;""),HLOOKUP(M$2+$A755,Sheet2!CB:NF,$B755,0),"")</f>
        <v/>
      </c>
    </row>
    <row r="756" spans="1:13" x14ac:dyDescent="0.25">
      <c r="A756" s="68">
        <f t="shared" si="73"/>
        <v>0</v>
      </c>
      <c r="B756" s="68">
        <f t="shared" si="74"/>
        <v>99</v>
      </c>
      <c r="C756" s="68">
        <f t="shared" si="76"/>
        <v>1</v>
      </c>
      <c r="D756" s="68">
        <f t="shared" si="75"/>
        <v>95</v>
      </c>
      <c r="E756" s="68">
        <f t="shared" si="77"/>
        <v>471</v>
      </c>
      <c r="F756" s="21" t="str">
        <f>VLOOKUP(D756,Sheet2!A:B,2)</f>
        <v>J20-0397</v>
      </c>
      <c r="G756" s="68" t="str">
        <f>VLOOKUP(F756,Sheet2!B:C,2,0)</f>
        <v>มิตรผลไบโอ-เพาเวอร์(ภูหลวง)</v>
      </c>
      <c r="H756" s="68" t="str">
        <f>HLOOKUP(I$2+$A756,Sheet2!BX:NB,2,0)</f>
        <v>1-15 Jan 21</v>
      </c>
      <c r="I756" t="str">
        <f>IF(OR(HLOOKUP(I$2+$A756,Sheet2!BX:NB,$B756,0),HLOOKUP(I$2+$A756,Sheet2!BX:NB,$B756,0)&lt;&gt;""),HLOOKUP(I$2+$A756,Sheet2!BX:NB,$B756,0),"")</f>
        <v/>
      </c>
      <c r="J756" t="str">
        <f>IF(OR(HLOOKUP(J$2+$A756,Sheet2!BY:NC,$B756,0),HLOOKUP(J$2+$A756,Sheet2!BY:NC,$B756,0)&lt;&gt;""),HLOOKUP(J$2+$A756,Sheet2!BY:NC,$B756,0),"")</f>
        <v/>
      </c>
      <c r="K756" t="str">
        <f>IF(OR(HLOOKUP(K$2+$A756,Sheet2!BZ:ND,$B756,0),HLOOKUP(K$2+$A756,Sheet2!BZ:ND,$B756,0)&lt;&gt;""),HLOOKUP(K$2+$A756,Sheet2!BZ:ND,$B756,0),"")</f>
        <v/>
      </c>
      <c r="L756" t="str">
        <f>IF(OR(HLOOKUP(L$2+$A756,Sheet2!CA:NE,$B756,0),HLOOKUP(L$2+$A756,Sheet2!CA:NE,$B756,0)&lt;&gt;""),HLOOKUP(L$2+$A756,Sheet2!CA:NE,$B756,0),"")</f>
        <v/>
      </c>
      <c r="M756" t="str">
        <f>IF(OR(HLOOKUP(M$2+$A756,Sheet2!CB:NF,$B756,0),HLOOKUP(M$2+$A756,Sheet2!CB:NF,$B756,0)&lt;&gt;""),HLOOKUP(M$2+$A756,Sheet2!CB:NF,$B756,0),"")</f>
        <v/>
      </c>
    </row>
    <row r="757" spans="1:13" x14ac:dyDescent="0.25">
      <c r="A757" s="68">
        <f t="shared" si="73"/>
        <v>5</v>
      </c>
      <c r="B757" s="68">
        <f t="shared" si="74"/>
        <v>99</v>
      </c>
      <c r="C757" s="68">
        <f t="shared" si="76"/>
        <v>2</v>
      </c>
      <c r="D757" s="68">
        <f t="shared" si="75"/>
        <v>95</v>
      </c>
      <c r="E757" s="68">
        <f t="shared" si="77"/>
        <v>471</v>
      </c>
      <c r="F757" s="21" t="str">
        <f>VLOOKUP(D757,Sheet2!A:B,2)</f>
        <v>J20-0397</v>
      </c>
      <c r="G757" s="68" t="str">
        <f>VLOOKUP(F757,Sheet2!B:C,2,0)</f>
        <v>มิตรผลไบโอ-เพาเวอร์(ภูหลวง)</v>
      </c>
      <c r="H757" s="68" t="str">
        <f>HLOOKUP(I$2+$A757,Sheet2!BX:NB,2,0)</f>
        <v>16-31 Jan 21</v>
      </c>
      <c r="I757" t="str">
        <f>IF(OR(HLOOKUP(I$2+$A757,Sheet2!BX:NB,$B757,0),HLOOKUP(I$2+$A757,Sheet2!BX:NB,$B757,0)&lt;&gt;""),HLOOKUP(I$2+$A757,Sheet2!BX:NB,$B757,0),"")</f>
        <v/>
      </c>
      <c r="J757" t="str">
        <f>IF(OR(HLOOKUP(J$2+$A757,Sheet2!BY:NC,$B757,0),HLOOKUP(J$2+$A757,Sheet2!BY:NC,$B757,0)&lt;&gt;""),HLOOKUP(J$2+$A757,Sheet2!BY:NC,$B757,0),"")</f>
        <v/>
      </c>
      <c r="K757" t="str">
        <f>IF(OR(HLOOKUP(K$2+$A757,Sheet2!BZ:ND,$B757,0),HLOOKUP(K$2+$A757,Sheet2!BZ:ND,$B757,0)&lt;&gt;""),HLOOKUP(K$2+$A757,Sheet2!BZ:ND,$B757,0),"")</f>
        <v/>
      </c>
      <c r="L757" t="str">
        <f>IF(OR(HLOOKUP(L$2+$A757,Sheet2!CA:NE,$B757,0),HLOOKUP(L$2+$A757,Sheet2!CA:NE,$B757,0)&lt;&gt;""),HLOOKUP(L$2+$A757,Sheet2!CA:NE,$B757,0),"")</f>
        <v/>
      </c>
      <c r="M757" t="str">
        <f>IF(OR(HLOOKUP(M$2+$A757,Sheet2!CB:NF,$B757,0),HLOOKUP(M$2+$A757,Sheet2!CB:NF,$B757,0)&lt;&gt;""),HLOOKUP(M$2+$A757,Sheet2!CB:NF,$B757,0),"")</f>
        <v/>
      </c>
    </row>
    <row r="758" spans="1:13" x14ac:dyDescent="0.25">
      <c r="A758" s="68">
        <f t="shared" ref="A758:A821" si="78">IF(C758&lt;&gt;1,A757+5,0)</f>
        <v>10</v>
      </c>
      <c r="B758" s="68">
        <f t="shared" ref="B758:B821" si="79">IF(C758&lt;&gt;1,B757,B757+1)</f>
        <v>99</v>
      </c>
      <c r="C758" s="68">
        <f t="shared" si="76"/>
        <v>3</v>
      </c>
      <c r="D758" s="68">
        <f t="shared" ref="D758:D821" si="80">IF(C758=1,D757+1,D757)</f>
        <v>95</v>
      </c>
      <c r="E758" s="68">
        <f t="shared" si="77"/>
        <v>471</v>
      </c>
      <c r="F758" s="21" t="str">
        <f>VLOOKUP(D758,Sheet2!A:B,2)</f>
        <v>J20-0397</v>
      </c>
      <c r="G758" s="68" t="str">
        <f>VLOOKUP(F758,Sheet2!B:C,2,0)</f>
        <v>มิตรผลไบโอ-เพาเวอร์(ภูหลวง)</v>
      </c>
      <c r="H758" s="68" t="str">
        <f>HLOOKUP(I$2+$A758,Sheet2!BX:NB,2,0)</f>
        <v>1-15 Feb 21</v>
      </c>
      <c r="I758" t="str">
        <f>IF(OR(HLOOKUP(I$2+$A758,Sheet2!BX:NB,$B758,0),HLOOKUP(I$2+$A758,Sheet2!BX:NB,$B758,0)&lt;&gt;""),HLOOKUP(I$2+$A758,Sheet2!BX:NB,$B758,0),"")</f>
        <v/>
      </c>
      <c r="J758" t="str">
        <f>IF(OR(HLOOKUP(J$2+$A758,Sheet2!BY:NC,$B758,0),HLOOKUP(J$2+$A758,Sheet2!BY:NC,$B758,0)&lt;&gt;""),HLOOKUP(J$2+$A758,Sheet2!BY:NC,$B758,0),"")</f>
        <v/>
      </c>
      <c r="K758" t="str">
        <f>IF(OR(HLOOKUP(K$2+$A758,Sheet2!BZ:ND,$B758,0),HLOOKUP(K$2+$A758,Sheet2!BZ:ND,$B758,0)&lt;&gt;""),HLOOKUP(K$2+$A758,Sheet2!BZ:ND,$B758,0),"")</f>
        <v/>
      </c>
      <c r="L758" t="str">
        <f>IF(OR(HLOOKUP(L$2+$A758,Sheet2!CA:NE,$B758,0),HLOOKUP(L$2+$A758,Sheet2!CA:NE,$B758,0)&lt;&gt;""),HLOOKUP(L$2+$A758,Sheet2!CA:NE,$B758,0),"")</f>
        <v/>
      </c>
      <c r="M758" t="str">
        <f>IF(OR(HLOOKUP(M$2+$A758,Sheet2!CB:NF,$B758,0),HLOOKUP(M$2+$A758,Sheet2!CB:NF,$B758,0)&lt;&gt;""),HLOOKUP(M$2+$A758,Sheet2!CB:NF,$B758,0),"")</f>
        <v/>
      </c>
    </row>
    <row r="759" spans="1:13" x14ac:dyDescent="0.25">
      <c r="A759" s="68">
        <f t="shared" si="78"/>
        <v>15</v>
      </c>
      <c r="B759" s="68">
        <f t="shared" si="79"/>
        <v>99</v>
      </c>
      <c r="C759" s="68">
        <f t="shared" si="76"/>
        <v>4</v>
      </c>
      <c r="D759" s="68">
        <f t="shared" si="80"/>
        <v>95</v>
      </c>
      <c r="E759" s="68">
        <f t="shared" si="77"/>
        <v>471</v>
      </c>
      <c r="F759" s="21" t="str">
        <f>VLOOKUP(D759,Sheet2!A:B,2)</f>
        <v>J20-0397</v>
      </c>
      <c r="G759" s="68" t="str">
        <f>VLOOKUP(F759,Sheet2!B:C,2,0)</f>
        <v>มิตรผลไบโอ-เพาเวอร์(ภูหลวง)</v>
      </c>
      <c r="H759" s="68" t="str">
        <f>HLOOKUP(I$2+$A759,Sheet2!BX:NB,2,0)</f>
        <v>16-28 Feb 21</v>
      </c>
      <c r="I759" t="str">
        <f>IF(OR(HLOOKUP(I$2+$A759,Sheet2!BX:NB,$B759,0),HLOOKUP(I$2+$A759,Sheet2!BX:NB,$B759,0)&lt;&gt;""),HLOOKUP(I$2+$A759,Sheet2!BX:NB,$B759,0),"")</f>
        <v/>
      </c>
      <c r="J759" t="str">
        <f>IF(OR(HLOOKUP(J$2+$A759,Sheet2!BY:NC,$B759,0),HLOOKUP(J$2+$A759,Sheet2!BY:NC,$B759,0)&lt;&gt;""),HLOOKUP(J$2+$A759,Sheet2!BY:NC,$B759,0),"")</f>
        <v/>
      </c>
      <c r="K759" t="str">
        <f>IF(OR(HLOOKUP(K$2+$A759,Sheet2!BZ:ND,$B759,0),HLOOKUP(K$2+$A759,Sheet2!BZ:ND,$B759,0)&lt;&gt;""),HLOOKUP(K$2+$A759,Sheet2!BZ:ND,$B759,0),"")</f>
        <v/>
      </c>
      <c r="L759" t="str">
        <f>IF(OR(HLOOKUP(L$2+$A759,Sheet2!CA:NE,$B759,0),HLOOKUP(L$2+$A759,Sheet2!CA:NE,$B759,0)&lt;&gt;""),HLOOKUP(L$2+$A759,Sheet2!CA:NE,$B759,0),"")</f>
        <v/>
      </c>
      <c r="M759" t="str">
        <f>IF(OR(HLOOKUP(M$2+$A759,Sheet2!CB:NF,$B759,0),HLOOKUP(M$2+$A759,Sheet2!CB:NF,$B759,0)&lt;&gt;""),HLOOKUP(M$2+$A759,Sheet2!CB:NF,$B759,0),"")</f>
        <v/>
      </c>
    </row>
    <row r="760" spans="1:13" x14ac:dyDescent="0.25">
      <c r="A760" s="68">
        <f t="shared" si="78"/>
        <v>20</v>
      </c>
      <c r="B760" s="68">
        <f t="shared" si="79"/>
        <v>99</v>
      </c>
      <c r="C760" s="68">
        <f t="shared" si="76"/>
        <v>5</v>
      </c>
      <c r="D760" s="68">
        <f t="shared" si="80"/>
        <v>95</v>
      </c>
      <c r="E760" s="68">
        <f t="shared" si="77"/>
        <v>471</v>
      </c>
      <c r="F760" s="21" t="str">
        <f>VLOOKUP(D760,Sheet2!A:B,2)</f>
        <v>J20-0397</v>
      </c>
      <c r="G760" s="68" t="str">
        <f>VLOOKUP(F760,Sheet2!B:C,2,0)</f>
        <v>มิตรผลไบโอ-เพาเวอร์(ภูหลวง)</v>
      </c>
      <c r="H760" s="68" t="str">
        <f>HLOOKUP(I$2+$A760,Sheet2!BX:NB,2,0)</f>
        <v>1-15 Mar 2021</v>
      </c>
      <c r="I760" t="str">
        <f>IF(OR(HLOOKUP(I$2+$A760,Sheet2!BX:NB,$B760,0),HLOOKUP(I$2+$A760,Sheet2!BX:NB,$B760,0)&lt;&gt;""),HLOOKUP(I$2+$A760,Sheet2!BX:NB,$B760,0),"")</f>
        <v/>
      </c>
      <c r="J760" t="str">
        <f>IF(OR(HLOOKUP(J$2+$A760,Sheet2!BY:NC,$B760,0),HLOOKUP(J$2+$A760,Sheet2!BY:NC,$B760,0)&lt;&gt;""),HLOOKUP(J$2+$A760,Sheet2!BY:NC,$B760,0),"")</f>
        <v/>
      </c>
      <c r="K760" t="str">
        <f>IF(OR(HLOOKUP(K$2+$A760,Sheet2!BZ:ND,$B760,0),HLOOKUP(K$2+$A760,Sheet2!BZ:ND,$B760,0)&lt;&gt;""),HLOOKUP(K$2+$A760,Sheet2!BZ:ND,$B760,0),"")</f>
        <v/>
      </c>
      <c r="L760" t="str">
        <f>IF(OR(HLOOKUP(L$2+$A760,Sheet2!CA:NE,$B760,0),HLOOKUP(L$2+$A760,Sheet2!CA:NE,$B760,0)&lt;&gt;""),HLOOKUP(L$2+$A760,Sheet2!CA:NE,$B760,0),"")</f>
        <v/>
      </c>
      <c r="M760" t="str">
        <f>IF(OR(HLOOKUP(M$2+$A760,Sheet2!CB:NF,$B760,0),HLOOKUP(M$2+$A760,Sheet2!CB:NF,$B760,0)&lt;&gt;""),HLOOKUP(M$2+$A760,Sheet2!CB:NF,$B760,0),"")</f>
        <v/>
      </c>
    </row>
    <row r="761" spans="1:13" x14ac:dyDescent="0.25">
      <c r="A761" s="68">
        <f t="shared" si="78"/>
        <v>25</v>
      </c>
      <c r="B761" s="68">
        <f t="shared" si="79"/>
        <v>99</v>
      </c>
      <c r="C761" s="68">
        <f t="shared" si="76"/>
        <v>6</v>
      </c>
      <c r="D761" s="68">
        <f t="shared" si="80"/>
        <v>95</v>
      </c>
      <c r="E761" s="68">
        <f t="shared" si="77"/>
        <v>471</v>
      </c>
      <c r="F761" s="21" t="str">
        <f>VLOOKUP(D761,Sheet2!A:B,2)</f>
        <v>J20-0397</v>
      </c>
      <c r="G761" s="68" t="str">
        <f>VLOOKUP(F761,Sheet2!B:C,2,0)</f>
        <v>มิตรผลไบโอ-เพาเวอร์(ภูหลวง)</v>
      </c>
      <c r="H761" s="68" t="str">
        <f>HLOOKUP(I$2+$A761,Sheet2!BX:NB,2,0)</f>
        <v>16-31 Mar 21</v>
      </c>
      <c r="I761" t="str">
        <f>IF(OR(HLOOKUP(I$2+$A761,Sheet2!BX:NB,$B761,0),HLOOKUP(I$2+$A761,Sheet2!BX:NB,$B761,0)&lt;&gt;""),HLOOKUP(I$2+$A761,Sheet2!BX:NB,$B761,0),"")</f>
        <v/>
      </c>
      <c r="J761" t="str">
        <f>IF(OR(HLOOKUP(J$2+$A761,Sheet2!BY:NC,$B761,0),HLOOKUP(J$2+$A761,Sheet2!BY:NC,$B761,0)&lt;&gt;""),HLOOKUP(J$2+$A761,Sheet2!BY:NC,$B761,0),"")</f>
        <v/>
      </c>
      <c r="K761" t="str">
        <f>IF(OR(HLOOKUP(K$2+$A761,Sheet2!BZ:ND,$B761,0),HLOOKUP(K$2+$A761,Sheet2!BZ:ND,$B761,0)&lt;&gt;""),HLOOKUP(K$2+$A761,Sheet2!BZ:ND,$B761,0),"")</f>
        <v/>
      </c>
      <c r="L761" t="str">
        <f>IF(OR(HLOOKUP(L$2+$A761,Sheet2!CA:NE,$B761,0),HLOOKUP(L$2+$A761,Sheet2!CA:NE,$B761,0)&lt;&gt;""),HLOOKUP(L$2+$A761,Sheet2!CA:NE,$B761,0),"")</f>
        <v/>
      </c>
      <c r="M761" t="str">
        <f>IF(OR(HLOOKUP(M$2+$A761,Sheet2!CB:NF,$B761,0),HLOOKUP(M$2+$A761,Sheet2!CB:NF,$B761,0)&lt;&gt;""),HLOOKUP(M$2+$A761,Sheet2!CB:NF,$B761,0),"")</f>
        <v/>
      </c>
    </row>
    <row r="762" spans="1:13" x14ac:dyDescent="0.25">
      <c r="A762" s="68">
        <f t="shared" si="78"/>
        <v>30</v>
      </c>
      <c r="B762" s="68">
        <f t="shared" si="79"/>
        <v>99</v>
      </c>
      <c r="C762" s="68">
        <f t="shared" si="76"/>
        <v>7</v>
      </c>
      <c r="D762" s="68">
        <f t="shared" si="80"/>
        <v>95</v>
      </c>
      <c r="E762" s="68">
        <f t="shared" si="77"/>
        <v>471</v>
      </c>
      <c r="F762" s="21" t="str">
        <f>VLOOKUP(D762,Sheet2!A:B,2)</f>
        <v>J20-0397</v>
      </c>
      <c r="G762" s="68" t="str">
        <f>VLOOKUP(F762,Sheet2!B:C,2,0)</f>
        <v>มิตรผลไบโอ-เพาเวอร์(ภูหลวง)</v>
      </c>
      <c r="H762" s="68" t="str">
        <f>HLOOKUP(I$2+$A762,Sheet2!BX:NB,2,0)</f>
        <v>1-15 April 21</v>
      </c>
      <c r="I762" t="str">
        <f>IF(OR(HLOOKUP(I$2+$A762,Sheet2!BX:NB,$B762,0),HLOOKUP(I$2+$A762,Sheet2!BX:NB,$B762,0)&lt;&gt;""),HLOOKUP(I$2+$A762,Sheet2!BX:NB,$B762,0),"")</f>
        <v/>
      </c>
      <c r="J762" t="str">
        <f>IF(OR(HLOOKUP(J$2+$A762,Sheet2!BY:NC,$B762,0),HLOOKUP(J$2+$A762,Sheet2!BY:NC,$B762,0)&lt;&gt;""),HLOOKUP(J$2+$A762,Sheet2!BY:NC,$B762,0),"")</f>
        <v/>
      </c>
      <c r="K762" t="str">
        <f>IF(OR(HLOOKUP(K$2+$A762,Sheet2!BZ:ND,$B762,0),HLOOKUP(K$2+$A762,Sheet2!BZ:ND,$B762,0)&lt;&gt;""),HLOOKUP(K$2+$A762,Sheet2!BZ:ND,$B762,0),"")</f>
        <v/>
      </c>
      <c r="L762" t="str">
        <f>IF(OR(HLOOKUP(L$2+$A762,Sheet2!CA:NE,$B762,0),HLOOKUP(L$2+$A762,Sheet2!CA:NE,$B762,0)&lt;&gt;""),HLOOKUP(L$2+$A762,Sheet2!CA:NE,$B762,0),"")</f>
        <v/>
      </c>
      <c r="M762" t="str">
        <f>IF(OR(HLOOKUP(M$2+$A762,Sheet2!CB:NF,$B762,0),HLOOKUP(M$2+$A762,Sheet2!CB:NF,$B762,0)&lt;&gt;""),HLOOKUP(M$2+$A762,Sheet2!CB:NF,$B762,0),"")</f>
        <v/>
      </c>
    </row>
    <row r="763" spans="1:13" x14ac:dyDescent="0.25">
      <c r="A763" s="68">
        <f t="shared" si="78"/>
        <v>35</v>
      </c>
      <c r="B763" s="68">
        <f t="shared" si="79"/>
        <v>99</v>
      </c>
      <c r="C763" s="68">
        <f t="shared" si="76"/>
        <v>8</v>
      </c>
      <c r="D763" s="68">
        <f t="shared" si="80"/>
        <v>95</v>
      </c>
      <c r="E763" s="68">
        <f t="shared" si="77"/>
        <v>471</v>
      </c>
      <c r="F763" s="21" t="str">
        <f>VLOOKUP(D763,Sheet2!A:B,2)</f>
        <v>J20-0397</v>
      </c>
      <c r="G763" s="68" t="str">
        <f>VLOOKUP(F763,Sheet2!B:C,2,0)</f>
        <v>มิตรผลไบโอ-เพาเวอร์(ภูหลวง)</v>
      </c>
      <c r="H763" s="68" t="str">
        <f>HLOOKUP(I$2+$A763,Sheet2!BX:NB,2,0)</f>
        <v>16-30 April 21</v>
      </c>
      <c r="I763" t="str">
        <f>IF(OR(HLOOKUP(I$2+$A763,Sheet2!BX:NB,$B763,0),HLOOKUP(I$2+$A763,Sheet2!BX:NB,$B763,0)&lt;&gt;""),HLOOKUP(I$2+$A763,Sheet2!BX:NB,$B763,0),"")</f>
        <v/>
      </c>
      <c r="J763" t="str">
        <f>IF(OR(HLOOKUP(J$2+$A763,Sheet2!BY:NC,$B763,0),HLOOKUP(J$2+$A763,Sheet2!BY:NC,$B763,0)&lt;&gt;""),HLOOKUP(J$2+$A763,Sheet2!BY:NC,$B763,0),"")</f>
        <v/>
      </c>
      <c r="K763" t="str">
        <f>IF(OR(HLOOKUP(K$2+$A763,Sheet2!BZ:ND,$B763,0),HLOOKUP(K$2+$A763,Sheet2!BZ:ND,$B763,0)&lt;&gt;""),HLOOKUP(K$2+$A763,Sheet2!BZ:ND,$B763,0),"")</f>
        <v/>
      </c>
      <c r="L763" t="str">
        <f>IF(OR(HLOOKUP(L$2+$A763,Sheet2!CA:NE,$B763,0),HLOOKUP(L$2+$A763,Sheet2!CA:NE,$B763,0)&lt;&gt;""),HLOOKUP(L$2+$A763,Sheet2!CA:NE,$B763,0),"")</f>
        <v/>
      </c>
      <c r="M763" t="str">
        <f>IF(OR(HLOOKUP(M$2+$A763,Sheet2!CB:NF,$B763,0),HLOOKUP(M$2+$A763,Sheet2!CB:NF,$B763,0)&lt;&gt;""),HLOOKUP(M$2+$A763,Sheet2!CB:NF,$B763,0),"")</f>
        <v/>
      </c>
    </row>
    <row r="764" spans="1:13" x14ac:dyDescent="0.25">
      <c r="A764" s="68">
        <f t="shared" si="78"/>
        <v>0</v>
      </c>
      <c r="B764" s="68">
        <f t="shared" si="79"/>
        <v>100</v>
      </c>
      <c r="C764" s="68">
        <f t="shared" si="76"/>
        <v>1</v>
      </c>
      <c r="D764" s="68">
        <f t="shared" si="80"/>
        <v>96</v>
      </c>
      <c r="E764" s="68">
        <f t="shared" si="77"/>
        <v>476</v>
      </c>
      <c r="F764" s="21" t="str">
        <f>VLOOKUP(D764,Sheet2!A:B,2)</f>
        <v>J20-1072</v>
      </c>
      <c r="G764" s="68" t="str">
        <f>VLOOKUP(F764,Sheet2!B:C,2,0)</f>
        <v>พีทีที โกลบอล เคมิคอล (GC7 Area)</v>
      </c>
      <c r="H764" s="68" t="str">
        <f>HLOOKUP(I$2+$A764,Sheet2!BX:NB,2,0)</f>
        <v>1-15 Jan 21</v>
      </c>
      <c r="I764" t="str">
        <f>IF(OR(HLOOKUP(I$2+$A764,Sheet2!BX:NB,$B764,0),HLOOKUP(I$2+$A764,Sheet2!BX:NB,$B764,0)&lt;&gt;""),HLOOKUP(I$2+$A764,Sheet2!BX:NB,$B764,0),"")</f>
        <v/>
      </c>
      <c r="J764" t="str">
        <f>IF(OR(HLOOKUP(J$2+$A764,Sheet2!BY:NC,$B764,0),HLOOKUP(J$2+$A764,Sheet2!BY:NC,$B764,0)&lt;&gt;""),HLOOKUP(J$2+$A764,Sheet2!BY:NC,$B764,0),"")</f>
        <v/>
      </c>
      <c r="K764" t="str">
        <f>IF(OR(HLOOKUP(K$2+$A764,Sheet2!BZ:ND,$B764,0),HLOOKUP(K$2+$A764,Sheet2!BZ:ND,$B764,0)&lt;&gt;""),HLOOKUP(K$2+$A764,Sheet2!BZ:ND,$B764,0),"")</f>
        <v/>
      </c>
      <c r="L764" t="str">
        <f>IF(OR(HLOOKUP(L$2+$A764,Sheet2!CA:NE,$B764,0),HLOOKUP(L$2+$A764,Sheet2!CA:NE,$B764,0)&lt;&gt;""),HLOOKUP(L$2+$A764,Sheet2!CA:NE,$B764,0),"")</f>
        <v/>
      </c>
      <c r="M764" t="str">
        <f>IF(OR(HLOOKUP(M$2+$A764,Sheet2!CB:NF,$B764,0),HLOOKUP(M$2+$A764,Sheet2!CB:NF,$B764,0)&lt;&gt;""),HLOOKUP(M$2+$A764,Sheet2!CB:NF,$B764,0),"")</f>
        <v/>
      </c>
    </row>
    <row r="765" spans="1:13" x14ac:dyDescent="0.25">
      <c r="A765" s="68">
        <f t="shared" si="78"/>
        <v>5</v>
      </c>
      <c r="B765" s="68">
        <f t="shared" si="79"/>
        <v>100</v>
      </c>
      <c r="C765" s="68">
        <f t="shared" si="76"/>
        <v>2</v>
      </c>
      <c r="D765" s="68">
        <f t="shared" si="80"/>
        <v>96</v>
      </c>
      <c r="E765" s="68">
        <f t="shared" si="77"/>
        <v>476</v>
      </c>
      <c r="F765" s="21" t="str">
        <f>VLOOKUP(D765,Sheet2!A:B,2)</f>
        <v>J20-1072</v>
      </c>
      <c r="G765" s="68" t="str">
        <f>VLOOKUP(F765,Sheet2!B:C,2,0)</f>
        <v>พีทีที โกลบอล เคมิคอล (GC7 Area)</v>
      </c>
      <c r="H765" s="68" t="str">
        <f>HLOOKUP(I$2+$A765,Sheet2!BX:NB,2,0)</f>
        <v>16-31 Jan 21</v>
      </c>
      <c r="I765" t="str">
        <f>IF(OR(HLOOKUP(I$2+$A765,Sheet2!BX:NB,$B765,0),HLOOKUP(I$2+$A765,Sheet2!BX:NB,$B765,0)&lt;&gt;""),HLOOKUP(I$2+$A765,Sheet2!BX:NB,$B765,0),"")</f>
        <v/>
      </c>
      <c r="J765" t="str">
        <f>IF(OR(HLOOKUP(J$2+$A765,Sheet2!BY:NC,$B765,0),HLOOKUP(J$2+$A765,Sheet2!BY:NC,$B765,0)&lt;&gt;""),HLOOKUP(J$2+$A765,Sheet2!BY:NC,$B765,0),"")</f>
        <v/>
      </c>
      <c r="K765" t="str">
        <f>IF(OR(HLOOKUP(K$2+$A765,Sheet2!BZ:ND,$B765,0),HLOOKUP(K$2+$A765,Sheet2!BZ:ND,$B765,0)&lt;&gt;""),HLOOKUP(K$2+$A765,Sheet2!BZ:ND,$B765,0),"")</f>
        <v/>
      </c>
      <c r="L765" t="str">
        <f>IF(OR(HLOOKUP(L$2+$A765,Sheet2!CA:NE,$B765,0),HLOOKUP(L$2+$A765,Sheet2!CA:NE,$B765,0)&lt;&gt;""),HLOOKUP(L$2+$A765,Sheet2!CA:NE,$B765,0),"")</f>
        <v/>
      </c>
      <c r="M765" t="str">
        <f>IF(OR(HLOOKUP(M$2+$A765,Sheet2!CB:NF,$B765,0),HLOOKUP(M$2+$A765,Sheet2!CB:NF,$B765,0)&lt;&gt;""),HLOOKUP(M$2+$A765,Sheet2!CB:NF,$B765,0),"")</f>
        <v/>
      </c>
    </row>
    <row r="766" spans="1:13" x14ac:dyDescent="0.25">
      <c r="A766" s="68">
        <f t="shared" si="78"/>
        <v>10</v>
      </c>
      <c r="B766" s="68">
        <f t="shared" si="79"/>
        <v>100</v>
      </c>
      <c r="C766" s="68">
        <f t="shared" si="76"/>
        <v>3</v>
      </c>
      <c r="D766" s="68">
        <f t="shared" si="80"/>
        <v>96</v>
      </c>
      <c r="E766" s="68">
        <f t="shared" si="77"/>
        <v>476</v>
      </c>
      <c r="F766" s="21" t="str">
        <f>VLOOKUP(D766,Sheet2!A:B,2)</f>
        <v>J20-1072</v>
      </c>
      <c r="G766" s="68" t="str">
        <f>VLOOKUP(F766,Sheet2!B:C,2,0)</f>
        <v>พีทีที โกลบอล เคมิคอล (GC7 Area)</v>
      </c>
      <c r="H766" s="68" t="str">
        <f>HLOOKUP(I$2+$A766,Sheet2!BX:NB,2,0)</f>
        <v>1-15 Feb 21</v>
      </c>
      <c r="I766" t="str">
        <f>IF(OR(HLOOKUP(I$2+$A766,Sheet2!BX:NB,$B766,0),HLOOKUP(I$2+$A766,Sheet2!BX:NB,$B766,0)&lt;&gt;""),HLOOKUP(I$2+$A766,Sheet2!BX:NB,$B766,0),"")</f>
        <v/>
      </c>
      <c r="J766" t="str">
        <f>IF(OR(HLOOKUP(J$2+$A766,Sheet2!BY:NC,$B766,0),HLOOKUP(J$2+$A766,Sheet2!BY:NC,$B766,0)&lt;&gt;""),HLOOKUP(J$2+$A766,Sheet2!BY:NC,$B766,0),"")</f>
        <v/>
      </c>
      <c r="K766" t="str">
        <f>IF(OR(HLOOKUP(K$2+$A766,Sheet2!BZ:ND,$B766,0),HLOOKUP(K$2+$A766,Sheet2!BZ:ND,$B766,0)&lt;&gt;""),HLOOKUP(K$2+$A766,Sheet2!BZ:ND,$B766,0),"")</f>
        <v/>
      </c>
      <c r="L766" t="str">
        <f>IF(OR(HLOOKUP(L$2+$A766,Sheet2!CA:NE,$B766,0),HLOOKUP(L$2+$A766,Sheet2!CA:NE,$B766,0)&lt;&gt;""),HLOOKUP(L$2+$A766,Sheet2!CA:NE,$B766,0),"")</f>
        <v/>
      </c>
      <c r="M766" t="str">
        <f>IF(OR(HLOOKUP(M$2+$A766,Sheet2!CB:NF,$B766,0),HLOOKUP(M$2+$A766,Sheet2!CB:NF,$B766,0)&lt;&gt;""),HLOOKUP(M$2+$A766,Sheet2!CB:NF,$B766,0),"")</f>
        <v/>
      </c>
    </row>
    <row r="767" spans="1:13" x14ac:dyDescent="0.25">
      <c r="A767" s="68">
        <f t="shared" si="78"/>
        <v>15</v>
      </c>
      <c r="B767" s="68">
        <f t="shared" si="79"/>
        <v>100</v>
      </c>
      <c r="C767" s="68">
        <f t="shared" si="76"/>
        <v>4</v>
      </c>
      <c r="D767" s="68">
        <f t="shared" si="80"/>
        <v>96</v>
      </c>
      <c r="E767" s="68">
        <f t="shared" si="77"/>
        <v>476</v>
      </c>
      <c r="F767" s="21" t="str">
        <f>VLOOKUP(D767,Sheet2!A:B,2)</f>
        <v>J20-1072</v>
      </c>
      <c r="G767" s="68" t="str">
        <f>VLOOKUP(F767,Sheet2!B:C,2,0)</f>
        <v>พีทีที โกลบอล เคมิคอล (GC7 Area)</v>
      </c>
      <c r="H767" s="68" t="str">
        <f>HLOOKUP(I$2+$A767,Sheet2!BX:NB,2,0)</f>
        <v>16-28 Feb 21</v>
      </c>
      <c r="I767" t="str">
        <f>IF(OR(HLOOKUP(I$2+$A767,Sheet2!BX:NB,$B767,0),HLOOKUP(I$2+$A767,Sheet2!BX:NB,$B767,0)&lt;&gt;""),HLOOKUP(I$2+$A767,Sheet2!BX:NB,$B767,0),"")</f>
        <v/>
      </c>
      <c r="J767" t="str">
        <f>IF(OR(HLOOKUP(J$2+$A767,Sheet2!BY:NC,$B767,0),HLOOKUP(J$2+$A767,Sheet2!BY:NC,$B767,0)&lt;&gt;""),HLOOKUP(J$2+$A767,Sheet2!BY:NC,$B767,0),"")</f>
        <v/>
      </c>
      <c r="K767" t="str">
        <f>IF(OR(HLOOKUP(K$2+$A767,Sheet2!BZ:ND,$B767,0),HLOOKUP(K$2+$A767,Sheet2!BZ:ND,$B767,0)&lt;&gt;""),HLOOKUP(K$2+$A767,Sheet2!BZ:ND,$B767,0),"")</f>
        <v/>
      </c>
      <c r="L767" t="str">
        <f>IF(OR(HLOOKUP(L$2+$A767,Sheet2!CA:NE,$B767,0),HLOOKUP(L$2+$A767,Sheet2!CA:NE,$B767,0)&lt;&gt;""),HLOOKUP(L$2+$A767,Sheet2!CA:NE,$B767,0),"")</f>
        <v/>
      </c>
      <c r="M767" t="str">
        <f>IF(OR(HLOOKUP(M$2+$A767,Sheet2!CB:NF,$B767,0),HLOOKUP(M$2+$A767,Sheet2!CB:NF,$B767,0)&lt;&gt;""),HLOOKUP(M$2+$A767,Sheet2!CB:NF,$B767,0),"")</f>
        <v/>
      </c>
    </row>
    <row r="768" spans="1:13" x14ac:dyDescent="0.25">
      <c r="A768" s="68">
        <f t="shared" si="78"/>
        <v>20</v>
      </c>
      <c r="B768" s="68">
        <f t="shared" si="79"/>
        <v>100</v>
      </c>
      <c r="C768" s="68">
        <f t="shared" si="76"/>
        <v>5</v>
      </c>
      <c r="D768" s="68">
        <f t="shared" si="80"/>
        <v>96</v>
      </c>
      <c r="E768" s="68">
        <f t="shared" si="77"/>
        <v>476</v>
      </c>
      <c r="F768" s="21" t="str">
        <f>VLOOKUP(D768,Sheet2!A:B,2)</f>
        <v>J20-1072</v>
      </c>
      <c r="G768" s="68" t="str">
        <f>VLOOKUP(F768,Sheet2!B:C,2,0)</f>
        <v>พีทีที โกลบอล เคมิคอล (GC7 Area)</v>
      </c>
      <c r="H768" s="68" t="str">
        <f>HLOOKUP(I$2+$A768,Sheet2!BX:NB,2,0)</f>
        <v>1-15 Mar 2021</v>
      </c>
      <c r="I768" t="str">
        <f>IF(OR(HLOOKUP(I$2+$A768,Sheet2!BX:NB,$B768,0),HLOOKUP(I$2+$A768,Sheet2!BX:NB,$B768,0)&lt;&gt;""),HLOOKUP(I$2+$A768,Sheet2!BX:NB,$B768,0),"")</f>
        <v/>
      </c>
      <c r="J768" t="str">
        <f>IF(OR(HLOOKUP(J$2+$A768,Sheet2!BY:NC,$B768,0),HLOOKUP(J$2+$A768,Sheet2!BY:NC,$B768,0)&lt;&gt;""),HLOOKUP(J$2+$A768,Sheet2!BY:NC,$B768,0),"")</f>
        <v/>
      </c>
      <c r="K768" t="str">
        <f>IF(OR(HLOOKUP(K$2+$A768,Sheet2!BZ:ND,$B768,0),HLOOKUP(K$2+$A768,Sheet2!BZ:ND,$B768,0)&lt;&gt;""),HLOOKUP(K$2+$A768,Sheet2!BZ:ND,$B768,0),"")</f>
        <v/>
      </c>
      <c r="L768" t="str">
        <f>IF(OR(HLOOKUP(L$2+$A768,Sheet2!CA:NE,$B768,0),HLOOKUP(L$2+$A768,Sheet2!CA:NE,$B768,0)&lt;&gt;""),HLOOKUP(L$2+$A768,Sheet2!CA:NE,$B768,0),"")</f>
        <v/>
      </c>
      <c r="M768" t="str">
        <f>IF(OR(HLOOKUP(M$2+$A768,Sheet2!CB:NF,$B768,0),HLOOKUP(M$2+$A768,Sheet2!CB:NF,$B768,0)&lt;&gt;""),HLOOKUP(M$2+$A768,Sheet2!CB:NF,$B768,0),"")</f>
        <v/>
      </c>
    </row>
    <row r="769" spans="1:13" x14ac:dyDescent="0.25">
      <c r="A769" s="68">
        <f t="shared" si="78"/>
        <v>25</v>
      </c>
      <c r="B769" s="68">
        <f t="shared" si="79"/>
        <v>100</v>
      </c>
      <c r="C769" s="68">
        <f t="shared" si="76"/>
        <v>6</v>
      </c>
      <c r="D769" s="68">
        <f t="shared" si="80"/>
        <v>96</v>
      </c>
      <c r="E769" s="68">
        <f t="shared" si="77"/>
        <v>476</v>
      </c>
      <c r="F769" s="21" t="str">
        <f>VLOOKUP(D769,Sheet2!A:B,2)</f>
        <v>J20-1072</v>
      </c>
      <c r="G769" s="68" t="str">
        <f>VLOOKUP(F769,Sheet2!B:C,2,0)</f>
        <v>พีทีที โกลบอล เคมิคอล (GC7 Area)</v>
      </c>
      <c r="H769" s="68" t="str">
        <f>HLOOKUP(I$2+$A769,Sheet2!BX:NB,2,0)</f>
        <v>16-31 Mar 21</v>
      </c>
      <c r="I769" t="str">
        <f>IF(OR(HLOOKUP(I$2+$A769,Sheet2!BX:NB,$B769,0),HLOOKUP(I$2+$A769,Sheet2!BX:NB,$B769,0)&lt;&gt;""),HLOOKUP(I$2+$A769,Sheet2!BX:NB,$B769,0),"")</f>
        <v/>
      </c>
      <c r="J769" t="str">
        <f>IF(OR(HLOOKUP(J$2+$A769,Sheet2!BY:NC,$B769,0),HLOOKUP(J$2+$A769,Sheet2!BY:NC,$B769,0)&lt;&gt;""),HLOOKUP(J$2+$A769,Sheet2!BY:NC,$B769,0),"")</f>
        <v/>
      </c>
      <c r="K769" t="str">
        <f>IF(OR(HLOOKUP(K$2+$A769,Sheet2!BZ:ND,$B769,0),HLOOKUP(K$2+$A769,Sheet2!BZ:ND,$B769,0)&lt;&gt;""),HLOOKUP(K$2+$A769,Sheet2!BZ:ND,$B769,0),"")</f>
        <v/>
      </c>
      <c r="L769" t="str">
        <f>IF(OR(HLOOKUP(L$2+$A769,Sheet2!CA:NE,$B769,0),HLOOKUP(L$2+$A769,Sheet2!CA:NE,$B769,0)&lt;&gt;""),HLOOKUP(L$2+$A769,Sheet2!CA:NE,$B769,0),"")</f>
        <v/>
      </c>
      <c r="M769" t="str">
        <f>IF(OR(HLOOKUP(M$2+$A769,Sheet2!CB:NF,$B769,0),HLOOKUP(M$2+$A769,Sheet2!CB:NF,$B769,0)&lt;&gt;""),HLOOKUP(M$2+$A769,Sheet2!CB:NF,$B769,0),"")</f>
        <v/>
      </c>
    </row>
    <row r="770" spans="1:13" x14ac:dyDescent="0.25">
      <c r="A770" s="68">
        <f t="shared" si="78"/>
        <v>30</v>
      </c>
      <c r="B770" s="68">
        <f t="shared" si="79"/>
        <v>100</v>
      </c>
      <c r="C770" s="68">
        <f t="shared" si="76"/>
        <v>7</v>
      </c>
      <c r="D770" s="68">
        <f t="shared" si="80"/>
        <v>96</v>
      </c>
      <c r="E770" s="68">
        <f t="shared" si="77"/>
        <v>476</v>
      </c>
      <c r="F770" s="21" t="str">
        <f>VLOOKUP(D770,Sheet2!A:B,2)</f>
        <v>J20-1072</v>
      </c>
      <c r="G770" s="68" t="str">
        <f>VLOOKUP(F770,Sheet2!B:C,2,0)</f>
        <v>พีทีที โกลบอล เคมิคอล (GC7 Area)</v>
      </c>
      <c r="H770" s="68" t="str">
        <f>HLOOKUP(I$2+$A770,Sheet2!BX:NB,2,0)</f>
        <v>1-15 April 21</v>
      </c>
      <c r="I770" t="str">
        <f>IF(OR(HLOOKUP(I$2+$A770,Sheet2!BX:NB,$B770,0),HLOOKUP(I$2+$A770,Sheet2!BX:NB,$B770,0)&lt;&gt;""),HLOOKUP(I$2+$A770,Sheet2!BX:NB,$B770,0),"")</f>
        <v/>
      </c>
      <c r="J770" t="str">
        <f>IF(OR(HLOOKUP(J$2+$A770,Sheet2!BY:NC,$B770,0),HLOOKUP(J$2+$A770,Sheet2!BY:NC,$B770,0)&lt;&gt;""),HLOOKUP(J$2+$A770,Sheet2!BY:NC,$B770,0),"")</f>
        <v/>
      </c>
      <c r="K770" t="str">
        <f>IF(OR(HLOOKUP(K$2+$A770,Sheet2!BZ:ND,$B770,0),HLOOKUP(K$2+$A770,Sheet2!BZ:ND,$B770,0)&lt;&gt;""),HLOOKUP(K$2+$A770,Sheet2!BZ:ND,$B770,0),"")</f>
        <v/>
      </c>
      <c r="L770" t="str">
        <f>IF(OR(HLOOKUP(L$2+$A770,Sheet2!CA:NE,$B770,0),HLOOKUP(L$2+$A770,Sheet2!CA:NE,$B770,0)&lt;&gt;""),HLOOKUP(L$2+$A770,Sheet2!CA:NE,$B770,0),"")</f>
        <v/>
      </c>
      <c r="M770" t="str">
        <f>IF(OR(HLOOKUP(M$2+$A770,Sheet2!CB:NF,$B770,0),HLOOKUP(M$2+$A770,Sheet2!CB:NF,$B770,0)&lt;&gt;""),HLOOKUP(M$2+$A770,Sheet2!CB:NF,$B770,0),"")</f>
        <v/>
      </c>
    </row>
    <row r="771" spans="1:13" x14ac:dyDescent="0.25">
      <c r="A771" s="68">
        <f t="shared" si="78"/>
        <v>35</v>
      </c>
      <c r="B771" s="68">
        <f t="shared" si="79"/>
        <v>100</v>
      </c>
      <c r="C771" s="68">
        <f t="shared" si="76"/>
        <v>8</v>
      </c>
      <c r="D771" s="68">
        <f t="shared" si="80"/>
        <v>96</v>
      </c>
      <c r="E771" s="68">
        <f t="shared" si="77"/>
        <v>476</v>
      </c>
      <c r="F771" s="21" t="str">
        <f>VLOOKUP(D771,Sheet2!A:B,2)</f>
        <v>J20-1072</v>
      </c>
      <c r="G771" s="68" t="str">
        <f>VLOOKUP(F771,Sheet2!B:C,2,0)</f>
        <v>พีทีที โกลบอล เคมิคอล (GC7 Area)</v>
      </c>
      <c r="H771" s="68" t="str">
        <f>HLOOKUP(I$2+$A771,Sheet2!BX:NB,2,0)</f>
        <v>16-30 April 21</v>
      </c>
      <c r="I771" t="str">
        <f>IF(OR(HLOOKUP(I$2+$A771,Sheet2!BX:NB,$B771,0),HLOOKUP(I$2+$A771,Sheet2!BX:NB,$B771,0)&lt;&gt;""),HLOOKUP(I$2+$A771,Sheet2!BX:NB,$B771,0),"")</f>
        <v/>
      </c>
      <c r="J771" t="str">
        <f>IF(OR(HLOOKUP(J$2+$A771,Sheet2!BY:NC,$B771,0),HLOOKUP(J$2+$A771,Sheet2!BY:NC,$B771,0)&lt;&gt;""),HLOOKUP(J$2+$A771,Sheet2!BY:NC,$B771,0),"")</f>
        <v/>
      </c>
      <c r="K771" t="str">
        <f>IF(OR(HLOOKUP(K$2+$A771,Sheet2!BZ:ND,$B771,0),HLOOKUP(K$2+$A771,Sheet2!BZ:ND,$B771,0)&lt;&gt;""),HLOOKUP(K$2+$A771,Sheet2!BZ:ND,$B771,0),"")</f>
        <v/>
      </c>
      <c r="L771" t="str">
        <f>IF(OR(HLOOKUP(L$2+$A771,Sheet2!CA:NE,$B771,0),HLOOKUP(L$2+$A771,Sheet2!CA:NE,$B771,0)&lt;&gt;""),HLOOKUP(L$2+$A771,Sheet2!CA:NE,$B771,0),"")</f>
        <v/>
      </c>
      <c r="M771" t="str">
        <f>IF(OR(HLOOKUP(M$2+$A771,Sheet2!CB:NF,$B771,0),HLOOKUP(M$2+$A771,Sheet2!CB:NF,$B771,0)&lt;&gt;""),HLOOKUP(M$2+$A771,Sheet2!CB:NF,$B771,0),"")</f>
        <v/>
      </c>
    </row>
    <row r="772" spans="1:13" x14ac:dyDescent="0.25">
      <c r="A772" s="68">
        <f t="shared" si="78"/>
        <v>0</v>
      </c>
      <c r="B772" s="68">
        <f t="shared" si="79"/>
        <v>101</v>
      </c>
      <c r="C772" s="68">
        <f t="shared" si="76"/>
        <v>1</v>
      </c>
      <c r="D772" s="68">
        <f t="shared" si="80"/>
        <v>97</v>
      </c>
      <c r="E772" s="68">
        <f t="shared" si="77"/>
        <v>481</v>
      </c>
      <c r="F772" s="21" t="str">
        <f>VLOOKUP(D772,Sheet2!A:B,2)</f>
        <v>J20-1175</v>
      </c>
      <c r="G772" s="68" t="str">
        <f>VLOOKUP(F772,Sheet2!B:C,2,0)</f>
        <v>บริษัท แอนเซลล์ (ประเทศไทย) จำกัด</v>
      </c>
      <c r="H772" s="68" t="str">
        <f>HLOOKUP(I$2+$A772,Sheet2!BX:NB,2,0)</f>
        <v>1-15 Jan 21</v>
      </c>
      <c r="I772" t="str">
        <f>IF(OR(HLOOKUP(I$2+$A772,Sheet2!BX:NB,$B772,0),HLOOKUP(I$2+$A772,Sheet2!BX:NB,$B772,0)&lt;&gt;""),HLOOKUP(I$2+$A772,Sheet2!BX:NB,$B772,0),"")</f>
        <v/>
      </c>
      <c r="J772" t="str">
        <f>IF(OR(HLOOKUP(J$2+$A772,Sheet2!BY:NC,$B772,0),HLOOKUP(J$2+$A772,Sheet2!BY:NC,$B772,0)&lt;&gt;""),HLOOKUP(J$2+$A772,Sheet2!BY:NC,$B772,0),"")</f>
        <v/>
      </c>
      <c r="K772" t="str">
        <f>IF(OR(HLOOKUP(K$2+$A772,Sheet2!BZ:ND,$B772,0),HLOOKUP(K$2+$A772,Sheet2!BZ:ND,$B772,0)&lt;&gt;""),HLOOKUP(K$2+$A772,Sheet2!BZ:ND,$B772,0),"")</f>
        <v/>
      </c>
      <c r="L772" t="str">
        <f>IF(OR(HLOOKUP(L$2+$A772,Sheet2!CA:NE,$B772,0),HLOOKUP(L$2+$A772,Sheet2!CA:NE,$B772,0)&lt;&gt;""),HLOOKUP(L$2+$A772,Sheet2!CA:NE,$B772,0),"")</f>
        <v/>
      </c>
      <c r="M772" t="str">
        <f>IF(OR(HLOOKUP(M$2+$A772,Sheet2!CB:NF,$B772,0),HLOOKUP(M$2+$A772,Sheet2!CB:NF,$B772,0)&lt;&gt;""),HLOOKUP(M$2+$A772,Sheet2!CB:NF,$B772,0),"")</f>
        <v/>
      </c>
    </row>
    <row r="773" spans="1:13" x14ac:dyDescent="0.25">
      <c r="A773" s="68">
        <f t="shared" si="78"/>
        <v>5</v>
      </c>
      <c r="B773" s="68">
        <f t="shared" si="79"/>
        <v>101</v>
      </c>
      <c r="C773" s="68">
        <f t="shared" si="76"/>
        <v>2</v>
      </c>
      <c r="D773" s="68">
        <f t="shared" si="80"/>
        <v>97</v>
      </c>
      <c r="E773" s="68">
        <f t="shared" si="77"/>
        <v>481</v>
      </c>
      <c r="F773" s="21" t="str">
        <f>VLOOKUP(D773,Sheet2!A:B,2)</f>
        <v>J20-1175</v>
      </c>
      <c r="G773" s="68" t="str">
        <f>VLOOKUP(F773,Sheet2!B:C,2,0)</f>
        <v>บริษัท แอนเซลล์ (ประเทศไทย) จำกัด</v>
      </c>
      <c r="H773" s="68" t="str">
        <f>HLOOKUP(I$2+$A773,Sheet2!BX:NB,2,0)</f>
        <v>16-31 Jan 21</v>
      </c>
      <c r="I773" t="str">
        <f>IF(OR(HLOOKUP(I$2+$A773,Sheet2!BX:NB,$B773,0),HLOOKUP(I$2+$A773,Sheet2!BX:NB,$B773,0)&lt;&gt;""),HLOOKUP(I$2+$A773,Sheet2!BX:NB,$B773,0),"")</f>
        <v/>
      </c>
      <c r="J773" t="str">
        <f>IF(OR(HLOOKUP(J$2+$A773,Sheet2!BY:NC,$B773,0),HLOOKUP(J$2+$A773,Sheet2!BY:NC,$B773,0)&lt;&gt;""),HLOOKUP(J$2+$A773,Sheet2!BY:NC,$B773,0),"")</f>
        <v/>
      </c>
      <c r="K773" t="str">
        <f>IF(OR(HLOOKUP(K$2+$A773,Sheet2!BZ:ND,$B773,0),HLOOKUP(K$2+$A773,Sheet2!BZ:ND,$B773,0)&lt;&gt;""),HLOOKUP(K$2+$A773,Sheet2!BZ:ND,$B773,0),"")</f>
        <v/>
      </c>
      <c r="L773" t="str">
        <f>IF(OR(HLOOKUP(L$2+$A773,Sheet2!CA:NE,$B773,0),HLOOKUP(L$2+$A773,Sheet2!CA:NE,$B773,0)&lt;&gt;""),HLOOKUP(L$2+$A773,Sheet2!CA:NE,$B773,0),"")</f>
        <v/>
      </c>
      <c r="M773" t="str">
        <f>IF(OR(HLOOKUP(M$2+$A773,Sheet2!CB:NF,$B773,0),HLOOKUP(M$2+$A773,Sheet2!CB:NF,$B773,0)&lt;&gt;""),HLOOKUP(M$2+$A773,Sheet2!CB:NF,$B773,0),"")</f>
        <v/>
      </c>
    </row>
    <row r="774" spans="1:13" x14ac:dyDescent="0.25">
      <c r="A774" s="68">
        <f t="shared" si="78"/>
        <v>10</v>
      </c>
      <c r="B774" s="68">
        <f t="shared" si="79"/>
        <v>101</v>
      </c>
      <c r="C774" s="68">
        <f t="shared" si="76"/>
        <v>3</v>
      </c>
      <c r="D774" s="68">
        <f t="shared" si="80"/>
        <v>97</v>
      </c>
      <c r="E774" s="68">
        <f t="shared" si="77"/>
        <v>481</v>
      </c>
      <c r="F774" s="21" t="str">
        <f>VLOOKUP(D774,Sheet2!A:B,2)</f>
        <v>J20-1175</v>
      </c>
      <c r="G774" s="68" t="str">
        <f>VLOOKUP(F774,Sheet2!B:C,2,0)</f>
        <v>บริษัท แอนเซลล์ (ประเทศไทย) จำกัด</v>
      </c>
      <c r="H774" s="68" t="str">
        <f>HLOOKUP(I$2+$A774,Sheet2!BX:NB,2,0)</f>
        <v>1-15 Feb 21</v>
      </c>
      <c r="I774" t="str">
        <f>IF(OR(HLOOKUP(I$2+$A774,Sheet2!BX:NB,$B774,0),HLOOKUP(I$2+$A774,Sheet2!BX:NB,$B774,0)&lt;&gt;""),HLOOKUP(I$2+$A774,Sheet2!BX:NB,$B774,0),"")</f>
        <v/>
      </c>
      <c r="J774" t="str">
        <f>IF(OR(HLOOKUP(J$2+$A774,Sheet2!BY:NC,$B774,0),HLOOKUP(J$2+$A774,Sheet2!BY:NC,$B774,0)&lt;&gt;""),HLOOKUP(J$2+$A774,Sheet2!BY:NC,$B774,0),"")</f>
        <v/>
      </c>
      <c r="K774" t="str">
        <f>IF(OR(HLOOKUP(K$2+$A774,Sheet2!BZ:ND,$B774,0),HLOOKUP(K$2+$A774,Sheet2!BZ:ND,$B774,0)&lt;&gt;""),HLOOKUP(K$2+$A774,Sheet2!BZ:ND,$B774,0),"")</f>
        <v/>
      </c>
      <c r="L774" t="str">
        <f>IF(OR(HLOOKUP(L$2+$A774,Sheet2!CA:NE,$B774,0),HLOOKUP(L$2+$A774,Sheet2!CA:NE,$B774,0)&lt;&gt;""),HLOOKUP(L$2+$A774,Sheet2!CA:NE,$B774,0),"")</f>
        <v/>
      </c>
      <c r="M774" t="str">
        <f>IF(OR(HLOOKUP(M$2+$A774,Sheet2!CB:NF,$B774,0),HLOOKUP(M$2+$A774,Sheet2!CB:NF,$B774,0)&lt;&gt;""),HLOOKUP(M$2+$A774,Sheet2!CB:NF,$B774,0),"")</f>
        <v/>
      </c>
    </row>
    <row r="775" spans="1:13" x14ac:dyDescent="0.25">
      <c r="A775" s="68">
        <f t="shared" si="78"/>
        <v>15</v>
      </c>
      <c r="B775" s="68">
        <f t="shared" si="79"/>
        <v>101</v>
      </c>
      <c r="C775" s="68">
        <f t="shared" si="76"/>
        <v>4</v>
      </c>
      <c r="D775" s="68">
        <f t="shared" si="80"/>
        <v>97</v>
      </c>
      <c r="E775" s="68">
        <f t="shared" si="77"/>
        <v>481</v>
      </c>
      <c r="F775" s="21" t="str">
        <f>VLOOKUP(D775,Sheet2!A:B,2)</f>
        <v>J20-1175</v>
      </c>
      <c r="G775" s="68" t="str">
        <f>VLOOKUP(F775,Sheet2!B:C,2,0)</f>
        <v>บริษัท แอนเซลล์ (ประเทศไทย) จำกัด</v>
      </c>
      <c r="H775" s="68" t="str">
        <f>HLOOKUP(I$2+$A775,Sheet2!BX:NB,2,0)</f>
        <v>16-28 Feb 21</v>
      </c>
      <c r="I775" t="str">
        <f>IF(OR(HLOOKUP(I$2+$A775,Sheet2!BX:NB,$B775,0),HLOOKUP(I$2+$A775,Sheet2!BX:NB,$B775,0)&lt;&gt;""),HLOOKUP(I$2+$A775,Sheet2!BX:NB,$B775,0),"")</f>
        <v/>
      </c>
      <c r="J775" t="str">
        <f>IF(OR(HLOOKUP(J$2+$A775,Sheet2!BY:NC,$B775,0),HLOOKUP(J$2+$A775,Sheet2!BY:NC,$B775,0)&lt;&gt;""),HLOOKUP(J$2+$A775,Sheet2!BY:NC,$B775,0),"")</f>
        <v/>
      </c>
      <c r="K775" t="str">
        <f>IF(OR(HLOOKUP(K$2+$A775,Sheet2!BZ:ND,$B775,0),HLOOKUP(K$2+$A775,Sheet2!BZ:ND,$B775,0)&lt;&gt;""),HLOOKUP(K$2+$A775,Sheet2!BZ:ND,$B775,0),"")</f>
        <v/>
      </c>
      <c r="L775" t="str">
        <f>IF(OR(HLOOKUP(L$2+$A775,Sheet2!CA:NE,$B775,0),HLOOKUP(L$2+$A775,Sheet2!CA:NE,$B775,0)&lt;&gt;""),HLOOKUP(L$2+$A775,Sheet2!CA:NE,$B775,0),"")</f>
        <v/>
      </c>
      <c r="M775" t="str">
        <f>IF(OR(HLOOKUP(M$2+$A775,Sheet2!CB:NF,$B775,0),HLOOKUP(M$2+$A775,Sheet2!CB:NF,$B775,0)&lt;&gt;""),HLOOKUP(M$2+$A775,Sheet2!CB:NF,$B775,0),"")</f>
        <v/>
      </c>
    </row>
    <row r="776" spans="1:13" x14ac:dyDescent="0.25">
      <c r="A776" s="68">
        <f t="shared" si="78"/>
        <v>20</v>
      </c>
      <c r="B776" s="68">
        <f t="shared" si="79"/>
        <v>101</v>
      </c>
      <c r="C776" s="68">
        <f t="shared" si="76"/>
        <v>5</v>
      </c>
      <c r="D776" s="68">
        <f t="shared" si="80"/>
        <v>97</v>
      </c>
      <c r="E776" s="68">
        <f t="shared" si="77"/>
        <v>481</v>
      </c>
      <c r="F776" s="21" t="str">
        <f>VLOOKUP(D776,Sheet2!A:B,2)</f>
        <v>J20-1175</v>
      </c>
      <c r="G776" s="68" t="str">
        <f>VLOOKUP(F776,Sheet2!B:C,2,0)</f>
        <v>บริษัท แอนเซลล์ (ประเทศไทย) จำกัด</v>
      </c>
      <c r="H776" s="68" t="str">
        <f>HLOOKUP(I$2+$A776,Sheet2!BX:NB,2,0)</f>
        <v>1-15 Mar 2021</v>
      </c>
      <c r="I776" t="str">
        <f>IF(OR(HLOOKUP(I$2+$A776,Sheet2!BX:NB,$B776,0),HLOOKUP(I$2+$A776,Sheet2!BX:NB,$B776,0)&lt;&gt;""),HLOOKUP(I$2+$A776,Sheet2!BX:NB,$B776,0),"")</f>
        <v/>
      </c>
      <c r="J776" t="str">
        <f>IF(OR(HLOOKUP(J$2+$A776,Sheet2!BY:NC,$B776,0),HLOOKUP(J$2+$A776,Sheet2!BY:NC,$B776,0)&lt;&gt;""),HLOOKUP(J$2+$A776,Sheet2!BY:NC,$B776,0),"")</f>
        <v/>
      </c>
      <c r="K776" t="str">
        <f>IF(OR(HLOOKUP(K$2+$A776,Sheet2!BZ:ND,$B776,0),HLOOKUP(K$2+$A776,Sheet2!BZ:ND,$B776,0)&lt;&gt;""),HLOOKUP(K$2+$A776,Sheet2!BZ:ND,$B776,0),"")</f>
        <v/>
      </c>
      <c r="L776" t="str">
        <f>IF(OR(HLOOKUP(L$2+$A776,Sheet2!CA:NE,$B776,0),HLOOKUP(L$2+$A776,Sheet2!CA:NE,$B776,0)&lt;&gt;""),HLOOKUP(L$2+$A776,Sheet2!CA:NE,$B776,0),"")</f>
        <v/>
      </c>
      <c r="M776" t="str">
        <f>IF(OR(HLOOKUP(M$2+$A776,Sheet2!CB:NF,$B776,0),HLOOKUP(M$2+$A776,Sheet2!CB:NF,$B776,0)&lt;&gt;""),HLOOKUP(M$2+$A776,Sheet2!CB:NF,$B776,0),"")</f>
        <v/>
      </c>
    </row>
    <row r="777" spans="1:13" x14ac:dyDescent="0.25">
      <c r="A777" s="68">
        <f t="shared" si="78"/>
        <v>25</v>
      </c>
      <c r="B777" s="68">
        <f t="shared" si="79"/>
        <v>101</v>
      </c>
      <c r="C777" s="68">
        <f t="shared" si="76"/>
        <v>6</v>
      </c>
      <c r="D777" s="68">
        <f t="shared" si="80"/>
        <v>97</v>
      </c>
      <c r="E777" s="68">
        <f t="shared" si="77"/>
        <v>481</v>
      </c>
      <c r="F777" s="21" t="str">
        <f>VLOOKUP(D777,Sheet2!A:B,2)</f>
        <v>J20-1175</v>
      </c>
      <c r="G777" s="68" t="str">
        <f>VLOOKUP(F777,Sheet2!B:C,2,0)</f>
        <v>บริษัท แอนเซลล์ (ประเทศไทย) จำกัด</v>
      </c>
      <c r="H777" s="68" t="str">
        <f>HLOOKUP(I$2+$A777,Sheet2!BX:NB,2,0)</f>
        <v>16-31 Mar 21</v>
      </c>
      <c r="I777" t="str">
        <f>IF(OR(HLOOKUP(I$2+$A777,Sheet2!BX:NB,$B777,0),HLOOKUP(I$2+$A777,Sheet2!BX:NB,$B777,0)&lt;&gt;""),HLOOKUP(I$2+$A777,Sheet2!BX:NB,$B777,0),"")</f>
        <v/>
      </c>
      <c r="J777" t="str">
        <f>IF(OR(HLOOKUP(J$2+$A777,Sheet2!BY:NC,$B777,0),HLOOKUP(J$2+$A777,Sheet2!BY:NC,$B777,0)&lt;&gt;""),HLOOKUP(J$2+$A777,Sheet2!BY:NC,$B777,0),"")</f>
        <v/>
      </c>
      <c r="K777" t="str">
        <f>IF(OR(HLOOKUP(K$2+$A777,Sheet2!BZ:ND,$B777,0),HLOOKUP(K$2+$A777,Sheet2!BZ:ND,$B777,0)&lt;&gt;""),HLOOKUP(K$2+$A777,Sheet2!BZ:ND,$B777,0),"")</f>
        <v/>
      </c>
      <c r="L777" t="str">
        <f>IF(OR(HLOOKUP(L$2+$A777,Sheet2!CA:NE,$B777,0),HLOOKUP(L$2+$A777,Sheet2!CA:NE,$B777,0)&lt;&gt;""),HLOOKUP(L$2+$A777,Sheet2!CA:NE,$B777,0),"")</f>
        <v/>
      </c>
      <c r="M777" t="str">
        <f>IF(OR(HLOOKUP(M$2+$A777,Sheet2!CB:NF,$B777,0),HLOOKUP(M$2+$A777,Sheet2!CB:NF,$B777,0)&lt;&gt;""),HLOOKUP(M$2+$A777,Sheet2!CB:NF,$B777,0),"")</f>
        <v/>
      </c>
    </row>
    <row r="778" spans="1:13" x14ac:dyDescent="0.25">
      <c r="A778" s="68">
        <f t="shared" si="78"/>
        <v>30</v>
      </c>
      <c r="B778" s="68">
        <f t="shared" si="79"/>
        <v>101</v>
      </c>
      <c r="C778" s="68">
        <f t="shared" si="76"/>
        <v>7</v>
      </c>
      <c r="D778" s="68">
        <f t="shared" si="80"/>
        <v>97</v>
      </c>
      <c r="E778" s="68">
        <f t="shared" si="77"/>
        <v>481</v>
      </c>
      <c r="F778" s="21" t="str">
        <f>VLOOKUP(D778,Sheet2!A:B,2)</f>
        <v>J20-1175</v>
      </c>
      <c r="G778" s="68" t="str">
        <f>VLOOKUP(F778,Sheet2!B:C,2,0)</f>
        <v>บริษัท แอนเซลล์ (ประเทศไทย) จำกัด</v>
      </c>
      <c r="H778" s="68" t="str">
        <f>HLOOKUP(I$2+$A778,Sheet2!BX:NB,2,0)</f>
        <v>1-15 April 21</v>
      </c>
      <c r="I778" t="str">
        <f>IF(OR(HLOOKUP(I$2+$A778,Sheet2!BX:NB,$B778,0),HLOOKUP(I$2+$A778,Sheet2!BX:NB,$B778,0)&lt;&gt;""),HLOOKUP(I$2+$A778,Sheet2!BX:NB,$B778,0),"")</f>
        <v/>
      </c>
      <c r="J778" t="str">
        <f>IF(OR(HLOOKUP(J$2+$A778,Sheet2!BY:NC,$B778,0),HLOOKUP(J$2+$A778,Sheet2!BY:NC,$B778,0)&lt;&gt;""),HLOOKUP(J$2+$A778,Sheet2!BY:NC,$B778,0),"")</f>
        <v/>
      </c>
      <c r="K778" t="str">
        <f>IF(OR(HLOOKUP(K$2+$A778,Sheet2!BZ:ND,$B778,0),HLOOKUP(K$2+$A778,Sheet2!BZ:ND,$B778,0)&lt;&gt;""),HLOOKUP(K$2+$A778,Sheet2!BZ:ND,$B778,0),"")</f>
        <v/>
      </c>
      <c r="L778" t="str">
        <f>IF(OR(HLOOKUP(L$2+$A778,Sheet2!CA:NE,$B778,0),HLOOKUP(L$2+$A778,Sheet2!CA:NE,$B778,0)&lt;&gt;""),HLOOKUP(L$2+$A778,Sheet2!CA:NE,$B778,0),"")</f>
        <v/>
      </c>
      <c r="M778" t="str">
        <f>IF(OR(HLOOKUP(M$2+$A778,Sheet2!CB:NF,$B778,0),HLOOKUP(M$2+$A778,Sheet2!CB:NF,$B778,0)&lt;&gt;""),HLOOKUP(M$2+$A778,Sheet2!CB:NF,$B778,0),"")</f>
        <v/>
      </c>
    </row>
    <row r="779" spans="1:13" x14ac:dyDescent="0.25">
      <c r="A779" s="68">
        <f t="shared" si="78"/>
        <v>35</v>
      </c>
      <c r="B779" s="68">
        <f t="shared" si="79"/>
        <v>101</v>
      </c>
      <c r="C779" s="68">
        <f t="shared" si="76"/>
        <v>8</v>
      </c>
      <c r="D779" s="68">
        <f t="shared" si="80"/>
        <v>97</v>
      </c>
      <c r="E779" s="68">
        <f t="shared" si="77"/>
        <v>481</v>
      </c>
      <c r="F779" s="21" t="str">
        <f>VLOOKUP(D779,Sheet2!A:B,2)</f>
        <v>J20-1175</v>
      </c>
      <c r="G779" s="68" t="str">
        <f>VLOOKUP(F779,Sheet2!B:C,2,0)</f>
        <v>บริษัท แอนเซลล์ (ประเทศไทย) จำกัด</v>
      </c>
      <c r="H779" s="68" t="str">
        <f>HLOOKUP(I$2+$A779,Sheet2!BX:NB,2,0)</f>
        <v>16-30 April 21</v>
      </c>
      <c r="I779" t="str">
        <f>IF(OR(HLOOKUP(I$2+$A779,Sheet2!BX:NB,$B779,0),HLOOKUP(I$2+$A779,Sheet2!BX:NB,$B779,0)&lt;&gt;""),HLOOKUP(I$2+$A779,Sheet2!BX:NB,$B779,0),"")</f>
        <v/>
      </c>
      <c r="J779" t="str">
        <f>IF(OR(HLOOKUP(J$2+$A779,Sheet2!BY:NC,$B779,0),HLOOKUP(J$2+$A779,Sheet2!BY:NC,$B779,0)&lt;&gt;""),HLOOKUP(J$2+$A779,Sheet2!BY:NC,$B779,0),"")</f>
        <v/>
      </c>
      <c r="K779" t="str">
        <f>IF(OR(HLOOKUP(K$2+$A779,Sheet2!BZ:ND,$B779,0),HLOOKUP(K$2+$A779,Sheet2!BZ:ND,$B779,0)&lt;&gt;""),HLOOKUP(K$2+$A779,Sheet2!BZ:ND,$B779,0),"")</f>
        <v/>
      </c>
      <c r="L779" t="str">
        <f>IF(OR(HLOOKUP(L$2+$A779,Sheet2!CA:NE,$B779,0),HLOOKUP(L$2+$A779,Sheet2!CA:NE,$B779,0)&lt;&gt;""),HLOOKUP(L$2+$A779,Sheet2!CA:NE,$B779,0),"")</f>
        <v/>
      </c>
      <c r="M779" t="str">
        <f>IF(OR(HLOOKUP(M$2+$A779,Sheet2!CB:NF,$B779,0),HLOOKUP(M$2+$A779,Sheet2!CB:NF,$B779,0)&lt;&gt;""),HLOOKUP(M$2+$A779,Sheet2!CB:NF,$B779,0),"")</f>
        <v/>
      </c>
    </row>
    <row r="780" spans="1:13" x14ac:dyDescent="0.25">
      <c r="A780" s="68">
        <f t="shared" si="78"/>
        <v>0</v>
      </c>
      <c r="B780" s="68">
        <f t="shared" si="79"/>
        <v>102</v>
      </c>
      <c r="C780" s="68">
        <f t="shared" si="76"/>
        <v>1</v>
      </c>
      <c r="D780" s="68">
        <f t="shared" si="80"/>
        <v>98</v>
      </c>
      <c r="E780" s="68">
        <f t="shared" si="77"/>
        <v>486</v>
      </c>
      <c r="F780" s="21" t="str">
        <f>VLOOKUP(D780,Sheet2!A:B,2)</f>
        <v>J20-0920</v>
      </c>
      <c r="G780" s="68" t="str">
        <f>VLOOKUP(F780,Sheet2!B:C,2,0)</f>
        <v>Project: AS1 Control Panel No.5</v>
      </c>
      <c r="H780" s="68" t="str">
        <f>HLOOKUP(I$2+$A780,Sheet2!BX:NB,2,0)</f>
        <v>1-15 Jan 21</v>
      </c>
      <c r="I780" t="str">
        <f>IF(OR(HLOOKUP(I$2+$A780,Sheet2!BX:NB,$B780,0),HLOOKUP(I$2+$A780,Sheet2!BX:NB,$B780,0)&lt;&gt;""),HLOOKUP(I$2+$A780,Sheet2!BX:NB,$B780,0),"")</f>
        <v/>
      </c>
      <c r="J780" t="str">
        <f>IF(OR(HLOOKUP(J$2+$A780,Sheet2!BY:NC,$B780,0),HLOOKUP(J$2+$A780,Sheet2!BY:NC,$B780,0)&lt;&gt;""),HLOOKUP(J$2+$A780,Sheet2!BY:NC,$B780,0),"")</f>
        <v/>
      </c>
      <c r="K780" t="str">
        <f>IF(OR(HLOOKUP(K$2+$A780,Sheet2!BZ:ND,$B780,0),HLOOKUP(K$2+$A780,Sheet2!BZ:ND,$B780,0)&lt;&gt;""),HLOOKUP(K$2+$A780,Sheet2!BZ:ND,$B780,0),"")</f>
        <v/>
      </c>
      <c r="L780" t="str">
        <f>IF(OR(HLOOKUP(L$2+$A780,Sheet2!CA:NE,$B780,0),HLOOKUP(L$2+$A780,Sheet2!CA:NE,$B780,0)&lt;&gt;""),HLOOKUP(L$2+$A780,Sheet2!CA:NE,$B780,0),"")</f>
        <v/>
      </c>
      <c r="M780" t="str">
        <f>IF(OR(HLOOKUP(M$2+$A780,Sheet2!CB:NF,$B780,0),HLOOKUP(M$2+$A780,Sheet2!CB:NF,$B780,0)&lt;&gt;""),HLOOKUP(M$2+$A780,Sheet2!CB:NF,$B780,0),"")</f>
        <v/>
      </c>
    </row>
    <row r="781" spans="1:13" x14ac:dyDescent="0.25">
      <c r="A781" s="68">
        <f t="shared" si="78"/>
        <v>5</v>
      </c>
      <c r="B781" s="68">
        <f t="shared" si="79"/>
        <v>102</v>
      </c>
      <c r="C781" s="68">
        <f t="shared" ref="C781:C844" si="81">IF($C$3-C780=0,1,C780+1)</f>
        <v>2</v>
      </c>
      <c r="D781" s="68">
        <f t="shared" si="80"/>
        <v>98</v>
      </c>
      <c r="E781" s="68">
        <f t="shared" si="77"/>
        <v>486</v>
      </c>
      <c r="F781" s="21" t="str">
        <f>VLOOKUP(D781,Sheet2!A:B,2)</f>
        <v>J20-0920</v>
      </c>
      <c r="G781" s="68" t="str">
        <f>VLOOKUP(F781,Sheet2!B:C,2,0)</f>
        <v>Project: AS1 Control Panel No.5</v>
      </c>
      <c r="H781" s="68" t="str">
        <f>HLOOKUP(I$2+$A781,Sheet2!BX:NB,2,0)</f>
        <v>16-31 Jan 21</v>
      </c>
      <c r="I781" t="str">
        <f>IF(OR(HLOOKUP(I$2+$A781,Sheet2!BX:NB,$B781,0),HLOOKUP(I$2+$A781,Sheet2!BX:NB,$B781,0)&lt;&gt;""),HLOOKUP(I$2+$A781,Sheet2!BX:NB,$B781,0),"")</f>
        <v/>
      </c>
      <c r="J781" t="str">
        <f>IF(OR(HLOOKUP(J$2+$A781,Sheet2!BY:NC,$B781,0),HLOOKUP(J$2+$A781,Sheet2!BY:NC,$B781,0)&lt;&gt;""),HLOOKUP(J$2+$A781,Sheet2!BY:NC,$B781,0),"")</f>
        <v/>
      </c>
      <c r="K781" t="str">
        <f>IF(OR(HLOOKUP(K$2+$A781,Sheet2!BZ:ND,$B781,0),HLOOKUP(K$2+$A781,Sheet2!BZ:ND,$B781,0)&lt;&gt;""),HLOOKUP(K$2+$A781,Sheet2!BZ:ND,$B781,0),"")</f>
        <v/>
      </c>
      <c r="L781" t="str">
        <f>IF(OR(HLOOKUP(L$2+$A781,Sheet2!CA:NE,$B781,0),HLOOKUP(L$2+$A781,Sheet2!CA:NE,$B781,0)&lt;&gt;""),HLOOKUP(L$2+$A781,Sheet2!CA:NE,$B781,0),"")</f>
        <v/>
      </c>
      <c r="M781" t="str">
        <f>IF(OR(HLOOKUP(M$2+$A781,Sheet2!CB:NF,$B781,0),HLOOKUP(M$2+$A781,Sheet2!CB:NF,$B781,0)&lt;&gt;""),HLOOKUP(M$2+$A781,Sheet2!CB:NF,$B781,0),"")</f>
        <v/>
      </c>
    </row>
    <row r="782" spans="1:13" x14ac:dyDescent="0.25">
      <c r="A782" s="68">
        <f t="shared" si="78"/>
        <v>10</v>
      </c>
      <c r="B782" s="68">
        <f t="shared" si="79"/>
        <v>102</v>
      </c>
      <c r="C782" s="68">
        <f t="shared" si="81"/>
        <v>3</v>
      </c>
      <c r="D782" s="68">
        <f t="shared" si="80"/>
        <v>98</v>
      </c>
      <c r="E782" s="68">
        <f t="shared" si="77"/>
        <v>486</v>
      </c>
      <c r="F782" s="21" t="str">
        <f>VLOOKUP(D782,Sheet2!A:B,2)</f>
        <v>J20-0920</v>
      </c>
      <c r="G782" s="68" t="str">
        <f>VLOOKUP(F782,Sheet2!B:C,2,0)</f>
        <v>Project: AS1 Control Panel No.5</v>
      </c>
      <c r="H782" s="68" t="str">
        <f>HLOOKUP(I$2+$A782,Sheet2!BX:NB,2,0)</f>
        <v>1-15 Feb 21</v>
      </c>
      <c r="I782" t="str">
        <f>IF(OR(HLOOKUP(I$2+$A782,Sheet2!BX:NB,$B782,0),HLOOKUP(I$2+$A782,Sheet2!BX:NB,$B782,0)&lt;&gt;""),HLOOKUP(I$2+$A782,Sheet2!BX:NB,$B782,0),"")</f>
        <v/>
      </c>
      <c r="J782" t="str">
        <f>IF(OR(HLOOKUP(J$2+$A782,Sheet2!BY:NC,$B782,0),HLOOKUP(J$2+$A782,Sheet2!BY:NC,$B782,0)&lt;&gt;""),HLOOKUP(J$2+$A782,Sheet2!BY:NC,$B782,0),"")</f>
        <v/>
      </c>
      <c r="K782" t="str">
        <f>IF(OR(HLOOKUP(K$2+$A782,Sheet2!BZ:ND,$B782,0),HLOOKUP(K$2+$A782,Sheet2!BZ:ND,$B782,0)&lt;&gt;""),HLOOKUP(K$2+$A782,Sheet2!BZ:ND,$B782,0),"")</f>
        <v/>
      </c>
      <c r="L782" t="str">
        <f>IF(OR(HLOOKUP(L$2+$A782,Sheet2!CA:NE,$B782,0),HLOOKUP(L$2+$A782,Sheet2!CA:NE,$B782,0)&lt;&gt;""),HLOOKUP(L$2+$A782,Sheet2!CA:NE,$B782,0),"")</f>
        <v/>
      </c>
      <c r="M782" t="str">
        <f>IF(OR(HLOOKUP(M$2+$A782,Sheet2!CB:NF,$B782,0),HLOOKUP(M$2+$A782,Sheet2!CB:NF,$B782,0)&lt;&gt;""),HLOOKUP(M$2+$A782,Sheet2!CB:NF,$B782,0),"")</f>
        <v/>
      </c>
    </row>
    <row r="783" spans="1:13" x14ac:dyDescent="0.25">
      <c r="A783" s="68">
        <f t="shared" si="78"/>
        <v>15</v>
      </c>
      <c r="B783" s="68">
        <f t="shared" si="79"/>
        <v>102</v>
      </c>
      <c r="C783" s="68">
        <f t="shared" si="81"/>
        <v>4</v>
      </c>
      <c r="D783" s="68">
        <f t="shared" si="80"/>
        <v>98</v>
      </c>
      <c r="E783" s="68">
        <f t="shared" si="77"/>
        <v>486</v>
      </c>
      <c r="F783" s="21" t="str">
        <f>VLOOKUP(D783,Sheet2!A:B,2)</f>
        <v>J20-0920</v>
      </c>
      <c r="G783" s="68" t="str">
        <f>VLOOKUP(F783,Sheet2!B:C,2,0)</f>
        <v>Project: AS1 Control Panel No.5</v>
      </c>
      <c r="H783" s="68" t="str">
        <f>HLOOKUP(I$2+$A783,Sheet2!BX:NB,2,0)</f>
        <v>16-28 Feb 21</v>
      </c>
      <c r="I783" t="str">
        <f>IF(OR(HLOOKUP(I$2+$A783,Sheet2!BX:NB,$B783,0),HLOOKUP(I$2+$A783,Sheet2!BX:NB,$B783,0)&lt;&gt;""),HLOOKUP(I$2+$A783,Sheet2!BX:NB,$B783,0),"")</f>
        <v/>
      </c>
      <c r="J783" t="str">
        <f>IF(OR(HLOOKUP(J$2+$A783,Sheet2!BY:NC,$B783,0),HLOOKUP(J$2+$A783,Sheet2!BY:NC,$B783,0)&lt;&gt;""),HLOOKUP(J$2+$A783,Sheet2!BY:NC,$B783,0),"")</f>
        <v/>
      </c>
      <c r="K783" t="str">
        <f>IF(OR(HLOOKUP(K$2+$A783,Sheet2!BZ:ND,$B783,0),HLOOKUP(K$2+$A783,Sheet2!BZ:ND,$B783,0)&lt;&gt;""),HLOOKUP(K$2+$A783,Sheet2!BZ:ND,$B783,0),"")</f>
        <v/>
      </c>
      <c r="L783" t="str">
        <f>IF(OR(HLOOKUP(L$2+$A783,Sheet2!CA:NE,$B783,0),HLOOKUP(L$2+$A783,Sheet2!CA:NE,$B783,0)&lt;&gt;""),HLOOKUP(L$2+$A783,Sheet2!CA:NE,$B783,0),"")</f>
        <v/>
      </c>
      <c r="M783" t="str">
        <f>IF(OR(HLOOKUP(M$2+$A783,Sheet2!CB:NF,$B783,0),HLOOKUP(M$2+$A783,Sheet2!CB:NF,$B783,0)&lt;&gt;""),HLOOKUP(M$2+$A783,Sheet2!CB:NF,$B783,0),"")</f>
        <v/>
      </c>
    </row>
    <row r="784" spans="1:13" x14ac:dyDescent="0.25">
      <c r="A784" s="68">
        <f t="shared" si="78"/>
        <v>20</v>
      </c>
      <c r="B784" s="68">
        <f t="shared" si="79"/>
        <v>102</v>
      </c>
      <c r="C784" s="68">
        <f t="shared" si="81"/>
        <v>5</v>
      </c>
      <c r="D784" s="68">
        <f t="shared" si="80"/>
        <v>98</v>
      </c>
      <c r="E784" s="68">
        <f t="shared" si="77"/>
        <v>486</v>
      </c>
      <c r="F784" s="21" t="str">
        <f>VLOOKUP(D784,Sheet2!A:B,2)</f>
        <v>J20-0920</v>
      </c>
      <c r="G784" s="68" t="str">
        <f>VLOOKUP(F784,Sheet2!B:C,2,0)</f>
        <v>Project: AS1 Control Panel No.5</v>
      </c>
      <c r="H784" s="68" t="str">
        <f>HLOOKUP(I$2+$A784,Sheet2!BX:NB,2,0)</f>
        <v>1-15 Mar 2021</v>
      </c>
      <c r="I784" t="str">
        <f>IF(OR(HLOOKUP(I$2+$A784,Sheet2!BX:NB,$B784,0),HLOOKUP(I$2+$A784,Sheet2!BX:NB,$B784,0)&lt;&gt;""),HLOOKUP(I$2+$A784,Sheet2!BX:NB,$B784,0),"")</f>
        <v/>
      </c>
      <c r="J784" t="str">
        <f>IF(OR(HLOOKUP(J$2+$A784,Sheet2!BY:NC,$B784,0),HLOOKUP(J$2+$A784,Sheet2!BY:NC,$B784,0)&lt;&gt;""),HLOOKUP(J$2+$A784,Sheet2!BY:NC,$B784,0),"")</f>
        <v/>
      </c>
      <c r="K784" t="str">
        <f>IF(OR(HLOOKUP(K$2+$A784,Sheet2!BZ:ND,$B784,0),HLOOKUP(K$2+$A784,Sheet2!BZ:ND,$B784,0)&lt;&gt;""),HLOOKUP(K$2+$A784,Sheet2!BZ:ND,$B784,0),"")</f>
        <v/>
      </c>
      <c r="L784" t="str">
        <f>IF(OR(HLOOKUP(L$2+$A784,Sheet2!CA:NE,$B784,0),HLOOKUP(L$2+$A784,Sheet2!CA:NE,$B784,0)&lt;&gt;""),HLOOKUP(L$2+$A784,Sheet2!CA:NE,$B784,0),"")</f>
        <v/>
      </c>
      <c r="M784" t="str">
        <f>IF(OR(HLOOKUP(M$2+$A784,Sheet2!CB:NF,$B784,0),HLOOKUP(M$2+$A784,Sheet2!CB:NF,$B784,0)&lt;&gt;""),HLOOKUP(M$2+$A784,Sheet2!CB:NF,$B784,0),"")</f>
        <v/>
      </c>
    </row>
    <row r="785" spans="1:13" x14ac:dyDescent="0.25">
      <c r="A785" s="68">
        <f t="shared" si="78"/>
        <v>25</v>
      </c>
      <c r="B785" s="68">
        <f t="shared" si="79"/>
        <v>102</v>
      </c>
      <c r="C785" s="68">
        <f t="shared" si="81"/>
        <v>6</v>
      </c>
      <c r="D785" s="68">
        <f t="shared" si="80"/>
        <v>98</v>
      </c>
      <c r="E785" s="68">
        <f t="shared" si="77"/>
        <v>486</v>
      </c>
      <c r="F785" s="21" t="str">
        <f>VLOOKUP(D785,Sheet2!A:B,2)</f>
        <v>J20-0920</v>
      </c>
      <c r="G785" s="68" t="str">
        <f>VLOOKUP(F785,Sheet2!B:C,2,0)</f>
        <v>Project: AS1 Control Panel No.5</v>
      </c>
      <c r="H785" s="68" t="str">
        <f>HLOOKUP(I$2+$A785,Sheet2!BX:NB,2,0)</f>
        <v>16-31 Mar 21</v>
      </c>
      <c r="I785" t="str">
        <f>IF(OR(HLOOKUP(I$2+$A785,Sheet2!BX:NB,$B785,0),HLOOKUP(I$2+$A785,Sheet2!BX:NB,$B785,0)&lt;&gt;""),HLOOKUP(I$2+$A785,Sheet2!BX:NB,$B785,0),"")</f>
        <v/>
      </c>
      <c r="J785" t="str">
        <f>IF(OR(HLOOKUP(J$2+$A785,Sheet2!BY:NC,$B785,0),HLOOKUP(J$2+$A785,Sheet2!BY:NC,$B785,0)&lt;&gt;""),HLOOKUP(J$2+$A785,Sheet2!BY:NC,$B785,0),"")</f>
        <v/>
      </c>
      <c r="K785" t="str">
        <f>IF(OR(HLOOKUP(K$2+$A785,Sheet2!BZ:ND,$B785,0),HLOOKUP(K$2+$A785,Sheet2!BZ:ND,$B785,0)&lt;&gt;""),HLOOKUP(K$2+$A785,Sheet2!BZ:ND,$B785,0),"")</f>
        <v/>
      </c>
      <c r="L785" t="str">
        <f>IF(OR(HLOOKUP(L$2+$A785,Sheet2!CA:NE,$B785,0),HLOOKUP(L$2+$A785,Sheet2!CA:NE,$B785,0)&lt;&gt;""),HLOOKUP(L$2+$A785,Sheet2!CA:NE,$B785,0),"")</f>
        <v/>
      </c>
      <c r="M785" t="str">
        <f>IF(OR(HLOOKUP(M$2+$A785,Sheet2!CB:NF,$B785,0),HLOOKUP(M$2+$A785,Sheet2!CB:NF,$B785,0)&lt;&gt;""),HLOOKUP(M$2+$A785,Sheet2!CB:NF,$B785,0),"")</f>
        <v/>
      </c>
    </row>
    <row r="786" spans="1:13" x14ac:dyDescent="0.25">
      <c r="A786" s="68">
        <f t="shared" si="78"/>
        <v>30</v>
      </c>
      <c r="B786" s="68">
        <f t="shared" si="79"/>
        <v>102</v>
      </c>
      <c r="C786" s="68">
        <f t="shared" si="81"/>
        <v>7</v>
      </c>
      <c r="D786" s="68">
        <f t="shared" si="80"/>
        <v>98</v>
      </c>
      <c r="E786" s="68">
        <f t="shared" si="77"/>
        <v>486</v>
      </c>
      <c r="F786" s="21" t="str">
        <f>VLOOKUP(D786,Sheet2!A:B,2)</f>
        <v>J20-0920</v>
      </c>
      <c r="G786" s="68" t="str">
        <f>VLOOKUP(F786,Sheet2!B:C,2,0)</f>
        <v>Project: AS1 Control Panel No.5</v>
      </c>
      <c r="H786" s="68" t="str">
        <f>HLOOKUP(I$2+$A786,Sheet2!BX:NB,2,0)</f>
        <v>1-15 April 21</v>
      </c>
      <c r="I786" t="str">
        <f>IF(OR(HLOOKUP(I$2+$A786,Sheet2!BX:NB,$B786,0),HLOOKUP(I$2+$A786,Sheet2!BX:NB,$B786,0)&lt;&gt;""),HLOOKUP(I$2+$A786,Sheet2!BX:NB,$B786,0),"")</f>
        <v/>
      </c>
      <c r="J786" t="str">
        <f>IF(OR(HLOOKUP(J$2+$A786,Sheet2!BY:NC,$B786,0),HLOOKUP(J$2+$A786,Sheet2!BY:NC,$B786,0)&lt;&gt;""),HLOOKUP(J$2+$A786,Sheet2!BY:NC,$B786,0),"")</f>
        <v/>
      </c>
      <c r="K786" t="str">
        <f>IF(OR(HLOOKUP(K$2+$A786,Sheet2!BZ:ND,$B786,0),HLOOKUP(K$2+$A786,Sheet2!BZ:ND,$B786,0)&lt;&gt;""),HLOOKUP(K$2+$A786,Sheet2!BZ:ND,$B786,0),"")</f>
        <v/>
      </c>
      <c r="L786" t="str">
        <f>IF(OR(HLOOKUP(L$2+$A786,Sheet2!CA:NE,$B786,0),HLOOKUP(L$2+$A786,Sheet2!CA:NE,$B786,0)&lt;&gt;""),HLOOKUP(L$2+$A786,Sheet2!CA:NE,$B786,0),"")</f>
        <v/>
      </c>
      <c r="M786" t="str">
        <f>IF(OR(HLOOKUP(M$2+$A786,Sheet2!CB:NF,$B786,0),HLOOKUP(M$2+$A786,Sheet2!CB:NF,$B786,0)&lt;&gt;""),HLOOKUP(M$2+$A786,Sheet2!CB:NF,$B786,0),"")</f>
        <v/>
      </c>
    </row>
    <row r="787" spans="1:13" x14ac:dyDescent="0.25">
      <c r="A787" s="68">
        <f t="shared" si="78"/>
        <v>35</v>
      </c>
      <c r="B787" s="68">
        <f t="shared" si="79"/>
        <v>102</v>
      </c>
      <c r="C787" s="68">
        <f t="shared" si="81"/>
        <v>8</v>
      </c>
      <c r="D787" s="68">
        <f t="shared" si="80"/>
        <v>98</v>
      </c>
      <c r="E787" s="68">
        <f t="shared" si="77"/>
        <v>486</v>
      </c>
      <c r="F787" s="21" t="str">
        <f>VLOOKUP(D787,Sheet2!A:B,2)</f>
        <v>J20-0920</v>
      </c>
      <c r="G787" s="68" t="str">
        <f>VLOOKUP(F787,Sheet2!B:C,2,0)</f>
        <v>Project: AS1 Control Panel No.5</v>
      </c>
      <c r="H787" s="68" t="str">
        <f>HLOOKUP(I$2+$A787,Sheet2!BX:NB,2,0)</f>
        <v>16-30 April 21</v>
      </c>
      <c r="I787" t="str">
        <f>IF(OR(HLOOKUP(I$2+$A787,Sheet2!BX:NB,$B787,0),HLOOKUP(I$2+$A787,Sheet2!BX:NB,$B787,0)&lt;&gt;""),HLOOKUP(I$2+$A787,Sheet2!BX:NB,$B787,0),"")</f>
        <v/>
      </c>
      <c r="J787" t="str">
        <f>IF(OR(HLOOKUP(J$2+$A787,Sheet2!BY:NC,$B787,0),HLOOKUP(J$2+$A787,Sheet2!BY:NC,$B787,0)&lt;&gt;""),HLOOKUP(J$2+$A787,Sheet2!BY:NC,$B787,0),"")</f>
        <v/>
      </c>
      <c r="K787" t="str">
        <f>IF(OR(HLOOKUP(K$2+$A787,Sheet2!BZ:ND,$B787,0),HLOOKUP(K$2+$A787,Sheet2!BZ:ND,$B787,0)&lt;&gt;""),HLOOKUP(K$2+$A787,Sheet2!BZ:ND,$B787,0),"")</f>
        <v/>
      </c>
      <c r="L787" t="str">
        <f>IF(OR(HLOOKUP(L$2+$A787,Sheet2!CA:NE,$B787,0),HLOOKUP(L$2+$A787,Sheet2!CA:NE,$B787,0)&lt;&gt;""),HLOOKUP(L$2+$A787,Sheet2!CA:NE,$B787,0),"")</f>
        <v/>
      </c>
      <c r="M787" t="str">
        <f>IF(OR(HLOOKUP(M$2+$A787,Sheet2!CB:NF,$B787,0),HLOOKUP(M$2+$A787,Sheet2!CB:NF,$B787,0)&lt;&gt;""),HLOOKUP(M$2+$A787,Sheet2!CB:NF,$B787,0),"")</f>
        <v/>
      </c>
    </row>
    <row r="788" spans="1:13" x14ac:dyDescent="0.25">
      <c r="A788" s="68">
        <f t="shared" si="78"/>
        <v>0</v>
      </c>
      <c r="B788" s="68">
        <f t="shared" si="79"/>
        <v>103</v>
      </c>
      <c r="C788" s="68">
        <f t="shared" si="81"/>
        <v>1</v>
      </c>
      <c r="D788" s="68">
        <f t="shared" si="80"/>
        <v>99</v>
      </c>
      <c r="E788" s="68">
        <f t="shared" si="77"/>
        <v>491</v>
      </c>
      <c r="F788" s="21" t="str">
        <f>VLOOKUP(D788,Sheet2!A:B,2)</f>
        <v>J20-1205</v>
      </c>
      <c r="G788" s="68" t="str">
        <f>VLOOKUP(F788,Sheet2!B:C,2,0)</f>
        <v xml:space="preserve">Ansell </v>
      </c>
      <c r="H788" s="68" t="str">
        <f>HLOOKUP(I$2+$A788,Sheet2!BX:NB,2,0)</f>
        <v>1-15 Jan 21</v>
      </c>
      <c r="I788" t="str">
        <f>IF(OR(HLOOKUP(I$2+$A788,Sheet2!BX:NB,$B788,0),HLOOKUP(I$2+$A788,Sheet2!BX:NB,$B788,0)&lt;&gt;""),HLOOKUP(I$2+$A788,Sheet2!BX:NB,$B788,0),"")</f>
        <v/>
      </c>
      <c r="J788" t="str">
        <f>IF(OR(HLOOKUP(J$2+$A788,Sheet2!BY:NC,$B788,0),HLOOKUP(J$2+$A788,Sheet2!BY:NC,$B788,0)&lt;&gt;""),HLOOKUP(J$2+$A788,Sheet2!BY:NC,$B788,0),"")</f>
        <v/>
      </c>
      <c r="K788" t="str">
        <f>IF(OR(HLOOKUP(K$2+$A788,Sheet2!BZ:ND,$B788,0),HLOOKUP(K$2+$A788,Sheet2!BZ:ND,$B788,0)&lt;&gt;""),HLOOKUP(K$2+$A788,Sheet2!BZ:ND,$B788,0),"")</f>
        <v/>
      </c>
      <c r="L788" t="str">
        <f>IF(OR(HLOOKUP(L$2+$A788,Sheet2!CA:NE,$B788,0),HLOOKUP(L$2+$A788,Sheet2!CA:NE,$B788,0)&lt;&gt;""),HLOOKUP(L$2+$A788,Sheet2!CA:NE,$B788,0),"")</f>
        <v/>
      </c>
      <c r="M788" t="str">
        <f>IF(OR(HLOOKUP(M$2+$A788,Sheet2!CB:NF,$B788,0),HLOOKUP(M$2+$A788,Sheet2!CB:NF,$B788,0)&lt;&gt;""),HLOOKUP(M$2+$A788,Sheet2!CB:NF,$B788,0),"")</f>
        <v/>
      </c>
    </row>
    <row r="789" spans="1:13" x14ac:dyDescent="0.25">
      <c r="A789" s="68">
        <f t="shared" si="78"/>
        <v>5</v>
      </c>
      <c r="B789" s="68">
        <f t="shared" si="79"/>
        <v>103</v>
      </c>
      <c r="C789" s="68">
        <f t="shared" si="81"/>
        <v>2</v>
      </c>
      <c r="D789" s="68">
        <f t="shared" si="80"/>
        <v>99</v>
      </c>
      <c r="E789" s="68">
        <f t="shared" ref="E789:E852" si="82">IF(D789&lt;&gt;D788,E788+5,E788)</f>
        <v>491</v>
      </c>
      <c r="F789" s="21" t="str">
        <f>VLOOKUP(D789,Sheet2!A:B,2)</f>
        <v>J20-1205</v>
      </c>
      <c r="G789" s="68" t="str">
        <f>VLOOKUP(F789,Sheet2!B:C,2,0)</f>
        <v xml:space="preserve">Ansell </v>
      </c>
      <c r="H789" s="68" t="str">
        <f>HLOOKUP(I$2+$A789,Sheet2!BX:NB,2,0)</f>
        <v>16-31 Jan 21</v>
      </c>
      <c r="I789" t="str">
        <f>IF(OR(HLOOKUP(I$2+$A789,Sheet2!BX:NB,$B789,0),HLOOKUP(I$2+$A789,Sheet2!BX:NB,$B789,0)&lt;&gt;""),HLOOKUP(I$2+$A789,Sheet2!BX:NB,$B789,0),"")</f>
        <v/>
      </c>
      <c r="J789" t="str">
        <f>IF(OR(HLOOKUP(J$2+$A789,Sheet2!BY:NC,$B789,0),HLOOKUP(J$2+$A789,Sheet2!BY:NC,$B789,0)&lt;&gt;""),HLOOKUP(J$2+$A789,Sheet2!BY:NC,$B789,0),"")</f>
        <v/>
      </c>
      <c r="K789" t="str">
        <f>IF(OR(HLOOKUP(K$2+$A789,Sheet2!BZ:ND,$B789,0),HLOOKUP(K$2+$A789,Sheet2!BZ:ND,$B789,0)&lt;&gt;""),HLOOKUP(K$2+$A789,Sheet2!BZ:ND,$B789,0),"")</f>
        <v/>
      </c>
      <c r="L789" t="str">
        <f>IF(OR(HLOOKUP(L$2+$A789,Sheet2!CA:NE,$B789,0),HLOOKUP(L$2+$A789,Sheet2!CA:NE,$B789,0)&lt;&gt;""),HLOOKUP(L$2+$A789,Sheet2!CA:NE,$B789,0),"")</f>
        <v/>
      </c>
      <c r="M789" t="str">
        <f>IF(OR(HLOOKUP(M$2+$A789,Sheet2!CB:NF,$B789,0),HLOOKUP(M$2+$A789,Sheet2!CB:NF,$B789,0)&lt;&gt;""),HLOOKUP(M$2+$A789,Sheet2!CB:NF,$B789,0),"")</f>
        <v/>
      </c>
    </row>
    <row r="790" spans="1:13" x14ac:dyDescent="0.25">
      <c r="A790" s="68">
        <f t="shared" si="78"/>
        <v>10</v>
      </c>
      <c r="B790" s="68">
        <f t="shared" si="79"/>
        <v>103</v>
      </c>
      <c r="C790" s="68">
        <f t="shared" si="81"/>
        <v>3</v>
      </c>
      <c r="D790" s="68">
        <f t="shared" si="80"/>
        <v>99</v>
      </c>
      <c r="E790" s="68">
        <f t="shared" si="82"/>
        <v>491</v>
      </c>
      <c r="F790" s="21" t="str">
        <f>VLOOKUP(D790,Sheet2!A:B,2)</f>
        <v>J20-1205</v>
      </c>
      <c r="G790" s="68" t="str">
        <f>VLOOKUP(F790,Sheet2!B:C,2,0)</f>
        <v xml:space="preserve">Ansell </v>
      </c>
      <c r="H790" s="68" t="str">
        <f>HLOOKUP(I$2+$A790,Sheet2!BX:NB,2,0)</f>
        <v>1-15 Feb 21</v>
      </c>
      <c r="I790">
        <f>IF(OR(HLOOKUP(I$2+$A790,Sheet2!BX:NB,$B790,0),HLOOKUP(I$2+$A790,Sheet2!BX:NB,$B790,0)&lt;&gt;""),HLOOKUP(I$2+$A790,Sheet2!BX:NB,$B790,0),"")</f>
        <v>20250</v>
      </c>
      <c r="J790">
        <f>IF(OR(HLOOKUP(J$2+$A790,Sheet2!BY:NC,$B790,0),HLOOKUP(J$2+$A790,Sheet2!BY:NC,$B790,0)&lt;&gt;""),HLOOKUP(J$2+$A790,Sheet2!BY:NC,$B790,0),"")</f>
        <v>10036</v>
      </c>
      <c r="K790" t="str">
        <f>IF(OR(HLOOKUP(K$2+$A790,Sheet2!BZ:ND,$B790,0),HLOOKUP(K$2+$A790,Sheet2!BZ:ND,$B790,0)&lt;&gt;""),HLOOKUP(K$2+$A790,Sheet2!BZ:ND,$B790,0),"")</f>
        <v/>
      </c>
      <c r="L790" t="str">
        <f>IF(OR(HLOOKUP(L$2+$A790,Sheet2!CA:NE,$B790,0),HLOOKUP(L$2+$A790,Sheet2!CA:NE,$B790,0)&lt;&gt;""),HLOOKUP(L$2+$A790,Sheet2!CA:NE,$B790,0),"")</f>
        <v/>
      </c>
      <c r="M790" t="str">
        <f>IF(OR(HLOOKUP(M$2+$A790,Sheet2!CB:NF,$B790,0),HLOOKUP(M$2+$A790,Sheet2!CB:NF,$B790,0)&lt;&gt;""),HLOOKUP(M$2+$A790,Sheet2!CB:NF,$B790,0),"")</f>
        <v/>
      </c>
    </row>
    <row r="791" spans="1:13" x14ac:dyDescent="0.25">
      <c r="A791" s="68">
        <f t="shared" si="78"/>
        <v>15</v>
      </c>
      <c r="B791" s="68">
        <f t="shared" si="79"/>
        <v>103</v>
      </c>
      <c r="C791" s="68">
        <f t="shared" si="81"/>
        <v>4</v>
      </c>
      <c r="D791" s="68">
        <f t="shared" si="80"/>
        <v>99</v>
      </c>
      <c r="E791" s="68">
        <f t="shared" si="82"/>
        <v>491</v>
      </c>
      <c r="F791" s="21" t="str">
        <f>VLOOKUP(D791,Sheet2!A:B,2)</f>
        <v>J20-1205</v>
      </c>
      <c r="G791" s="68" t="str">
        <f>VLOOKUP(F791,Sheet2!B:C,2,0)</f>
        <v xml:space="preserve">Ansell </v>
      </c>
      <c r="H791" s="68" t="str">
        <f>HLOOKUP(I$2+$A791,Sheet2!BX:NB,2,0)</f>
        <v>16-28 Feb 21</v>
      </c>
      <c r="I791" t="str">
        <f>IF(OR(HLOOKUP(I$2+$A791,Sheet2!BX:NB,$B791,0),HLOOKUP(I$2+$A791,Sheet2!BX:NB,$B791,0)&lt;&gt;""),HLOOKUP(I$2+$A791,Sheet2!BX:NB,$B791,0),"")</f>
        <v/>
      </c>
      <c r="J791" t="str">
        <f>IF(OR(HLOOKUP(J$2+$A791,Sheet2!BY:NC,$B791,0),HLOOKUP(J$2+$A791,Sheet2!BY:NC,$B791,0)&lt;&gt;""),HLOOKUP(J$2+$A791,Sheet2!BY:NC,$B791,0),"")</f>
        <v/>
      </c>
      <c r="K791" t="str">
        <f>IF(OR(HLOOKUP(K$2+$A791,Sheet2!BZ:ND,$B791,0),HLOOKUP(K$2+$A791,Sheet2!BZ:ND,$B791,0)&lt;&gt;""),HLOOKUP(K$2+$A791,Sheet2!BZ:ND,$B791,0),"")</f>
        <v/>
      </c>
      <c r="L791" t="str">
        <f>IF(OR(HLOOKUP(L$2+$A791,Sheet2!CA:NE,$B791,0),HLOOKUP(L$2+$A791,Sheet2!CA:NE,$B791,0)&lt;&gt;""),HLOOKUP(L$2+$A791,Sheet2!CA:NE,$B791,0),"")</f>
        <v/>
      </c>
      <c r="M791" t="str">
        <f>IF(OR(HLOOKUP(M$2+$A791,Sheet2!CB:NF,$B791,0),HLOOKUP(M$2+$A791,Sheet2!CB:NF,$B791,0)&lt;&gt;""),HLOOKUP(M$2+$A791,Sheet2!CB:NF,$B791,0),"")</f>
        <v/>
      </c>
    </row>
    <row r="792" spans="1:13" x14ac:dyDescent="0.25">
      <c r="A792" s="68">
        <f t="shared" si="78"/>
        <v>20</v>
      </c>
      <c r="B792" s="68">
        <f t="shared" si="79"/>
        <v>103</v>
      </c>
      <c r="C792" s="68">
        <f t="shared" si="81"/>
        <v>5</v>
      </c>
      <c r="D792" s="68">
        <f t="shared" si="80"/>
        <v>99</v>
      </c>
      <c r="E792" s="68">
        <f t="shared" si="82"/>
        <v>491</v>
      </c>
      <c r="F792" s="21" t="str">
        <f>VLOOKUP(D792,Sheet2!A:B,2)</f>
        <v>J20-1205</v>
      </c>
      <c r="G792" s="68" t="str">
        <f>VLOOKUP(F792,Sheet2!B:C,2,0)</f>
        <v xml:space="preserve">Ansell </v>
      </c>
      <c r="H792" s="68" t="str">
        <f>HLOOKUP(I$2+$A792,Sheet2!BX:NB,2,0)</f>
        <v>1-15 Mar 2021</v>
      </c>
      <c r="I792" t="str">
        <f>IF(OR(HLOOKUP(I$2+$A792,Sheet2!BX:NB,$B792,0),HLOOKUP(I$2+$A792,Sheet2!BX:NB,$B792,0)&lt;&gt;""),HLOOKUP(I$2+$A792,Sheet2!BX:NB,$B792,0),"")</f>
        <v/>
      </c>
      <c r="J792" t="str">
        <f>IF(OR(HLOOKUP(J$2+$A792,Sheet2!BY:NC,$B792,0),HLOOKUP(J$2+$A792,Sheet2!BY:NC,$B792,0)&lt;&gt;""),HLOOKUP(J$2+$A792,Sheet2!BY:NC,$B792,0),"")</f>
        <v/>
      </c>
      <c r="K792" t="str">
        <f>IF(OR(HLOOKUP(K$2+$A792,Sheet2!BZ:ND,$B792,0),HLOOKUP(K$2+$A792,Sheet2!BZ:ND,$B792,0)&lt;&gt;""),HLOOKUP(K$2+$A792,Sheet2!BZ:ND,$B792,0),"")</f>
        <v/>
      </c>
      <c r="L792" t="str">
        <f>IF(OR(HLOOKUP(L$2+$A792,Sheet2!CA:NE,$B792,0),HLOOKUP(L$2+$A792,Sheet2!CA:NE,$B792,0)&lt;&gt;""),HLOOKUP(L$2+$A792,Sheet2!CA:NE,$B792,0),"")</f>
        <v/>
      </c>
      <c r="M792" t="str">
        <f>IF(OR(HLOOKUP(M$2+$A792,Sheet2!CB:NF,$B792,0),HLOOKUP(M$2+$A792,Sheet2!CB:NF,$B792,0)&lt;&gt;""),HLOOKUP(M$2+$A792,Sheet2!CB:NF,$B792,0),"")</f>
        <v/>
      </c>
    </row>
    <row r="793" spans="1:13" x14ac:dyDescent="0.25">
      <c r="A793" s="68">
        <f t="shared" si="78"/>
        <v>25</v>
      </c>
      <c r="B793" s="68">
        <f t="shared" si="79"/>
        <v>103</v>
      </c>
      <c r="C793" s="68">
        <f t="shared" si="81"/>
        <v>6</v>
      </c>
      <c r="D793" s="68">
        <f t="shared" si="80"/>
        <v>99</v>
      </c>
      <c r="E793" s="68">
        <f t="shared" si="82"/>
        <v>491</v>
      </c>
      <c r="F793" s="21" t="str">
        <f>VLOOKUP(D793,Sheet2!A:B,2)</f>
        <v>J20-1205</v>
      </c>
      <c r="G793" s="68" t="str">
        <f>VLOOKUP(F793,Sheet2!B:C,2,0)</f>
        <v xml:space="preserve">Ansell </v>
      </c>
      <c r="H793" s="68" t="str">
        <f>HLOOKUP(I$2+$A793,Sheet2!BX:NB,2,0)</f>
        <v>16-31 Mar 21</v>
      </c>
      <c r="I793" t="str">
        <f>IF(OR(HLOOKUP(I$2+$A793,Sheet2!BX:NB,$B793,0),HLOOKUP(I$2+$A793,Sheet2!BX:NB,$B793,0)&lt;&gt;""),HLOOKUP(I$2+$A793,Sheet2!BX:NB,$B793,0),"")</f>
        <v/>
      </c>
      <c r="J793" t="str">
        <f>IF(OR(HLOOKUP(J$2+$A793,Sheet2!BY:NC,$B793,0),HLOOKUP(J$2+$A793,Sheet2!BY:NC,$B793,0)&lt;&gt;""),HLOOKUP(J$2+$A793,Sheet2!BY:NC,$B793,0),"")</f>
        <v/>
      </c>
      <c r="K793" t="str">
        <f>IF(OR(HLOOKUP(K$2+$A793,Sheet2!BZ:ND,$B793,0),HLOOKUP(K$2+$A793,Sheet2!BZ:ND,$B793,0)&lt;&gt;""),HLOOKUP(K$2+$A793,Sheet2!BZ:ND,$B793,0),"")</f>
        <v/>
      </c>
      <c r="L793" t="str">
        <f>IF(OR(HLOOKUP(L$2+$A793,Sheet2!CA:NE,$B793,0),HLOOKUP(L$2+$A793,Sheet2!CA:NE,$B793,0)&lt;&gt;""),HLOOKUP(L$2+$A793,Sheet2!CA:NE,$B793,0),"")</f>
        <v/>
      </c>
      <c r="M793" t="str">
        <f>IF(OR(HLOOKUP(M$2+$A793,Sheet2!CB:NF,$B793,0),HLOOKUP(M$2+$A793,Sheet2!CB:NF,$B793,0)&lt;&gt;""),HLOOKUP(M$2+$A793,Sheet2!CB:NF,$B793,0),"")</f>
        <v/>
      </c>
    </row>
    <row r="794" spans="1:13" x14ac:dyDescent="0.25">
      <c r="A794" s="68">
        <f t="shared" si="78"/>
        <v>30</v>
      </c>
      <c r="B794" s="68">
        <f t="shared" si="79"/>
        <v>103</v>
      </c>
      <c r="C794" s="68">
        <f t="shared" si="81"/>
        <v>7</v>
      </c>
      <c r="D794" s="68">
        <f t="shared" si="80"/>
        <v>99</v>
      </c>
      <c r="E794" s="68">
        <f t="shared" si="82"/>
        <v>491</v>
      </c>
      <c r="F794" s="21" t="str">
        <f>VLOOKUP(D794,Sheet2!A:B,2)</f>
        <v>J20-1205</v>
      </c>
      <c r="G794" s="68" t="str">
        <f>VLOOKUP(F794,Sheet2!B:C,2,0)</f>
        <v xml:space="preserve">Ansell </v>
      </c>
      <c r="H794" s="68" t="str">
        <f>HLOOKUP(I$2+$A794,Sheet2!BX:NB,2,0)</f>
        <v>1-15 April 21</v>
      </c>
      <c r="I794" t="str">
        <f>IF(OR(HLOOKUP(I$2+$A794,Sheet2!BX:NB,$B794,0),HLOOKUP(I$2+$A794,Sheet2!BX:NB,$B794,0)&lt;&gt;""),HLOOKUP(I$2+$A794,Sheet2!BX:NB,$B794,0),"")</f>
        <v/>
      </c>
      <c r="J794" t="str">
        <f>IF(OR(HLOOKUP(J$2+$A794,Sheet2!BY:NC,$B794,0),HLOOKUP(J$2+$A794,Sheet2!BY:NC,$B794,0)&lt;&gt;""),HLOOKUP(J$2+$A794,Sheet2!BY:NC,$B794,0),"")</f>
        <v/>
      </c>
      <c r="K794" t="str">
        <f>IF(OR(HLOOKUP(K$2+$A794,Sheet2!BZ:ND,$B794,0),HLOOKUP(K$2+$A794,Sheet2!BZ:ND,$B794,0)&lt;&gt;""),HLOOKUP(K$2+$A794,Sheet2!BZ:ND,$B794,0),"")</f>
        <v/>
      </c>
      <c r="L794" t="str">
        <f>IF(OR(HLOOKUP(L$2+$A794,Sheet2!CA:NE,$B794,0),HLOOKUP(L$2+$A794,Sheet2!CA:NE,$B794,0)&lt;&gt;""),HLOOKUP(L$2+$A794,Sheet2!CA:NE,$B794,0),"")</f>
        <v/>
      </c>
      <c r="M794" t="str">
        <f>IF(OR(HLOOKUP(M$2+$A794,Sheet2!CB:NF,$B794,0),HLOOKUP(M$2+$A794,Sheet2!CB:NF,$B794,0)&lt;&gt;""),HLOOKUP(M$2+$A794,Sheet2!CB:NF,$B794,0),"")</f>
        <v/>
      </c>
    </row>
    <row r="795" spans="1:13" x14ac:dyDescent="0.25">
      <c r="A795" s="68">
        <f t="shared" si="78"/>
        <v>35</v>
      </c>
      <c r="B795" s="68">
        <f t="shared" si="79"/>
        <v>103</v>
      </c>
      <c r="C795" s="68">
        <f t="shared" si="81"/>
        <v>8</v>
      </c>
      <c r="D795" s="68">
        <f t="shared" si="80"/>
        <v>99</v>
      </c>
      <c r="E795" s="68">
        <f t="shared" si="82"/>
        <v>491</v>
      </c>
      <c r="F795" s="21" t="str">
        <f>VLOOKUP(D795,Sheet2!A:B,2)</f>
        <v>J20-1205</v>
      </c>
      <c r="G795" s="68" t="str">
        <f>VLOOKUP(F795,Sheet2!B:C,2,0)</f>
        <v xml:space="preserve">Ansell </v>
      </c>
      <c r="H795" s="68" t="str">
        <f>HLOOKUP(I$2+$A795,Sheet2!BX:NB,2,0)</f>
        <v>16-30 April 21</v>
      </c>
      <c r="I795" t="str">
        <f>IF(OR(HLOOKUP(I$2+$A795,Sheet2!BX:NB,$B795,0),HLOOKUP(I$2+$A795,Sheet2!BX:NB,$B795,0)&lt;&gt;""),HLOOKUP(I$2+$A795,Sheet2!BX:NB,$B795,0),"")</f>
        <v/>
      </c>
      <c r="J795" t="str">
        <f>IF(OR(HLOOKUP(J$2+$A795,Sheet2!BY:NC,$B795,0),HLOOKUP(J$2+$A795,Sheet2!BY:NC,$B795,0)&lt;&gt;""),HLOOKUP(J$2+$A795,Sheet2!BY:NC,$B795,0),"")</f>
        <v/>
      </c>
      <c r="K795" t="str">
        <f>IF(OR(HLOOKUP(K$2+$A795,Sheet2!BZ:ND,$B795,0),HLOOKUP(K$2+$A795,Sheet2!BZ:ND,$B795,0)&lt;&gt;""),HLOOKUP(K$2+$A795,Sheet2!BZ:ND,$B795,0),"")</f>
        <v/>
      </c>
      <c r="L795" t="str">
        <f>IF(OR(HLOOKUP(L$2+$A795,Sheet2!CA:NE,$B795,0),HLOOKUP(L$2+$A795,Sheet2!CA:NE,$B795,0)&lt;&gt;""),HLOOKUP(L$2+$A795,Sheet2!CA:NE,$B795,0),"")</f>
        <v/>
      </c>
      <c r="M795" t="str">
        <f>IF(OR(HLOOKUP(M$2+$A795,Sheet2!CB:NF,$B795,0),HLOOKUP(M$2+$A795,Sheet2!CB:NF,$B795,0)&lt;&gt;""),HLOOKUP(M$2+$A795,Sheet2!CB:NF,$B795,0),"")</f>
        <v/>
      </c>
    </row>
    <row r="796" spans="1:13" x14ac:dyDescent="0.25">
      <c r="A796" s="68">
        <f t="shared" si="78"/>
        <v>0</v>
      </c>
      <c r="B796" s="68">
        <f t="shared" si="79"/>
        <v>104</v>
      </c>
      <c r="C796" s="68">
        <f t="shared" si="81"/>
        <v>1</v>
      </c>
      <c r="D796" s="68">
        <f t="shared" si="80"/>
        <v>100</v>
      </c>
      <c r="E796" s="68">
        <f t="shared" si="82"/>
        <v>496</v>
      </c>
      <c r="F796" s="21" t="str">
        <f>VLOOKUP(D796,Sheet2!A:B,2)</f>
        <v>J21-0040</v>
      </c>
      <c r="G796" s="68" t="str">
        <f>VLOOKUP(F796,Sheet2!B:C,2,0)</f>
        <v xml:space="preserve">Ansell </v>
      </c>
      <c r="H796" s="68" t="str">
        <f>HLOOKUP(I$2+$A796,Sheet2!BX:NB,2,0)</f>
        <v>1-15 Jan 21</v>
      </c>
      <c r="I796" t="str">
        <f>IF(OR(HLOOKUP(I$2+$A796,Sheet2!BX:NB,$B796,0),HLOOKUP(I$2+$A796,Sheet2!BX:NB,$B796,0)&lt;&gt;""),HLOOKUP(I$2+$A796,Sheet2!BX:NB,$B796,0),"")</f>
        <v/>
      </c>
      <c r="J796" t="str">
        <f>IF(OR(HLOOKUP(J$2+$A796,Sheet2!BY:NC,$B796,0),HLOOKUP(J$2+$A796,Sheet2!BY:NC,$B796,0)&lt;&gt;""),HLOOKUP(J$2+$A796,Sheet2!BY:NC,$B796,0),"")</f>
        <v/>
      </c>
      <c r="K796" t="str">
        <f>IF(OR(HLOOKUP(K$2+$A796,Sheet2!BZ:ND,$B796,0),HLOOKUP(K$2+$A796,Sheet2!BZ:ND,$B796,0)&lt;&gt;""),HLOOKUP(K$2+$A796,Sheet2!BZ:ND,$B796,0),"")</f>
        <v/>
      </c>
      <c r="L796" t="str">
        <f>IF(OR(HLOOKUP(L$2+$A796,Sheet2!CA:NE,$B796,0),HLOOKUP(L$2+$A796,Sheet2!CA:NE,$B796,0)&lt;&gt;""),HLOOKUP(L$2+$A796,Sheet2!CA:NE,$B796,0),"")</f>
        <v/>
      </c>
      <c r="M796" t="str">
        <f>IF(OR(HLOOKUP(M$2+$A796,Sheet2!CB:NF,$B796,0),HLOOKUP(M$2+$A796,Sheet2!CB:NF,$B796,0)&lt;&gt;""),HLOOKUP(M$2+$A796,Sheet2!CB:NF,$B796,0),"")</f>
        <v/>
      </c>
    </row>
    <row r="797" spans="1:13" x14ac:dyDescent="0.25">
      <c r="A797" s="68">
        <f t="shared" si="78"/>
        <v>5</v>
      </c>
      <c r="B797" s="68">
        <f t="shared" si="79"/>
        <v>104</v>
      </c>
      <c r="C797" s="68">
        <f t="shared" si="81"/>
        <v>2</v>
      </c>
      <c r="D797" s="68">
        <f t="shared" si="80"/>
        <v>100</v>
      </c>
      <c r="E797" s="68">
        <f t="shared" si="82"/>
        <v>496</v>
      </c>
      <c r="F797" s="21" t="str">
        <f>VLOOKUP(D797,Sheet2!A:B,2)</f>
        <v>J21-0040</v>
      </c>
      <c r="G797" s="68" t="str">
        <f>VLOOKUP(F797,Sheet2!B:C,2,0)</f>
        <v xml:space="preserve">Ansell </v>
      </c>
      <c r="H797" s="68" t="str">
        <f>HLOOKUP(I$2+$A797,Sheet2!BX:NB,2,0)</f>
        <v>16-31 Jan 21</v>
      </c>
      <c r="I797" t="str">
        <f>IF(OR(HLOOKUP(I$2+$A797,Sheet2!BX:NB,$B797,0),HLOOKUP(I$2+$A797,Sheet2!BX:NB,$B797,0)&lt;&gt;""),HLOOKUP(I$2+$A797,Sheet2!BX:NB,$B797,0),"")</f>
        <v/>
      </c>
      <c r="J797" t="str">
        <f>IF(OR(HLOOKUP(J$2+$A797,Sheet2!BY:NC,$B797,0),HLOOKUP(J$2+$A797,Sheet2!BY:NC,$B797,0)&lt;&gt;""),HLOOKUP(J$2+$A797,Sheet2!BY:NC,$B797,0),"")</f>
        <v/>
      </c>
      <c r="K797" t="str">
        <f>IF(OR(HLOOKUP(K$2+$A797,Sheet2!BZ:ND,$B797,0),HLOOKUP(K$2+$A797,Sheet2!BZ:ND,$B797,0)&lt;&gt;""),HLOOKUP(K$2+$A797,Sheet2!BZ:ND,$B797,0),"")</f>
        <v/>
      </c>
      <c r="L797" t="str">
        <f>IF(OR(HLOOKUP(L$2+$A797,Sheet2!CA:NE,$B797,0),HLOOKUP(L$2+$A797,Sheet2!CA:NE,$B797,0)&lt;&gt;""),HLOOKUP(L$2+$A797,Sheet2!CA:NE,$B797,0),"")</f>
        <v/>
      </c>
      <c r="M797" t="str">
        <f>IF(OR(HLOOKUP(M$2+$A797,Sheet2!CB:NF,$B797,0),HLOOKUP(M$2+$A797,Sheet2!CB:NF,$B797,0)&lt;&gt;""),HLOOKUP(M$2+$A797,Sheet2!CB:NF,$B797,0),"")</f>
        <v/>
      </c>
    </row>
    <row r="798" spans="1:13" x14ac:dyDescent="0.25">
      <c r="A798" s="68">
        <f t="shared" si="78"/>
        <v>10</v>
      </c>
      <c r="B798" s="68">
        <f t="shared" si="79"/>
        <v>104</v>
      </c>
      <c r="C798" s="68">
        <f t="shared" si="81"/>
        <v>3</v>
      </c>
      <c r="D798" s="68">
        <f t="shared" si="80"/>
        <v>100</v>
      </c>
      <c r="E798" s="68">
        <f t="shared" si="82"/>
        <v>496</v>
      </c>
      <c r="F798" s="21" t="str">
        <f>VLOOKUP(D798,Sheet2!A:B,2)</f>
        <v>J21-0040</v>
      </c>
      <c r="G798" s="68" t="str">
        <f>VLOOKUP(F798,Sheet2!B:C,2,0)</f>
        <v xml:space="preserve">Ansell </v>
      </c>
      <c r="H798" s="68" t="str">
        <f>HLOOKUP(I$2+$A798,Sheet2!BX:NB,2,0)</f>
        <v>1-15 Feb 21</v>
      </c>
      <c r="I798">
        <f>IF(OR(HLOOKUP(I$2+$A798,Sheet2!BX:NB,$B798,0),HLOOKUP(I$2+$A798,Sheet2!BX:NB,$B798,0)&lt;&gt;""),HLOOKUP(I$2+$A798,Sheet2!BX:NB,$B798,0),"")</f>
        <v>34520</v>
      </c>
      <c r="J798">
        <f>IF(OR(HLOOKUP(J$2+$A798,Sheet2!BY:NC,$B798,0),HLOOKUP(J$2+$A798,Sheet2!BY:NC,$B798,0)&lt;&gt;""),HLOOKUP(J$2+$A798,Sheet2!BY:NC,$B798,0),"")</f>
        <v>3485</v>
      </c>
      <c r="K798" t="str">
        <f>IF(OR(HLOOKUP(K$2+$A798,Sheet2!BZ:ND,$B798,0),HLOOKUP(K$2+$A798,Sheet2!BZ:ND,$B798,0)&lt;&gt;""),HLOOKUP(K$2+$A798,Sheet2!BZ:ND,$B798,0),"")</f>
        <v/>
      </c>
      <c r="L798" t="str">
        <f>IF(OR(HLOOKUP(L$2+$A798,Sheet2!CA:NE,$B798,0),HLOOKUP(L$2+$A798,Sheet2!CA:NE,$B798,0)&lt;&gt;""),HLOOKUP(L$2+$A798,Sheet2!CA:NE,$B798,0),"")</f>
        <v/>
      </c>
      <c r="M798" t="str">
        <f>IF(OR(HLOOKUP(M$2+$A798,Sheet2!CB:NF,$B798,0),HLOOKUP(M$2+$A798,Sheet2!CB:NF,$B798,0)&lt;&gt;""),HLOOKUP(M$2+$A798,Sheet2!CB:NF,$B798,0),"")</f>
        <v/>
      </c>
    </row>
    <row r="799" spans="1:13" x14ac:dyDescent="0.25">
      <c r="A799" s="68">
        <f t="shared" si="78"/>
        <v>15</v>
      </c>
      <c r="B799" s="68">
        <f t="shared" si="79"/>
        <v>104</v>
      </c>
      <c r="C799" s="68">
        <f t="shared" si="81"/>
        <v>4</v>
      </c>
      <c r="D799" s="68">
        <f t="shared" si="80"/>
        <v>100</v>
      </c>
      <c r="E799" s="68">
        <f t="shared" si="82"/>
        <v>496</v>
      </c>
      <c r="F799" s="21" t="str">
        <f>VLOOKUP(D799,Sheet2!A:B,2)</f>
        <v>J21-0040</v>
      </c>
      <c r="G799" s="68" t="str">
        <f>VLOOKUP(F799,Sheet2!B:C,2,0)</f>
        <v xml:space="preserve">Ansell </v>
      </c>
      <c r="H799" s="68" t="str">
        <f>HLOOKUP(I$2+$A799,Sheet2!BX:NB,2,0)</f>
        <v>16-28 Feb 21</v>
      </c>
      <c r="I799">
        <f>IF(OR(HLOOKUP(I$2+$A799,Sheet2!BX:NB,$B799,0),HLOOKUP(I$2+$A799,Sheet2!BX:NB,$B799,0)&lt;&gt;""),HLOOKUP(I$2+$A799,Sheet2!BX:NB,$B799,0),"")</f>
        <v>67500</v>
      </c>
      <c r="J799" t="str">
        <f>IF(OR(HLOOKUP(J$2+$A799,Sheet2!BY:NC,$B799,0),HLOOKUP(J$2+$A799,Sheet2!BY:NC,$B799,0)&lt;&gt;""),HLOOKUP(J$2+$A799,Sheet2!BY:NC,$B799,0),"")</f>
        <v/>
      </c>
      <c r="K799" t="str">
        <f>IF(OR(HLOOKUP(K$2+$A799,Sheet2!BZ:ND,$B799,0),HLOOKUP(K$2+$A799,Sheet2!BZ:ND,$B799,0)&lt;&gt;""),HLOOKUP(K$2+$A799,Sheet2!BZ:ND,$B799,0),"")</f>
        <v/>
      </c>
      <c r="L799" t="str">
        <f>IF(OR(HLOOKUP(L$2+$A799,Sheet2!CA:NE,$B799,0),HLOOKUP(L$2+$A799,Sheet2!CA:NE,$B799,0)&lt;&gt;""),HLOOKUP(L$2+$A799,Sheet2!CA:NE,$B799,0),"")</f>
        <v/>
      </c>
      <c r="M799" t="str">
        <f>IF(OR(HLOOKUP(M$2+$A799,Sheet2!CB:NF,$B799,0),HLOOKUP(M$2+$A799,Sheet2!CB:NF,$B799,0)&lt;&gt;""),HLOOKUP(M$2+$A799,Sheet2!CB:NF,$B799,0),"")</f>
        <v/>
      </c>
    </row>
    <row r="800" spans="1:13" x14ac:dyDescent="0.25">
      <c r="A800" s="68">
        <f t="shared" si="78"/>
        <v>20</v>
      </c>
      <c r="B800" s="68">
        <f t="shared" si="79"/>
        <v>104</v>
      </c>
      <c r="C800" s="68">
        <f t="shared" si="81"/>
        <v>5</v>
      </c>
      <c r="D800" s="68">
        <f t="shared" si="80"/>
        <v>100</v>
      </c>
      <c r="E800" s="68">
        <f t="shared" si="82"/>
        <v>496</v>
      </c>
      <c r="F800" s="21" t="str">
        <f>VLOOKUP(D800,Sheet2!A:B,2)</f>
        <v>J21-0040</v>
      </c>
      <c r="G800" s="68" t="str">
        <f>VLOOKUP(F800,Sheet2!B:C,2,0)</f>
        <v xml:space="preserve">Ansell </v>
      </c>
      <c r="H800" s="68" t="str">
        <f>HLOOKUP(I$2+$A800,Sheet2!BX:NB,2,0)</f>
        <v>1-15 Mar 2021</v>
      </c>
      <c r="I800">
        <f>IF(OR(HLOOKUP(I$2+$A800,Sheet2!BX:NB,$B800,0),HLOOKUP(I$2+$A800,Sheet2!BX:NB,$B800,0)&lt;&gt;""),HLOOKUP(I$2+$A800,Sheet2!BX:NB,$B800,0),"")</f>
        <v>15810</v>
      </c>
      <c r="J800" t="str">
        <f>IF(OR(HLOOKUP(J$2+$A800,Sheet2!BY:NC,$B800,0),HLOOKUP(J$2+$A800,Sheet2!BY:NC,$B800,0)&lt;&gt;""),HLOOKUP(J$2+$A800,Sheet2!BY:NC,$B800,0),"")</f>
        <v/>
      </c>
      <c r="K800" t="str">
        <f>IF(OR(HLOOKUP(K$2+$A800,Sheet2!BZ:ND,$B800,0),HLOOKUP(K$2+$A800,Sheet2!BZ:ND,$B800,0)&lt;&gt;""),HLOOKUP(K$2+$A800,Sheet2!BZ:ND,$B800,0),"")</f>
        <v/>
      </c>
      <c r="L800" t="str">
        <f>IF(OR(HLOOKUP(L$2+$A800,Sheet2!CA:NE,$B800,0),HLOOKUP(L$2+$A800,Sheet2!CA:NE,$B800,0)&lt;&gt;""),HLOOKUP(L$2+$A800,Sheet2!CA:NE,$B800,0),"")</f>
        <v/>
      </c>
      <c r="M800" t="str">
        <f>IF(OR(HLOOKUP(M$2+$A800,Sheet2!CB:NF,$B800,0),HLOOKUP(M$2+$A800,Sheet2!CB:NF,$B800,0)&lt;&gt;""),HLOOKUP(M$2+$A800,Sheet2!CB:NF,$B800,0),"")</f>
        <v/>
      </c>
    </row>
    <row r="801" spans="1:13" x14ac:dyDescent="0.25">
      <c r="A801" s="68">
        <f t="shared" si="78"/>
        <v>25</v>
      </c>
      <c r="B801" s="68">
        <f t="shared" si="79"/>
        <v>104</v>
      </c>
      <c r="C801" s="68">
        <f t="shared" si="81"/>
        <v>6</v>
      </c>
      <c r="D801" s="68">
        <f t="shared" si="80"/>
        <v>100</v>
      </c>
      <c r="E801" s="68">
        <f t="shared" si="82"/>
        <v>496</v>
      </c>
      <c r="F801" s="21" t="str">
        <f>VLOOKUP(D801,Sheet2!A:B,2)</f>
        <v>J21-0040</v>
      </c>
      <c r="G801" s="68" t="str">
        <f>VLOOKUP(F801,Sheet2!B:C,2,0)</f>
        <v xml:space="preserve">Ansell </v>
      </c>
      <c r="H801" s="68" t="str">
        <f>HLOOKUP(I$2+$A801,Sheet2!BX:NB,2,0)</f>
        <v>16-31 Mar 21</v>
      </c>
      <c r="I801" t="str">
        <f>IF(OR(HLOOKUP(I$2+$A801,Sheet2!BX:NB,$B801,0),HLOOKUP(I$2+$A801,Sheet2!BX:NB,$B801,0)&lt;&gt;""),HLOOKUP(I$2+$A801,Sheet2!BX:NB,$B801,0),"")</f>
        <v/>
      </c>
      <c r="J801" t="str">
        <f>IF(OR(HLOOKUP(J$2+$A801,Sheet2!BY:NC,$B801,0),HLOOKUP(J$2+$A801,Sheet2!BY:NC,$B801,0)&lt;&gt;""),HLOOKUP(J$2+$A801,Sheet2!BY:NC,$B801,0),"")</f>
        <v/>
      </c>
      <c r="K801" t="str">
        <f>IF(OR(HLOOKUP(K$2+$A801,Sheet2!BZ:ND,$B801,0),HLOOKUP(K$2+$A801,Sheet2!BZ:ND,$B801,0)&lt;&gt;""),HLOOKUP(K$2+$A801,Sheet2!BZ:ND,$B801,0),"")</f>
        <v/>
      </c>
      <c r="L801" t="str">
        <f>IF(OR(HLOOKUP(L$2+$A801,Sheet2!CA:NE,$B801,0),HLOOKUP(L$2+$A801,Sheet2!CA:NE,$B801,0)&lt;&gt;""),HLOOKUP(L$2+$A801,Sheet2!CA:NE,$B801,0),"")</f>
        <v/>
      </c>
      <c r="M801" t="str">
        <f>IF(OR(HLOOKUP(M$2+$A801,Sheet2!CB:NF,$B801,0),HLOOKUP(M$2+$A801,Sheet2!CB:NF,$B801,0)&lt;&gt;""),HLOOKUP(M$2+$A801,Sheet2!CB:NF,$B801,0),"")</f>
        <v/>
      </c>
    </row>
    <row r="802" spans="1:13" x14ac:dyDescent="0.25">
      <c r="A802" s="68">
        <f t="shared" si="78"/>
        <v>30</v>
      </c>
      <c r="B802" s="68">
        <f t="shared" si="79"/>
        <v>104</v>
      </c>
      <c r="C802" s="68">
        <f t="shared" si="81"/>
        <v>7</v>
      </c>
      <c r="D802" s="68">
        <f t="shared" si="80"/>
        <v>100</v>
      </c>
      <c r="E802" s="68">
        <f t="shared" si="82"/>
        <v>496</v>
      </c>
      <c r="F802" s="21" t="str">
        <f>VLOOKUP(D802,Sheet2!A:B,2)</f>
        <v>J21-0040</v>
      </c>
      <c r="G802" s="68" t="str">
        <f>VLOOKUP(F802,Sheet2!B:C,2,0)</f>
        <v xml:space="preserve">Ansell </v>
      </c>
      <c r="H802" s="68" t="str">
        <f>HLOOKUP(I$2+$A802,Sheet2!BX:NB,2,0)</f>
        <v>1-15 April 21</v>
      </c>
      <c r="I802">
        <f>IF(OR(HLOOKUP(I$2+$A802,Sheet2!BX:NB,$B802,0),HLOOKUP(I$2+$A802,Sheet2!BX:NB,$B802,0)&lt;&gt;""),HLOOKUP(I$2+$A802,Sheet2!BX:NB,$B802,0),"")</f>
        <v>56090</v>
      </c>
      <c r="J802">
        <f>IF(OR(HLOOKUP(J$2+$A802,Sheet2!BY:NC,$B802,0),HLOOKUP(J$2+$A802,Sheet2!BY:NC,$B802,0)&lt;&gt;""),HLOOKUP(J$2+$A802,Sheet2!BY:NC,$B802,0),"")</f>
        <v>29392</v>
      </c>
      <c r="K802" t="str">
        <f>IF(OR(HLOOKUP(K$2+$A802,Sheet2!BZ:ND,$B802,0),HLOOKUP(K$2+$A802,Sheet2!BZ:ND,$B802,0)&lt;&gt;""),HLOOKUP(K$2+$A802,Sheet2!BZ:ND,$B802,0),"")</f>
        <v/>
      </c>
      <c r="L802" t="str">
        <f>IF(OR(HLOOKUP(L$2+$A802,Sheet2!CA:NE,$B802,0),HLOOKUP(L$2+$A802,Sheet2!CA:NE,$B802,0)&lt;&gt;""),HLOOKUP(L$2+$A802,Sheet2!CA:NE,$B802,0),"")</f>
        <v/>
      </c>
      <c r="M802" t="str">
        <f>IF(OR(HLOOKUP(M$2+$A802,Sheet2!CB:NF,$B802,0),HLOOKUP(M$2+$A802,Sheet2!CB:NF,$B802,0)&lt;&gt;""),HLOOKUP(M$2+$A802,Sheet2!CB:NF,$B802,0),"")</f>
        <v/>
      </c>
    </row>
    <row r="803" spans="1:13" x14ac:dyDescent="0.25">
      <c r="A803" s="68">
        <f t="shared" si="78"/>
        <v>35</v>
      </c>
      <c r="B803" s="68">
        <f t="shared" si="79"/>
        <v>104</v>
      </c>
      <c r="C803" s="68">
        <f t="shared" si="81"/>
        <v>8</v>
      </c>
      <c r="D803" s="68">
        <f t="shared" si="80"/>
        <v>100</v>
      </c>
      <c r="E803" s="68">
        <f t="shared" si="82"/>
        <v>496</v>
      </c>
      <c r="F803" s="21" t="str">
        <f>VLOOKUP(D803,Sheet2!A:B,2)</f>
        <v>J21-0040</v>
      </c>
      <c r="G803" s="68" t="str">
        <f>VLOOKUP(F803,Sheet2!B:C,2,0)</f>
        <v xml:space="preserve">Ansell </v>
      </c>
      <c r="H803" s="68" t="str">
        <f>HLOOKUP(I$2+$A803,Sheet2!BX:NB,2,0)</f>
        <v>16-30 April 21</v>
      </c>
      <c r="I803" t="str">
        <f>IF(OR(HLOOKUP(I$2+$A803,Sheet2!BX:NB,$B803,0),HLOOKUP(I$2+$A803,Sheet2!BX:NB,$B803,0)&lt;&gt;""),HLOOKUP(I$2+$A803,Sheet2!BX:NB,$B803,0),"")</f>
        <v/>
      </c>
      <c r="J803" t="str">
        <f>IF(OR(HLOOKUP(J$2+$A803,Sheet2!BY:NC,$B803,0),HLOOKUP(J$2+$A803,Sheet2!BY:NC,$B803,0)&lt;&gt;""),HLOOKUP(J$2+$A803,Sheet2!BY:NC,$B803,0),"")</f>
        <v/>
      </c>
      <c r="K803" t="str">
        <f>IF(OR(HLOOKUP(K$2+$A803,Sheet2!BZ:ND,$B803,0),HLOOKUP(K$2+$A803,Sheet2!BZ:ND,$B803,0)&lt;&gt;""),HLOOKUP(K$2+$A803,Sheet2!BZ:ND,$B803,0),"")</f>
        <v/>
      </c>
      <c r="L803" t="str">
        <f>IF(OR(HLOOKUP(L$2+$A803,Sheet2!CA:NE,$B803,0),HLOOKUP(L$2+$A803,Sheet2!CA:NE,$B803,0)&lt;&gt;""),HLOOKUP(L$2+$A803,Sheet2!CA:NE,$B803,0),"")</f>
        <v/>
      </c>
      <c r="M803" t="str">
        <f>IF(OR(HLOOKUP(M$2+$A803,Sheet2!CB:NF,$B803,0),HLOOKUP(M$2+$A803,Sheet2!CB:NF,$B803,0)&lt;&gt;""),HLOOKUP(M$2+$A803,Sheet2!CB:NF,$B803,0),"")</f>
        <v/>
      </c>
    </row>
    <row r="804" spans="1:13" x14ac:dyDescent="0.25">
      <c r="A804" s="68">
        <f t="shared" si="78"/>
        <v>0</v>
      </c>
      <c r="B804" s="68">
        <f t="shared" si="79"/>
        <v>105</v>
      </c>
      <c r="C804" s="68">
        <f t="shared" si="81"/>
        <v>1</v>
      </c>
      <c r="D804" s="68">
        <f t="shared" si="80"/>
        <v>101</v>
      </c>
      <c r="E804" s="68">
        <f t="shared" si="82"/>
        <v>501</v>
      </c>
      <c r="F804" s="21" t="str">
        <f>VLOOKUP(D804,Sheet2!A:B,2)</f>
        <v>J21-0094</v>
      </c>
      <c r="G804" s="68" t="str">
        <f>VLOOKUP(F804,Sheet2!B:C,2,0)</f>
        <v>E&amp;I work for Increase Dilution Steam from HP Steam</v>
      </c>
      <c r="H804" s="68" t="str">
        <f>HLOOKUP(I$2+$A804,Sheet2!BX:NB,2,0)</f>
        <v>1-15 Jan 21</v>
      </c>
      <c r="I804" t="str">
        <f>IF(OR(HLOOKUP(I$2+$A804,Sheet2!BX:NB,$B804,0),HLOOKUP(I$2+$A804,Sheet2!BX:NB,$B804,0)&lt;&gt;""),HLOOKUP(I$2+$A804,Sheet2!BX:NB,$B804,0),"")</f>
        <v/>
      </c>
      <c r="J804" t="str">
        <f>IF(OR(HLOOKUP(J$2+$A804,Sheet2!BY:NC,$B804,0),HLOOKUP(J$2+$A804,Sheet2!BY:NC,$B804,0)&lt;&gt;""),HLOOKUP(J$2+$A804,Sheet2!BY:NC,$B804,0),"")</f>
        <v/>
      </c>
      <c r="K804" t="str">
        <f>IF(OR(HLOOKUP(K$2+$A804,Sheet2!BZ:ND,$B804,0),HLOOKUP(K$2+$A804,Sheet2!BZ:ND,$B804,0)&lt;&gt;""),HLOOKUP(K$2+$A804,Sheet2!BZ:ND,$B804,0),"")</f>
        <v/>
      </c>
      <c r="L804" t="str">
        <f>IF(OR(HLOOKUP(L$2+$A804,Sheet2!CA:NE,$B804,0),HLOOKUP(L$2+$A804,Sheet2!CA:NE,$B804,0)&lt;&gt;""),HLOOKUP(L$2+$A804,Sheet2!CA:NE,$B804,0),"")</f>
        <v/>
      </c>
      <c r="M804" t="str">
        <f>IF(OR(HLOOKUP(M$2+$A804,Sheet2!CB:NF,$B804,0),HLOOKUP(M$2+$A804,Sheet2!CB:NF,$B804,0)&lt;&gt;""),HLOOKUP(M$2+$A804,Sheet2!CB:NF,$B804,0),"")</f>
        <v/>
      </c>
    </row>
    <row r="805" spans="1:13" x14ac:dyDescent="0.25">
      <c r="A805" s="68">
        <f t="shared" si="78"/>
        <v>5</v>
      </c>
      <c r="B805" s="68">
        <f t="shared" si="79"/>
        <v>105</v>
      </c>
      <c r="C805" s="68">
        <f t="shared" si="81"/>
        <v>2</v>
      </c>
      <c r="D805" s="68">
        <f t="shared" si="80"/>
        <v>101</v>
      </c>
      <c r="E805" s="68">
        <f t="shared" si="82"/>
        <v>501</v>
      </c>
      <c r="F805" s="21" t="str">
        <f>VLOOKUP(D805,Sheet2!A:B,2)</f>
        <v>J21-0094</v>
      </c>
      <c r="G805" s="68" t="str">
        <f>VLOOKUP(F805,Sheet2!B:C,2,0)</f>
        <v>E&amp;I work for Increase Dilution Steam from HP Steam</v>
      </c>
      <c r="H805" s="68" t="str">
        <f>HLOOKUP(I$2+$A805,Sheet2!BX:NB,2,0)</f>
        <v>16-31 Jan 21</v>
      </c>
      <c r="I805" t="str">
        <f>IF(OR(HLOOKUP(I$2+$A805,Sheet2!BX:NB,$B805,0),HLOOKUP(I$2+$A805,Sheet2!BX:NB,$B805,0)&lt;&gt;""),HLOOKUP(I$2+$A805,Sheet2!BX:NB,$B805,0),"")</f>
        <v/>
      </c>
      <c r="J805" t="str">
        <f>IF(OR(HLOOKUP(J$2+$A805,Sheet2!BY:NC,$B805,0),HLOOKUP(J$2+$A805,Sheet2!BY:NC,$B805,0)&lt;&gt;""),HLOOKUP(J$2+$A805,Sheet2!BY:NC,$B805,0),"")</f>
        <v/>
      </c>
      <c r="K805" t="str">
        <f>IF(OR(HLOOKUP(K$2+$A805,Sheet2!BZ:ND,$B805,0),HLOOKUP(K$2+$A805,Sheet2!BZ:ND,$B805,0)&lt;&gt;""),HLOOKUP(K$2+$A805,Sheet2!BZ:ND,$B805,0),"")</f>
        <v/>
      </c>
      <c r="L805" t="str">
        <f>IF(OR(HLOOKUP(L$2+$A805,Sheet2!CA:NE,$B805,0),HLOOKUP(L$2+$A805,Sheet2!CA:NE,$B805,0)&lt;&gt;""),HLOOKUP(L$2+$A805,Sheet2!CA:NE,$B805,0),"")</f>
        <v/>
      </c>
      <c r="M805" t="str">
        <f>IF(OR(HLOOKUP(M$2+$A805,Sheet2!CB:NF,$B805,0),HLOOKUP(M$2+$A805,Sheet2!CB:NF,$B805,0)&lt;&gt;""),HLOOKUP(M$2+$A805,Sheet2!CB:NF,$B805,0),"")</f>
        <v/>
      </c>
    </row>
    <row r="806" spans="1:13" x14ac:dyDescent="0.25">
      <c r="A806" s="68">
        <f t="shared" si="78"/>
        <v>10</v>
      </c>
      <c r="B806" s="68">
        <f t="shared" si="79"/>
        <v>105</v>
      </c>
      <c r="C806" s="68">
        <f t="shared" si="81"/>
        <v>3</v>
      </c>
      <c r="D806" s="68">
        <f t="shared" si="80"/>
        <v>101</v>
      </c>
      <c r="E806" s="68">
        <f t="shared" si="82"/>
        <v>501</v>
      </c>
      <c r="F806" s="21" t="str">
        <f>VLOOKUP(D806,Sheet2!A:B,2)</f>
        <v>J21-0094</v>
      </c>
      <c r="G806" s="68" t="str">
        <f>VLOOKUP(F806,Sheet2!B:C,2,0)</f>
        <v>E&amp;I work for Increase Dilution Steam from HP Steam</v>
      </c>
      <c r="H806" s="68" t="str">
        <f>HLOOKUP(I$2+$A806,Sheet2!BX:NB,2,0)</f>
        <v>1-15 Feb 21</v>
      </c>
      <c r="I806">
        <f>IF(OR(HLOOKUP(I$2+$A806,Sheet2!BX:NB,$B806,0),HLOOKUP(I$2+$A806,Sheet2!BX:NB,$B806,0)&lt;&gt;""),HLOOKUP(I$2+$A806,Sheet2!BX:NB,$B806,0),"")</f>
        <v>60486</v>
      </c>
      <c r="J806" t="str">
        <f>IF(OR(HLOOKUP(J$2+$A806,Sheet2!BY:NC,$B806,0),HLOOKUP(J$2+$A806,Sheet2!BY:NC,$B806,0)&lt;&gt;""),HLOOKUP(J$2+$A806,Sheet2!BY:NC,$B806,0),"")</f>
        <v/>
      </c>
      <c r="K806" t="str">
        <f>IF(OR(HLOOKUP(K$2+$A806,Sheet2!BZ:ND,$B806,0),HLOOKUP(K$2+$A806,Sheet2!BZ:ND,$B806,0)&lt;&gt;""),HLOOKUP(K$2+$A806,Sheet2!BZ:ND,$B806,0),"")</f>
        <v/>
      </c>
      <c r="L806" t="str">
        <f>IF(OR(HLOOKUP(L$2+$A806,Sheet2!CA:NE,$B806,0),HLOOKUP(L$2+$A806,Sheet2!CA:NE,$B806,0)&lt;&gt;""),HLOOKUP(L$2+$A806,Sheet2!CA:NE,$B806,0),"")</f>
        <v/>
      </c>
      <c r="M806">
        <f>IF(OR(HLOOKUP(M$2+$A806,Sheet2!CB:NF,$B806,0),HLOOKUP(M$2+$A806,Sheet2!CB:NF,$B806,0)&lt;&gt;""),HLOOKUP(M$2+$A806,Sheet2!CB:NF,$B806,0),"")</f>
        <v>7</v>
      </c>
    </row>
    <row r="807" spans="1:13" x14ac:dyDescent="0.25">
      <c r="A807" s="68">
        <f t="shared" si="78"/>
        <v>15</v>
      </c>
      <c r="B807" s="68">
        <f t="shared" si="79"/>
        <v>105</v>
      </c>
      <c r="C807" s="68">
        <f t="shared" si="81"/>
        <v>4</v>
      </c>
      <c r="D807" s="68">
        <f t="shared" si="80"/>
        <v>101</v>
      </c>
      <c r="E807" s="68">
        <f t="shared" si="82"/>
        <v>501</v>
      </c>
      <c r="F807" s="21" t="str">
        <f>VLOOKUP(D807,Sheet2!A:B,2)</f>
        <v>J21-0094</v>
      </c>
      <c r="G807" s="68" t="str">
        <f>VLOOKUP(F807,Sheet2!B:C,2,0)</f>
        <v>E&amp;I work for Increase Dilution Steam from HP Steam</v>
      </c>
      <c r="H807" s="68" t="str">
        <f>HLOOKUP(I$2+$A807,Sheet2!BX:NB,2,0)</f>
        <v>16-28 Feb 21</v>
      </c>
      <c r="I807">
        <f>IF(OR(HLOOKUP(I$2+$A807,Sheet2!BX:NB,$B807,0),HLOOKUP(I$2+$A807,Sheet2!BX:NB,$B807,0)&lt;&gt;""),HLOOKUP(I$2+$A807,Sheet2!BX:NB,$B807,0),"")</f>
        <v>47260</v>
      </c>
      <c r="J807" t="str">
        <f>IF(OR(HLOOKUP(J$2+$A807,Sheet2!BY:NC,$B807,0),HLOOKUP(J$2+$A807,Sheet2!BY:NC,$B807,0)&lt;&gt;""),HLOOKUP(J$2+$A807,Sheet2!BY:NC,$B807,0),"")</f>
        <v/>
      </c>
      <c r="K807" t="str">
        <f>IF(OR(HLOOKUP(K$2+$A807,Sheet2!BZ:ND,$B807,0),HLOOKUP(K$2+$A807,Sheet2!BZ:ND,$B807,0)&lt;&gt;""),HLOOKUP(K$2+$A807,Sheet2!BZ:ND,$B807,0),"")</f>
        <v/>
      </c>
      <c r="L807" t="str">
        <f>IF(OR(HLOOKUP(L$2+$A807,Sheet2!CA:NE,$B807,0),HLOOKUP(L$2+$A807,Sheet2!CA:NE,$B807,0)&lt;&gt;""),HLOOKUP(L$2+$A807,Sheet2!CA:NE,$B807,0),"")</f>
        <v/>
      </c>
      <c r="M807">
        <f>IF(OR(HLOOKUP(M$2+$A807,Sheet2!CB:NF,$B807,0),HLOOKUP(M$2+$A807,Sheet2!CB:NF,$B807,0)&lt;&gt;""),HLOOKUP(M$2+$A807,Sheet2!CB:NF,$B807,0),"")</f>
        <v>7</v>
      </c>
    </row>
    <row r="808" spans="1:13" x14ac:dyDescent="0.25">
      <c r="A808" s="68">
        <f t="shared" si="78"/>
        <v>20</v>
      </c>
      <c r="B808" s="68">
        <f t="shared" si="79"/>
        <v>105</v>
      </c>
      <c r="C808" s="68">
        <f t="shared" si="81"/>
        <v>5</v>
      </c>
      <c r="D808" s="68">
        <f t="shared" si="80"/>
        <v>101</v>
      </c>
      <c r="E808" s="68">
        <f t="shared" si="82"/>
        <v>501</v>
      </c>
      <c r="F808" s="21" t="str">
        <f>VLOOKUP(D808,Sheet2!A:B,2)</f>
        <v>J21-0094</v>
      </c>
      <c r="G808" s="68" t="str">
        <f>VLOOKUP(F808,Sheet2!B:C,2,0)</f>
        <v>E&amp;I work for Increase Dilution Steam from HP Steam</v>
      </c>
      <c r="H808" s="68" t="str">
        <f>HLOOKUP(I$2+$A808,Sheet2!BX:NB,2,0)</f>
        <v>1-15 Mar 2021</v>
      </c>
      <c r="I808">
        <f>IF(OR(HLOOKUP(I$2+$A808,Sheet2!BX:NB,$B808,0),HLOOKUP(I$2+$A808,Sheet2!BX:NB,$B808,0)&lt;&gt;""),HLOOKUP(I$2+$A808,Sheet2!BX:NB,$B808,0),"")</f>
        <v>53098</v>
      </c>
      <c r="J808" t="str">
        <f>IF(OR(HLOOKUP(J$2+$A808,Sheet2!BY:NC,$B808,0),HLOOKUP(J$2+$A808,Sheet2!BY:NC,$B808,0)&lt;&gt;""),HLOOKUP(J$2+$A808,Sheet2!BY:NC,$B808,0),"")</f>
        <v/>
      </c>
      <c r="K808" t="str">
        <f>IF(OR(HLOOKUP(K$2+$A808,Sheet2!BZ:ND,$B808,0),HLOOKUP(K$2+$A808,Sheet2!BZ:ND,$B808,0)&lt;&gt;""),HLOOKUP(K$2+$A808,Sheet2!BZ:ND,$B808,0),"")</f>
        <v/>
      </c>
      <c r="L808" t="str">
        <f>IF(OR(HLOOKUP(L$2+$A808,Sheet2!CA:NE,$B808,0),HLOOKUP(L$2+$A808,Sheet2!CA:NE,$B808,0)&lt;&gt;""),HLOOKUP(L$2+$A808,Sheet2!CA:NE,$B808,0),"")</f>
        <v/>
      </c>
      <c r="M808">
        <f>IF(OR(HLOOKUP(M$2+$A808,Sheet2!CB:NF,$B808,0),HLOOKUP(M$2+$A808,Sheet2!CB:NF,$B808,0)&lt;&gt;""),HLOOKUP(M$2+$A808,Sheet2!CB:NF,$B808,0),"")</f>
        <v>6</v>
      </c>
    </row>
    <row r="809" spans="1:13" x14ac:dyDescent="0.25">
      <c r="A809" s="68">
        <f t="shared" si="78"/>
        <v>25</v>
      </c>
      <c r="B809" s="68">
        <f t="shared" si="79"/>
        <v>105</v>
      </c>
      <c r="C809" s="68">
        <f t="shared" si="81"/>
        <v>6</v>
      </c>
      <c r="D809" s="68">
        <f t="shared" si="80"/>
        <v>101</v>
      </c>
      <c r="E809" s="68">
        <f t="shared" si="82"/>
        <v>501</v>
      </c>
      <c r="F809" s="21" t="str">
        <f>VLOOKUP(D809,Sheet2!A:B,2)</f>
        <v>J21-0094</v>
      </c>
      <c r="G809" s="68" t="str">
        <f>VLOOKUP(F809,Sheet2!B:C,2,0)</f>
        <v>E&amp;I work for Increase Dilution Steam from HP Steam</v>
      </c>
      <c r="H809" s="68" t="str">
        <f>HLOOKUP(I$2+$A809,Sheet2!BX:NB,2,0)</f>
        <v>16-31 Mar 21</v>
      </c>
      <c r="I809">
        <f>IF(OR(HLOOKUP(I$2+$A809,Sheet2!BX:NB,$B809,0),HLOOKUP(I$2+$A809,Sheet2!BX:NB,$B809,0)&lt;&gt;""),HLOOKUP(I$2+$A809,Sheet2!BX:NB,$B809,0),"")</f>
        <v>66122</v>
      </c>
      <c r="J809" t="str">
        <f>IF(OR(HLOOKUP(J$2+$A809,Sheet2!BY:NC,$B809,0),HLOOKUP(J$2+$A809,Sheet2!BY:NC,$B809,0)&lt;&gt;""),HLOOKUP(J$2+$A809,Sheet2!BY:NC,$B809,0),"")</f>
        <v/>
      </c>
      <c r="K809" t="str">
        <f>IF(OR(HLOOKUP(K$2+$A809,Sheet2!BZ:ND,$B809,0),HLOOKUP(K$2+$A809,Sheet2!BZ:ND,$B809,0)&lt;&gt;""),HLOOKUP(K$2+$A809,Sheet2!BZ:ND,$B809,0),"")</f>
        <v/>
      </c>
      <c r="L809" t="str">
        <f>IF(OR(HLOOKUP(L$2+$A809,Sheet2!CA:NE,$B809,0),HLOOKUP(L$2+$A809,Sheet2!CA:NE,$B809,0)&lt;&gt;""),HLOOKUP(L$2+$A809,Sheet2!CA:NE,$B809,0),"")</f>
        <v/>
      </c>
      <c r="M809">
        <f>IF(OR(HLOOKUP(M$2+$A809,Sheet2!CB:NF,$B809,0),HLOOKUP(M$2+$A809,Sheet2!CB:NF,$B809,0)&lt;&gt;""),HLOOKUP(M$2+$A809,Sheet2!CB:NF,$B809,0),"")</f>
        <v>7</v>
      </c>
    </row>
    <row r="810" spans="1:13" x14ac:dyDescent="0.25">
      <c r="A810" s="68">
        <f t="shared" si="78"/>
        <v>30</v>
      </c>
      <c r="B810" s="68">
        <f t="shared" si="79"/>
        <v>105</v>
      </c>
      <c r="C810" s="68">
        <f t="shared" si="81"/>
        <v>7</v>
      </c>
      <c r="D810" s="68">
        <f t="shared" si="80"/>
        <v>101</v>
      </c>
      <c r="E810" s="68">
        <f t="shared" si="82"/>
        <v>501</v>
      </c>
      <c r="F810" s="21" t="str">
        <f>VLOOKUP(D810,Sheet2!A:B,2)</f>
        <v>J21-0094</v>
      </c>
      <c r="G810" s="68" t="str">
        <f>VLOOKUP(F810,Sheet2!B:C,2,0)</f>
        <v>E&amp;I work for Increase Dilution Steam from HP Steam</v>
      </c>
      <c r="H810" s="68" t="str">
        <f>HLOOKUP(I$2+$A810,Sheet2!BX:NB,2,0)</f>
        <v>1-15 April 21</v>
      </c>
      <c r="I810" t="str">
        <f>IF(OR(HLOOKUP(I$2+$A810,Sheet2!BX:NB,$B810,0),HLOOKUP(I$2+$A810,Sheet2!BX:NB,$B810,0)&lt;&gt;""),HLOOKUP(I$2+$A810,Sheet2!BX:NB,$B810,0),"")</f>
        <v/>
      </c>
      <c r="J810" t="str">
        <f>IF(OR(HLOOKUP(J$2+$A810,Sheet2!BY:NC,$B810,0),HLOOKUP(J$2+$A810,Sheet2!BY:NC,$B810,0)&lt;&gt;""),HLOOKUP(J$2+$A810,Sheet2!BY:NC,$B810,0),"")</f>
        <v/>
      </c>
      <c r="K810" t="str">
        <f>IF(OR(HLOOKUP(K$2+$A810,Sheet2!BZ:ND,$B810,0),HLOOKUP(K$2+$A810,Sheet2!BZ:ND,$B810,0)&lt;&gt;""),HLOOKUP(K$2+$A810,Sheet2!BZ:ND,$B810,0),"")</f>
        <v/>
      </c>
      <c r="L810" t="str">
        <f>IF(OR(HLOOKUP(L$2+$A810,Sheet2!CA:NE,$B810,0),HLOOKUP(L$2+$A810,Sheet2!CA:NE,$B810,0)&lt;&gt;""),HLOOKUP(L$2+$A810,Sheet2!CA:NE,$B810,0),"")</f>
        <v/>
      </c>
      <c r="M810" t="str">
        <f>IF(OR(HLOOKUP(M$2+$A810,Sheet2!CB:NF,$B810,0),HLOOKUP(M$2+$A810,Sheet2!CB:NF,$B810,0)&lt;&gt;""),HLOOKUP(M$2+$A810,Sheet2!CB:NF,$B810,0),"")</f>
        <v/>
      </c>
    </row>
    <row r="811" spans="1:13" x14ac:dyDescent="0.25">
      <c r="A811" s="68">
        <f t="shared" si="78"/>
        <v>35</v>
      </c>
      <c r="B811" s="68">
        <f t="shared" si="79"/>
        <v>105</v>
      </c>
      <c r="C811" s="68">
        <f t="shared" si="81"/>
        <v>8</v>
      </c>
      <c r="D811" s="68">
        <f t="shared" si="80"/>
        <v>101</v>
      </c>
      <c r="E811" s="68">
        <f t="shared" si="82"/>
        <v>501</v>
      </c>
      <c r="F811" s="21" t="str">
        <f>VLOOKUP(D811,Sheet2!A:B,2)</f>
        <v>J21-0094</v>
      </c>
      <c r="G811" s="68" t="str">
        <f>VLOOKUP(F811,Sheet2!B:C,2,0)</f>
        <v>E&amp;I work for Increase Dilution Steam from HP Steam</v>
      </c>
      <c r="H811" s="68" t="str">
        <f>HLOOKUP(I$2+$A811,Sheet2!BX:NB,2,0)</f>
        <v>16-30 April 21</v>
      </c>
      <c r="I811" t="str">
        <f>IF(OR(HLOOKUP(I$2+$A811,Sheet2!BX:NB,$B811,0),HLOOKUP(I$2+$A811,Sheet2!BX:NB,$B811,0)&lt;&gt;""),HLOOKUP(I$2+$A811,Sheet2!BX:NB,$B811,0),"")</f>
        <v/>
      </c>
      <c r="J811" t="str">
        <f>IF(OR(HLOOKUP(J$2+$A811,Sheet2!BY:NC,$B811,0),HLOOKUP(J$2+$A811,Sheet2!BY:NC,$B811,0)&lt;&gt;""),HLOOKUP(J$2+$A811,Sheet2!BY:NC,$B811,0),"")</f>
        <v/>
      </c>
      <c r="K811" t="str">
        <f>IF(OR(HLOOKUP(K$2+$A811,Sheet2!BZ:ND,$B811,0),HLOOKUP(K$2+$A811,Sheet2!BZ:ND,$B811,0)&lt;&gt;""),HLOOKUP(K$2+$A811,Sheet2!BZ:ND,$B811,0),"")</f>
        <v/>
      </c>
      <c r="L811" t="str">
        <f>IF(OR(HLOOKUP(L$2+$A811,Sheet2!CA:NE,$B811,0),HLOOKUP(L$2+$A811,Sheet2!CA:NE,$B811,0)&lt;&gt;""),HLOOKUP(L$2+$A811,Sheet2!CA:NE,$B811,0),"")</f>
        <v/>
      </c>
      <c r="M811" t="str">
        <f>IF(OR(HLOOKUP(M$2+$A811,Sheet2!CB:NF,$B811,0),HLOOKUP(M$2+$A811,Sheet2!CB:NF,$B811,0)&lt;&gt;""),HLOOKUP(M$2+$A811,Sheet2!CB:NF,$B811,0),"")</f>
        <v/>
      </c>
    </row>
    <row r="812" spans="1:13" x14ac:dyDescent="0.25">
      <c r="A812" s="68">
        <f t="shared" si="78"/>
        <v>0</v>
      </c>
      <c r="B812" s="68">
        <f t="shared" si="79"/>
        <v>106</v>
      </c>
      <c r="C812" s="68">
        <f t="shared" si="81"/>
        <v>1</v>
      </c>
      <c r="D812" s="68">
        <f t="shared" si="80"/>
        <v>102</v>
      </c>
      <c r="E812" s="68">
        <f t="shared" si="82"/>
        <v>506</v>
      </c>
      <c r="F812" s="21" t="str">
        <f>VLOOKUP(D812,Sheet2!A:B,2)</f>
        <v>J20-1079</v>
      </c>
      <c r="G812" s="68" t="str">
        <f>VLOOKUP(F812,Sheet2!B:C,2,0)</f>
        <v xml:space="preserve">Demolish Exiting dust monitor &amp; Install new dust </v>
      </c>
      <c r="H812" s="68" t="str">
        <f>HLOOKUP(I$2+$A812,Sheet2!BX:NB,2,0)</f>
        <v>1-15 Jan 21</v>
      </c>
      <c r="I812" t="str">
        <f>IF(OR(HLOOKUP(I$2+$A812,Sheet2!BX:NB,$B812,0),HLOOKUP(I$2+$A812,Sheet2!BX:NB,$B812,0)&lt;&gt;""),HLOOKUP(I$2+$A812,Sheet2!BX:NB,$B812,0),"")</f>
        <v/>
      </c>
      <c r="J812" t="str">
        <f>IF(OR(HLOOKUP(J$2+$A812,Sheet2!BY:NC,$B812,0),HLOOKUP(J$2+$A812,Sheet2!BY:NC,$B812,0)&lt;&gt;""),HLOOKUP(J$2+$A812,Sheet2!BY:NC,$B812,0),"")</f>
        <v/>
      </c>
      <c r="K812" t="str">
        <f>IF(OR(HLOOKUP(K$2+$A812,Sheet2!BZ:ND,$B812,0),HLOOKUP(K$2+$A812,Sheet2!BZ:ND,$B812,0)&lt;&gt;""),HLOOKUP(K$2+$A812,Sheet2!BZ:ND,$B812,0),"")</f>
        <v/>
      </c>
      <c r="L812" t="str">
        <f>IF(OR(HLOOKUP(L$2+$A812,Sheet2!CA:NE,$B812,0),HLOOKUP(L$2+$A812,Sheet2!CA:NE,$B812,0)&lt;&gt;""),HLOOKUP(L$2+$A812,Sheet2!CA:NE,$B812,0),"")</f>
        <v/>
      </c>
      <c r="M812" t="str">
        <f>IF(OR(HLOOKUP(M$2+$A812,Sheet2!CB:NF,$B812,0),HLOOKUP(M$2+$A812,Sheet2!CB:NF,$B812,0)&lt;&gt;""),HLOOKUP(M$2+$A812,Sheet2!CB:NF,$B812,0),"")</f>
        <v/>
      </c>
    </row>
    <row r="813" spans="1:13" x14ac:dyDescent="0.25">
      <c r="A813" s="68">
        <f t="shared" si="78"/>
        <v>5</v>
      </c>
      <c r="B813" s="68">
        <f t="shared" si="79"/>
        <v>106</v>
      </c>
      <c r="C813" s="68">
        <f t="shared" si="81"/>
        <v>2</v>
      </c>
      <c r="D813" s="68">
        <f t="shared" si="80"/>
        <v>102</v>
      </c>
      <c r="E813" s="68">
        <f t="shared" si="82"/>
        <v>506</v>
      </c>
      <c r="F813" s="21" t="str">
        <f>VLOOKUP(D813,Sheet2!A:B,2)</f>
        <v>J20-1079</v>
      </c>
      <c r="G813" s="68" t="str">
        <f>VLOOKUP(F813,Sheet2!B:C,2,0)</f>
        <v xml:space="preserve">Demolish Exiting dust monitor &amp; Install new dust </v>
      </c>
      <c r="H813" s="68" t="str">
        <f>HLOOKUP(I$2+$A813,Sheet2!BX:NB,2,0)</f>
        <v>16-31 Jan 21</v>
      </c>
      <c r="I813" t="str">
        <f>IF(OR(HLOOKUP(I$2+$A813,Sheet2!BX:NB,$B813,0),HLOOKUP(I$2+$A813,Sheet2!BX:NB,$B813,0)&lt;&gt;""),HLOOKUP(I$2+$A813,Sheet2!BX:NB,$B813,0),"")</f>
        <v/>
      </c>
      <c r="J813" t="str">
        <f>IF(OR(HLOOKUP(J$2+$A813,Sheet2!BY:NC,$B813,0),HLOOKUP(J$2+$A813,Sheet2!BY:NC,$B813,0)&lt;&gt;""),HLOOKUP(J$2+$A813,Sheet2!BY:NC,$B813,0),"")</f>
        <v/>
      </c>
      <c r="K813" t="str">
        <f>IF(OR(HLOOKUP(K$2+$A813,Sheet2!BZ:ND,$B813,0),HLOOKUP(K$2+$A813,Sheet2!BZ:ND,$B813,0)&lt;&gt;""),HLOOKUP(K$2+$A813,Sheet2!BZ:ND,$B813,0),"")</f>
        <v/>
      </c>
      <c r="L813" t="str">
        <f>IF(OR(HLOOKUP(L$2+$A813,Sheet2!CA:NE,$B813,0),HLOOKUP(L$2+$A813,Sheet2!CA:NE,$B813,0)&lt;&gt;""),HLOOKUP(L$2+$A813,Sheet2!CA:NE,$B813,0),"")</f>
        <v/>
      </c>
      <c r="M813" t="str">
        <f>IF(OR(HLOOKUP(M$2+$A813,Sheet2!CB:NF,$B813,0),HLOOKUP(M$2+$A813,Sheet2!CB:NF,$B813,0)&lt;&gt;""),HLOOKUP(M$2+$A813,Sheet2!CB:NF,$B813,0),"")</f>
        <v/>
      </c>
    </row>
    <row r="814" spans="1:13" x14ac:dyDescent="0.25">
      <c r="A814" s="68">
        <f t="shared" si="78"/>
        <v>10</v>
      </c>
      <c r="B814" s="68">
        <f t="shared" si="79"/>
        <v>106</v>
      </c>
      <c r="C814" s="68">
        <f t="shared" si="81"/>
        <v>3</v>
      </c>
      <c r="D814" s="68">
        <f t="shared" si="80"/>
        <v>102</v>
      </c>
      <c r="E814" s="68">
        <f t="shared" si="82"/>
        <v>506</v>
      </c>
      <c r="F814" s="21" t="str">
        <f>VLOOKUP(D814,Sheet2!A:B,2)</f>
        <v>J20-1079</v>
      </c>
      <c r="G814" s="68" t="str">
        <f>VLOOKUP(F814,Sheet2!B:C,2,0)</f>
        <v xml:space="preserve">Demolish Exiting dust monitor &amp; Install new dust </v>
      </c>
      <c r="H814" s="68" t="str">
        <f>HLOOKUP(I$2+$A814,Sheet2!BX:NB,2,0)</f>
        <v>1-15 Feb 21</v>
      </c>
      <c r="I814" t="str">
        <f>IF(OR(HLOOKUP(I$2+$A814,Sheet2!BX:NB,$B814,0),HLOOKUP(I$2+$A814,Sheet2!BX:NB,$B814,0)&lt;&gt;""),HLOOKUP(I$2+$A814,Sheet2!BX:NB,$B814,0),"")</f>
        <v/>
      </c>
      <c r="J814" t="str">
        <f>IF(OR(HLOOKUP(J$2+$A814,Sheet2!BY:NC,$B814,0),HLOOKUP(J$2+$A814,Sheet2!BY:NC,$B814,0)&lt;&gt;""),HLOOKUP(J$2+$A814,Sheet2!BY:NC,$B814,0),"")</f>
        <v/>
      </c>
      <c r="K814" t="str">
        <f>IF(OR(HLOOKUP(K$2+$A814,Sheet2!BZ:ND,$B814,0),HLOOKUP(K$2+$A814,Sheet2!BZ:ND,$B814,0)&lt;&gt;""),HLOOKUP(K$2+$A814,Sheet2!BZ:ND,$B814,0),"")</f>
        <v/>
      </c>
      <c r="L814" t="str">
        <f>IF(OR(HLOOKUP(L$2+$A814,Sheet2!CA:NE,$B814,0),HLOOKUP(L$2+$A814,Sheet2!CA:NE,$B814,0)&lt;&gt;""),HLOOKUP(L$2+$A814,Sheet2!CA:NE,$B814,0),"")</f>
        <v/>
      </c>
      <c r="M814" t="str">
        <f>IF(OR(HLOOKUP(M$2+$A814,Sheet2!CB:NF,$B814,0),HLOOKUP(M$2+$A814,Sheet2!CB:NF,$B814,0)&lt;&gt;""),HLOOKUP(M$2+$A814,Sheet2!CB:NF,$B814,0),"")</f>
        <v/>
      </c>
    </row>
    <row r="815" spans="1:13" x14ac:dyDescent="0.25">
      <c r="A815" s="68">
        <f t="shared" si="78"/>
        <v>15</v>
      </c>
      <c r="B815" s="68">
        <f t="shared" si="79"/>
        <v>106</v>
      </c>
      <c r="C815" s="68">
        <f t="shared" si="81"/>
        <v>4</v>
      </c>
      <c r="D815" s="68">
        <f t="shared" si="80"/>
        <v>102</v>
      </c>
      <c r="E815" s="68">
        <f t="shared" si="82"/>
        <v>506</v>
      </c>
      <c r="F815" s="21" t="str">
        <f>VLOOKUP(D815,Sheet2!A:B,2)</f>
        <v>J20-1079</v>
      </c>
      <c r="G815" s="68" t="str">
        <f>VLOOKUP(F815,Sheet2!B:C,2,0)</f>
        <v xml:space="preserve">Demolish Exiting dust monitor &amp; Install new dust </v>
      </c>
      <c r="H815" s="68" t="str">
        <f>HLOOKUP(I$2+$A815,Sheet2!BX:NB,2,0)</f>
        <v>16-28 Feb 21</v>
      </c>
      <c r="I815">
        <f>IF(OR(HLOOKUP(I$2+$A815,Sheet2!BX:NB,$B815,0),HLOOKUP(I$2+$A815,Sheet2!BX:NB,$B815,0)&lt;&gt;""),HLOOKUP(I$2+$A815,Sheet2!BX:NB,$B815,0),"")</f>
        <v>3860</v>
      </c>
      <c r="J815">
        <f>IF(OR(HLOOKUP(J$2+$A815,Sheet2!BY:NC,$B815,0),HLOOKUP(J$2+$A815,Sheet2!BY:NC,$B815,0)&lt;&gt;""),HLOOKUP(J$2+$A815,Sheet2!BY:NC,$B815,0),"")</f>
        <v>1314</v>
      </c>
      <c r="K815" t="str">
        <f>IF(OR(HLOOKUP(K$2+$A815,Sheet2!BZ:ND,$B815,0),HLOOKUP(K$2+$A815,Sheet2!BZ:ND,$B815,0)&lt;&gt;""),HLOOKUP(K$2+$A815,Sheet2!BZ:ND,$B815,0),"")</f>
        <v/>
      </c>
      <c r="L815" t="str">
        <f>IF(OR(HLOOKUP(L$2+$A815,Sheet2!CA:NE,$B815,0),HLOOKUP(L$2+$A815,Sheet2!CA:NE,$B815,0)&lt;&gt;""),HLOOKUP(L$2+$A815,Sheet2!CA:NE,$B815,0),"")</f>
        <v/>
      </c>
      <c r="M815" t="str">
        <f>IF(OR(HLOOKUP(M$2+$A815,Sheet2!CB:NF,$B815,0),HLOOKUP(M$2+$A815,Sheet2!CB:NF,$B815,0)&lt;&gt;""),HLOOKUP(M$2+$A815,Sheet2!CB:NF,$B815,0),"")</f>
        <v/>
      </c>
    </row>
    <row r="816" spans="1:13" x14ac:dyDescent="0.25">
      <c r="A816" s="68">
        <f t="shared" si="78"/>
        <v>20</v>
      </c>
      <c r="B816" s="68">
        <f t="shared" si="79"/>
        <v>106</v>
      </c>
      <c r="C816" s="68">
        <f t="shared" si="81"/>
        <v>5</v>
      </c>
      <c r="D816" s="68">
        <f t="shared" si="80"/>
        <v>102</v>
      </c>
      <c r="E816" s="68">
        <f t="shared" si="82"/>
        <v>506</v>
      </c>
      <c r="F816" s="21" t="str">
        <f>VLOOKUP(D816,Sheet2!A:B,2)</f>
        <v>J20-1079</v>
      </c>
      <c r="G816" s="68" t="str">
        <f>VLOOKUP(F816,Sheet2!B:C,2,0)</f>
        <v xml:space="preserve">Demolish Exiting dust monitor &amp; Install new dust </v>
      </c>
      <c r="H816" s="68" t="str">
        <f>HLOOKUP(I$2+$A816,Sheet2!BX:NB,2,0)</f>
        <v>1-15 Mar 2021</v>
      </c>
      <c r="I816" t="str">
        <f>IF(OR(HLOOKUP(I$2+$A816,Sheet2!BX:NB,$B816,0),HLOOKUP(I$2+$A816,Sheet2!BX:NB,$B816,0)&lt;&gt;""),HLOOKUP(I$2+$A816,Sheet2!BX:NB,$B816,0),"")</f>
        <v/>
      </c>
      <c r="J816" t="str">
        <f>IF(OR(HLOOKUP(J$2+$A816,Sheet2!BY:NC,$B816,0),HLOOKUP(J$2+$A816,Sheet2!BY:NC,$B816,0)&lt;&gt;""),HLOOKUP(J$2+$A816,Sheet2!BY:NC,$B816,0),"")</f>
        <v/>
      </c>
      <c r="K816" t="str">
        <f>IF(OR(HLOOKUP(K$2+$A816,Sheet2!BZ:ND,$B816,0),HLOOKUP(K$2+$A816,Sheet2!BZ:ND,$B816,0)&lt;&gt;""),HLOOKUP(K$2+$A816,Sheet2!BZ:ND,$B816,0),"")</f>
        <v/>
      </c>
      <c r="L816" t="str">
        <f>IF(OR(HLOOKUP(L$2+$A816,Sheet2!CA:NE,$B816,0),HLOOKUP(L$2+$A816,Sheet2!CA:NE,$B816,0)&lt;&gt;""),HLOOKUP(L$2+$A816,Sheet2!CA:NE,$B816,0),"")</f>
        <v/>
      </c>
      <c r="M816" t="str">
        <f>IF(OR(HLOOKUP(M$2+$A816,Sheet2!CB:NF,$B816,0),HLOOKUP(M$2+$A816,Sheet2!CB:NF,$B816,0)&lt;&gt;""),HLOOKUP(M$2+$A816,Sheet2!CB:NF,$B816,0),"")</f>
        <v/>
      </c>
    </row>
    <row r="817" spans="1:13" x14ac:dyDescent="0.25">
      <c r="A817" s="68">
        <f t="shared" si="78"/>
        <v>25</v>
      </c>
      <c r="B817" s="68">
        <f t="shared" si="79"/>
        <v>106</v>
      </c>
      <c r="C817" s="68">
        <f t="shared" si="81"/>
        <v>6</v>
      </c>
      <c r="D817" s="68">
        <f t="shared" si="80"/>
        <v>102</v>
      </c>
      <c r="E817" s="68">
        <f t="shared" si="82"/>
        <v>506</v>
      </c>
      <c r="F817" s="21" t="str">
        <f>VLOOKUP(D817,Sheet2!A:B,2)</f>
        <v>J20-1079</v>
      </c>
      <c r="G817" s="68" t="str">
        <f>VLOOKUP(F817,Sheet2!B:C,2,0)</f>
        <v xml:space="preserve">Demolish Exiting dust monitor &amp; Install new dust </v>
      </c>
      <c r="H817" s="68" t="str">
        <f>HLOOKUP(I$2+$A817,Sheet2!BX:NB,2,0)</f>
        <v>16-31 Mar 21</v>
      </c>
      <c r="I817" t="str">
        <f>IF(OR(HLOOKUP(I$2+$A817,Sheet2!BX:NB,$B817,0),HLOOKUP(I$2+$A817,Sheet2!BX:NB,$B817,0)&lt;&gt;""),HLOOKUP(I$2+$A817,Sheet2!BX:NB,$B817,0),"")</f>
        <v/>
      </c>
      <c r="J817" t="str">
        <f>IF(OR(HLOOKUP(J$2+$A817,Sheet2!BY:NC,$B817,0),HLOOKUP(J$2+$A817,Sheet2!BY:NC,$B817,0)&lt;&gt;""),HLOOKUP(J$2+$A817,Sheet2!BY:NC,$B817,0),"")</f>
        <v/>
      </c>
      <c r="K817" t="str">
        <f>IF(OR(HLOOKUP(K$2+$A817,Sheet2!BZ:ND,$B817,0),HLOOKUP(K$2+$A817,Sheet2!BZ:ND,$B817,0)&lt;&gt;""),HLOOKUP(K$2+$A817,Sheet2!BZ:ND,$B817,0),"")</f>
        <v/>
      </c>
      <c r="L817" t="str">
        <f>IF(OR(HLOOKUP(L$2+$A817,Sheet2!CA:NE,$B817,0),HLOOKUP(L$2+$A817,Sheet2!CA:NE,$B817,0)&lt;&gt;""),HLOOKUP(L$2+$A817,Sheet2!CA:NE,$B817,0),"")</f>
        <v/>
      </c>
      <c r="M817" t="str">
        <f>IF(OR(HLOOKUP(M$2+$A817,Sheet2!CB:NF,$B817,0),HLOOKUP(M$2+$A817,Sheet2!CB:NF,$B817,0)&lt;&gt;""),HLOOKUP(M$2+$A817,Sheet2!CB:NF,$B817,0),"")</f>
        <v/>
      </c>
    </row>
    <row r="818" spans="1:13" x14ac:dyDescent="0.25">
      <c r="A818" s="68">
        <f t="shared" si="78"/>
        <v>30</v>
      </c>
      <c r="B818" s="68">
        <f t="shared" si="79"/>
        <v>106</v>
      </c>
      <c r="C818" s="68">
        <f t="shared" si="81"/>
        <v>7</v>
      </c>
      <c r="D818" s="68">
        <f t="shared" si="80"/>
        <v>102</v>
      </c>
      <c r="E818" s="68">
        <f t="shared" si="82"/>
        <v>506</v>
      </c>
      <c r="F818" s="21" t="str">
        <f>VLOOKUP(D818,Sheet2!A:B,2)</f>
        <v>J20-1079</v>
      </c>
      <c r="G818" s="68" t="str">
        <f>VLOOKUP(F818,Sheet2!B:C,2,0)</f>
        <v xml:space="preserve">Demolish Exiting dust monitor &amp; Install new dust </v>
      </c>
      <c r="H818" s="68" t="str">
        <f>HLOOKUP(I$2+$A818,Sheet2!BX:NB,2,0)</f>
        <v>1-15 April 21</v>
      </c>
      <c r="I818" t="str">
        <f>IF(OR(HLOOKUP(I$2+$A818,Sheet2!BX:NB,$B818,0),HLOOKUP(I$2+$A818,Sheet2!BX:NB,$B818,0)&lt;&gt;""),HLOOKUP(I$2+$A818,Sheet2!BX:NB,$B818,0),"")</f>
        <v/>
      </c>
      <c r="J818" t="str">
        <f>IF(OR(HLOOKUP(J$2+$A818,Sheet2!BY:NC,$B818,0),HLOOKUP(J$2+$A818,Sheet2!BY:NC,$B818,0)&lt;&gt;""),HLOOKUP(J$2+$A818,Sheet2!BY:NC,$B818,0),"")</f>
        <v/>
      </c>
      <c r="K818" t="str">
        <f>IF(OR(HLOOKUP(K$2+$A818,Sheet2!BZ:ND,$B818,0),HLOOKUP(K$2+$A818,Sheet2!BZ:ND,$B818,0)&lt;&gt;""),HLOOKUP(K$2+$A818,Sheet2!BZ:ND,$B818,0),"")</f>
        <v/>
      </c>
      <c r="L818" t="str">
        <f>IF(OR(HLOOKUP(L$2+$A818,Sheet2!CA:NE,$B818,0),HLOOKUP(L$2+$A818,Sheet2!CA:NE,$B818,0)&lt;&gt;""),HLOOKUP(L$2+$A818,Sheet2!CA:NE,$B818,0),"")</f>
        <v/>
      </c>
      <c r="M818" t="str">
        <f>IF(OR(HLOOKUP(M$2+$A818,Sheet2!CB:NF,$B818,0),HLOOKUP(M$2+$A818,Sheet2!CB:NF,$B818,0)&lt;&gt;""),HLOOKUP(M$2+$A818,Sheet2!CB:NF,$B818,0),"")</f>
        <v/>
      </c>
    </row>
    <row r="819" spans="1:13" x14ac:dyDescent="0.25">
      <c r="A819" s="68">
        <f t="shared" si="78"/>
        <v>35</v>
      </c>
      <c r="B819" s="68">
        <f t="shared" si="79"/>
        <v>106</v>
      </c>
      <c r="C819" s="68">
        <f t="shared" si="81"/>
        <v>8</v>
      </c>
      <c r="D819" s="68">
        <f t="shared" si="80"/>
        <v>102</v>
      </c>
      <c r="E819" s="68">
        <f t="shared" si="82"/>
        <v>506</v>
      </c>
      <c r="F819" s="21" t="str">
        <f>VLOOKUP(D819,Sheet2!A:B,2)</f>
        <v>J20-1079</v>
      </c>
      <c r="G819" s="68" t="str">
        <f>VLOOKUP(F819,Sheet2!B:C,2,0)</f>
        <v xml:space="preserve">Demolish Exiting dust monitor &amp; Install new dust </v>
      </c>
      <c r="H819" s="68" t="str">
        <f>HLOOKUP(I$2+$A819,Sheet2!BX:NB,2,0)</f>
        <v>16-30 April 21</v>
      </c>
      <c r="I819" t="str">
        <f>IF(OR(HLOOKUP(I$2+$A819,Sheet2!BX:NB,$B819,0),HLOOKUP(I$2+$A819,Sheet2!BX:NB,$B819,0)&lt;&gt;""),HLOOKUP(I$2+$A819,Sheet2!BX:NB,$B819,0),"")</f>
        <v/>
      </c>
      <c r="J819" t="str">
        <f>IF(OR(HLOOKUP(J$2+$A819,Sheet2!BY:NC,$B819,0),HLOOKUP(J$2+$A819,Sheet2!BY:NC,$B819,0)&lt;&gt;""),HLOOKUP(J$2+$A819,Sheet2!BY:NC,$B819,0),"")</f>
        <v/>
      </c>
      <c r="K819" t="str">
        <f>IF(OR(HLOOKUP(K$2+$A819,Sheet2!BZ:ND,$B819,0),HLOOKUP(K$2+$A819,Sheet2!BZ:ND,$B819,0)&lt;&gt;""),HLOOKUP(K$2+$A819,Sheet2!BZ:ND,$B819,0),"")</f>
        <v/>
      </c>
      <c r="L819" t="str">
        <f>IF(OR(HLOOKUP(L$2+$A819,Sheet2!CA:NE,$B819,0),HLOOKUP(L$2+$A819,Sheet2!CA:NE,$B819,0)&lt;&gt;""),HLOOKUP(L$2+$A819,Sheet2!CA:NE,$B819,0),"")</f>
        <v/>
      </c>
      <c r="M819" t="str">
        <f>IF(OR(HLOOKUP(M$2+$A819,Sheet2!CB:NF,$B819,0),HLOOKUP(M$2+$A819,Sheet2!CB:NF,$B819,0)&lt;&gt;""),HLOOKUP(M$2+$A819,Sheet2!CB:NF,$B819,0),"")</f>
        <v/>
      </c>
    </row>
    <row r="820" spans="1:13" x14ac:dyDescent="0.25">
      <c r="A820" s="68">
        <f t="shared" si="78"/>
        <v>0</v>
      </c>
      <c r="B820" s="68">
        <f t="shared" si="79"/>
        <v>107</v>
      </c>
      <c r="C820" s="68">
        <f t="shared" si="81"/>
        <v>1</v>
      </c>
      <c r="D820" s="68">
        <f t="shared" si="80"/>
        <v>103</v>
      </c>
      <c r="E820" s="68">
        <f t="shared" si="82"/>
        <v>511</v>
      </c>
      <c r="F820" s="21" t="str">
        <f>VLOOKUP(D820,Sheet2!A:B,2)</f>
        <v>J21-0211</v>
      </c>
      <c r="G820" s="68" t="str">
        <f>VLOOKUP(F820,Sheet2!B:C,2,0)</f>
        <v>HDPE Pilot plant modification Project</v>
      </c>
      <c r="H820" s="68" t="str">
        <f>HLOOKUP(I$2+$A820,Sheet2!BX:NB,2,0)</f>
        <v>1-15 Jan 21</v>
      </c>
      <c r="I820" t="str">
        <f>IF(OR(HLOOKUP(I$2+$A820,Sheet2!BX:NB,$B820,0),HLOOKUP(I$2+$A820,Sheet2!BX:NB,$B820,0)&lt;&gt;""),HLOOKUP(I$2+$A820,Sheet2!BX:NB,$B820,0),"")</f>
        <v/>
      </c>
      <c r="J820" t="str">
        <f>IF(OR(HLOOKUP(J$2+$A820,Sheet2!BY:NC,$B820,0),HLOOKUP(J$2+$A820,Sheet2!BY:NC,$B820,0)&lt;&gt;""),HLOOKUP(J$2+$A820,Sheet2!BY:NC,$B820,0),"")</f>
        <v/>
      </c>
      <c r="K820" t="str">
        <f>IF(OR(HLOOKUP(K$2+$A820,Sheet2!BZ:ND,$B820,0),HLOOKUP(K$2+$A820,Sheet2!BZ:ND,$B820,0)&lt;&gt;""),HLOOKUP(K$2+$A820,Sheet2!BZ:ND,$B820,0),"")</f>
        <v/>
      </c>
      <c r="L820" t="str">
        <f>IF(OR(HLOOKUP(L$2+$A820,Sheet2!CA:NE,$B820,0),HLOOKUP(L$2+$A820,Sheet2!CA:NE,$B820,0)&lt;&gt;""),HLOOKUP(L$2+$A820,Sheet2!CA:NE,$B820,0),"")</f>
        <v/>
      </c>
      <c r="M820" t="str">
        <f>IF(OR(HLOOKUP(M$2+$A820,Sheet2!CB:NF,$B820,0),HLOOKUP(M$2+$A820,Sheet2!CB:NF,$B820,0)&lt;&gt;""),HLOOKUP(M$2+$A820,Sheet2!CB:NF,$B820,0),"")</f>
        <v/>
      </c>
    </row>
    <row r="821" spans="1:13" x14ac:dyDescent="0.25">
      <c r="A821" s="68">
        <f t="shared" si="78"/>
        <v>5</v>
      </c>
      <c r="B821" s="68">
        <f t="shared" si="79"/>
        <v>107</v>
      </c>
      <c r="C821" s="68">
        <f t="shared" si="81"/>
        <v>2</v>
      </c>
      <c r="D821" s="68">
        <f t="shared" si="80"/>
        <v>103</v>
      </c>
      <c r="E821" s="68">
        <f t="shared" si="82"/>
        <v>511</v>
      </c>
      <c r="F821" s="21" t="str">
        <f>VLOOKUP(D821,Sheet2!A:B,2)</f>
        <v>J21-0211</v>
      </c>
      <c r="G821" s="68" t="str">
        <f>VLOOKUP(F821,Sheet2!B:C,2,0)</f>
        <v>HDPE Pilot plant modification Project</v>
      </c>
      <c r="H821" s="68" t="str">
        <f>HLOOKUP(I$2+$A821,Sheet2!BX:NB,2,0)</f>
        <v>16-31 Jan 21</v>
      </c>
      <c r="I821" t="str">
        <f>IF(OR(HLOOKUP(I$2+$A821,Sheet2!BX:NB,$B821,0),HLOOKUP(I$2+$A821,Sheet2!BX:NB,$B821,0)&lt;&gt;""),HLOOKUP(I$2+$A821,Sheet2!BX:NB,$B821,0),"")</f>
        <v/>
      </c>
      <c r="J821" t="str">
        <f>IF(OR(HLOOKUP(J$2+$A821,Sheet2!BY:NC,$B821,0),HLOOKUP(J$2+$A821,Sheet2!BY:NC,$B821,0)&lt;&gt;""),HLOOKUP(J$2+$A821,Sheet2!BY:NC,$B821,0),"")</f>
        <v/>
      </c>
      <c r="K821" t="str">
        <f>IF(OR(HLOOKUP(K$2+$A821,Sheet2!BZ:ND,$B821,0),HLOOKUP(K$2+$A821,Sheet2!BZ:ND,$B821,0)&lt;&gt;""),HLOOKUP(K$2+$A821,Sheet2!BZ:ND,$B821,0),"")</f>
        <v/>
      </c>
      <c r="L821" t="str">
        <f>IF(OR(HLOOKUP(L$2+$A821,Sheet2!CA:NE,$B821,0),HLOOKUP(L$2+$A821,Sheet2!CA:NE,$B821,0)&lt;&gt;""),HLOOKUP(L$2+$A821,Sheet2!CA:NE,$B821,0),"")</f>
        <v/>
      </c>
      <c r="M821" t="str">
        <f>IF(OR(HLOOKUP(M$2+$A821,Sheet2!CB:NF,$B821,0),HLOOKUP(M$2+$A821,Sheet2!CB:NF,$B821,0)&lt;&gt;""),HLOOKUP(M$2+$A821,Sheet2!CB:NF,$B821,0),"")</f>
        <v/>
      </c>
    </row>
    <row r="822" spans="1:13" x14ac:dyDescent="0.25">
      <c r="A822" s="68">
        <f t="shared" ref="A822:A885" si="83">IF(C822&lt;&gt;1,A821+5,0)</f>
        <v>10</v>
      </c>
      <c r="B822" s="68">
        <f t="shared" ref="B822:B885" si="84">IF(C822&lt;&gt;1,B821,B821+1)</f>
        <v>107</v>
      </c>
      <c r="C822" s="68">
        <f t="shared" si="81"/>
        <v>3</v>
      </c>
      <c r="D822" s="68">
        <f t="shared" ref="D822:D885" si="85">IF(C822=1,D821+1,D821)</f>
        <v>103</v>
      </c>
      <c r="E822" s="68">
        <f t="shared" si="82"/>
        <v>511</v>
      </c>
      <c r="F822" s="21" t="str">
        <f>VLOOKUP(D822,Sheet2!A:B,2)</f>
        <v>J21-0211</v>
      </c>
      <c r="G822" s="68" t="str">
        <f>VLOOKUP(F822,Sheet2!B:C,2,0)</f>
        <v>HDPE Pilot plant modification Project</v>
      </c>
      <c r="H822" s="68" t="str">
        <f>HLOOKUP(I$2+$A822,Sheet2!BX:NB,2,0)</f>
        <v>1-15 Feb 21</v>
      </c>
      <c r="I822" t="str">
        <f>IF(OR(HLOOKUP(I$2+$A822,Sheet2!BX:NB,$B822,0),HLOOKUP(I$2+$A822,Sheet2!BX:NB,$B822,0)&lt;&gt;""),HLOOKUP(I$2+$A822,Sheet2!BX:NB,$B822,0),"")</f>
        <v/>
      </c>
      <c r="J822" t="str">
        <f>IF(OR(HLOOKUP(J$2+$A822,Sheet2!BY:NC,$B822,0),HLOOKUP(J$2+$A822,Sheet2!BY:NC,$B822,0)&lt;&gt;""),HLOOKUP(J$2+$A822,Sheet2!BY:NC,$B822,0),"")</f>
        <v/>
      </c>
      <c r="K822" t="str">
        <f>IF(OR(HLOOKUP(K$2+$A822,Sheet2!BZ:ND,$B822,0),HLOOKUP(K$2+$A822,Sheet2!BZ:ND,$B822,0)&lt;&gt;""),HLOOKUP(K$2+$A822,Sheet2!BZ:ND,$B822,0),"")</f>
        <v/>
      </c>
      <c r="L822" t="str">
        <f>IF(OR(HLOOKUP(L$2+$A822,Sheet2!CA:NE,$B822,0),HLOOKUP(L$2+$A822,Sheet2!CA:NE,$B822,0)&lt;&gt;""),HLOOKUP(L$2+$A822,Sheet2!CA:NE,$B822,0),"")</f>
        <v/>
      </c>
      <c r="M822" t="str">
        <f>IF(OR(HLOOKUP(M$2+$A822,Sheet2!CB:NF,$B822,0),HLOOKUP(M$2+$A822,Sheet2!CB:NF,$B822,0)&lt;&gt;""),HLOOKUP(M$2+$A822,Sheet2!CB:NF,$B822,0),"")</f>
        <v/>
      </c>
    </row>
    <row r="823" spans="1:13" x14ac:dyDescent="0.25">
      <c r="A823" s="68">
        <f t="shared" si="83"/>
        <v>15</v>
      </c>
      <c r="B823" s="68">
        <f t="shared" si="84"/>
        <v>107</v>
      </c>
      <c r="C823" s="68">
        <f t="shared" si="81"/>
        <v>4</v>
      </c>
      <c r="D823" s="68">
        <f t="shared" si="85"/>
        <v>103</v>
      </c>
      <c r="E823" s="68">
        <f t="shared" si="82"/>
        <v>511</v>
      </c>
      <c r="F823" s="21" t="str">
        <f>VLOOKUP(D823,Sheet2!A:B,2)</f>
        <v>J21-0211</v>
      </c>
      <c r="G823" s="68" t="str">
        <f>VLOOKUP(F823,Sheet2!B:C,2,0)</f>
        <v>HDPE Pilot plant modification Project</v>
      </c>
      <c r="H823" s="68" t="str">
        <f>HLOOKUP(I$2+$A823,Sheet2!BX:NB,2,0)</f>
        <v>16-28 Feb 21</v>
      </c>
      <c r="I823">
        <f>IF(OR(HLOOKUP(I$2+$A823,Sheet2!BX:NB,$B823,0),HLOOKUP(I$2+$A823,Sheet2!BX:NB,$B823,0)&lt;&gt;""),HLOOKUP(I$2+$A823,Sheet2!BX:NB,$B823,0),"")</f>
        <v>184310</v>
      </c>
      <c r="J823" t="str">
        <f>IF(OR(HLOOKUP(J$2+$A823,Sheet2!BY:NC,$B823,0),HLOOKUP(J$2+$A823,Sheet2!BY:NC,$B823,0)&lt;&gt;""),HLOOKUP(J$2+$A823,Sheet2!BY:NC,$B823,0),"")</f>
        <v/>
      </c>
      <c r="K823" t="str">
        <f>IF(OR(HLOOKUP(K$2+$A823,Sheet2!BZ:ND,$B823,0),HLOOKUP(K$2+$A823,Sheet2!BZ:ND,$B823,0)&lt;&gt;""),HLOOKUP(K$2+$A823,Sheet2!BZ:ND,$B823,0),"")</f>
        <v/>
      </c>
      <c r="L823" t="str">
        <f>IF(OR(HLOOKUP(L$2+$A823,Sheet2!CA:NE,$B823,0),HLOOKUP(L$2+$A823,Sheet2!CA:NE,$B823,0)&lt;&gt;""),HLOOKUP(L$2+$A823,Sheet2!CA:NE,$B823,0),"")</f>
        <v/>
      </c>
      <c r="M823">
        <f>IF(OR(HLOOKUP(M$2+$A823,Sheet2!CB:NF,$B823,0),HLOOKUP(M$2+$A823,Sheet2!CB:NF,$B823,0)&lt;&gt;""),HLOOKUP(M$2+$A823,Sheet2!CB:NF,$B823,0),"")</f>
        <v>27</v>
      </c>
    </row>
    <row r="824" spans="1:13" x14ac:dyDescent="0.25">
      <c r="A824" s="68">
        <f t="shared" si="83"/>
        <v>20</v>
      </c>
      <c r="B824" s="68">
        <f t="shared" si="84"/>
        <v>107</v>
      </c>
      <c r="C824" s="68">
        <f t="shared" si="81"/>
        <v>5</v>
      </c>
      <c r="D824" s="68">
        <f t="shared" si="85"/>
        <v>103</v>
      </c>
      <c r="E824" s="68">
        <f t="shared" si="82"/>
        <v>511</v>
      </c>
      <c r="F824" s="21" t="str">
        <f>VLOOKUP(D824,Sheet2!A:B,2)</f>
        <v>J21-0211</v>
      </c>
      <c r="G824" s="68" t="str">
        <f>VLOOKUP(F824,Sheet2!B:C,2,0)</f>
        <v>HDPE Pilot plant modification Project</v>
      </c>
      <c r="H824" s="68" t="str">
        <f>HLOOKUP(I$2+$A824,Sheet2!BX:NB,2,0)</f>
        <v>1-15 Mar 2021</v>
      </c>
      <c r="I824">
        <f>IF(OR(HLOOKUP(I$2+$A824,Sheet2!BX:NB,$B824,0),HLOOKUP(I$2+$A824,Sheet2!BX:NB,$B824,0)&lt;&gt;""),HLOOKUP(I$2+$A824,Sheet2!BX:NB,$B824,0),"")</f>
        <v>377068</v>
      </c>
      <c r="J824">
        <f>IF(OR(HLOOKUP(J$2+$A824,Sheet2!BY:NC,$B824,0),HLOOKUP(J$2+$A824,Sheet2!BY:NC,$B824,0)&lt;&gt;""),HLOOKUP(J$2+$A824,Sheet2!BY:NC,$B824,0),"")</f>
        <v>1218</v>
      </c>
      <c r="K824" t="str">
        <f>IF(OR(HLOOKUP(K$2+$A824,Sheet2!BZ:ND,$B824,0),HLOOKUP(K$2+$A824,Sheet2!BZ:ND,$B824,0)&lt;&gt;""),HLOOKUP(K$2+$A824,Sheet2!BZ:ND,$B824,0),"")</f>
        <v/>
      </c>
      <c r="L824" t="str">
        <f>IF(OR(HLOOKUP(L$2+$A824,Sheet2!CA:NE,$B824,0),HLOOKUP(L$2+$A824,Sheet2!CA:NE,$B824,0)&lt;&gt;""),HLOOKUP(L$2+$A824,Sheet2!CA:NE,$B824,0),"")</f>
        <v/>
      </c>
      <c r="M824">
        <f>IF(OR(HLOOKUP(M$2+$A824,Sheet2!CB:NF,$B824,0),HLOOKUP(M$2+$A824,Sheet2!CB:NF,$B824,0)&lt;&gt;""),HLOOKUP(M$2+$A824,Sheet2!CB:NF,$B824,0),"")</f>
        <v>70</v>
      </c>
    </row>
    <row r="825" spans="1:13" x14ac:dyDescent="0.25">
      <c r="A825" s="68">
        <f t="shared" si="83"/>
        <v>25</v>
      </c>
      <c r="B825" s="68">
        <f t="shared" si="84"/>
        <v>107</v>
      </c>
      <c r="C825" s="68">
        <f t="shared" si="81"/>
        <v>6</v>
      </c>
      <c r="D825" s="68">
        <f t="shared" si="85"/>
        <v>103</v>
      </c>
      <c r="E825" s="68">
        <f t="shared" si="82"/>
        <v>511</v>
      </c>
      <c r="F825" s="21" t="str">
        <f>VLOOKUP(D825,Sheet2!A:B,2)</f>
        <v>J21-0211</v>
      </c>
      <c r="G825" s="68" t="str">
        <f>VLOOKUP(F825,Sheet2!B:C,2,0)</f>
        <v>HDPE Pilot plant modification Project</v>
      </c>
      <c r="H825" s="68" t="str">
        <f>HLOOKUP(I$2+$A825,Sheet2!BX:NB,2,0)</f>
        <v>16-31 Mar 21</v>
      </c>
      <c r="I825">
        <f>IF(OR(HLOOKUP(I$2+$A825,Sheet2!BX:NB,$B825,0),HLOOKUP(I$2+$A825,Sheet2!BX:NB,$B825,0)&lt;&gt;""),HLOOKUP(I$2+$A825,Sheet2!BX:NB,$B825,0),"")</f>
        <v>402372</v>
      </c>
      <c r="J825">
        <f>IF(OR(HLOOKUP(J$2+$A825,Sheet2!BY:NC,$B825,0),HLOOKUP(J$2+$A825,Sheet2!BY:NC,$B825,0)&lt;&gt;""),HLOOKUP(J$2+$A825,Sheet2!BY:NC,$B825,0),"")</f>
        <v>14187</v>
      </c>
      <c r="K825" t="str">
        <f>IF(OR(HLOOKUP(K$2+$A825,Sheet2!BZ:ND,$B825,0),HLOOKUP(K$2+$A825,Sheet2!BZ:ND,$B825,0)&lt;&gt;""),HLOOKUP(K$2+$A825,Sheet2!BZ:ND,$B825,0),"")</f>
        <v/>
      </c>
      <c r="L825">
        <f>IF(OR(HLOOKUP(L$2+$A825,Sheet2!CA:NE,$B825,0),HLOOKUP(L$2+$A825,Sheet2!CA:NE,$B825,0)&lt;&gt;""),HLOOKUP(L$2+$A825,Sheet2!CA:NE,$B825,0),"")</f>
        <v>2000</v>
      </c>
      <c r="M825">
        <f>IF(OR(HLOOKUP(M$2+$A825,Sheet2!CB:NF,$B825,0),HLOOKUP(M$2+$A825,Sheet2!CB:NF,$B825,0)&lt;&gt;""),HLOOKUP(M$2+$A825,Sheet2!CB:NF,$B825,0),"")</f>
        <v>64</v>
      </c>
    </row>
    <row r="826" spans="1:13" x14ac:dyDescent="0.25">
      <c r="A826" s="68">
        <f t="shared" si="83"/>
        <v>30</v>
      </c>
      <c r="B826" s="68">
        <f t="shared" si="84"/>
        <v>107</v>
      </c>
      <c r="C826" s="68">
        <f t="shared" si="81"/>
        <v>7</v>
      </c>
      <c r="D826" s="68">
        <f t="shared" si="85"/>
        <v>103</v>
      </c>
      <c r="E826" s="68">
        <f t="shared" si="82"/>
        <v>511</v>
      </c>
      <c r="F826" s="21" t="str">
        <f>VLOOKUP(D826,Sheet2!A:B,2)</f>
        <v>J21-0211</v>
      </c>
      <c r="G826" s="68" t="str">
        <f>VLOOKUP(F826,Sheet2!B:C,2,0)</f>
        <v>HDPE Pilot plant modification Project</v>
      </c>
      <c r="H826" s="68" t="str">
        <f>HLOOKUP(I$2+$A826,Sheet2!BX:NB,2,0)</f>
        <v>1-15 April 21</v>
      </c>
      <c r="I826">
        <f>IF(OR(HLOOKUP(I$2+$A826,Sheet2!BX:NB,$B826,0),HLOOKUP(I$2+$A826,Sheet2!BX:NB,$B826,0)&lt;&gt;""),HLOOKUP(I$2+$A826,Sheet2!BX:NB,$B826,0),"")</f>
        <v>412831</v>
      </c>
      <c r="J826">
        <f>IF(OR(HLOOKUP(J$2+$A826,Sheet2!BY:NC,$B826,0),HLOOKUP(J$2+$A826,Sheet2!BY:NC,$B826,0)&lt;&gt;""),HLOOKUP(J$2+$A826,Sheet2!BY:NC,$B826,0),"")</f>
        <v>150903</v>
      </c>
      <c r="K826" t="str">
        <f>IF(OR(HLOOKUP(K$2+$A826,Sheet2!BZ:ND,$B826,0),HLOOKUP(K$2+$A826,Sheet2!BZ:ND,$B826,0)&lt;&gt;""),HLOOKUP(K$2+$A826,Sheet2!BZ:ND,$B826,0),"")</f>
        <v/>
      </c>
      <c r="L826" t="str">
        <f>IF(OR(HLOOKUP(L$2+$A826,Sheet2!CA:NE,$B826,0),HLOOKUP(L$2+$A826,Sheet2!CA:NE,$B826,0)&lt;&gt;""),HLOOKUP(L$2+$A826,Sheet2!CA:NE,$B826,0),"")</f>
        <v/>
      </c>
      <c r="M826">
        <f>IF(OR(HLOOKUP(M$2+$A826,Sheet2!CB:NF,$B826,0),HLOOKUP(M$2+$A826,Sheet2!CB:NF,$B826,0)&lt;&gt;""),HLOOKUP(M$2+$A826,Sheet2!CB:NF,$B826,0),"")</f>
        <v>70</v>
      </c>
    </row>
    <row r="827" spans="1:13" x14ac:dyDescent="0.25">
      <c r="A827" s="68">
        <f t="shared" si="83"/>
        <v>35</v>
      </c>
      <c r="B827" s="68">
        <f t="shared" si="84"/>
        <v>107</v>
      </c>
      <c r="C827" s="68">
        <f t="shared" si="81"/>
        <v>8</v>
      </c>
      <c r="D827" s="68">
        <f t="shared" si="85"/>
        <v>103</v>
      </c>
      <c r="E827" s="68">
        <f t="shared" si="82"/>
        <v>511</v>
      </c>
      <c r="F827" s="21" t="str">
        <f>VLOOKUP(D827,Sheet2!A:B,2)</f>
        <v>J21-0211</v>
      </c>
      <c r="G827" s="68" t="str">
        <f>VLOOKUP(F827,Sheet2!B:C,2,0)</f>
        <v>HDPE Pilot plant modification Project</v>
      </c>
      <c r="H827" s="68" t="str">
        <f>HLOOKUP(I$2+$A827,Sheet2!BX:NB,2,0)</f>
        <v>16-30 April 21</v>
      </c>
      <c r="I827" t="str">
        <f>IF(OR(HLOOKUP(I$2+$A827,Sheet2!BX:NB,$B827,0),HLOOKUP(I$2+$A827,Sheet2!BX:NB,$B827,0)&lt;&gt;""),HLOOKUP(I$2+$A827,Sheet2!BX:NB,$B827,0),"")</f>
        <v/>
      </c>
      <c r="J827" t="str">
        <f>IF(OR(HLOOKUP(J$2+$A827,Sheet2!BY:NC,$B827,0),HLOOKUP(J$2+$A827,Sheet2!BY:NC,$B827,0)&lt;&gt;""),HLOOKUP(J$2+$A827,Sheet2!BY:NC,$B827,0),"")</f>
        <v/>
      </c>
      <c r="K827" t="str">
        <f>IF(OR(HLOOKUP(K$2+$A827,Sheet2!BZ:ND,$B827,0),HLOOKUP(K$2+$A827,Sheet2!BZ:ND,$B827,0)&lt;&gt;""),HLOOKUP(K$2+$A827,Sheet2!BZ:ND,$B827,0),"")</f>
        <v/>
      </c>
      <c r="L827" t="str">
        <f>IF(OR(HLOOKUP(L$2+$A827,Sheet2!CA:NE,$B827,0),HLOOKUP(L$2+$A827,Sheet2!CA:NE,$B827,0)&lt;&gt;""),HLOOKUP(L$2+$A827,Sheet2!CA:NE,$B827,0),"")</f>
        <v/>
      </c>
      <c r="M827" t="str">
        <f>IF(OR(HLOOKUP(M$2+$A827,Sheet2!CB:NF,$B827,0),HLOOKUP(M$2+$A827,Sheet2!CB:NF,$B827,0)&lt;&gt;""),HLOOKUP(M$2+$A827,Sheet2!CB:NF,$B827,0),"")</f>
        <v/>
      </c>
    </row>
    <row r="828" spans="1:13" x14ac:dyDescent="0.25">
      <c r="A828" s="68">
        <f t="shared" si="83"/>
        <v>0</v>
      </c>
      <c r="B828" s="68">
        <f t="shared" si="84"/>
        <v>108</v>
      </c>
      <c r="C828" s="68">
        <f t="shared" si="81"/>
        <v>1</v>
      </c>
      <c r="D828" s="68">
        <f t="shared" si="85"/>
        <v>104</v>
      </c>
      <c r="E828" s="68">
        <f t="shared" si="82"/>
        <v>516</v>
      </c>
      <c r="F828" s="21" t="str">
        <f>VLOOKUP(D828,Sheet2!A:B,2)</f>
        <v>J20-1374</v>
      </c>
      <c r="G828" s="68" t="str">
        <f>VLOOKUP(F828,Sheet2!B:C,2,0)</f>
        <v>โครงการติดตั้งระบบ Automatic antifoam feeding KS</v>
      </c>
      <c r="H828" s="68" t="str">
        <f>HLOOKUP(I$2+$A828,Sheet2!BX:NB,2,0)</f>
        <v>1-15 Jan 21</v>
      </c>
      <c r="I828" t="str">
        <f>IF(OR(HLOOKUP(I$2+$A828,Sheet2!BX:NB,$B828,0),HLOOKUP(I$2+$A828,Sheet2!BX:NB,$B828,0)&lt;&gt;""),HLOOKUP(I$2+$A828,Sheet2!BX:NB,$B828,0),"")</f>
        <v/>
      </c>
      <c r="J828" t="str">
        <f>IF(OR(HLOOKUP(J$2+$A828,Sheet2!BY:NC,$B828,0),HLOOKUP(J$2+$A828,Sheet2!BY:NC,$B828,0)&lt;&gt;""),HLOOKUP(J$2+$A828,Sheet2!BY:NC,$B828,0),"")</f>
        <v/>
      </c>
      <c r="K828" t="str">
        <f>IF(OR(HLOOKUP(K$2+$A828,Sheet2!BZ:ND,$B828,0),HLOOKUP(K$2+$A828,Sheet2!BZ:ND,$B828,0)&lt;&gt;""),HLOOKUP(K$2+$A828,Sheet2!BZ:ND,$B828,0),"")</f>
        <v/>
      </c>
      <c r="L828" t="str">
        <f>IF(OR(HLOOKUP(L$2+$A828,Sheet2!CA:NE,$B828,0),HLOOKUP(L$2+$A828,Sheet2!CA:NE,$B828,0)&lt;&gt;""),HLOOKUP(L$2+$A828,Sheet2!CA:NE,$B828,0),"")</f>
        <v/>
      </c>
      <c r="M828" t="str">
        <f>IF(OR(HLOOKUP(M$2+$A828,Sheet2!CB:NF,$B828,0),HLOOKUP(M$2+$A828,Sheet2!CB:NF,$B828,0)&lt;&gt;""),HLOOKUP(M$2+$A828,Sheet2!CB:NF,$B828,0),"")</f>
        <v/>
      </c>
    </row>
    <row r="829" spans="1:13" x14ac:dyDescent="0.25">
      <c r="A829" s="68">
        <f t="shared" si="83"/>
        <v>5</v>
      </c>
      <c r="B829" s="68">
        <f t="shared" si="84"/>
        <v>108</v>
      </c>
      <c r="C829" s="68">
        <f t="shared" si="81"/>
        <v>2</v>
      </c>
      <c r="D829" s="68">
        <f t="shared" si="85"/>
        <v>104</v>
      </c>
      <c r="E829" s="68">
        <f t="shared" si="82"/>
        <v>516</v>
      </c>
      <c r="F829" s="21" t="str">
        <f>VLOOKUP(D829,Sheet2!A:B,2)</f>
        <v>J20-1374</v>
      </c>
      <c r="G829" s="68" t="str">
        <f>VLOOKUP(F829,Sheet2!B:C,2,0)</f>
        <v>โครงการติดตั้งระบบ Automatic antifoam feeding KS</v>
      </c>
      <c r="H829" s="68" t="str">
        <f>HLOOKUP(I$2+$A829,Sheet2!BX:NB,2,0)</f>
        <v>16-31 Jan 21</v>
      </c>
      <c r="I829" t="str">
        <f>IF(OR(HLOOKUP(I$2+$A829,Sheet2!BX:NB,$B829,0),HLOOKUP(I$2+$A829,Sheet2!BX:NB,$B829,0)&lt;&gt;""),HLOOKUP(I$2+$A829,Sheet2!BX:NB,$B829,0),"")</f>
        <v/>
      </c>
      <c r="J829" t="str">
        <f>IF(OR(HLOOKUP(J$2+$A829,Sheet2!BY:NC,$B829,0),HLOOKUP(J$2+$A829,Sheet2!BY:NC,$B829,0)&lt;&gt;""),HLOOKUP(J$2+$A829,Sheet2!BY:NC,$B829,0),"")</f>
        <v/>
      </c>
      <c r="K829" t="str">
        <f>IF(OR(HLOOKUP(K$2+$A829,Sheet2!BZ:ND,$B829,0),HLOOKUP(K$2+$A829,Sheet2!BZ:ND,$B829,0)&lt;&gt;""),HLOOKUP(K$2+$A829,Sheet2!BZ:ND,$B829,0),"")</f>
        <v/>
      </c>
      <c r="L829" t="str">
        <f>IF(OR(HLOOKUP(L$2+$A829,Sheet2!CA:NE,$B829,0),HLOOKUP(L$2+$A829,Sheet2!CA:NE,$B829,0)&lt;&gt;""),HLOOKUP(L$2+$A829,Sheet2!CA:NE,$B829,0),"")</f>
        <v/>
      </c>
      <c r="M829" t="str">
        <f>IF(OR(HLOOKUP(M$2+$A829,Sheet2!CB:NF,$B829,0),HLOOKUP(M$2+$A829,Sheet2!CB:NF,$B829,0)&lt;&gt;""),HLOOKUP(M$2+$A829,Sheet2!CB:NF,$B829,0),"")</f>
        <v/>
      </c>
    </row>
    <row r="830" spans="1:13" x14ac:dyDescent="0.25">
      <c r="A830" s="68">
        <f t="shared" si="83"/>
        <v>10</v>
      </c>
      <c r="B830" s="68">
        <f t="shared" si="84"/>
        <v>108</v>
      </c>
      <c r="C830" s="68">
        <f t="shared" si="81"/>
        <v>3</v>
      </c>
      <c r="D830" s="68">
        <f t="shared" si="85"/>
        <v>104</v>
      </c>
      <c r="E830" s="68">
        <f t="shared" si="82"/>
        <v>516</v>
      </c>
      <c r="F830" s="21" t="str">
        <f>VLOOKUP(D830,Sheet2!A:B,2)</f>
        <v>J20-1374</v>
      </c>
      <c r="G830" s="68" t="str">
        <f>VLOOKUP(F830,Sheet2!B:C,2,0)</f>
        <v>โครงการติดตั้งระบบ Automatic antifoam feeding KS</v>
      </c>
      <c r="H830" s="68" t="str">
        <f>HLOOKUP(I$2+$A830,Sheet2!BX:NB,2,0)</f>
        <v>1-15 Feb 21</v>
      </c>
      <c r="I830" t="str">
        <f>IF(OR(HLOOKUP(I$2+$A830,Sheet2!BX:NB,$B830,0),HLOOKUP(I$2+$A830,Sheet2!BX:NB,$B830,0)&lt;&gt;""),HLOOKUP(I$2+$A830,Sheet2!BX:NB,$B830,0),"")</f>
        <v/>
      </c>
      <c r="J830" t="str">
        <f>IF(OR(HLOOKUP(J$2+$A830,Sheet2!BY:NC,$B830,0),HLOOKUP(J$2+$A830,Sheet2!BY:NC,$B830,0)&lt;&gt;""),HLOOKUP(J$2+$A830,Sheet2!BY:NC,$B830,0),"")</f>
        <v/>
      </c>
      <c r="K830" t="str">
        <f>IF(OR(HLOOKUP(K$2+$A830,Sheet2!BZ:ND,$B830,0),HLOOKUP(K$2+$A830,Sheet2!BZ:ND,$B830,0)&lt;&gt;""),HLOOKUP(K$2+$A830,Sheet2!BZ:ND,$B830,0),"")</f>
        <v/>
      </c>
      <c r="L830" t="str">
        <f>IF(OR(HLOOKUP(L$2+$A830,Sheet2!CA:NE,$B830,0),HLOOKUP(L$2+$A830,Sheet2!CA:NE,$B830,0)&lt;&gt;""),HLOOKUP(L$2+$A830,Sheet2!CA:NE,$B830,0),"")</f>
        <v/>
      </c>
      <c r="M830" t="str">
        <f>IF(OR(HLOOKUP(M$2+$A830,Sheet2!CB:NF,$B830,0),HLOOKUP(M$2+$A830,Sheet2!CB:NF,$B830,0)&lt;&gt;""),HLOOKUP(M$2+$A830,Sheet2!CB:NF,$B830,0),"")</f>
        <v/>
      </c>
    </row>
    <row r="831" spans="1:13" x14ac:dyDescent="0.25">
      <c r="A831" s="68">
        <f t="shared" si="83"/>
        <v>15</v>
      </c>
      <c r="B831" s="68">
        <f t="shared" si="84"/>
        <v>108</v>
      </c>
      <c r="C831" s="68">
        <f t="shared" si="81"/>
        <v>4</v>
      </c>
      <c r="D831" s="68">
        <f t="shared" si="85"/>
        <v>104</v>
      </c>
      <c r="E831" s="68">
        <f t="shared" si="82"/>
        <v>516</v>
      </c>
      <c r="F831" s="21" t="str">
        <f>VLOOKUP(D831,Sheet2!A:B,2)</f>
        <v>J20-1374</v>
      </c>
      <c r="G831" s="68" t="str">
        <f>VLOOKUP(F831,Sheet2!B:C,2,0)</f>
        <v>โครงการติดตั้งระบบ Automatic antifoam feeding KS</v>
      </c>
      <c r="H831" s="68" t="str">
        <f>HLOOKUP(I$2+$A831,Sheet2!BX:NB,2,0)</f>
        <v>16-28 Feb 21</v>
      </c>
      <c r="I831">
        <f>IF(OR(HLOOKUP(I$2+$A831,Sheet2!BX:NB,$B831,0),HLOOKUP(I$2+$A831,Sheet2!BX:NB,$B831,0)&lt;&gt;""),HLOOKUP(I$2+$A831,Sheet2!BX:NB,$B831,0),"")</f>
        <v>41470</v>
      </c>
      <c r="J831" t="str">
        <f>IF(OR(HLOOKUP(J$2+$A831,Sheet2!BY:NC,$B831,0),HLOOKUP(J$2+$A831,Sheet2!BY:NC,$B831,0)&lt;&gt;""),HLOOKUP(J$2+$A831,Sheet2!BY:NC,$B831,0),"")</f>
        <v/>
      </c>
      <c r="K831">
        <f>IF(OR(HLOOKUP(K$2+$A831,Sheet2!BZ:ND,$B831,0),HLOOKUP(K$2+$A831,Sheet2!BZ:ND,$B831,0)&lt;&gt;""),HLOOKUP(K$2+$A831,Sheet2!BZ:ND,$B831,0),"")</f>
        <v>4550</v>
      </c>
      <c r="L831" t="str">
        <f>IF(OR(HLOOKUP(L$2+$A831,Sheet2!CA:NE,$B831,0),HLOOKUP(L$2+$A831,Sheet2!CA:NE,$B831,0)&lt;&gt;""),HLOOKUP(L$2+$A831,Sheet2!CA:NE,$B831,0),"")</f>
        <v/>
      </c>
      <c r="M831">
        <f>IF(OR(HLOOKUP(M$2+$A831,Sheet2!CB:NF,$B831,0),HLOOKUP(M$2+$A831,Sheet2!CB:NF,$B831,0)&lt;&gt;""),HLOOKUP(M$2+$A831,Sheet2!CB:NF,$B831,0),"")</f>
        <v>7</v>
      </c>
    </row>
    <row r="832" spans="1:13" x14ac:dyDescent="0.25">
      <c r="A832" s="68">
        <f t="shared" si="83"/>
        <v>20</v>
      </c>
      <c r="B832" s="68">
        <f t="shared" si="84"/>
        <v>108</v>
      </c>
      <c r="C832" s="68">
        <f t="shared" si="81"/>
        <v>5</v>
      </c>
      <c r="D832" s="68">
        <f t="shared" si="85"/>
        <v>104</v>
      </c>
      <c r="E832" s="68">
        <f t="shared" si="82"/>
        <v>516</v>
      </c>
      <c r="F832" s="21" t="str">
        <f>VLOOKUP(D832,Sheet2!A:B,2)</f>
        <v>J20-1374</v>
      </c>
      <c r="G832" s="68" t="str">
        <f>VLOOKUP(F832,Sheet2!B:C,2,0)</f>
        <v>โครงการติดตั้งระบบ Automatic antifoam feeding KS</v>
      </c>
      <c r="H832" s="68" t="str">
        <f>HLOOKUP(I$2+$A832,Sheet2!BX:NB,2,0)</f>
        <v>1-15 Mar 2021</v>
      </c>
      <c r="I832">
        <f>IF(OR(HLOOKUP(I$2+$A832,Sheet2!BX:NB,$B832,0),HLOOKUP(I$2+$A832,Sheet2!BX:NB,$B832,0)&lt;&gt;""),HLOOKUP(I$2+$A832,Sheet2!BX:NB,$B832,0),"")</f>
        <v>41570</v>
      </c>
      <c r="J832" t="str">
        <f>IF(OR(HLOOKUP(J$2+$A832,Sheet2!BY:NC,$B832,0),HLOOKUP(J$2+$A832,Sheet2!BY:NC,$B832,0)&lt;&gt;""),HLOOKUP(J$2+$A832,Sheet2!BY:NC,$B832,0),"")</f>
        <v/>
      </c>
      <c r="K832">
        <f>IF(OR(HLOOKUP(K$2+$A832,Sheet2!BZ:ND,$B832,0),HLOOKUP(K$2+$A832,Sheet2!BZ:ND,$B832,0)&lt;&gt;""),HLOOKUP(K$2+$A832,Sheet2!BZ:ND,$B832,0),"")</f>
        <v>5250</v>
      </c>
      <c r="L832" t="str">
        <f>IF(OR(HLOOKUP(L$2+$A832,Sheet2!CA:NE,$B832,0),HLOOKUP(L$2+$A832,Sheet2!CA:NE,$B832,0)&lt;&gt;""),HLOOKUP(L$2+$A832,Sheet2!CA:NE,$B832,0),"")</f>
        <v/>
      </c>
      <c r="M832">
        <f>IF(OR(HLOOKUP(M$2+$A832,Sheet2!CB:NF,$B832,0),HLOOKUP(M$2+$A832,Sheet2!CB:NF,$B832,0)&lt;&gt;""),HLOOKUP(M$2+$A832,Sheet2!CB:NF,$B832,0),"")</f>
        <v>7</v>
      </c>
    </row>
    <row r="833" spans="1:13" x14ac:dyDescent="0.25">
      <c r="A833" s="68">
        <f t="shared" si="83"/>
        <v>25</v>
      </c>
      <c r="B833" s="68">
        <f t="shared" si="84"/>
        <v>108</v>
      </c>
      <c r="C833" s="68">
        <f t="shared" si="81"/>
        <v>6</v>
      </c>
      <c r="D833" s="68">
        <f t="shared" si="85"/>
        <v>104</v>
      </c>
      <c r="E833" s="68">
        <f t="shared" si="82"/>
        <v>516</v>
      </c>
      <c r="F833" s="21" t="str">
        <f>VLOOKUP(D833,Sheet2!A:B,2)</f>
        <v>J20-1374</v>
      </c>
      <c r="G833" s="68" t="str">
        <f>VLOOKUP(F833,Sheet2!B:C,2,0)</f>
        <v>โครงการติดตั้งระบบ Automatic antifoam feeding KS</v>
      </c>
      <c r="H833" s="68" t="str">
        <f>HLOOKUP(I$2+$A833,Sheet2!BX:NB,2,0)</f>
        <v>16-31 Mar 21</v>
      </c>
      <c r="I833">
        <f>IF(OR(HLOOKUP(I$2+$A833,Sheet2!BX:NB,$B833,0),HLOOKUP(I$2+$A833,Sheet2!BX:NB,$B833,0)&lt;&gt;""),HLOOKUP(I$2+$A833,Sheet2!BX:NB,$B833,0),"")</f>
        <v>19570</v>
      </c>
      <c r="J833" t="str">
        <f>IF(OR(HLOOKUP(J$2+$A833,Sheet2!BY:NC,$B833,0),HLOOKUP(J$2+$A833,Sheet2!BY:NC,$B833,0)&lt;&gt;""),HLOOKUP(J$2+$A833,Sheet2!BY:NC,$B833,0),"")</f>
        <v/>
      </c>
      <c r="K833">
        <f>IF(OR(HLOOKUP(K$2+$A833,Sheet2!BZ:ND,$B833,0),HLOOKUP(K$2+$A833,Sheet2!BZ:ND,$B833,0)&lt;&gt;""),HLOOKUP(K$2+$A833,Sheet2!BZ:ND,$B833,0),"")</f>
        <v>1700</v>
      </c>
      <c r="L833" t="str">
        <f>IF(OR(HLOOKUP(L$2+$A833,Sheet2!CA:NE,$B833,0),HLOOKUP(L$2+$A833,Sheet2!CA:NE,$B833,0)&lt;&gt;""),HLOOKUP(L$2+$A833,Sheet2!CA:NE,$B833,0),"")</f>
        <v/>
      </c>
      <c r="M833">
        <f>IF(OR(HLOOKUP(M$2+$A833,Sheet2!CB:NF,$B833,0),HLOOKUP(M$2+$A833,Sheet2!CB:NF,$B833,0)&lt;&gt;""),HLOOKUP(M$2+$A833,Sheet2!CB:NF,$B833,0),"")</f>
        <v>7</v>
      </c>
    </row>
    <row r="834" spans="1:13" x14ac:dyDescent="0.25">
      <c r="A834" s="68">
        <f t="shared" si="83"/>
        <v>30</v>
      </c>
      <c r="B834" s="68">
        <f t="shared" si="84"/>
        <v>108</v>
      </c>
      <c r="C834" s="68">
        <f t="shared" si="81"/>
        <v>7</v>
      </c>
      <c r="D834" s="68">
        <f t="shared" si="85"/>
        <v>104</v>
      </c>
      <c r="E834" s="68">
        <f t="shared" si="82"/>
        <v>516</v>
      </c>
      <c r="F834" s="21" t="str">
        <f>VLOOKUP(D834,Sheet2!A:B,2)</f>
        <v>J20-1374</v>
      </c>
      <c r="G834" s="68" t="str">
        <f>VLOOKUP(F834,Sheet2!B:C,2,0)</f>
        <v>โครงการติดตั้งระบบ Automatic antifoam feeding KS</v>
      </c>
      <c r="H834" s="68" t="str">
        <f>HLOOKUP(I$2+$A834,Sheet2!BX:NB,2,0)</f>
        <v>1-15 April 21</v>
      </c>
      <c r="I834" t="str">
        <f>IF(OR(HLOOKUP(I$2+$A834,Sheet2!BX:NB,$B834,0),HLOOKUP(I$2+$A834,Sheet2!BX:NB,$B834,0)&lt;&gt;""),HLOOKUP(I$2+$A834,Sheet2!BX:NB,$B834,0),"")</f>
        <v/>
      </c>
      <c r="J834" t="str">
        <f>IF(OR(HLOOKUP(J$2+$A834,Sheet2!BY:NC,$B834,0),HLOOKUP(J$2+$A834,Sheet2!BY:NC,$B834,0)&lt;&gt;""),HLOOKUP(J$2+$A834,Sheet2!BY:NC,$B834,0),"")</f>
        <v/>
      </c>
      <c r="K834" t="str">
        <f>IF(OR(HLOOKUP(K$2+$A834,Sheet2!BZ:ND,$B834,0),HLOOKUP(K$2+$A834,Sheet2!BZ:ND,$B834,0)&lt;&gt;""),HLOOKUP(K$2+$A834,Sheet2!BZ:ND,$B834,0),"")</f>
        <v/>
      </c>
      <c r="L834" t="str">
        <f>IF(OR(HLOOKUP(L$2+$A834,Sheet2!CA:NE,$B834,0),HLOOKUP(L$2+$A834,Sheet2!CA:NE,$B834,0)&lt;&gt;""),HLOOKUP(L$2+$A834,Sheet2!CA:NE,$B834,0),"")</f>
        <v/>
      </c>
      <c r="M834" t="str">
        <f>IF(OR(HLOOKUP(M$2+$A834,Sheet2!CB:NF,$B834,0),HLOOKUP(M$2+$A834,Sheet2!CB:NF,$B834,0)&lt;&gt;""),HLOOKUP(M$2+$A834,Sheet2!CB:NF,$B834,0),"")</f>
        <v/>
      </c>
    </row>
    <row r="835" spans="1:13" x14ac:dyDescent="0.25">
      <c r="A835" s="68">
        <f t="shared" si="83"/>
        <v>35</v>
      </c>
      <c r="B835" s="68">
        <f t="shared" si="84"/>
        <v>108</v>
      </c>
      <c r="C835" s="68">
        <f t="shared" si="81"/>
        <v>8</v>
      </c>
      <c r="D835" s="68">
        <f t="shared" si="85"/>
        <v>104</v>
      </c>
      <c r="E835" s="68">
        <f t="shared" si="82"/>
        <v>516</v>
      </c>
      <c r="F835" s="21" t="str">
        <f>VLOOKUP(D835,Sheet2!A:B,2)</f>
        <v>J20-1374</v>
      </c>
      <c r="G835" s="68" t="str">
        <f>VLOOKUP(F835,Sheet2!B:C,2,0)</f>
        <v>โครงการติดตั้งระบบ Automatic antifoam feeding KS</v>
      </c>
      <c r="H835" s="68" t="str">
        <f>HLOOKUP(I$2+$A835,Sheet2!BX:NB,2,0)</f>
        <v>16-30 April 21</v>
      </c>
      <c r="I835" t="str">
        <f>IF(OR(HLOOKUP(I$2+$A835,Sheet2!BX:NB,$B835,0),HLOOKUP(I$2+$A835,Sheet2!BX:NB,$B835,0)&lt;&gt;""),HLOOKUP(I$2+$A835,Sheet2!BX:NB,$B835,0),"")</f>
        <v/>
      </c>
      <c r="J835" t="str">
        <f>IF(OR(HLOOKUP(J$2+$A835,Sheet2!BY:NC,$B835,0),HLOOKUP(J$2+$A835,Sheet2!BY:NC,$B835,0)&lt;&gt;""),HLOOKUP(J$2+$A835,Sheet2!BY:NC,$B835,0),"")</f>
        <v/>
      </c>
      <c r="K835" t="str">
        <f>IF(OR(HLOOKUP(K$2+$A835,Sheet2!BZ:ND,$B835,0),HLOOKUP(K$2+$A835,Sheet2!BZ:ND,$B835,0)&lt;&gt;""),HLOOKUP(K$2+$A835,Sheet2!BZ:ND,$B835,0),"")</f>
        <v/>
      </c>
      <c r="L835" t="str">
        <f>IF(OR(HLOOKUP(L$2+$A835,Sheet2!CA:NE,$B835,0),HLOOKUP(L$2+$A835,Sheet2!CA:NE,$B835,0)&lt;&gt;""),HLOOKUP(L$2+$A835,Sheet2!CA:NE,$B835,0),"")</f>
        <v/>
      </c>
      <c r="M835" t="str">
        <f>IF(OR(HLOOKUP(M$2+$A835,Sheet2!CB:NF,$B835,0),HLOOKUP(M$2+$A835,Sheet2!CB:NF,$B835,0)&lt;&gt;""),HLOOKUP(M$2+$A835,Sheet2!CB:NF,$B835,0),"")</f>
        <v/>
      </c>
    </row>
    <row r="836" spans="1:13" x14ac:dyDescent="0.25">
      <c r="A836" s="68">
        <f t="shared" si="83"/>
        <v>0</v>
      </c>
      <c r="B836" s="68">
        <f t="shared" si="84"/>
        <v>109</v>
      </c>
      <c r="C836" s="68">
        <f t="shared" si="81"/>
        <v>1</v>
      </c>
      <c r="D836" s="68">
        <f t="shared" si="85"/>
        <v>105</v>
      </c>
      <c r="E836" s="68">
        <f t="shared" si="82"/>
        <v>521</v>
      </c>
      <c r="F836" s="21" t="str">
        <f>VLOOKUP(D836,Sheet2!A:B,2)</f>
        <v>J20-1148</v>
      </c>
      <c r="G836" s="68" t="str">
        <f>VLOOKUP(F836,Sheet2!B:C,2,0)</f>
        <v>Project : Ansell LKB Topaz Line 4</v>
      </c>
      <c r="H836" s="68" t="str">
        <f>HLOOKUP(I$2+$A836,Sheet2!BX:NB,2,0)</f>
        <v>1-15 Jan 21</v>
      </c>
      <c r="I836" t="str">
        <f>IF(OR(HLOOKUP(I$2+$A836,Sheet2!BX:NB,$B836,0),HLOOKUP(I$2+$A836,Sheet2!BX:NB,$B836,0)&lt;&gt;""),HLOOKUP(I$2+$A836,Sheet2!BX:NB,$B836,0),"")</f>
        <v/>
      </c>
      <c r="J836" t="str">
        <f>IF(OR(HLOOKUP(J$2+$A836,Sheet2!BY:NC,$B836,0),HLOOKUP(J$2+$A836,Sheet2!BY:NC,$B836,0)&lt;&gt;""),HLOOKUP(J$2+$A836,Sheet2!BY:NC,$B836,0),"")</f>
        <v/>
      </c>
      <c r="K836" t="str">
        <f>IF(OR(HLOOKUP(K$2+$A836,Sheet2!BZ:ND,$B836,0),HLOOKUP(K$2+$A836,Sheet2!BZ:ND,$B836,0)&lt;&gt;""),HLOOKUP(K$2+$A836,Sheet2!BZ:ND,$B836,0),"")</f>
        <v/>
      </c>
      <c r="L836" t="str">
        <f>IF(OR(HLOOKUP(L$2+$A836,Sheet2!CA:NE,$B836,0),HLOOKUP(L$2+$A836,Sheet2!CA:NE,$B836,0)&lt;&gt;""),HLOOKUP(L$2+$A836,Sheet2!CA:NE,$B836,0),"")</f>
        <v/>
      </c>
      <c r="M836" t="str">
        <f>IF(OR(HLOOKUP(M$2+$A836,Sheet2!CB:NF,$B836,0),HLOOKUP(M$2+$A836,Sheet2!CB:NF,$B836,0)&lt;&gt;""),HLOOKUP(M$2+$A836,Sheet2!CB:NF,$B836,0),"")</f>
        <v/>
      </c>
    </row>
    <row r="837" spans="1:13" x14ac:dyDescent="0.25">
      <c r="A837" s="68">
        <f t="shared" si="83"/>
        <v>5</v>
      </c>
      <c r="B837" s="68">
        <f t="shared" si="84"/>
        <v>109</v>
      </c>
      <c r="C837" s="68">
        <f t="shared" si="81"/>
        <v>2</v>
      </c>
      <c r="D837" s="68">
        <f t="shared" si="85"/>
        <v>105</v>
      </c>
      <c r="E837" s="68">
        <f t="shared" si="82"/>
        <v>521</v>
      </c>
      <c r="F837" s="21" t="str">
        <f>VLOOKUP(D837,Sheet2!A:B,2)</f>
        <v>J20-1148</v>
      </c>
      <c r="G837" s="68" t="str">
        <f>VLOOKUP(F837,Sheet2!B:C,2,0)</f>
        <v>Project : Ansell LKB Topaz Line 4</v>
      </c>
      <c r="H837" s="68" t="str">
        <f>HLOOKUP(I$2+$A837,Sheet2!BX:NB,2,0)</f>
        <v>16-31 Jan 21</v>
      </c>
      <c r="I837" t="str">
        <f>IF(OR(HLOOKUP(I$2+$A837,Sheet2!BX:NB,$B837,0),HLOOKUP(I$2+$A837,Sheet2!BX:NB,$B837,0)&lt;&gt;""),HLOOKUP(I$2+$A837,Sheet2!BX:NB,$B837,0),"")</f>
        <v/>
      </c>
      <c r="J837" t="str">
        <f>IF(OR(HLOOKUP(J$2+$A837,Sheet2!BY:NC,$B837,0),HLOOKUP(J$2+$A837,Sheet2!BY:NC,$B837,0)&lt;&gt;""),HLOOKUP(J$2+$A837,Sheet2!BY:NC,$B837,0),"")</f>
        <v/>
      </c>
      <c r="K837" t="str">
        <f>IF(OR(HLOOKUP(K$2+$A837,Sheet2!BZ:ND,$B837,0),HLOOKUP(K$2+$A837,Sheet2!BZ:ND,$B837,0)&lt;&gt;""),HLOOKUP(K$2+$A837,Sheet2!BZ:ND,$B837,0),"")</f>
        <v/>
      </c>
      <c r="L837" t="str">
        <f>IF(OR(HLOOKUP(L$2+$A837,Sheet2!CA:NE,$B837,0),HLOOKUP(L$2+$A837,Sheet2!CA:NE,$B837,0)&lt;&gt;""),HLOOKUP(L$2+$A837,Sheet2!CA:NE,$B837,0),"")</f>
        <v/>
      </c>
      <c r="M837" t="str">
        <f>IF(OR(HLOOKUP(M$2+$A837,Sheet2!CB:NF,$B837,0),HLOOKUP(M$2+$A837,Sheet2!CB:NF,$B837,0)&lt;&gt;""),HLOOKUP(M$2+$A837,Sheet2!CB:NF,$B837,0),"")</f>
        <v/>
      </c>
    </row>
    <row r="838" spans="1:13" x14ac:dyDescent="0.25">
      <c r="A838" s="68">
        <f t="shared" si="83"/>
        <v>10</v>
      </c>
      <c r="B838" s="68">
        <f t="shared" si="84"/>
        <v>109</v>
      </c>
      <c r="C838" s="68">
        <f t="shared" si="81"/>
        <v>3</v>
      </c>
      <c r="D838" s="68">
        <f t="shared" si="85"/>
        <v>105</v>
      </c>
      <c r="E838" s="68">
        <f t="shared" si="82"/>
        <v>521</v>
      </c>
      <c r="F838" s="21" t="str">
        <f>VLOOKUP(D838,Sheet2!A:B,2)</f>
        <v>J20-1148</v>
      </c>
      <c r="G838" s="68" t="str">
        <f>VLOOKUP(F838,Sheet2!B:C,2,0)</f>
        <v>Project : Ansell LKB Topaz Line 4</v>
      </c>
      <c r="H838" s="68" t="str">
        <f>HLOOKUP(I$2+$A838,Sheet2!BX:NB,2,0)</f>
        <v>1-15 Feb 21</v>
      </c>
      <c r="I838" t="str">
        <f>IF(OR(HLOOKUP(I$2+$A838,Sheet2!BX:NB,$B838,0),HLOOKUP(I$2+$A838,Sheet2!BX:NB,$B838,0)&lt;&gt;""),HLOOKUP(I$2+$A838,Sheet2!BX:NB,$B838,0),"")</f>
        <v/>
      </c>
      <c r="J838" t="str">
        <f>IF(OR(HLOOKUP(J$2+$A838,Sheet2!BY:NC,$B838,0),HLOOKUP(J$2+$A838,Sheet2!BY:NC,$B838,0)&lt;&gt;""),HLOOKUP(J$2+$A838,Sheet2!BY:NC,$B838,0),"")</f>
        <v/>
      </c>
      <c r="K838" t="str">
        <f>IF(OR(HLOOKUP(K$2+$A838,Sheet2!BZ:ND,$B838,0),HLOOKUP(K$2+$A838,Sheet2!BZ:ND,$B838,0)&lt;&gt;""),HLOOKUP(K$2+$A838,Sheet2!BZ:ND,$B838,0),"")</f>
        <v/>
      </c>
      <c r="L838" t="str">
        <f>IF(OR(HLOOKUP(L$2+$A838,Sheet2!CA:NE,$B838,0),HLOOKUP(L$2+$A838,Sheet2!CA:NE,$B838,0)&lt;&gt;""),HLOOKUP(L$2+$A838,Sheet2!CA:NE,$B838,0),"")</f>
        <v/>
      </c>
      <c r="M838" t="str">
        <f>IF(OR(HLOOKUP(M$2+$A838,Sheet2!CB:NF,$B838,0),HLOOKUP(M$2+$A838,Sheet2!CB:NF,$B838,0)&lt;&gt;""),HLOOKUP(M$2+$A838,Sheet2!CB:NF,$B838,0),"")</f>
        <v/>
      </c>
    </row>
    <row r="839" spans="1:13" x14ac:dyDescent="0.25">
      <c r="A839" s="68">
        <f t="shared" si="83"/>
        <v>15</v>
      </c>
      <c r="B839" s="68">
        <f t="shared" si="84"/>
        <v>109</v>
      </c>
      <c r="C839" s="68">
        <f t="shared" si="81"/>
        <v>4</v>
      </c>
      <c r="D839" s="68">
        <f t="shared" si="85"/>
        <v>105</v>
      </c>
      <c r="E839" s="68">
        <f t="shared" si="82"/>
        <v>521</v>
      </c>
      <c r="F839" s="21" t="str">
        <f>VLOOKUP(D839,Sheet2!A:B,2)</f>
        <v>J20-1148</v>
      </c>
      <c r="G839" s="68" t="str">
        <f>VLOOKUP(F839,Sheet2!B:C,2,0)</f>
        <v>Project : Ansell LKB Topaz Line 4</v>
      </c>
      <c r="H839" s="68" t="str">
        <f>HLOOKUP(I$2+$A839,Sheet2!BX:NB,2,0)</f>
        <v>16-28 Feb 21</v>
      </c>
      <c r="I839">
        <f>IF(OR(HLOOKUP(I$2+$A839,Sheet2!BX:NB,$B839,0),HLOOKUP(I$2+$A839,Sheet2!BX:NB,$B839,0)&lt;&gt;""),HLOOKUP(I$2+$A839,Sheet2!BX:NB,$B839,0),"")</f>
        <v>110340</v>
      </c>
      <c r="J839" t="str">
        <f>IF(OR(HLOOKUP(J$2+$A839,Sheet2!BY:NC,$B839,0),HLOOKUP(J$2+$A839,Sheet2!BY:NC,$B839,0)&lt;&gt;""),HLOOKUP(J$2+$A839,Sheet2!BY:NC,$B839,0),"")</f>
        <v/>
      </c>
      <c r="K839">
        <f>IF(OR(HLOOKUP(K$2+$A839,Sheet2!BZ:ND,$B839,0),HLOOKUP(K$2+$A839,Sheet2!BZ:ND,$B839,0)&lt;&gt;""),HLOOKUP(K$2+$A839,Sheet2!BZ:ND,$B839,0),"")</f>
        <v>13959</v>
      </c>
      <c r="L839" t="str">
        <f>IF(OR(HLOOKUP(L$2+$A839,Sheet2!CA:NE,$B839,0),HLOOKUP(L$2+$A839,Sheet2!CA:NE,$B839,0)&lt;&gt;""),HLOOKUP(L$2+$A839,Sheet2!CA:NE,$B839,0),"")</f>
        <v/>
      </c>
      <c r="M839">
        <f>IF(OR(HLOOKUP(M$2+$A839,Sheet2!CB:NF,$B839,0),HLOOKUP(M$2+$A839,Sheet2!CB:NF,$B839,0)&lt;&gt;""),HLOOKUP(M$2+$A839,Sheet2!CB:NF,$B839,0),"")</f>
        <v>33</v>
      </c>
    </row>
    <row r="840" spans="1:13" x14ac:dyDescent="0.25">
      <c r="A840" s="68">
        <f t="shared" si="83"/>
        <v>20</v>
      </c>
      <c r="B840" s="68">
        <f t="shared" si="84"/>
        <v>109</v>
      </c>
      <c r="C840" s="68">
        <f t="shared" si="81"/>
        <v>5</v>
      </c>
      <c r="D840" s="68">
        <f t="shared" si="85"/>
        <v>105</v>
      </c>
      <c r="E840" s="68">
        <f t="shared" si="82"/>
        <v>521</v>
      </c>
      <c r="F840" s="21" t="str">
        <f>VLOOKUP(D840,Sheet2!A:B,2)</f>
        <v>J20-1148</v>
      </c>
      <c r="G840" s="68" t="str">
        <f>VLOOKUP(F840,Sheet2!B:C,2,0)</f>
        <v>Project : Ansell LKB Topaz Line 4</v>
      </c>
      <c r="H840" s="68" t="str">
        <f>HLOOKUP(I$2+$A840,Sheet2!BX:NB,2,0)</f>
        <v>1-15 Mar 2021</v>
      </c>
      <c r="I840">
        <f>IF(OR(HLOOKUP(I$2+$A840,Sheet2!BX:NB,$B840,0),HLOOKUP(I$2+$A840,Sheet2!BX:NB,$B840,0)&lt;&gt;""),HLOOKUP(I$2+$A840,Sheet2!BX:NB,$B840,0),"")</f>
        <v>146340</v>
      </c>
      <c r="J840">
        <f>IF(OR(HLOOKUP(J$2+$A840,Sheet2!BY:NC,$B840,0),HLOOKUP(J$2+$A840,Sheet2!BY:NC,$B840,0)&lt;&gt;""),HLOOKUP(J$2+$A840,Sheet2!BY:NC,$B840,0),"")</f>
        <v>27975</v>
      </c>
      <c r="K840">
        <f>IF(OR(HLOOKUP(K$2+$A840,Sheet2!BZ:ND,$B840,0),HLOOKUP(K$2+$A840,Sheet2!BZ:ND,$B840,0)&lt;&gt;""),HLOOKUP(K$2+$A840,Sheet2!BZ:ND,$B840,0),"")</f>
        <v>16027</v>
      </c>
      <c r="L840" t="str">
        <f>IF(OR(HLOOKUP(L$2+$A840,Sheet2!CA:NE,$B840,0),HLOOKUP(L$2+$A840,Sheet2!CA:NE,$B840,0)&lt;&gt;""),HLOOKUP(L$2+$A840,Sheet2!CA:NE,$B840,0),"")</f>
        <v/>
      </c>
      <c r="M840">
        <f>IF(OR(HLOOKUP(M$2+$A840,Sheet2!CB:NF,$B840,0),HLOOKUP(M$2+$A840,Sheet2!CB:NF,$B840,0)&lt;&gt;""),HLOOKUP(M$2+$A840,Sheet2!CB:NF,$B840,0),"")</f>
        <v>27</v>
      </c>
    </row>
    <row r="841" spans="1:13" x14ac:dyDescent="0.25">
      <c r="A841" s="68">
        <f t="shared" si="83"/>
        <v>25</v>
      </c>
      <c r="B841" s="68">
        <f t="shared" si="84"/>
        <v>109</v>
      </c>
      <c r="C841" s="68">
        <f t="shared" si="81"/>
        <v>6</v>
      </c>
      <c r="D841" s="68">
        <f t="shared" si="85"/>
        <v>105</v>
      </c>
      <c r="E841" s="68">
        <f t="shared" si="82"/>
        <v>521</v>
      </c>
      <c r="F841" s="21" t="str">
        <f>VLOOKUP(D841,Sheet2!A:B,2)</f>
        <v>J20-1148</v>
      </c>
      <c r="G841" s="68" t="str">
        <f>VLOOKUP(F841,Sheet2!B:C,2,0)</f>
        <v>Project : Ansell LKB Topaz Line 4</v>
      </c>
      <c r="H841" s="68" t="str">
        <f>HLOOKUP(I$2+$A841,Sheet2!BX:NB,2,0)</f>
        <v>16-31 Mar 21</v>
      </c>
      <c r="I841">
        <f>IF(OR(HLOOKUP(I$2+$A841,Sheet2!BX:NB,$B841,0),HLOOKUP(I$2+$A841,Sheet2!BX:NB,$B841,0)&lt;&gt;""),HLOOKUP(I$2+$A841,Sheet2!BX:NB,$B841,0),"")</f>
        <v>104770</v>
      </c>
      <c r="J841">
        <f>IF(OR(HLOOKUP(J$2+$A841,Sheet2!BY:NC,$B841,0),HLOOKUP(J$2+$A841,Sheet2!BY:NC,$B841,0)&lt;&gt;""),HLOOKUP(J$2+$A841,Sheet2!BY:NC,$B841,0),"")</f>
        <v>34700</v>
      </c>
      <c r="K841">
        <f>IF(OR(HLOOKUP(K$2+$A841,Sheet2!BZ:ND,$B841,0),HLOOKUP(K$2+$A841,Sheet2!BZ:ND,$B841,0)&lt;&gt;""),HLOOKUP(K$2+$A841,Sheet2!BZ:ND,$B841,0),"")</f>
        <v>17484</v>
      </c>
      <c r="L841" t="str">
        <f>IF(OR(HLOOKUP(L$2+$A841,Sheet2!CA:NE,$B841,0),HLOOKUP(L$2+$A841,Sheet2!CA:NE,$B841,0)&lt;&gt;""),HLOOKUP(L$2+$A841,Sheet2!CA:NE,$B841,0),"")</f>
        <v/>
      </c>
      <c r="M841">
        <f>IF(OR(HLOOKUP(M$2+$A841,Sheet2!CB:NF,$B841,0),HLOOKUP(M$2+$A841,Sheet2!CB:NF,$B841,0)&lt;&gt;""),HLOOKUP(M$2+$A841,Sheet2!CB:NF,$B841,0),"")</f>
        <v>27</v>
      </c>
    </row>
    <row r="842" spans="1:13" x14ac:dyDescent="0.25">
      <c r="A842" s="68">
        <f t="shared" si="83"/>
        <v>30</v>
      </c>
      <c r="B842" s="68">
        <f t="shared" si="84"/>
        <v>109</v>
      </c>
      <c r="C842" s="68">
        <f t="shared" si="81"/>
        <v>7</v>
      </c>
      <c r="D842" s="68">
        <f t="shared" si="85"/>
        <v>105</v>
      </c>
      <c r="E842" s="68">
        <f t="shared" si="82"/>
        <v>521</v>
      </c>
      <c r="F842" s="21" t="str">
        <f>VLOOKUP(D842,Sheet2!A:B,2)</f>
        <v>J20-1148</v>
      </c>
      <c r="G842" s="68" t="str">
        <f>VLOOKUP(F842,Sheet2!B:C,2,0)</f>
        <v>Project : Ansell LKB Topaz Line 4</v>
      </c>
      <c r="H842" s="68" t="str">
        <f>HLOOKUP(I$2+$A842,Sheet2!BX:NB,2,0)</f>
        <v>1-15 April 21</v>
      </c>
      <c r="I842">
        <f>IF(OR(HLOOKUP(I$2+$A842,Sheet2!BX:NB,$B842,0),HLOOKUP(I$2+$A842,Sheet2!BX:NB,$B842,0)&lt;&gt;""),HLOOKUP(I$2+$A842,Sheet2!BX:NB,$B842,0),"")</f>
        <v>43120</v>
      </c>
      <c r="J842">
        <f>IF(OR(HLOOKUP(J$2+$A842,Sheet2!BY:NC,$B842,0),HLOOKUP(J$2+$A842,Sheet2!BY:NC,$B842,0)&lt;&gt;""),HLOOKUP(J$2+$A842,Sheet2!BY:NC,$B842,0),"")</f>
        <v>11072</v>
      </c>
      <c r="K842" t="str">
        <f>IF(OR(HLOOKUP(K$2+$A842,Sheet2!BZ:ND,$B842,0),HLOOKUP(K$2+$A842,Sheet2!BZ:ND,$B842,0)&lt;&gt;""),HLOOKUP(K$2+$A842,Sheet2!BZ:ND,$B842,0),"")</f>
        <v/>
      </c>
      <c r="L842" t="str">
        <f>IF(OR(HLOOKUP(L$2+$A842,Sheet2!CA:NE,$B842,0),HLOOKUP(L$2+$A842,Sheet2!CA:NE,$B842,0)&lt;&gt;""),HLOOKUP(L$2+$A842,Sheet2!CA:NE,$B842,0),"")</f>
        <v/>
      </c>
      <c r="M842">
        <f>IF(OR(HLOOKUP(M$2+$A842,Sheet2!CB:NF,$B842,0),HLOOKUP(M$2+$A842,Sheet2!CB:NF,$B842,0)&lt;&gt;""),HLOOKUP(M$2+$A842,Sheet2!CB:NF,$B842,0),"")</f>
        <v>27</v>
      </c>
    </row>
    <row r="843" spans="1:13" x14ac:dyDescent="0.25">
      <c r="A843" s="68">
        <f t="shared" si="83"/>
        <v>35</v>
      </c>
      <c r="B843" s="68">
        <f t="shared" si="84"/>
        <v>109</v>
      </c>
      <c r="C843" s="68">
        <f t="shared" si="81"/>
        <v>8</v>
      </c>
      <c r="D843" s="68">
        <f t="shared" si="85"/>
        <v>105</v>
      </c>
      <c r="E843" s="68">
        <f t="shared" si="82"/>
        <v>521</v>
      </c>
      <c r="F843" s="21" t="str">
        <f>VLOOKUP(D843,Sheet2!A:B,2)</f>
        <v>J20-1148</v>
      </c>
      <c r="G843" s="68" t="str">
        <f>VLOOKUP(F843,Sheet2!B:C,2,0)</f>
        <v>Project : Ansell LKB Topaz Line 4</v>
      </c>
      <c r="H843" s="68" t="str">
        <f>HLOOKUP(I$2+$A843,Sheet2!BX:NB,2,0)</f>
        <v>16-30 April 21</v>
      </c>
      <c r="I843" t="str">
        <f>IF(OR(HLOOKUP(I$2+$A843,Sheet2!BX:NB,$B843,0),HLOOKUP(I$2+$A843,Sheet2!BX:NB,$B843,0)&lt;&gt;""),HLOOKUP(I$2+$A843,Sheet2!BX:NB,$B843,0),"")</f>
        <v/>
      </c>
      <c r="J843" t="str">
        <f>IF(OR(HLOOKUP(J$2+$A843,Sheet2!BY:NC,$B843,0),HLOOKUP(J$2+$A843,Sheet2!BY:NC,$B843,0)&lt;&gt;""),HLOOKUP(J$2+$A843,Sheet2!BY:NC,$B843,0),"")</f>
        <v/>
      </c>
      <c r="K843" t="str">
        <f>IF(OR(HLOOKUP(K$2+$A843,Sheet2!BZ:ND,$B843,0),HLOOKUP(K$2+$A843,Sheet2!BZ:ND,$B843,0)&lt;&gt;""),HLOOKUP(K$2+$A843,Sheet2!BZ:ND,$B843,0),"")</f>
        <v/>
      </c>
      <c r="L843" t="str">
        <f>IF(OR(HLOOKUP(L$2+$A843,Sheet2!CA:NE,$B843,0),HLOOKUP(L$2+$A843,Sheet2!CA:NE,$B843,0)&lt;&gt;""),HLOOKUP(L$2+$A843,Sheet2!CA:NE,$B843,0),"")</f>
        <v/>
      </c>
      <c r="M843" t="str">
        <f>IF(OR(HLOOKUP(M$2+$A843,Sheet2!CB:NF,$B843,0),HLOOKUP(M$2+$A843,Sheet2!CB:NF,$B843,0)&lt;&gt;""),HLOOKUP(M$2+$A843,Sheet2!CB:NF,$B843,0),"")</f>
        <v/>
      </c>
    </row>
    <row r="844" spans="1:13" x14ac:dyDescent="0.25">
      <c r="A844" s="68">
        <f t="shared" si="83"/>
        <v>0</v>
      </c>
      <c r="B844" s="68">
        <f t="shared" si="84"/>
        <v>110</v>
      </c>
      <c r="C844" s="68">
        <f t="shared" si="81"/>
        <v>1</v>
      </c>
      <c r="D844" s="68">
        <f t="shared" si="85"/>
        <v>106</v>
      </c>
      <c r="E844" s="68">
        <f t="shared" si="82"/>
        <v>526</v>
      </c>
      <c r="F844" s="21" t="str">
        <f>VLOOKUP(D844,Sheet2!A:B,2)</f>
        <v>J21-0189</v>
      </c>
      <c r="G844" s="68" t="str">
        <f>VLOOKUP(F844,Sheet2!B:C,2,0)</f>
        <v>NEW PLANT LOADING (LS PLANT)</v>
      </c>
      <c r="H844" s="68" t="str">
        <f>HLOOKUP(I$2+$A844,Sheet2!BX:NB,2,0)</f>
        <v>1-15 Jan 21</v>
      </c>
      <c r="I844" t="str">
        <f>IF(OR(HLOOKUP(I$2+$A844,Sheet2!BX:NB,$B844,0),HLOOKUP(I$2+$A844,Sheet2!BX:NB,$B844,0)&lt;&gt;""),HLOOKUP(I$2+$A844,Sheet2!BX:NB,$B844,0),"")</f>
        <v/>
      </c>
      <c r="J844" t="str">
        <f>IF(OR(HLOOKUP(J$2+$A844,Sheet2!BY:NC,$B844,0),HLOOKUP(J$2+$A844,Sheet2!BY:NC,$B844,0)&lt;&gt;""),HLOOKUP(J$2+$A844,Sheet2!BY:NC,$B844,0),"")</f>
        <v/>
      </c>
      <c r="K844" t="str">
        <f>IF(OR(HLOOKUP(K$2+$A844,Sheet2!BZ:ND,$B844,0),HLOOKUP(K$2+$A844,Sheet2!BZ:ND,$B844,0)&lt;&gt;""),HLOOKUP(K$2+$A844,Sheet2!BZ:ND,$B844,0),"")</f>
        <v/>
      </c>
      <c r="L844" t="str">
        <f>IF(OR(HLOOKUP(L$2+$A844,Sheet2!CA:NE,$B844,0),HLOOKUP(L$2+$A844,Sheet2!CA:NE,$B844,0)&lt;&gt;""),HLOOKUP(L$2+$A844,Sheet2!CA:NE,$B844,0),"")</f>
        <v/>
      </c>
      <c r="M844" t="str">
        <f>IF(OR(HLOOKUP(M$2+$A844,Sheet2!CB:NF,$B844,0),HLOOKUP(M$2+$A844,Sheet2!CB:NF,$B844,0)&lt;&gt;""),HLOOKUP(M$2+$A844,Sheet2!CB:NF,$B844,0),"")</f>
        <v/>
      </c>
    </row>
    <row r="845" spans="1:13" x14ac:dyDescent="0.25">
      <c r="A845" s="68">
        <f t="shared" si="83"/>
        <v>5</v>
      </c>
      <c r="B845" s="68">
        <f t="shared" si="84"/>
        <v>110</v>
      </c>
      <c r="C845" s="68">
        <f t="shared" ref="C845:C907" si="86">IF($C$3-C844=0,1,C844+1)</f>
        <v>2</v>
      </c>
      <c r="D845" s="68">
        <f t="shared" si="85"/>
        <v>106</v>
      </c>
      <c r="E845" s="68">
        <f t="shared" si="82"/>
        <v>526</v>
      </c>
      <c r="F845" s="21" t="str">
        <f>VLOOKUP(D845,Sheet2!A:B,2)</f>
        <v>J21-0189</v>
      </c>
      <c r="G845" s="68" t="str">
        <f>VLOOKUP(F845,Sheet2!B:C,2,0)</f>
        <v>NEW PLANT LOADING (LS PLANT)</v>
      </c>
      <c r="H845" s="68" t="str">
        <f>HLOOKUP(I$2+$A845,Sheet2!BX:NB,2,0)</f>
        <v>16-31 Jan 21</v>
      </c>
      <c r="I845" t="str">
        <f>IF(OR(HLOOKUP(I$2+$A845,Sheet2!BX:NB,$B845,0),HLOOKUP(I$2+$A845,Sheet2!BX:NB,$B845,0)&lt;&gt;""),HLOOKUP(I$2+$A845,Sheet2!BX:NB,$B845,0),"")</f>
        <v/>
      </c>
      <c r="J845" t="str">
        <f>IF(OR(HLOOKUP(J$2+$A845,Sheet2!BY:NC,$B845,0),HLOOKUP(J$2+$A845,Sheet2!BY:NC,$B845,0)&lt;&gt;""),HLOOKUP(J$2+$A845,Sheet2!BY:NC,$B845,0),"")</f>
        <v/>
      </c>
      <c r="K845" t="str">
        <f>IF(OR(HLOOKUP(K$2+$A845,Sheet2!BZ:ND,$B845,0),HLOOKUP(K$2+$A845,Sheet2!BZ:ND,$B845,0)&lt;&gt;""),HLOOKUP(K$2+$A845,Sheet2!BZ:ND,$B845,0),"")</f>
        <v/>
      </c>
      <c r="L845" t="str">
        <f>IF(OR(HLOOKUP(L$2+$A845,Sheet2!CA:NE,$B845,0),HLOOKUP(L$2+$A845,Sheet2!CA:NE,$B845,0)&lt;&gt;""),HLOOKUP(L$2+$A845,Sheet2!CA:NE,$B845,0),"")</f>
        <v/>
      </c>
      <c r="M845" t="str">
        <f>IF(OR(HLOOKUP(M$2+$A845,Sheet2!CB:NF,$B845,0),HLOOKUP(M$2+$A845,Sheet2!CB:NF,$B845,0)&lt;&gt;""),HLOOKUP(M$2+$A845,Sheet2!CB:NF,$B845,0),"")</f>
        <v/>
      </c>
    </row>
    <row r="846" spans="1:13" x14ac:dyDescent="0.25">
      <c r="A846" s="68">
        <f t="shared" si="83"/>
        <v>10</v>
      </c>
      <c r="B846" s="68">
        <f t="shared" si="84"/>
        <v>110</v>
      </c>
      <c r="C846" s="68">
        <f t="shared" si="86"/>
        <v>3</v>
      </c>
      <c r="D846" s="68">
        <f t="shared" si="85"/>
        <v>106</v>
      </c>
      <c r="E846" s="68">
        <f t="shared" si="82"/>
        <v>526</v>
      </c>
      <c r="F846" s="21" t="str">
        <f>VLOOKUP(D846,Sheet2!A:B,2)</f>
        <v>J21-0189</v>
      </c>
      <c r="G846" s="68" t="str">
        <f>VLOOKUP(F846,Sheet2!B:C,2,0)</f>
        <v>NEW PLANT LOADING (LS PLANT)</v>
      </c>
      <c r="H846" s="68" t="str">
        <f>HLOOKUP(I$2+$A846,Sheet2!BX:NB,2,0)</f>
        <v>1-15 Feb 21</v>
      </c>
      <c r="I846" t="str">
        <f>IF(OR(HLOOKUP(I$2+$A846,Sheet2!BX:NB,$B846,0),HLOOKUP(I$2+$A846,Sheet2!BX:NB,$B846,0)&lt;&gt;""),HLOOKUP(I$2+$A846,Sheet2!BX:NB,$B846,0),"")</f>
        <v/>
      </c>
      <c r="J846" t="str">
        <f>IF(OR(HLOOKUP(J$2+$A846,Sheet2!BY:NC,$B846,0),HLOOKUP(J$2+$A846,Sheet2!BY:NC,$B846,0)&lt;&gt;""),HLOOKUP(J$2+$A846,Sheet2!BY:NC,$B846,0),"")</f>
        <v/>
      </c>
      <c r="K846" t="str">
        <f>IF(OR(HLOOKUP(K$2+$A846,Sheet2!BZ:ND,$B846,0),HLOOKUP(K$2+$A846,Sheet2!BZ:ND,$B846,0)&lt;&gt;""),HLOOKUP(K$2+$A846,Sheet2!BZ:ND,$B846,0),"")</f>
        <v/>
      </c>
      <c r="L846" t="str">
        <f>IF(OR(HLOOKUP(L$2+$A846,Sheet2!CA:NE,$B846,0),HLOOKUP(L$2+$A846,Sheet2!CA:NE,$B846,0)&lt;&gt;""),HLOOKUP(L$2+$A846,Sheet2!CA:NE,$B846,0),"")</f>
        <v/>
      </c>
      <c r="M846" t="str">
        <f>IF(OR(HLOOKUP(M$2+$A846,Sheet2!CB:NF,$B846,0),HLOOKUP(M$2+$A846,Sheet2!CB:NF,$B846,0)&lt;&gt;""),HLOOKUP(M$2+$A846,Sheet2!CB:NF,$B846,0),"")</f>
        <v/>
      </c>
    </row>
    <row r="847" spans="1:13" x14ac:dyDescent="0.25">
      <c r="A847" s="68">
        <f t="shared" si="83"/>
        <v>15</v>
      </c>
      <c r="B847" s="68">
        <f t="shared" si="84"/>
        <v>110</v>
      </c>
      <c r="C847" s="68">
        <f t="shared" si="86"/>
        <v>4</v>
      </c>
      <c r="D847" s="68">
        <f t="shared" si="85"/>
        <v>106</v>
      </c>
      <c r="E847" s="68">
        <f t="shared" si="82"/>
        <v>526</v>
      </c>
      <c r="F847" s="21" t="str">
        <f>VLOOKUP(D847,Sheet2!A:B,2)</f>
        <v>J21-0189</v>
      </c>
      <c r="G847" s="68" t="str">
        <f>VLOOKUP(F847,Sheet2!B:C,2,0)</f>
        <v>NEW PLANT LOADING (LS PLANT)</v>
      </c>
      <c r="H847" s="68" t="str">
        <f>HLOOKUP(I$2+$A847,Sheet2!BX:NB,2,0)</f>
        <v>16-28 Feb 21</v>
      </c>
      <c r="I847">
        <f>IF(OR(HLOOKUP(I$2+$A847,Sheet2!BX:NB,$B847,0),HLOOKUP(I$2+$A847,Sheet2!BX:NB,$B847,0)&lt;&gt;""),HLOOKUP(I$2+$A847,Sheet2!BX:NB,$B847,0),"")</f>
        <v>17640</v>
      </c>
      <c r="J847">
        <f>IF(OR(HLOOKUP(J$2+$A847,Sheet2!BY:NC,$B847,0),HLOOKUP(J$2+$A847,Sheet2!BY:NC,$B847,0)&lt;&gt;""),HLOOKUP(J$2+$A847,Sheet2!BY:NC,$B847,0),"")</f>
        <v>8275</v>
      </c>
      <c r="K847" t="str">
        <f>IF(OR(HLOOKUP(K$2+$A847,Sheet2!BZ:ND,$B847,0),HLOOKUP(K$2+$A847,Sheet2!BZ:ND,$B847,0)&lt;&gt;""),HLOOKUP(K$2+$A847,Sheet2!BZ:ND,$B847,0),"")</f>
        <v/>
      </c>
      <c r="L847" t="str">
        <f>IF(OR(HLOOKUP(L$2+$A847,Sheet2!CA:NE,$B847,0),HLOOKUP(L$2+$A847,Sheet2!CA:NE,$B847,0)&lt;&gt;""),HLOOKUP(L$2+$A847,Sheet2!CA:NE,$B847,0),"")</f>
        <v/>
      </c>
      <c r="M847" t="str">
        <f>IF(OR(HLOOKUP(M$2+$A847,Sheet2!CB:NF,$B847,0),HLOOKUP(M$2+$A847,Sheet2!CB:NF,$B847,0)&lt;&gt;""),HLOOKUP(M$2+$A847,Sheet2!CB:NF,$B847,0),"")</f>
        <v/>
      </c>
    </row>
    <row r="848" spans="1:13" x14ac:dyDescent="0.25">
      <c r="A848" s="68">
        <f t="shared" si="83"/>
        <v>20</v>
      </c>
      <c r="B848" s="68">
        <f t="shared" si="84"/>
        <v>110</v>
      </c>
      <c r="C848" s="68">
        <f t="shared" si="86"/>
        <v>5</v>
      </c>
      <c r="D848" s="68">
        <f t="shared" si="85"/>
        <v>106</v>
      </c>
      <c r="E848" s="68">
        <f t="shared" si="82"/>
        <v>526</v>
      </c>
      <c r="F848" s="21" t="str">
        <f>VLOOKUP(D848,Sheet2!A:B,2)</f>
        <v>J21-0189</v>
      </c>
      <c r="G848" s="68" t="str">
        <f>VLOOKUP(F848,Sheet2!B:C,2,0)</f>
        <v>NEW PLANT LOADING (LS PLANT)</v>
      </c>
      <c r="H848" s="68" t="str">
        <f>HLOOKUP(I$2+$A848,Sheet2!BX:NB,2,0)</f>
        <v>1-15 Mar 2021</v>
      </c>
      <c r="I848">
        <f>IF(OR(HLOOKUP(I$2+$A848,Sheet2!BX:NB,$B848,0),HLOOKUP(I$2+$A848,Sheet2!BX:NB,$B848,0)&lt;&gt;""),HLOOKUP(I$2+$A848,Sheet2!BX:NB,$B848,0),"")</f>
        <v>8820</v>
      </c>
      <c r="J848">
        <f>IF(OR(HLOOKUP(J$2+$A848,Sheet2!BY:NC,$B848,0),HLOOKUP(J$2+$A848,Sheet2!BY:NC,$B848,0)&lt;&gt;""),HLOOKUP(J$2+$A848,Sheet2!BY:NC,$B848,0),"")</f>
        <v>3307</v>
      </c>
      <c r="K848" t="str">
        <f>IF(OR(HLOOKUP(K$2+$A848,Sheet2!BZ:ND,$B848,0),HLOOKUP(K$2+$A848,Sheet2!BZ:ND,$B848,0)&lt;&gt;""),HLOOKUP(K$2+$A848,Sheet2!BZ:ND,$B848,0),"")</f>
        <v/>
      </c>
      <c r="L848" t="str">
        <f>IF(OR(HLOOKUP(L$2+$A848,Sheet2!CA:NE,$B848,0),HLOOKUP(L$2+$A848,Sheet2!CA:NE,$B848,0)&lt;&gt;""),HLOOKUP(L$2+$A848,Sheet2!CA:NE,$B848,0),"")</f>
        <v/>
      </c>
      <c r="M848" t="str">
        <f>IF(OR(HLOOKUP(M$2+$A848,Sheet2!CB:NF,$B848,0),HLOOKUP(M$2+$A848,Sheet2!CB:NF,$B848,0)&lt;&gt;""),HLOOKUP(M$2+$A848,Sheet2!CB:NF,$B848,0),"")</f>
        <v/>
      </c>
    </row>
    <row r="849" spans="1:13" x14ac:dyDescent="0.25">
      <c r="A849" s="68">
        <f t="shared" si="83"/>
        <v>25</v>
      </c>
      <c r="B849" s="68">
        <f t="shared" si="84"/>
        <v>110</v>
      </c>
      <c r="C849" s="68">
        <f t="shared" si="86"/>
        <v>6</v>
      </c>
      <c r="D849" s="68">
        <f t="shared" si="85"/>
        <v>106</v>
      </c>
      <c r="E849" s="68">
        <f t="shared" si="82"/>
        <v>526</v>
      </c>
      <c r="F849" s="21" t="str">
        <f>VLOOKUP(D849,Sheet2!A:B,2)</f>
        <v>J21-0189</v>
      </c>
      <c r="G849" s="68" t="str">
        <f>VLOOKUP(F849,Sheet2!B:C,2,0)</f>
        <v>NEW PLANT LOADING (LS PLANT)</v>
      </c>
      <c r="H849" s="68" t="str">
        <f>HLOOKUP(I$2+$A849,Sheet2!BX:NB,2,0)</f>
        <v>16-31 Mar 21</v>
      </c>
      <c r="I849" t="str">
        <f>IF(OR(HLOOKUP(I$2+$A849,Sheet2!BX:NB,$B849,0),HLOOKUP(I$2+$A849,Sheet2!BX:NB,$B849,0)&lt;&gt;""),HLOOKUP(I$2+$A849,Sheet2!BX:NB,$B849,0),"")</f>
        <v/>
      </c>
      <c r="J849" t="str">
        <f>IF(OR(HLOOKUP(J$2+$A849,Sheet2!BY:NC,$B849,0),HLOOKUP(J$2+$A849,Sheet2!BY:NC,$B849,0)&lt;&gt;""),HLOOKUP(J$2+$A849,Sheet2!BY:NC,$B849,0),"")</f>
        <v/>
      </c>
      <c r="K849" t="str">
        <f>IF(OR(HLOOKUP(K$2+$A849,Sheet2!BZ:ND,$B849,0),HLOOKUP(K$2+$A849,Sheet2!BZ:ND,$B849,0)&lt;&gt;""),HLOOKUP(K$2+$A849,Sheet2!BZ:ND,$B849,0),"")</f>
        <v/>
      </c>
      <c r="L849" t="str">
        <f>IF(OR(HLOOKUP(L$2+$A849,Sheet2!CA:NE,$B849,0),HLOOKUP(L$2+$A849,Sheet2!CA:NE,$B849,0)&lt;&gt;""),HLOOKUP(L$2+$A849,Sheet2!CA:NE,$B849,0),"")</f>
        <v/>
      </c>
      <c r="M849" t="str">
        <f>IF(OR(HLOOKUP(M$2+$A849,Sheet2!CB:NF,$B849,0),HLOOKUP(M$2+$A849,Sheet2!CB:NF,$B849,0)&lt;&gt;""),HLOOKUP(M$2+$A849,Sheet2!CB:NF,$B849,0),"")</f>
        <v/>
      </c>
    </row>
    <row r="850" spans="1:13" x14ac:dyDescent="0.25">
      <c r="A850" s="68">
        <f t="shared" si="83"/>
        <v>30</v>
      </c>
      <c r="B850" s="68">
        <f t="shared" si="84"/>
        <v>110</v>
      </c>
      <c r="C850" s="68">
        <f t="shared" si="86"/>
        <v>7</v>
      </c>
      <c r="D850" s="68">
        <f t="shared" si="85"/>
        <v>106</v>
      </c>
      <c r="E850" s="68">
        <f t="shared" si="82"/>
        <v>526</v>
      </c>
      <c r="F850" s="21" t="str">
        <f>VLOOKUP(D850,Sheet2!A:B,2)</f>
        <v>J21-0189</v>
      </c>
      <c r="G850" s="68" t="str">
        <f>VLOOKUP(F850,Sheet2!B:C,2,0)</f>
        <v>NEW PLANT LOADING (LS PLANT)</v>
      </c>
      <c r="H850" s="68" t="str">
        <f>HLOOKUP(I$2+$A850,Sheet2!BX:NB,2,0)</f>
        <v>1-15 April 21</v>
      </c>
      <c r="I850" t="str">
        <f>IF(OR(HLOOKUP(I$2+$A850,Sheet2!BX:NB,$B850,0),HLOOKUP(I$2+$A850,Sheet2!BX:NB,$B850,0)&lt;&gt;""),HLOOKUP(I$2+$A850,Sheet2!BX:NB,$B850,0),"")</f>
        <v/>
      </c>
      <c r="J850" t="str">
        <f>IF(OR(HLOOKUP(J$2+$A850,Sheet2!BY:NC,$B850,0),HLOOKUP(J$2+$A850,Sheet2!BY:NC,$B850,0)&lt;&gt;""),HLOOKUP(J$2+$A850,Sheet2!BY:NC,$B850,0),"")</f>
        <v/>
      </c>
      <c r="K850" t="str">
        <f>IF(OR(HLOOKUP(K$2+$A850,Sheet2!BZ:ND,$B850,0),HLOOKUP(K$2+$A850,Sheet2!BZ:ND,$B850,0)&lt;&gt;""),HLOOKUP(K$2+$A850,Sheet2!BZ:ND,$B850,0),"")</f>
        <v/>
      </c>
      <c r="L850" t="str">
        <f>IF(OR(HLOOKUP(L$2+$A850,Sheet2!CA:NE,$B850,0),HLOOKUP(L$2+$A850,Sheet2!CA:NE,$B850,0)&lt;&gt;""),HLOOKUP(L$2+$A850,Sheet2!CA:NE,$B850,0),"")</f>
        <v/>
      </c>
      <c r="M850" t="str">
        <f>IF(OR(HLOOKUP(M$2+$A850,Sheet2!CB:NF,$B850,0),HLOOKUP(M$2+$A850,Sheet2!CB:NF,$B850,0)&lt;&gt;""),HLOOKUP(M$2+$A850,Sheet2!CB:NF,$B850,0),"")</f>
        <v/>
      </c>
    </row>
    <row r="851" spans="1:13" x14ac:dyDescent="0.25">
      <c r="A851" s="68">
        <f t="shared" si="83"/>
        <v>35</v>
      </c>
      <c r="B851" s="68">
        <f t="shared" si="84"/>
        <v>110</v>
      </c>
      <c r="C851" s="68">
        <f t="shared" si="86"/>
        <v>8</v>
      </c>
      <c r="D851" s="68">
        <f t="shared" si="85"/>
        <v>106</v>
      </c>
      <c r="E851" s="68">
        <f t="shared" si="82"/>
        <v>526</v>
      </c>
      <c r="F851" s="21" t="str">
        <f>VLOOKUP(D851,Sheet2!A:B,2)</f>
        <v>J21-0189</v>
      </c>
      <c r="G851" s="68" t="str">
        <f>VLOOKUP(F851,Sheet2!B:C,2,0)</f>
        <v>NEW PLANT LOADING (LS PLANT)</v>
      </c>
      <c r="H851" s="68" t="str">
        <f>HLOOKUP(I$2+$A851,Sheet2!BX:NB,2,0)</f>
        <v>16-30 April 21</v>
      </c>
      <c r="I851" t="str">
        <f>IF(OR(HLOOKUP(I$2+$A851,Sheet2!BX:NB,$B851,0),HLOOKUP(I$2+$A851,Sheet2!BX:NB,$B851,0)&lt;&gt;""),HLOOKUP(I$2+$A851,Sheet2!BX:NB,$B851,0),"")</f>
        <v/>
      </c>
      <c r="J851" t="str">
        <f>IF(OR(HLOOKUP(J$2+$A851,Sheet2!BY:NC,$B851,0),HLOOKUP(J$2+$A851,Sheet2!BY:NC,$B851,0)&lt;&gt;""),HLOOKUP(J$2+$A851,Sheet2!BY:NC,$B851,0),"")</f>
        <v/>
      </c>
      <c r="K851" t="str">
        <f>IF(OR(HLOOKUP(K$2+$A851,Sheet2!BZ:ND,$B851,0),HLOOKUP(K$2+$A851,Sheet2!BZ:ND,$B851,0)&lt;&gt;""),HLOOKUP(K$2+$A851,Sheet2!BZ:ND,$B851,0),"")</f>
        <v/>
      </c>
      <c r="L851" t="str">
        <f>IF(OR(HLOOKUP(L$2+$A851,Sheet2!CA:NE,$B851,0),HLOOKUP(L$2+$A851,Sheet2!CA:NE,$B851,0)&lt;&gt;""),HLOOKUP(L$2+$A851,Sheet2!CA:NE,$B851,0),"")</f>
        <v/>
      </c>
      <c r="M851" t="str">
        <f>IF(OR(HLOOKUP(M$2+$A851,Sheet2!CB:NF,$B851,0),HLOOKUP(M$2+$A851,Sheet2!CB:NF,$B851,0)&lt;&gt;""),HLOOKUP(M$2+$A851,Sheet2!CB:NF,$B851,0),"")</f>
        <v/>
      </c>
    </row>
    <row r="852" spans="1:13" x14ac:dyDescent="0.25">
      <c r="A852" s="68">
        <f t="shared" si="83"/>
        <v>0</v>
      </c>
      <c r="B852" s="68">
        <f t="shared" si="84"/>
        <v>111</v>
      </c>
      <c r="C852" s="68">
        <f t="shared" si="86"/>
        <v>1</v>
      </c>
      <c r="D852" s="68">
        <f t="shared" si="85"/>
        <v>107</v>
      </c>
      <c r="E852" s="68">
        <f t="shared" si="82"/>
        <v>531</v>
      </c>
      <c r="F852" s="21" t="str">
        <f>VLOOKUP(D852,Sheet2!A:B,2)</f>
        <v xml:space="preserve"> J21-0041</v>
      </c>
      <c r="G852" s="68" t="str">
        <f>VLOOKUP(F852,Sheet2!B:C,2,0)</f>
        <v>TOPAZ DIPPING MACHINE LIGHTING AND POWER PLUG</v>
      </c>
      <c r="H852" s="68" t="str">
        <f>HLOOKUP(I$2+$A852,Sheet2!BX:NB,2,0)</f>
        <v>1-15 Jan 21</v>
      </c>
      <c r="I852" t="str">
        <f>IF(OR(HLOOKUP(I$2+$A852,Sheet2!BX:NB,$B852,0),HLOOKUP(I$2+$A852,Sheet2!BX:NB,$B852,0)&lt;&gt;""),HLOOKUP(I$2+$A852,Sheet2!BX:NB,$B852,0),"")</f>
        <v/>
      </c>
      <c r="J852" t="str">
        <f>IF(OR(HLOOKUP(J$2+$A852,Sheet2!BY:NC,$B852,0),HLOOKUP(J$2+$A852,Sheet2!BY:NC,$B852,0)&lt;&gt;""),HLOOKUP(J$2+$A852,Sheet2!BY:NC,$B852,0),"")</f>
        <v/>
      </c>
      <c r="K852" t="str">
        <f>IF(OR(HLOOKUP(K$2+$A852,Sheet2!BZ:ND,$B852,0),HLOOKUP(K$2+$A852,Sheet2!BZ:ND,$B852,0)&lt;&gt;""),HLOOKUP(K$2+$A852,Sheet2!BZ:ND,$B852,0),"")</f>
        <v/>
      </c>
      <c r="L852" t="str">
        <f>IF(OR(HLOOKUP(L$2+$A852,Sheet2!CA:NE,$B852,0),HLOOKUP(L$2+$A852,Sheet2!CA:NE,$B852,0)&lt;&gt;""),HLOOKUP(L$2+$A852,Sheet2!CA:NE,$B852,0),"")</f>
        <v/>
      </c>
      <c r="M852" t="str">
        <f>IF(OR(HLOOKUP(M$2+$A852,Sheet2!CB:NF,$B852,0),HLOOKUP(M$2+$A852,Sheet2!CB:NF,$B852,0)&lt;&gt;""),HLOOKUP(M$2+$A852,Sheet2!CB:NF,$B852,0),"")</f>
        <v/>
      </c>
    </row>
    <row r="853" spans="1:13" x14ac:dyDescent="0.25">
      <c r="A853" s="68">
        <f t="shared" si="83"/>
        <v>5</v>
      </c>
      <c r="B853" s="68">
        <f t="shared" si="84"/>
        <v>111</v>
      </c>
      <c r="C853" s="68">
        <f t="shared" si="86"/>
        <v>2</v>
      </c>
      <c r="D853" s="68">
        <f t="shared" si="85"/>
        <v>107</v>
      </c>
      <c r="E853" s="68">
        <f t="shared" ref="E853:E907" si="87">IF(D853&lt;&gt;D852,E852+5,E852)</f>
        <v>531</v>
      </c>
      <c r="F853" s="21" t="str">
        <f>VLOOKUP(D853,Sheet2!A:B,2)</f>
        <v xml:space="preserve"> J21-0041</v>
      </c>
      <c r="G853" s="68" t="str">
        <f>VLOOKUP(F853,Sheet2!B:C,2,0)</f>
        <v>TOPAZ DIPPING MACHINE LIGHTING AND POWER PLUG</v>
      </c>
      <c r="H853" s="68" t="str">
        <f>HLOOKUP(I$2+$A853,Sheet2!BX:NB,2,0)</f>
        <v>16-31 Jan 21</v>
      </c>
      <c r="I853" t="str">
        <f>IF(OR(HLOOKUP(I$2+$A853,Sheet2!BX:NB,$B853,0),HLOOKUP(I$2+$A853,Sheet2!BX:NB,$B853,0)&lt;&gt;""),HLOOKUP(I$2+$A853,Sheet2!BX:NB,$B853,0),"")</f>
        <v/>
      </c>
      <c r="J853" t="str">
        <f>IF(OR(HLOOKUP(J$2+$A853,Sheet2!BY:NC,$B853,0),HLOOKUP(J$2+$A853,Sheet2!BY:NC,$B853,0)&lt;&gt;""),HLOOKUP(J$2+$A853,Sheet2!BY:NC,$B853,0),"")</f>
        <v/>
      </c>
      <c r="K853" t="str">
        <f>IF(OR(HLOOKUP(K$2+$A853,Sheet2!BZ:ND,$B853,0),HLOOKUP(K$2+$A853,Sheet2!BZ:ND,$B853,0)&lt;&gt;""),HLOOKUP(K$2+$A853,Sheet2!BZ:ND,$B853,0),"")</f>
        <v/>
      </c>
      <c r="L853" t="str">
        <f>IF(OR(HLOOKUP(L$2+$A853,Sheet2!CA:NE,$B853,0),HLOOKUP(L$2+$A853,Sheet2!CA:NE,$B853,0)&lt;&gt;""),HLOOKUP(L$2+$A853,Sheet2!CA:NE,$B853,0),"")</f>
        <v/>
      </c>
      <c r="M853" t="str">
        <f>IF(OR(HLOOKUP(M$2+$A853,Sheet2!CB:NF,$B853,0),HLOOKUP(M$2+$A853,Sheet2!CB:NF,$B853,0)&lt;&gt;""),HLOOKUP(M$2+$A853,Sheet2!CB:NF,$B853,0),"")</f>
        <v/>
      </c>
    </row>
    <row r="854" spans="1:13" x14ac:dyDescent="0.25">
      <c r="A854" s="68">
        <f t="shared" si="83"/>
        <v>10</v>
      </c>
      <c r="B854" s="68">
        <f t="shared" si="84"/>
        <v>111</v>
      </c>
      <c r="C854" s="68">
        <f t="shared" si="86"/>
        <v>3</v>
      </c>
      <c r="D854" s="68">
        <f t="shared" si="85"/>
        <v>107</v>
      </c>
      <c r="E854" s="68">
        <f t="shared" si="87"/>
        <v>531</v>
      </c>
      <c r="F854" s="21" t="str">
        <f>VLOOKUP(D854,Sheet2!A:B,2)</f>
        <v xml:space="preserve"> J21-0041</v>
      </c>
      <c r="G854" s="68" t="str">
        <f>VLOOKUP(F854,Sheet2!B:C,2,0)</f>
        <v>TOPAZ DIPPING MACHINE LIGHTING AND POWER PLUG</v>
      </c>
      <c r="H854" s="68" t="str">
        <f>HLOOKUP(I$2+$A854,Sheet2!BX:NB,2,0)</f>
        <v>1-15 Feb 21</v>
      </c>
      <c r="I854" t="str">
        <f>IF(OR(HLOOKUP(I$2+$A854,Sheet2!BX:NB,$B854,0),HLOOKUP(I$2+$A854,Sheet2!BX:NB,$B854,0)&lt;&gt;""),HLOOKUP(I$2+$A854,Sheet2!BX:NB,$B854,0),"")</f>
        <v/>
      </c>
      <c r="J854" t="str">
        <f>IF(OR(HLOOKUP(J$2+$A854,Sheet2!BY:NC,$B854,0),HLOOKUP(J$2+$A854,Sheet2!BY:NC,$B854,0)&lt;&gt;""),HLOOKUP(J$2+$A854,Sheet2!BY:NC,$B854,0),"")</f>
        <v/>
      </c>
      <c r="K854" t="str">
        <f>IF(OR(HLOOKUP(K$2+$A854,Sheet2!BZ:ND,$B854,0),HLOOKUP(K$2+$A854,Sheet2!BZ:ND,$B854,0)&lt;&gt;""),HLOOKUP(K$2+$A854,Sheet2!BZ:ND,$B854,0),"")</f>
        <v/>
      </c>
      <c r="L854" t="str">
        <f>IF(OR(HLOOKUP(L$2+$A854,Sheet2!CA:NE,$B854,0),HLOOKUP(L$2+$A854,Sheet2!CA:NE,$B854,0)&lt;&gt;""),HLOOKUP(L$2+$A854,Sheet2!CA:NE,$B854,0),"")</f>
        <v/>
      </c>
      <c r="M854" t="str">
        <f>IF(OR(HLOOKUP(M$2+$A854,Sheet2!CB:NF,$B854,0),HLOOKUP(M$2+$A854,Sheet2!CB:NF,$B854,0)&lt;&gt;""),HLOOKUP(M$2+$A854,Sheet2!CB:NF,$B854,0),"")</f>
        <v/>
      </c>
    </row>
    <row r="855" spans="1:13" x14ac:dyDescent="0.25">
      <c r="A855" s="68">
        <f t="shared" si="83"/>
        <v>15</v>
      </c>
      <c r="B855" s="68">
        <f t="shared" si="84"/>
        <v>111</v>
      </c>
      <c r="C855" s="68">
        <f t="shared" si="86"/>
        <v>4</v>
      </c>
      <c r="D855" s="68">
        <f t="shared" si="85"/>
        <v>107</v>
      </c>
      <c r="E855" s="68">
        <f t="shared" si="87"/>
        <v>531</v>
      </c>
      <c r="F855" s="21" t="str">
        <f>VLOOKUP(D855,Sheet2!A:B,2)</f>
        <v xml:space="preserve"> J21-0041</v>
      </c>
      <c r="G855" s="68" t="str">
        <f>VLOOKUP(F855,Sheet2!B:C,2,0)</f>
        <v>TOPAZ DIPPING MACHINE LIGHTING AND POWER PLUG</v>
      </c>
      <c r="H855" s="68" t="str">
        <f>HLOOKUP(I$2+$A855,Sheet2!BX:NB,2,0)</f>
        <v>16-28 Feb 21</v>
      </c>
      <c r="I855" t="str">
        <f>IF(OR(HLOOKUP(I$2+$A855,Sheet2!BX:NB,$B855,0),HLOOKUP(I$2+$A855,Sheet2!BX:NB,$B855,0)&lt;&gt;""),HLOOKUP(I$2+$A855,Sheet2!BX:NB,$B855,0),"")</f>
        <v/>
      </c>
      <c r="J855" t="str">
        <f>IF(OR(HLOOKUP(J$2+$A855,Sheet2!BY:NC,$B855,0),HLOOKUP(J$2+$A855,Sheet2!BY:NC,$B855,0)&lt;&gt;""),HLOOKUP(J$2+$A855,Sheet2!BY:NC,$B855,0),"")</f>
        <v/>
      </c>
      <c r="K855" t="str">
        <f>IF(OR(HLOOKUP(K$2+$A855,Sheet2!BZ:ND,$B855,0),HLOOKUP(K$2+$A855,Sheet2!BZ:ND,$B855,0)&lt;&gt;""),HLOOKUP(K$2+$A855,Sheet2!BZ:ND,$B855,0),"")</f>
        <v/>
      </c>
      <c r="L855" t="str">
        <f>IF(OR(HLOOKUP(L$2+$A855,Sheet2!CA:NE,$B855,0),HLOOKUP(L$2+$A855,Sheet2!CA:NE,$B855,0)&lt;&gt;""),HLOOKUP(L$2+$A855,Sheet2!CA:NE,$B855,0),"")</f>
        <v/>
      </c>
      <c r="M855" t="str">
        <f>IF(OR(HLOOKUP(M$2+$A855,Sheet2!CB:NF,$B855,0),HLOOKUP(M$2+$A855,Sheet2!CB:NF,$B855,0)&lt;&gt;""),HLOOKUP(M$2+$A855,Sheet2!CB:NF,$B855,0),"")</f>
        <v/>
      </c>
    </row>
    <row r="856" spans="1:13" x14ac:dyDescent="0.25">
      <c r="A856" s="68">
        <f t="shared" si="83"/>
        <v>20</v>
      </c>
      <c r="B856" s="68">
        <f t="shared" si="84"/>
        <v>111</v>
      </c>
      <c r="C856" s="68">
        <f t="shared" si="86"/>
        <v>5</v>
      </c>
      <c r="D856" s="68">
        <f t="shared" si="85"/>
        <v>107</v>
      </c>
      <c r="E856" s="68">
        <f t="shared" si="87"/>
        <v>531</v>
      </c>
      <c r="F856" s="21" t="str">
        <f>VLOOKUP(D856,Sheet2!A:B,2)</f>
        <v xml:space="preserve"> J21-0041</v>
      </c>
      <c r="G856" s="68" t="str">
        <f>VLOOKUP(F856,Sheet2!B:C,2,0)</f>
        <v>TOPAZ DIPPING MACHINE LIGHTING AND POWER PLUG</v>
      </c>
      <c r="H856" s="68" t="str">
        <f>HLOOKUP(I$2+$A856,Sheet2!BX:NB,2,0)</f>
        <v>1-15 Mar 2021</v>
      </c>
      <c r="I856">
        <f>IF(OR(HLOOKUP(I$2+$A856,Sheet2!BX:NB,$B856,0),HLOOKUP(I$2+$A856,Sheet2!BX:NB,$B856,0)&lt;&gt;""),HLOOKUP(I$2+$A856,Sheet2!BX:NB,$B856,0),"")</f>
        <v>25410</v>
      </c>
      <c r="J856">
        <f>IF(OR(HLOOKUP(J$2+$A856,Sheet2!BY:NC,$B856,0),HLOOKUP(J$2+$A856,Sheet2!BY:NC,$B856,0)&lt;&gt;""),HLOOKUP(J$2+$A856,Sheet2!BY:NC,$B856,0),"")</f>
        <v>8174</v>
      </c>
      <c r="K856" t="str">
        <f>IF(OR(HLOOKUP(K$2+$A856,Sheet2!BZ:ND,$B856,0),HLOOKUP(K$2+$A856,Sheet2!BZ:ND,$B856,0)&lt;&gt;""),HLOOKUP(K$2+$A856,Sheet2!BZ:ND,$B856,0),"")</f>
        <v/>
      </c>
      <c r="L856" t="str">
        <f>IF(OR(HLOOKUP(L$2+$A856,Sheet2!CA:NE,$B856,0),HLOOKUP(L$2+$A856,Sheet2!CA:NE,$B856,0)&lt;&gt;""),HLOOKUP(L$2+$A856,Sheet2!CA:NE,$B856,0),"")</f>
        <v/>
      </c>
      <c r="M856" t="str">
        <f>IF(OR(HLOOKUP(M$2+$A856,Sheet2!CB:NF,$B856,0),HLOOKUP(M$2+$A856,Sheet2!CB:NF,$B856,0)&lt;&gt;""),HLOOKUP(M$2+$A856,Sheet2!CB:NF,$B856,0),"")</f>
        <v/>
      </c>
    </row>
    <row r="857" spans="1:13" x14ac:dyDescent="0.25">
      <c r="A857" s="68">
        <f t="shared" si="83"/>
        <v>25</v>
      </c>
      <c r="B857" s="68">
        <f t="shared" si="84"/>
        <v>111</v>
      </c>
      <c r="C857" s="68">
        <f t="shared" si="86"/>
        <v>6</v>
      </c>
      <c r="D857" s="68">
        <f t="shared" si="85"/>
        <v>107</v>
      </c>
      <c r="E857" s="68">
        <f t="shared" si="87"/>
        <v>531</v>
      </c>
      <c r="F857" s="21" t="str">
        <f>VLOOKUP(D857,Sheet2!A:B,2)</f>
        <v xml:space="preserve"> J21-0041</v>
      </c>
      <c r="G857" s="68" t="str">
        <f>VLOOKUP(F857,Sheet2!B:C,2,0)</f>
        <v>TOPAZ DIPPING MACHINE LIGHTING AND POWER PLUG</v>
      </c>
      <c r="H857" s="68" t="str">
        <f>HLOOKUP(I$2+$A857,Sheet2!BX:NB,2,0)</f>
        <v>16-31 Mar 21</v>
      </c>
      <c r="I857">
        <f>IF(OR(HLOOKUP(I$2+$A857,Sheet2!BX:NB,$B857,0),HLOOKUP(I$2+$A857,Sheet2!BX:NB,$B857,0)&lt;&gt;""),HLOOKUP(I$2+$A857,Sheet2!BX:NB,$B857,0),"")</f>
        <v>70271</v>
      </c>
      <c r="J857">
        <f>IF(OR(HLOOKUP(J$2+$A857,Sheet2!BY:NC,$B857,0),HLOOKUP(J$2+$A857,Sheet2!BY:NC,$B857,0)&lt;&gt;""),HLOOKUP(J$2+$A857,Sheet2!BY:NC,$B857,0),"")</f>
        <v>24139</v>
      </c>
      <c r="K857" t="str">
        <f>IF(OR(HLOOKUP(K$2+$A857,Sheet2!BZ:ND,$B857,0),HLOOKUP(K$2+$A857,Sheet2!BZ:ND,$B857,0)&lt;&gt;""),HLOOKUP(K$2+$A857,Sheet2!BZ:ND,$B857,0),"")</f>
        <v/>
      </c>
      <c r="L857" t="str">
        <f>IF(OR(HLOOKUP(L$2+$A857,Sheet2!CA:NE,$B857,0),HLOOKUP(L$2+$A857,Sheet2!CA:NE,$B857,0)&lt;&gt;""),HLOOKUP(L$2+$A857,Sheet2!CA:NE,$B857,0),"")</f>
        <v/>
      </c>
      <c r="M857" t="str">
        <f>IF(OR(HLOOKUP(M$2+$A857,Sheet2!CB:NF,$B857,0),HLOOKUP(M$2+$A857,Sheet2!CB:NF,$B857,0)&lt;&gt;""),HLOOKUP(M$2+$A857,Sheet2!CB:NF,$B857,0),"")</f>
        <v/>
      </c>
    </row>
    <row r="858" spans="1:13" x14ac:dyDescent="0.25">
      <c r="A858" s="68">
        <f t="shared" si="83"/>
        <v>30</v>
      </c>
      <c r="B858" s="68">
        <f t="shared" si="84"/>
        <v>111</v>
      </c>
      <c r="C858" s="68">
        <f t="shared" si="86"/>
        <v>7</v>
      </c>
      <c r="D858" s="68">
        <f t="shared" si="85"/>
        <v>107</v>
      </c>
      <c r="E858" s="68">
        <f t="shared" si="87"/>
        <v>531</v>
      </c>
      <c r="F858" s="21" t="str">
        <f>VLOOKUP(D858,Sheet2!A:B,2)</f>
        <v xml:space="preserve"> J21-0041</v>
      </c>
      <c r="G858" s="68" t="str">
        <f>VLOOKUP(F858,Sheet2!B:C,2,0)</f>
        <v>TOPAZ DIPPING MACHINE LIGHTING AND POWER PLUG</v>
      </c>
      <c r="H858" s="68" t="str">
        <f>HLOOKUP(I$2+$A858,Sheet2!BX:NB,2,0)</f>
        <v>1-15 April 21</v>
      </c>
      <c r="I858">
        <f>IF(OR(HLOOKUP(I$2+$A858,Sheet2!BX:NB,$B858,0),HLOOKUP(I$2+$A858,Sheet2!BX:NB,$B858,0)&lt;&gt;""),HLOOKUP(I$2+$A858,Sheet2!BX:NB,$B858,0),"")</f>
        <v>31360</v>
      </c>
      <c r="J858">
        <f>IF(OR(HLOOKUP(J$2+$A858,Sheet2!BY:NC,$B858,0),HLOOKUP(J$2+$A858,Sheet2!BY:NC,$B858,0)&lt;&gt;""),HLOOKUP(J$2+$A858,Sheet2!BY:NC,$B858,0),"")</f>
        <v>7855</v>
      </c>
      <c r="K858" t="str">
        <f>IF(OR(HLOOKUP(K$2+$A858,Sheet2!BZ:ND,$B858,0),HLOOKUP(K$2+$A858,Sheet2!BZ:ND,$B858,0)&lt;&gt;""),HLOOKUP(K$2+$A858,Sheet2!BZ:ND,$B858,0),"")</f>
        <v/>
      </c>
      <c r="L858" t="str">
        <f>IF(OR(HLOOKUP(L$2+$A858,Sheet2!CA:NE,$B858,0),HLOOKUP(L$2+$A858,Sheet2!CA:NE,$B858,0)&lt;&gt;""),HLOOKUP(L$2+$A858,Sheet2!CA:NE,$B858,0),"")</f>
        <v/>
      </c>
      <c r="M858" t="str">
        <f>IF(OR(HLOOKUP(M$2+$A858,Sheet2!CB:NF,$B858,0),HLOOKUP(M$2+$A858,Sheet2!CB:NF,$B858,0)&lt;&gt;""),HLOOKUP(M$2+$A858,Sheet2!CB:NF,$B858,0),"")</f>
        <v/>
      </c>
    </row>
    <row r="859" spans="1:13" x14ac:dyDescent="0.25">
      <c r="A859" s="68">
        <f t="shared" si="83"/>
        <v>35</v>
      </c>
      <c r="B859" s="68">
        <f t="shared" si="84"/>
        <v>111</v>
      </c>
      <c r="C859" s="68">
        <f t="shared" si="86"/>
        <v>8</v>
      </c>
      <c r="D859" s="68">
        <f t="shared" si="85"/>
        <v>107</v>
      </c>
      <c r="E859" s="68">
        <f t="shared" si="87"/>
        <v>531</v>
      </c>
      <c r="F859" s="21" t="str">
        <f>VLOOKUP(D859,Sheet2!A:B,2)</f>
        <v xml:space="preserve"> J21-0041</v>
      </c>
      <c r="G859" s="68" t="str">
        <f>VLOOKUP(F859,Sheet2!B:C,2,0)</f>
        <v>TOPAZ DIPPING MACHINE LIGHTING AND POWER PLUG</v>
      </c>
      <c r="H859" s="68" t="str">
        <f>HLOOKUP(I$2+$A859,Sheet2!BX:NB,2,0)</f>
        <v>16-30 April 21</v>
      </c>
      <c r="I859" t="str">
        <f>IF(OR(HLOOKUP(I$2+$A859,Sheet2!BX:NB,$B859,0),HLOOKUP(I$2+$A859,Sheet2!BX:NB,$B859,0)&lt;&gt;""),HLOOKUP(I$2+$A859,Sheet2!BX:NB,$B859,0),"")</f>
        <v/>
      </c>
      <c r="J859" t="str">
        <f>IF(OR(HLOOKUP(J$2+$A859,Sheet2!BY:NC,$B859,0),HLOOKUP(J$2+$A859,Sheet2!BY:NC,$B859,0)&lt;&gt;""),HLOOKUP(J$2+$A859,Sheet2!BY:NC,$B859,0),"")</f>
        <v/>
      </c>
      <c r="K859" t="str">
        <f>IF(OR(HLOOKUP(K$2+$A859,Sheet2!BZ:ND,$B859,0),HLOOKUP(K$2+$A859,Sheet2!BZ:ND,$B859,0)&lt;&gt;""),HLOOKUP(K$2+$A859,Sheet2!BZ:ND,$B859,0),"")</f>
        <v/>
      </c>
      <c r="L859" t="str">
        <f>IF(OR(HLOOKUP(L$2+$A859,Sheet2!CA:NE,$B859,0),HLOOKUP(L$2+$A859,Sheet2!CA:NE,$B859,0)&lt;&gt;""),HLOOKUP(L$2+$A859,Sheet2!CA:NE,$B859,0),"")</f>
        <v/>
      </c>
      <c r="M859" t="str">
        <f>IF(OR(HLOOKUP(M$2+$A859,Sheet2!CB:NF,$B859,0),HLOOKUP(M$2+$A859,Sheet2!CB:NF,$B859,0)&lt;&gt;""),HLOOKUP(M$2+$A859,Sheet2!CB:NF,$B859,0),"")</f>
        <v/>
      </c>
    </row>
    <row r="860" spans="1:13" x14ac:dyDescent="0.25">
      <c r="A860" s="68">
        <f t="shared" si="83"/>
        <v>0</v>
      </c>
      <c r="B860" s="68">
        <f t="shared" si="84"/>
        <v>112</v>
      </c>
      <c r="C860" s="68">
        <f t="shared" si="86"/>
        <v>1</v>
      </c>
      <c r="D860" s="68">
        <f t="shared" si="85"/>
        <v>108</v>
      </c>
      <c r="E860" s="68">
        <f t="shared" si="87"/>
        <v>536</v>
      </c>
      <c r="F860" s="21" t="str">
        <f>VLOOKUP(D860,Sheet2!A:B,2)</f>
        <v>J21-0230</v>
      </c>
      <c r="G860" s="68" t="str">
        <f>VLOOKUP(F860,Sheet2!B:C,2,0)</f>
        <v>งานแก้ไขสัญญาณรบกวน TS vibration sensor (Old) @SCG (GC 7)</v>
      </c>
      <c r="H860" s="68" t="str">
        <f>HLOOKUP(I$2+$A860,Sheet2!BX:NB,2,0)</f>
        <v>1-15 Jan 21</v>
      </c>
      <c r="I860" t="str">
        <f>IF(OR(HLOOKUP(I$2+$A860,Sheet2!BX:NB,$B860,0),HLOOKUP(I$2+$A860,Sheet2!BX:NB,$B860,0)&lt;&gt;""),HLOOKUP(I$2+$A860,Sheet2!BX:NB,$B860,0),"")</f>
        <v/>
      </c>
      <c r="J860" t="str">
        <f>IF(OR(HLOOKUP(J$2+$A860,Sheet2!BY:NC,$B860,0),HLOOKUP(J$2+$A860,Sheet2!BY:NC,$B860,0)&lt;&gt;""),HLOOKUP(J$2+$A860,Sheet2!BY:NC,$B860,0),"")</f>
        <v/>
      </c>
      <c r="K860" t="str">
        <f>IF(OR(HLOOKUP(K$2+$A860,Sheet2!BZ:ND,$B860,0),HLOOKUP(K$2+$A860,Sheet2!BZ:ND,$B860,0)&lt;&gt;""),HLOOKUP(K$2+$A860,Sheet2!BZ:ND,$B860,0),"")</f>
        <v/>
      </c>
      <c r="L860" t="str">
        <f>IF(OR(HLOOKUP(L$2+$A860,Sheet2!CA:NE,$B860,0),HLOOKUP(L$2+$A860,Sheet2!CA:NE,$B860,0)&lt;&gt;""),HLOOKUP(L$2+$A860,Sheet2!CA:NE,$B860,0),"")</f>
        <v/>
      </c>
      <c r="M860" t="str">
        <f>IF(OR(HLOOKUP(M$2+$A860,Sheet2!CB:NF,$B860,0),HLOOKUP(M$2+$A860,Sheet2!CB:NF,$B860,0)&lt;&gt;""),HLOOKUP(M$2+$A860,Sheet2!CB:NF,$B860,0),"")</f>
        <v/>
      </c>
    </row>
    <row r="861" spans="1:13" x14ac:dyDescent="0.25">
      <c r="A861" s="68">
        <f t="shared" si="83"/>
        <v>5</v>
      </c>
      <c r="B861" s="68">
        <f t="shared" si="84"/>
        <v>112</v>
      </c>
      <c r="C861" s="68">
        <f t="shared" si="86"/>
        <v>2</v>
      </c>
      <c r="D861" s="68">
        <f t="shared" si="85"/>
        <v>108</v>
      </c>
      <c r="E861" s="68">
        <f t="shared" si="87"/>
        <v>536</v>
      </c>
      <c r="F861" s="21" t="str">
        <f>VLOOKUP(D861,Sheet2!A:B,2)</f>
        <v>J21-0230</v>
      </c>
      <c r="G861" s="68" t="str">
        <f>VLOOKUP(F861,Sheet2!B:C,2,0)</f>
        <v>งานแก้ไขสัญญาณรบกวน TS vibration sensor (Old) @SCG (GC 7)</v>
      </c>
      <c r="H861" s="68" t="str">
        <f>HLOOKUP(I$2+$A861,Sheet2!BX:NB,2,0)</f>
        <v>16-31 Jan 21</v>
      </c>
      <c r="I861" t="str">
        <f>IF(OR(HLOOKUP(I$2+$A861,Sheet2!BX:NB,$B861,0),HLOOKUP(I$2+$A861,Sheet2!BX:NB,$B861,0)&lt;&gt;""),HLOOKUP(I$2+$A861,Sheet2!BX:NB,$B861,0),"")</f>
        <v/>
      </c>
      <c r="J861" t="str">
        <f>IF(OR(HLOOKUP(J$2+$A861,Sheet2!BY:NC,$B861,0),HLOOKUP(J$2+$A861,Sheet2!BY:NC,$B861,0)&lt;&gt;""),HLOOKUP(J$2+$A861,Sheet2!BY:NC,$B861,0),"")</f>
        <v/>
      </c>
      <c r="K861" t="str">
        <f>IF(OR(HLOOKUP(K$2+$A861,Sheet2!BZ:ND,$B861,0),HLOOKUP(K$2+$A861,Sheet2!BZ:ND,$B861,0)&lt;&gt;""),HLOOKUP(K$2+$A861,Sheet2!BZ:ND,$B861,0),"")</f>
        <v/>
      </c>
      <c r="L861" t="str">
        <f>IF(OR(HLOOKUP(L$2+$A861,Sheet2!CA:NE,$B861,0),HLOOKUP(L$2+$A861,Sheet2!CA:NE,$B861,0)&lt;&gt;""),HLOOKUP(L$2+$A861,Sheet2!CA:NE,$B861,0),"")</f>
        <v/>
      </c>
      <c r="M861" t="str">
        <f>IF(OR(HLOOKUP(M$2+$A861,Sheet2!CB:NF,$B861,0),HLOOKUP(M$2+$A861,Sheet2!CB:NF,$B861,0)&lt;&gt;""),HLOOKUP(M$2+$A861,Sheet2!CB:NF,$B861,0),"")</f>
        <v/>
      </c>
    </row>
    <row r="862" spans="1:13" x14ac:dyDescent="0.25">
      <c r="A862" s="68">
        <f t="shared" si="83"/>
        <v>10</v>
      </c>
      <c r="B862" s="68">
        <f t="shared" si="84"/>
        <v>112</v>
      </c>
      <c r="C862" s="68">
        <f t="shared" si="86"/>
        <v>3</v>
      </c>
      <c r="D862" s="68">
        <f t="shared" si="85"/>
        <v>108</v>
      </c>
      <c r="E862" s="68">
        <f t="shared" si="87"/>
        <v>536</v>
      </c>
      <c r="F862" s="21" t="str">
        <f>VLOOKUP(D862,Sheet2!A:B,2)</f>
        <v>J21-0230</v>
      </c>
      <c r="G862" s="68" t="str">
        <f>VLOOKUP(F862,Sheet2!B:C,2,0)</f>
        <v>งานแก้ไขสัญญาณรบกวน TS vibration sensor (Old) @SCG (GC 7)</v>
      </c>
      <c r="H862" s="68" t="str">
        <f>HLOOKUP(I$2+$A862,Sheet2!BX:NB,2,0)</f>
        <v>1-15 Feb 21</v>
      </c>
      <c r="I862" t="str">
        <f>IF(OR(HLOOKUP(I$2+$A862,Sheet2!BX:NB,$B862,0),HLOOKUP(I$2+$A862,Sheet2!BX:NB,$B862,0)&lt;&gt;""),HLOOKUP(I$2+$A862,Sheet2!BX:NB,$B862,0),"")</f>
        <v/>
      </c>
      <c r="J862" t="str">
        <f>IF(OR(HLOOKUP(J$2+$A862,Sheet2!BY:NC,$B862,0),HLOOKUP(J$2+$A862,Sheet2!BY:NC,$B862,0)&lt;&gt;""),HLOOKUP(J$2+$A862,Sheet2!BY:NC,$B862,0),"")</f>
        <v/>
      </c>
      <c r="K862" t="str">
        <f>IF(OR(HLOOKUP(K$2+$A862,Sheet2!BZ:ND,$B862,0),HLOOKUP(K$2+$A862,Sheet2!BZ:ND,$B862,0)&lt;&gt;""),HLOOKUP(K$2+$A862,Sheet2!BZ:ND,$B862,0),"")</f>
        <v/>
      </c>
      <c r="L862" t="str">
        <f>IF(OR(HLOOKUP(L$2+$A862,Sheet2!CA:NE,$B862,0),HLOOKUP(L$2+$A862,Sheet2!CA:NE,$B862,0)&lt;&gt;""),HLOOKUP(L$2+$A862,Sheet2!CA:NE,$B862,0),"")</f>
        <v/>
      </c>
      <c r="M862" t="str">
        <f>IF(OR(HLOOKUP(M$2+$A862,Sheet2!CB:NF,$B862,0),HLOOKUP(M$2+$A862,Sheet2!CB:NF,$B862,0)&lt;&gt;""),HLOOKUP(M$2+$A862,Sheet2!CB:NF,$B862,0),"")</f>
        <v/>
      </c>
    </row>
    <row r="863" spans="1:13" x14ac:dyDescent="0.25">
      <c r="A863" s="68">
        <f t="shared" si="83"/>
        <v>15</v>
      </c>
      <c r="B863" s="68">
        <f t="shared" si="84"/>
        <v>112</v>
      </c>
      <c r="C863" s="68">
        <f t="shared" si="86"/>
        <v>4</v>
      </c>
      <c r="D863" s="68">
        <f t="shared" si="85"/>
        <v>108</v>
      </c>
      <c r="E863" s="68">
        <f t="shared" si="87"/>
        <v>536</v>
      </c>
      <c r="F863" s="21" t="str">
        <f>VLOOKUP(D863,Sheet2!A:B,2)</f>
        <v>J21-0230</v>
      </c>
      <c r="G863" s="68" t="str">
        <f>VLOOKUP(F863,Sheet2!B:C,2,0)</f>
        <v>งานแก้ไขสัญญาณรบกวน TS vibration sensor (Old) @SCG (GC 7)</v>
      </c>
      <c r="H863" s="68" t="str">
        <f>HLOOKUP(I$2+$A863,Sheet2!BX:NB,2,0)</f>
        <v>16-28 Feb 21</v>
      </c>
      <c r="I863" t="str">
        <f>IF(OR(HLOOKUP(I$2+$A863,Sheet2!BX:NB,$B863,0),HLOOKUP(I$2+$A863,Sheet2!BX:NB,$B863,0)&lt;&gt;""),HLOOKUP(I$2+$A863,Sheet2!BX:NB,$B863,0),"")</f>
        <v/>
      </c>
      <c r="J863" t="str">
        <f>IF(OR(HLOOKUP(J$2+$A863,Sheet2!BY:NC,$B863,0),HLOOKUP(J$2+$A863,Sheet2!BY:NC,$B863,0)&lt;&gt;""),HLOOKUP(J$2+$A863,Sheet2!BY:NC,$B863,0),"")</f>
        <v/>
      </c>
      <c r="K863" t="str">
        <f>IF(OR(HLOOKUP(K$2+$A863,Sheet2!BZ:ND,$B863,0),HLOOKUP(K$2+$A863,Sheet2!BZ:ND,$B863,0)&lt;&gt;""),HLOOKUP(K$2+$A863,Sheet2!BZ:ND,$B863,0),"")</f>
        <v/>
      </c>
      <c r="L863" t="str">
        <f>IF(OR(HLOOKUP(L$2+$A863,Sheet2!CA:NE,$B863,0),HLOOKUP(L$2+$A863,Sheet2!CA:NE,$B863,0)&lt;&gt;""),HLOOKUP(L$2+$A863,Sheet2!CA:NE,$B863,0),"")</f>
        <v/>
      </c>
      <c r="M863" t="str">
        <f>IF(OR(HLOOKUP(M$2+$A863,Sheet2!CB:NF,$B863,0),HLOOKUP(M$2+$A863,Sheet2!CB:NF,$B863,0)&lt;&gt;""),HLOOKUP(M$2+$A863,Sheet2!CB:NF,$B863,0),"")</f>
        <v/>
      </c>
    </row>
    <row r="864" spans="1:13" x14ac:dyDescent="0.25">
      <c r="A864" s="68">
        <f t="shared" si="83"/>
        <v>20</v>
      </c>
      <c r="B864" s="68">
        <f t="shared" si="84"/>
        <v>112</v>
      </c>
      <c r="C864" s="68">
        <f t="shared" si="86"/>
        <v>5</v>
      </c>
      <c r="D864" s="68">
        <f t="shared" si="85"/>
        <v>108</v>
      </c>
      <c r="E864" s="68">
        <f t="shared" si="87"/>
        <v>536</v>
      </c>
      <c r="F864" s="21" t="str">
        <f>VLOOKUP(D864,Sheet2!A:B,2)</f>
        <v>J21-0230</v>
      </c>
      <c r="G864" s="68" t="str">
        <f>VLOOKUP(F864,Sheet2!B:C,2,0)</f>
        <v>งานแก้ไขสัญญาณรบกวน TS vibration sensor (Old) @SCG (GC 7)</v>
      </c>
      <c r="H864" s="68" t="str">
        <f>HLOOKUP(I$2+$A864,Sheet2!BX:NB,2,0)</f>
        <v>1-15 Mar 2021</v>
      </c>
      <c r="I864">
        <f>IF(OR(HLOOKUP(I$2+$A864,Sheet2!BX:NB,$B864,0),HLOOKUP(I$2+$A864,Sheet2!BX:NB,$B864,0)&lt;&gt;""),HLOOKUP(I$2+$A864,Sheet2!BX:NB,$B864,0),"")</f>
        <v>12960</v>
      </c>
      <c r="J864" t="str">
        <f>IF(OR(HLOOKUP(J$2+$A864,Sheet2!BY:NC,$B864,0),HLOOKUP(J$2+$A864,Sheet2!BY:NC,$B864,0)&lt;&gt;""),HLOOKUP(J$2+$A864,Sheet2!BY:NC,$B864,0),"")</f>
        <v/>
      </c>
      <c r="K864" t="str">
        <f>IF(OR(HLOOKUP(K$2+$A864,Sheet2!BZ:ND,$B864,0),HLOOKUP(K$2+$A864,Sheet2!BZ:ND,$B864,0)&lt;&gt;""),HLOOKUP(K$2+$A864,Sheet2!BZ:ND,$B864,0),"")</f>
        <v/>
      </c>
      <c r="L864" t="str">
        <f>IF(OR(HLOOKUP(L$2+$A864,Sheet2!CA:NE,$B864,0),HLOOKUP(L$2+$A864,Sheet2!CA:NE,$B864,0)&lt;&gt;""),HLOOKUP(L$2+$A864,Sheet2!CA:NE,$B864,0),"")</f>
        <v/>
      </c>
      <c r="M864" t="str">
        <f>IF(OR(HLOOKUP(M$2+$A864,Sheet2!CB:NF,$B864,0),HLOOKUP(M$2+$A864,Sheet2!CB:NF,$B864,0)&lt;&gt;""),HLOOKUP(M$2+$A864,Sheet2!CB:NF,$B864,0),"")</f>
        <v/>
      </c>
    </row>
    <row r="865" spans="1:13" x14ac:dyDescent="0.25">
      <c r="A865" s="68">
        <f t="shared" si="83"/>
        <v>25</v>
      </c>
      <c r="B865" s="68">
        <f t="shared" si="84"/>
        <v>112</v>
      </c>
      <c r="C865" s="68">
        <f t="shared" si="86"/>
        <v>6</v>
      </c>
      <c r="D865" s="68">
        <f t="shared" si="85"/>
        <v>108</v>
      </c>
      <c r="E865" s="68">
        <f t="shared" si="87"/>
        <v>536</v>
      </c>
      <c r="F865" s="21" t="str">
        <f>VLOOKUP(D865,Sheet2!A:B,2)</f>
        <v>J21-0230</v>
      </c>
      <c r="G865" s="68" t="str">
        <f>VLOOKUP(F865,Sheet2!B:C,2,0)</f>
        <v>งานแก้ไขสัญญาณรบกวน TS vibration sensor (Old) @SCG (GC 7)</v>
      </c>
      <c r="H865" s="68" t="str">
        <f>HLOOKUP(I$2+$A865,Sheet2!BX:NB,2,0)</f>
        <v>16-31 Mar 21</v>
      </c>
      <c r="I865" t="str">
        <f>IF(OR(HLOOKUP(I$2+$A865,Sheet2!BX:NB,$B865,0),HLOOKUP(I$2+$A865,Sheet2!BX:NB,$B865,0)&lt;&gt;""),HLOOKUP(I$2+$A865,Sheet2!BX:NB,$B865,0),"")</f>
        <v/>
      </c>
      <c r="J865" t="str">
        <f>IF(OR(HLOOKUP(J$2+$A865,Sheet2!BY:NC,$B865,0),HLOOKUP(J$2+$A865,Sheet2!BY:NC,$B865,0)&lt;&gt;""),HLOOKUP(J$2+$A865,Sheet2!BY:NC,$B865,0),"")</f>
        <v/>
      </c>
      <c r="K865" t="str">
        <f>IF(OR(HLOOKUP(K$2+$A865,Sheet2!BZ:ND,$B865,0),HLOOKUP(K$2+$A865,Sheet2!BZ:ND,$B865,0)&lt;&gt;""),HLOOKUP(K$2+$A865,Sheet2!BZ:ND,$B865,0),"")</f>
        <v/>
      </c>
      <c r="L865" t="str">
        <f>IF(OR(HLOOKUP(L$2+$A865,Sheet2!CA:NE,$B865,0),HLOOKUP(L$2+$A865,Sheet2!CA:NE,$B865,0)&lt;&gt;""),HLOOKUP(L$2+$A865,Sheet2!CA:NE,$B865,0),"")</f>
        <v/>
      </c>
      <c r="M865" t="str">
        <f>IF(OR(HLOOKUP(M$2+$A865,Sheet2!CB:NF,$B865,0),HLOOKUP(M$2+$A865,Sheet2!CB:NF,$B865,0)&lt;&gt;""),HLOOKUP(M$2+$A865,Sheet2!CB:NF,$B865,0),"")</f>
        <v/>
      </c>
    </row>
    <row r="866" spans="1:13" x14ac:dyDescent="0.25">
      <c r="A866" s="68">
        <f t="shared" si="83"/>
        <v>30</v>
      </c>
      <c r="B866" s="68">
        <f t="shared" si="84"/>
        <v>112</v>
      </c>
      <c r="C866" s="68">
        <f t="shared" si="86"/>
        <v>7</v>
      </c>
      <c r="D866" s="68">
        <f t="shared" si="85"/>
        <v>108</v>
      </c>
      <c r="E866" s="68">
        <f t="shared" si="87"/>
        <v>536</v>
      </c>
      <c r="F866" s="21" t="str">
        <f>VLOOKUP(D866,Sheet2!A:B,2)</f>
        <v>J21-0230</v>
      </c>
      <c r="G866" s="68" t="str">
        <f>VLOOKUP(F866,Sheet2!B:C,2,0)</f>
        <v>งานแก้ไขสัญญาณรบกวน TS vibration sensor (Old) @SCG (GC 7)</v>
      </c>
      <c r="H866" s="68" t="str">
        <f>HLOOKUP(I$2+$A866,Sheet2!BX:NB,2,0)</f>
        <v>1-15 April 21</v>
      </c>
      <c r="I866" t="str">
        <f>IF(OR(HLOOKUP(I$2+$A866,Sheet2!BX:NB,$B866,0),HLOOKUP(I$2+$A866,Sheet2!BX:NB,$B866,0)&lt;&gt;""),HLOOKUP(I$2+$A866,Sheet2!BX:NB,$B866,0),"")</f>
        <v/>
      </c>
      <c r="J866" t="str">
        <f>IF(OR(HLOOKUP(J$2+$A866,Sheet2!BY:NC,$B866,0),HLOOKUP(J$2+$A866,Sheet2!BY:NC,$B866,0)&lt;&gt;""),HLOOKUP(J$2+$A866,Sheet2!BY:NC,$B866,0),"")</f>
        <v/>
      </c>
      <c r="K866" t="str">
        <f>IF(OR(HLOOKUP(K$2+$A866,Sheet2!BZ:ND,$B866,0),HLOOKUP(K$2+$A866,Sheet2!BZ:ND,$B866,0)&lt;&gt;""),HLOOKUP(K$2+$A866,Sheet2!BZ:ND,$B866,0),"")</f>
        <v/>
      </c>
      <c r="L866" t="str">
        <f>IF(OR(HLOOKUP(L$2+$A866,Sheet2!CA:NE,$B866,0),HLOOKUP(L$2+$A866,Sheet2!CA:NE,$B866,0)&lt;&gt;""),HLOOKUP(L$2+$A866,Sheet2!CA:NE,$B866,0),"")</f>
        <v/>
      </c>
      <c r="M866" t="str">
        <f>IF(OR(HLOOKUP(M$2+$A866,Sheet2!CB:NF,$B866,0),HLOOKUP(M$2+$A866,Sheet2!CB:NF,$B866,0)&lt;&gt;""),HLOOKUP(M$2+$A866,Sheet2!CB:NF,$B866,0),"")</f>
        <v/>
      </c>
    </row>
    <row r="867" spans="1:13" x14ac:dyDescent="0.25">
      <c r="A867" s="68">
        <f t="shared" si="83"/>
        <v>35</v>
      </c>
      <c r="B867" s="68">
        <f t="shared" si="84"/>
        <v>112</v>
      </c>
      <c r="C867" s="68">
        <f t="shared" si="86"/>
        <v>8</v>
      </c>
      <c r="D867" s="68">
        <f t="shared" si="85"/>
        <v>108</v>
      </c>
      <c r="E867" s="68">
        <f t="shared" si="87"/>
        <v>536</v>
      </c>
      <c r="F867" s="21" t="str">
        <f>VLOOKUP(D867,Sheet2!A:B,2)</f>
        <v>J21-0230</v>
      </c>
      <c r="G867" s="68" t="str">
        <f>VLOOKUP(F867,Sheet2!B:C,2,0)</f>
        <v>งานแก้ไขสัญญาณรบกวน TS vibration sensor (Old) @SCG (GC 7)</v>
      </c>
      <c r="H867" s="68" t="str">
        <f>HLOOKUP(I$2+$A867,Sheet2!BX:NB,2,0)</f>
        <v>16-30 April 21</v>
      </c>
      <c r="I867" t="str">
        <f>IF(OR(HLOOKUP(I$2+$A867,Sheet2!BX:NB,$B867,0),HLOOKUP(I$2+$A867,Sheet2!BX:NB,$B867,0)&lt;&gt;""),HLOOKUP(I$2+$A867,Sheet2!BX:NB,$B867,0),"")</f>
        <v/>
      </c>
      <c r="J867" t="str">
        <f>IF(OR(HLOOKUP(J$2+$A867,Sheet2!BY:NC,$B867,0),HLOOKUP(J$2+$A867,Sheet2!BY:NC,$B867,0)&lt;&gt;""),HLOOKUP(J$2+$A867,Sheet2!BY:NC,$B867,0),"")</f>
        <v/>
      </c>
      <c r="K867" t="str">
        <f>IF(OR(HLOOKUP(K$2+$A867,Sheet2!BZ:ND,$B867,0),HLOOKUP(K$2+$A867,Sheet2!BZ:ND,$B867,0)&lt;&gt;""),HLOOKUP(K$2+$A867,Sheet2!BZ:ND,$B867,0),"")</f>
        <v/>
      </c>
      <c r="L867" t="str">
        <f>IF(OR(HLOOKUP(L$2+$A867,Sheet2!CA:NE,$B867,0),HLOOKUP(L$2+$A867,Sheet2!CA:NE,$B867,0)&lt;&gt;""),HLOOKUP(L$2+$A867,Sheet2!CA:NE,$B867,0),"")</f>
        <v/>
      </c>
      <c r="M867" t="str">
        <f>IF(OR(HLOOKUP(M$2+$A867,Sheet2!CB:NF,$B867,0),HLOOKUP(M$2+$A867,Sheet2!CB:NF,$B867,0)&lt;&gt;""),HLOOKUP(M$2+$A867,Sheet2!CB:NF,$B867,0),"")</f>
        <v/>
      </c>
    </row>
    <row r="868" spans="1:13" x14ac:dyDescent="0.25">
      <c r="A868" s="68">
        <f t="shared" si="83"/>
        <v>0</v>
      </c>
      <c r="B868" s="68">
        <f t="shared" si="84"/>
        <v>113</v>
      </c>
      <c r="C868" s="68">
        <f t="shared" si="86"/>
        <v>1</v>
      </c>
      <c r="D868" s="68">
        <f t="shared" si="85"/>
        <v>109</v>
      </c>
      <c r="E868" s="68">
        <f t="shared" si="87"/>
        <v>541</v>
      </c>
      <c r="F868" s="21" t="str">
        <f>VLOOKUP(D868,Sheet2!A:B,2)</f>
        <v>J20-1348</v>
      </c>
      <c r="G868" s="68" t="str">
        <f>VLOOKUP(F868,Sheet2!B:C,2,0)</f>
        <v xml:space="preserve">Topaz New Transformer-4 3500 KVA And New MDB-4 </v>
      </c>
      <c r="H868" s="68" t="str">
        <f>HLOOKUP(I$2+$A868,Sheet2!BX:NB,2,0)</f>
        <v>1-15 Jan 21</v>
      </c>
      <c r="I868" t="str">
        <f>IF(OR(HLOOKUP(I$2+$A868,Sheet2!BX:NB,$B868,0),HLOOKUP(I$2+$A868,Sheet2!BX:NB,$B868,0)&lt;&gt;""),HLOOKUP(I$2+$A868,Sheet2!BX:NB,$B868,0),"")</f>
        <v/>
      </c>
      <c r="J868" t="str">
        <f>IF(OR(HLOOKUP(J$2+$A868,Sheet2!BY:NC,$B868,0),HLOOKUP(J$2+$A868,Sheet2!BY:NC,$B868,0)&lt;&gt;""),HLOOKUP(J$2+$A868,Sheet2!BY:NC,$B868,0),"")</f>
        <v/>
      </c>
      <c r="K868" t="str">
        <f>IF(OR(HLOOKUP(K$2+$A868,Sheet2!BZ:ND,$B868,0),HLOOKUP(K$2+$A868,Sheet2!BZ:ND,$B868,0)&lt;&gt;""),HLOOKUP(K$2+$A868,Sheet2!BZ:ND,$B868,0),"")</f>
        <v/>
      </c>
      <c r="L868" t="str">
        <f>IF(OR(HLOOKUP(L$2+$A868,Sheet2!CA:NE,$B868,0),HLOOKUP(L$2+$A868,Sheet2!CA:NE,$B868,0)&lt;&gt;""),HLOOKUP(L$2+$A868,Sheet2!CA:NE,$B868,0),"")</f>
        <v/>
      </c>
      <c r="M868" t="str">
        <f>IF(OR(HLOOKUP(M$2+$A868,Sheet2!CB:NF,$B868,0),HLOOKUP(M$2+$A868,Sheet2!CB:NF,$B868,0)&lt;&gt;""),HLOOKUP(M$2+$A868,Sheet2!CB:NF,$B868,0),"")</f>
        <v/>
      </c>
    </row>
    <row r="869" spans="1:13" x14ac:dyDescent="0.25">
      <c r="A869" s="68">
        <f t="shared" si="83"/>
        <v>5</v>
      </c>
      <c r="B869" s="68">
        <f t="shared" si="84"/>
        <v>113</v>
      </c>
      <c r="C869" s="68">
        <f t="shared" si="86"/>
        <v>2</v>
      </c>
      <c r="D869" s="68">
        <f t="shared" si="85"/>
        <v>109</v>
      </c>
      <c r="E869" s="68">
        <f t="shared" si="87"/>
        <v>541</v>
      </c>
      <c r="F869" s="21" t="str">
        <f>VLOOKUP(D869,Sheet2!A:B,2)</f>
        <v>J20-1348</v>
      </c>
      <c r="G869" s="68" t="str">
        <f>VLOOKUP(F869,Sheet2!B:C,2,0)</f>
        <v xml:space="preserve">Topaz New Transformer-4 3500 KVA And New MDB-4 </v>
      </c>
      <c r="H869" s="68" t="str">
        <f>HLOOKUP(I$2+$A869,Sheet2!BX:NB,2,0)</f>
        <v>16-31 Jan 21</v>
      </c>
      <c r="I869" t="str">
        <f>IF(OR(HLOOKUP(I$2+$A869,Sheet2!BX:NB,$B869,0),HLOOKUP(I$2+$A869,Sheet2!BX:NB,$B869,0)&lt;&gt;""),HLOOKUP(I$2+$A869,Sheet2!BX:NB,$B869,0),"")</f>
        <v/>
      </c>
      <c r="J869" t="str">
        <f>IF(OR(HLOOKUP(J$2+$A869,Sheet2!BY:NC,$B869,0),HLOOKUP(J$2+$A869,Sheet2!BY:NC,$B869,0)&lt;&gt;""),HLOOKUP(J$2+$A869,Sheet2!BY:NC,$B869,0),"")</f>
        <v/>
      </c>
      <c r="K869" t="str">
        <f>IF(OR(HLOOKUP(K$2+$A869,Sheet2!BZ:ND,$B869,0),HLOOKUP(K$2+$A869,Sheet2!BZ:ND,$B869,0)&lt;&gt;""),HLOOKUP(K$2+$A869,Sheet2!BZ:ND,$B869,0),"")</f>
        <v/>
      </c>
      <c r="L869" t="str">
        <f>IF(OR(HLOOKUP(L$2+$A869,Sheet2!CA:NE,$B869,0),HLOOKUP(L$2+$A869,Sheet2!CA:NE,$B869,0)&lt;&gt;""),HLOOKUP(L$2+$A869,Sheet2!CA:NE,$B869,0),"")</f>
        <v/>
      </c>
      <c r="M869" t="str">
        <f>IF(OR(HLOOKUP(M$2+$A869,Sheet2!CB:NF,$B869,0),HLOOKUP(M$2+$A869,Sheet2!CB:NF,$B869,0)&lt;&gt;""),HLOOKUP(M$2+$A869,Sheet2!CB:NF,$B869,0),"")</f>
        <v/>
      </c>
    </row>
    <row r="870" spans="1:13" x14ac:dyDescent="0.25">
      <c r="A870" s="68">
        <f t="shared" si="83"/>
        <v>10</v>
      </c>
      <c r="B870" s="68">
        <f t="shared" si="84"/>
        <v>113</v>
      </c>
      <c r="C870" s="68">
        <f t="shared" si="86"/>
        <v>3</v>
      </c>
      <c r="D870" s="68">
        <f t="shared" si="85"/>
        <v>109</v>
      </c>
      <c r="E870" s="68">
        <f t="shared" si="87"/>
        <v>541</v>
      </c>
      <c r="F870" s="21" t="str">
        <f>VLOOKUP(D870,Sheet2!A:B,2)</f>
        <v>J20-1348</v>
      </c>
      <c r="G870" s="68" t="str">
        <f>VLOOKUP(F870,Sheet2!B:C,2,0)</f>
        <v xml:space="preserve">Topaz New Transformer-4 3500 KVA And New MDB-4 </v>
      </c>
      <c r="H870" s="68" t="str">
        <f>HLOOKUP(I$2+$A870,Sheet2!BX:NB,2,0)</f>
        <v>1-15 Feb 21</v>
      </c>
      <c r="I870" t="str">
        <f>IF(OR(HLOOKUP(I$2+$A870,Sheet2!BX:NB,$B870,0),HLOOKUP(I$2+$A870,Sheet2!BX:NB,$B870,0)&lt;&gt;""),HLOOKUP(I$2+$A870,Sheet2!BX:NB,$B870,0),"")</f>
        <v/>
      </c>
      <c r="J870" t="str">
        <f>IF(OR(HLOOKUP(J$2+$A870,Sheet2!BY:NC,$B870,0),HLOOKUP(J$2+$A870,Sheet2!BY:NC,$B870,0)&lt;&gt;""),HLOOKUP(J$2+$A870,Sheet2!BY:NC,$B870,0),"")</f>
        <v/>
      </c>
      <c r="K870" t="str">
        <f>IF(OR(HLOOKUP(K$2+$A870,Sheet2!BZ:ND,$B870,0),HLOOKUP(K$2+$A870,Sheet2!BZ:ND,$B870,0)&lt;&gt;""),HLOOKUP(K$2+$A870,Sheet2!BZ:ND,$B870,0),"")</f>
        <v/>
      </c>
      <c r="L870" t="str">
        <f>IF(OR(HLOOKUP(L$2+$A870,Sheet2!CA:NE,$B870,0),HLOOKUP(L$2+$A870,Sheet2!CA:NE,$B870,0)&lt;&gt;""),HLOOKUP(L$2+$A870,Sheet2!CA:NE,$B870,0),"")</f>
        <v/>
      </c>
      <c r="M870" t="str">
        <f>IF(OR(HLOOKUP(M$2+$A870,Sheet2!CB:NF,$B870,0),HLOOKUP(M$2+$A870,Sheet2!CB:NF,$B870,0)&lt;&gt;""),HLOOKUP(M$2+$A870,Sheet2!CB:NF,$B870,0),"")</f>
        <v/>
      </c>
    </row>
    <row r="871" spans="1:13" x14ac:dyDescent="0.25">
      <c r="A871" s="68">
        <f t="shared" si="83"/>
        <v>15</v>
      </c>
      <c r="B871" s="68">
        <f t="shared" si="84"/>
        <v>113</v>
      </c>
      <c r="C871" s="68">
        <f t="shared" si="86"/>
        <v>4</v>
      </c>
      <c r="D871" s="68">
        <f t="shared" si="85"/>
        <v>109</v>
      </c>
      <c r="E871" s="68">
        <f t="shared" si="87"/>
        <v>541</v>
      </c>
      <c r="F871" s="21" t="str">
        <f>VLOOKUP(D871,Sheet2!A:B,2)</f>
        <v>J20-1348</v>
      </c>
      <c r="G871" s="68" t="str">
        <f>VLOOKUP(F871,Sheet2!B:C,2,0)</f>
        <v xml:space="preserve">Topaz New Transformer-4 3500 KVA And New MDB-4 </v>
      </c>
      <c r="H871" s="68" t="str">
        <f>HLOOKUP(I$2+$A871,Sheet2!BX:NB,2,0)</f>
        <v>16-28 Feb 21</v>
      </c>
      <c r="I871" t="str">
        <f>IF(OR(HLOOKUP(I$2+$A871,Sheet2!BX:NB,$B871,0),HLOOKUP(I$2+$A871,Sheet2!BX:NB,$B871,0)&lt;&gt;""),HLOOKUP(I$2+$A871,Sheet2!BX:NB,$B871,0),"")</f>
        <v/>
      </c>
      <c r="J871" t="str">
        <f>IF(OR(HLOOKUP(J$2+$A871,Sheet2!BY:NC,$B871,0),HLOOKUP(J$2+$A871,Sheet2!BY:NC,$B871,0)&lt;&gt;""),HLOOKUP(J$2+$A871,Sheet2!BY:NC,$B871,0),"")</f>
        <v/>
      </c>
      <c r="K871" t="str">
        <f>IF(OR(HLOOKUP(K$2+$A871,Sheet2!BZ:ND,$B871,0),HLOOKUP(K$2+$A871,Sheet2!BZ:ND,$B871,0)&lt;&gt;""),HLOOKUP(K$2+$A871,Sheet2!BZ:ND,$B871,0),"")</f>
        <v/>
      </c>
      <c r="L871" t="str">
        <f>IF(OR(HLOOKUP(L$2+$A871,Sheet2!CA:NE,$B871,0),HLOOKUP(L$2+$A871,Sheet2!CA:NE,$B871,0)&lt;&gt;""),HLOOKUP(L$2+$A871,Sheet2!CA:NE,$B871,0),"")</f>
        <v/>
      </c>
      <c r="M871" t="str">
        <f>IF(OR(HLOOKUP(M$2+$A871,Sheet2!CB:NF,$B871,0),HLOOKUP(M$2+$A871,Sheet2!CB:NF,$B871,0)&lt;&gt;""),HLOOKUP(M$2+$A871,Sheet2!CB:NF,$B871,0),"")</f>
        <v/>
      </c>
    </row>
    <row r="872" spans="1:13" x14ac:dyDescent="0.25">
      <c r="A872" s="68">
        <f t="shared" si="83"/>
        <v>20</v>
      </c>
      <c r="B872" s="68">
        <f t="shared" si="84"/>
        <v>113</v>
      </c>
      <c r="C872" s="68">
        <f t="shared" si="86"/>
        <v>5</v>
      </c>
      <c r="D872" s="68">
        <f t="shared" si="85"/>
        <v>109</v>
      </c>
      <c r="E872" s="68">
        <f t="shared" si="87"/>
        <v>541</v>
      </c>
      <c r="F872" s="21" t="str">
        <f>VLOOKUP(D872,Sheet2!A:B,2)</f>
        <v>J20-1348</v>
      </c>
      <c r="G872" s="68" t="str">
        <f>VLOOKUP(F872,Sheet2!B:C,2,0)</f>
        <v xml:space="preserve">Topaz New Transformer-4 3500 KVA And New MDB-4 </v>
      </c>
      <c r="H872" s="68" t="str">
        <f>HLOOKUP(I$2+$A872,Sheet2!BX:NB,2,0)</f>
        <v>1-15 Mar 2021</v>
      </c>
      <c r="I872" t="str">
        <f>IF(OR(HLOOKUP(I$2+$A872,Sheet2!BX:NB,$B872,0),HLOOKUP(I$2+$A872,Sheet2!BX:NB,$B872,0)&lt;&gt;""),HLOOKUP(I$2+$A872,Sheet2!BX:NB,$B872,0),"")</f>
        <v/>
      </c>
      <c r="J872" t="str">
        <f>IF(OR(HLOOKUP(J$2+$A872,Sheet2!BY:NC,$B872,0),HLOOKUP(J$2+$A872,Sheet2!BY:NC,$B872,0)&lt;&gt;""),HLOOKUP(J$2+$A872,Sheet2!BY:NC,$B872,0),"")</f>
        <v/>
      </c>
      <c r="K872" t="str">
        <f>IF(OR(HLOOKUP(K$2+$A872,Sheet2!BZ:ND,$B872,0),HLOOKUP(K$2+$A872,Sheet2!BZ:ND,$B872,0)&lt;&gt;""),HLOOKUP(K$2+$A872,Sheet2!BZ:ND,$B872,0),"")</f>
        <v/>
      </c>
      <c r="L872" t="str">
        <f>IF(OR(HLOOKUP(L$2+$A872,Sheet2!CA:NE,$B872,0),HLOOKUP(L$2+$A872,Sheet2!CA:NE,$B872,0)&lt;&gt;""),HLOOKUP(L$2+$A872,Sheet2!CA:NE,$B872,0),"")</f>
        <v/>
      </c>
      <c r="M872" t="str">
        <f>IF(OR(HLOOKUP(M$2+$A872,Sheet2!CB:NF,$B872,0),HLOOKUP(M$2+$A872,Sheet2!CB:NF,$B872,0)&lt;&gt;""),HLOOKUP(M$2+$A872,Sheet2!CB:NF,$B872,0),"")</f>
        <v/>
      </c>
    </row>
    <row r="873" spans="1:13" x14ac:dyDescent="0.25">
      <c r="A873" s="68">
        <f t="shared" si="83"/>
        <v>25</v>
      </c>
      <c r="B873" s="68">
        <f t="shared" si="84"/>
        <v>113</v>
      </c>
      <c r="C873" s="68">
        <f t="shared" si="86"/>
        <v>6</v>
      </c>
      <c r="D873" s="68">
        <f t="shared" si="85"/>
        <v>109</v>
      </c>
      <c r="E873" s="68">
        <f t="shared" si="87"/>
        <v>541</v>
      </c>
      <c r="F873" s="21" t="str">
        <f>VLOOKUP(D873,Sheet2!A:B,2)</f>
        <v>J20-1348</v>
      </c>
      <c r="G873" s="68" t="str">
        <f>VLOOKUP(F873,Sheet2!B:C,2,0)</f>
        <v xml:space="preserve">Topaz New Transformer-4 3500 KVA And New MDB-4 </v>
      </c>
      <c r="H873" s="68" t="str">
        <f>HLOOKUP(I$2+$A873,Sheet2!BX:NB,2,0)</f>
        <v>16-31 Mar 21</v>
      </c>
      <c r="I873">
        <f>IF(OR(HLOOKUP(I$2+$A873,Sheet2!BX:NB,$B873,0),HLOOKUP(I$2+$A873,Sheet2!BX:NB,$B873,0)&lt;&gt;""),HLOOKUP(I$2+$A873,Sheet2!BX:NB,$B873,0),"")</f>
        <v>50820</v>
      </c>
      <c r="J873">
        <f>IF(OR(HLOOKUP(J$2+$A873,Sheet2!BY:NC,$B873,0),HLOOKUP(J$2+$A873,Sheet2!BY:NC,$B873,0)&lt;&gt;""),HLOOKUP(J$2+$A873,Sheet2!BY:NC,$B873,0),"")</f>
        <v>17705</v>
      </c>
      <c r="K873" t="str">
        <f>IF(OR(HLOOKUP(K$2+$A873,Sheet2!BZ:ND,$B873,0),HLOOKUP(K$2+$A873,Sheet2!BZ:ND,$B873,0)&lt;&gt;""),HLOOKUP(K$2+$A873,Sheet2!BZ:ND,$B873,0),"")</f>
        <v/>
      </c>
      <c r="L873" t="str">
        <f>IF(OR(HLOOKUP(L$2+$A873,Sheet2!CA:NE,$B873,0),HLOOKUP(L$2+$A873,Sheet2!CA:NE,$B873,0)&lt;&gt;""),HLOOKUP(L$2+$A873,Sheet2!CA:NE,$B873,0),"")</f>
        <v/>
      </c>
      <c r="M873" t="str">
        <f>IF(OR(HLOOKUP(M$2+$A873,Sheet2!CB:NF,$B873,0),HLOOKUP(M$2+$A873,Sheet2!CB:NF,$B873,0)&lt;&gt;""),HLOOKUP(M$2+$A873,Sheet2!CB:NF,$B873,0),"")</f>
        <v/>
      </c>
    </row>
    <row r="874" spans="1:13" x14ac:dyDescent="0.25">
      <c r="A874" s="68">
        <f t="shared" si="83"/>
        <v>30</v>
      </c>
      <c r="B874" s="68">
        <f t="shared" si="84"/>
        <v>113</v>
      </c>
      <c r="C874" s="68">
        <f t="shared" si="86"/>
        <v>7</v>
      </c>
      <c r="D874" s="68">
        <f t="shared" si="85"/>
        <v>109</v>
      </c>
      <c r="E874" s="68">
        <f t="shared" si="87"/>
        <v>541</v>
      </c>
      <c r="F874" s="21" t="str">
        <f>VLOOKUP(D874,Sheet2!A:B,2)</f>
        <v>J20-1348</v>
      </c>
      <c r="G874" s="68" t="str">
        <f>VLOOKUP(F874,Sheet2!B:C,2,0)</f>
        <v xml:space="preserve">Topaz New Transformer-4 3500 KVA And New MDB-4 </v>
      </c>
      <c r="H874" s="68" t="str">
        <f>HLOOKUP(I$2+$A874,Sheet2!BX:NB,2,0)</f>
        <v>1-15 April 21</v>
      </c>
      <c r="I874">
        <f>IF(OR(HLOOKUP(I$2+$A874,Sheet2!BX:NB,$B874,0),HLOOKUP(I$2+$A874,Sheet2!BX:NB,$B874,0)&lt;&gt;""),HLOOKUP(I$2+$A874,Sheet2!BX:NB,$B874,0),"")</f>
        <v>65922</v>
      </c>
      <c r="J874">
        <f>IF(OR(HLOOKUP(J$2+$A874,Sheet2!BY:NC,$B874,0),HLOOKUP(J$2+$A874,Sheet2!BY:NC,$B874,0)&lt;&gt;""),HLOOKUP(J$2+$A874,Sheet2!BY:NC,$B874,0),"")</f>
        <v>58705</v>
      </c>
      <c r="K874">
        <f>IF(OR(HLOOKUP(K$2+$A874,Sheet2!BZ:ND,$B874,0),HLOOKUP(K$2+$A874,Sheet2!BZ:ND,$B874,0)&lt;&gt;""),HLOOKUP(K$2+$A874,Sheet2!BZ:ND,$B874,0),"")</f>
        <v>13489</v>
      </c>
      <c r="L874" t="str">
        <f>IF(OR(HLOOKUP(L$2+$A874,Sheet2!CA:NE,$B874,0),HLOOKUP(L$2+$A874,Sheet2!CA:NE,$B874,0)&lt;&gt;""),HLOOKUP(L$2+$A874,Sheet2!CA:NE,$B874,0),"")</f>
        <v/>
      </c>
      <c r="M874" t="str">
        <f>IF(OR(HLOOKUP(M$2+$A874,Sheet2!CB:NF,$B874,0),HLOOKUP(M$2+$A874,Sheet2!CB:NF,$B874,0)&lt;&gt;""),HLOOKUP(M$2+$A874,Sheet2!CB:NF,$B874,0),"")</f>
        <v/>
      </c>
    </row>
    <row r="875" spans="1:13" x14ac:dyDescent="0.25">
      <c r="A875" s="68">
        <f t="shared" si="83"/>
        <v>35</v>
      </c>
      <c r="B875" s="68">
        <f t="shared" si="84"/>
        <v>113</v>
      </c>
      <c r="C875" s="68">
        <f t="shared" si="86"/>
        <v>8</v>
      </c>
      <c r="D875" s="68">
        <f t="shared" si="85"/>
        <v>109</v>
      </c>
      <c r="E875" s="68">
        <f t="shared" si="87"/>
        <v>541</v>
      </c>
      <c r="F875" s="21" t="str">
        <f>VLOOKUP(D875,Sheet2!A:B,2)</f>
        <v>J20-1348</v>
      </c>
      <c r="G875" s="68" t="str">
        <f>VLOOKUP(F875,Sheet2!B:C,2,0)</f>
        <v xml:space="preserve">Topaz New Transformer-4 3500 KVA And New MDB-4 </v>
      </c>
      <c r="H875" s="68" t="str">
        <f>HLOOKUP(I$2+$A875,Sheet2!BX:NB,2,0)</f>
        <v>16-30 April 21</v>
      </c>
      <c r="I875" t="str">
        <f>IF(OR(HLOOKUP(I$2+$A875,Sheet2!BX:NB,$B875,0),HLOOKUP(I$2+$A875,Sheet2!BX:NB,$B875,0)&lt;&gt;""),HLOOKUP(I$2+$A875,Sheet2!BX:NB,$B875,0),"")</f>
        <v/>
      </c>
      <c r="J875" t="str">
        <f>IF(OR(HLOOKUP(J$2+$A875,Sheet2!BY:NC,$B875,0),HLOOKUP(J$2+$A875,Sheet2!BY:NC,$B875,0)&lt;&gt;""),HLOOKUP(J$2+$A875,Sheet2!BY:NC,$B875,0),"")</f>
        <v/>
      </c>
      <c r="K875" t="str">
        <f>IF(OR(HLOOKUP(K$2+$A875,Sheet2!BZ:ND,$B875,0),HLOOKUP(K$2+$A875,Sheet2!BZ:ND,$B875,0)&lt;&gt;""),HLOOKUP(K$2+$A875,Sheet2!BZ:ND,$B875,0),"")</f>
        <v/>
      </c>
      <c r="L875" t="str">
        <f>IF(OR(HLOOKUP(L$2+$A875,Sheet2!CA:NE,$B875,0),HLOOKUP(L$2+$A875,Sheet2!CA:NE,$B875,0)&lt;&gt;""),HLOOKUP(L$2+$A875,Sheet2!CA:NE,$B875,0),"")</f>
        <v/>
      </c>
      <c r="M875" t="str">
        <f>IF(OR(HLOOKUP(M$2+$A875,Sheet2!CB:NF,$B875,0),HLOOKUP(M$2+$A875,Sheet2!CB:NF,$B875,0)&lt;&gt;""),HLOOKUP(M$2+$A875,Sheet2!CB:NF,$B875,0),"")</f>
        <v/>
      </c>
    </row>
    <row r="876" spans="1:13" x14ac:dyDescent="0.25">
      <c r="A876" s="68">
        <f t="shared" si="83"/>
        <v>0</v>
      </c>
      <c r="B876" s="68">
        <f t="shared" si="84"/>
        <v>114</v>
      </c>
      <c r="C876" s="68">
        <f t="shared" si="86"/>
        <v>1</v>
      </c>
      <c r="D876" s="68">
        <f t="shared" si="85"/>
        <v>110</v>
      </c>
      <c r="E876" s="68">
        <f t="shared" si="87"/>
        <v>546</v>
      </c>
      <c r="F876" s="21" t="str">
        <f>VLOOKUP(D876,Sheet2!A:B,2)</f>
        <v>J20-1367</v>
      </c>
      <c r="G876" s="68" t="str">
        <f>VLOOKUP(F876,Sheet2!B:C,2,0)</f>
        <v xml:space="preserve"> Ansell_UT113_Install new water meter 4 unit</v>
      </c>
      <c r="H876" s="68" t="str">
        <f>HLOOKUP(I$2+$A876,Sheet2!BX:NB,2,0)</f>
        <v>1-15 Jan 21</v>
      </c>
      <c r="I876" t="str">
        <f>IF(OR(HLOOKUP(I$2+$A876,Sheet2!BX:NB,$B876,0),HLOOKUP(I$2+$A876,Sheet2!BX:NB,$B876,0)&lt;&gt;""),HLOOKUP(I$2+$A876,Sheet2!BX:NB,$B876,0),"")</f>
        <v/>
      </c>
      <c r="J876" t="str">
        <f>IF(OR(HLOOKUP(J$2+$A876,Sheet2!BY:NC,$B876,0),HLOOKUP(J$2+$A876,Sheet2!BY:NC,$B876,0)&lt;&gt;""),HLOOKUP(J$2+$A876,Sheet2!BY:NC,$B876,0),"")</f>
        <v/>
      </c>
      <c r="K876" t="str">
        <f>IF(OR(HLOOKUP(K$2+$A876,Sheet2!BZ:ND,$B876,0),HLOOKUP(K$2+$A876,Sheet2!BZ:ND,$B876,0)&lt;&gt;""),HLOOKUP(K$2+$A876,Sheet2!BZ:ND,$B876,0),"")</f>
        <v/>
      </c>
      <c r="L876" t="str">
        <f>IF(OR(HLOOKUP(L$2+$A876,Sheet2!CA:NE,$B876,0),HLOOKUP(L$2+$A876,Sheet2!CA:NE,$B876,0)&lt;&gt;""),HLOOKUP(L$2+$A876,Sheet2!CA:NE,$B876,0),"")</f>
        <v/>
      </c>
      <c r="M876" t="str">
        <f>IF(OR(HLOOKUP(M$2+$A876,Sheet2!CB:NF,$B876,0),HLOOKUP(M$2+$A876,Sheet2!CB:NF,$B876,0)&lt;&gt;""),HLOOKUP(M$2+$A876,Sheet2!CB:NF,$B876,0),"")</f>
        <v/>
      </c>
    </row>
    <row r="877" spans="1:13" x14ac:dyDescent="0.25">
      <c r="A877" s="68">
        <f t="shared" si="83"/>
        <v>5</v>
      </c>
      <c r="B877" s="68">
        <f t="shared" si="84"/>
        <v>114</v>
      </c>
      <c r="C877" s="68">
        <f t="shared" si="86"/>
        <v>2</v>
      </c>
      <c r="D877" s="68">
        <f t="shared" si="85"/>
        <v>110</v>
      </c>
      <c r="E877" s="68">
        <f t="shared" si="87"/>
        <v>546</v>
      </c>
      <c r="F877" s="21" t="str">
        <f>VLOOKUP(D877,Sheet2!A:B,2)</f>
        <v>J20-1367</v>
      </c>
      <c r="G877" s="68" t="str">
        <f>VLOOKUP(F877,Sheet2!B:C,2,0)</f>
        <v xml:space="preserve"> Ansell_UT113_Install new water meter 4 unit</v>
      </c>
      <c r="H877" s="68" t="str">
        <f>HLOOKUP(I$2+$A877,Sheet2!BX:NB,2,0)</f>
        <v>16-31 Jan 21</v>
      </c>
      <c r="I877" t="str">
        <f>IF(OR(HLOOKUP(I$2+$A877,Sheet2!BX:NB,$B877,0),HLOOKUP(I$2+$A877,Sheet2!BX:NB,$B877,0)&lt;&gt;""),HLOOKUP(I$2+$A877,Sheet2!BX:NB,$B877,0),"")</f>
        <v/>
      </c>
      <c r="J877" t="str">
        <f>IF(OR(HLOOKUP(J$2+$A877,Sheet2!BY:NC,$B877,0),HLOOKUP(J$2+$A877,Sheet2!BY:NC,$B877,0)&lt;&gt;""),HLOOKUP(J$2+$A877,Sheet2!BY:NC,$B877,0),"")</f>
        <v/>
      </c>
      <c r="K877" t="str">
        <f>IF(OR(HLOOKUP(K$2+$A877,Sheet2!BZ:ND,$B877,0),HLOOKUP(K$2+$A877,Sheet2!BZ:ND,$B877,0)&lt;&gt;""),HLOOKUP(K$2+$A877,Sheet2!BZ:ND,$B877,0),"")</f>
        <v/>
      </c>
      <c r="L877" t="str">
        <f>IF(OR(HLOOKUP(L$2+$A877,Sheet2!CA:NE,$B877,0),HLOOKUP(L$2+$A877,Sheet2!CA:NE,$B877,0)&lt;&gt;""),HLOOKUP(L$2+$A877,Sheet2!CA:NE,$B877,0),"")</f>
        <v/>
      </c>
      <c r="M877" t="str">
        <f>IF(OR(HLOOKUP(M$2+$A877,Sheet2!CB:NF,$B877,0),HLOOKUP(M$2+$A877,Sheet2!CB:NF,$B877,0)&lt;&gt;""),HLOOKUP(M$2+$A877,Sheet2!CB:NF,$B877,0),"")</f>
        <v/>
      </c>
    </row>
    <row r="878" spans="1:13" x14ac:dyDescent="0.25">
      <c r="A878" s="68">
        <f t="shared" si="83"/>
        <v>10</v>
      </c>
      <c r="B878" s="68">
        <f t="shared" si="84"/>
        <v>114</v>
      </c>
      <c r="C878" s="68">
        <f t="shared" si="86"/>
        <v>3</v>
      </c>
      <c r="D878" s="68">
        <f t="shared" si="85"/>
        <v>110</v>
      </c>
      <c r="E878" s="68">
        <f t="shared" si="87"/>
        <v>546</v>
      </c>
      <c r="F878" s="21" t="str">
        <f>VLOOKUP(D878,Sheet2!A:B,2)</f>
        <v>J20-1367</v>
      </c>
      <c r="G878" s="68" t="str">
        <f>VLOOKUP(F878,Sheet2!B:C,2,0)</f>
        <v xml:space="preserve"> Ansell_UT113_Install new water meter 4 unit</v>
      </c>
      <c r="H878" s="68" t="str">
        <f>HLOOKUP(I$2+$A878,Sheet2!BX:NB,2,0)</f>
        <v>1-15 Feb 21</v>
      </c>
      <c r="I878" t="str">
        <f>IF(OR(HLOOKUP(I$2+$A878,Sheet2!BX:NB,$B878,0),HLOOKUP(I$2+$A878,Sheet2!BX:NB,$B878,0)&lt;&gt;""),HLOOKUP(I$2+$A878,Sheet2!BX:NB,$B878,0),"")</f>
        <v/>
      </c>
      <c r="J878" t="str">
        <f>IF(OR(HLOOKUP(J$2+$A878,Sheet2!BY:NC,$B878,0),HLOOKUP(J$2+$A878,Sheet2!BY:NC,$B878,0)&lt;&gt;""),HLOOKUP(J$2+$A878,Sheet2!BY:NC,$B878,0),"")</f>
        <v/>
      </c>
      <c r="K878" t="str">
        <f>IF(OR(HLOOKUP(K$2+$A878,Sheet2!BZ:ND,$B878,0),HLOOKUP(K$2+$A878,Sheet2!BZ:ND,$B878,0)&lt;&gt;""),HLOOKUP(K$2+$A878,Sheet2!BZ:ND,$B878,0),"")</f>
        <v/>
      </c>
      <c r="L878" t="str">
        <f>IF(OR(HLOOKUP(L$2+$A878,Sheet2!CA:NE,$B878,0),HLOOKUP(L$2+$A878,Sheet2!CA:NE,$B878,0)&lt;&gt;""),HLOOKUP(L$2+$A878,Sheet2!CA:NE,$B878,0),"")</f>
        <v/>
      </c>
      <c r="M878" t="str">
        <f>IF(OR(HLOOKUP(M$2+$A878,Sheet2!CB:NF,$B878,0),HLOOKUP(M$2+$A878,Sheet2!CB:NF,$B878,0)&lt;&gt;""),HLOOKUP(M$2+$A878,Sheet2!CB:NF,$B878,0),"")</f>
        <v/>
      </c>
    </row>
    <row r="879" spans="1:13" x14ac:dyDescent="0.25">
      <c r="A879" s="68">
        <f t="shared" si="83"/>
        <v>15</v>
      </c>
      <c r="B879" s="68">
        <f t="shared" si="84"/>
        <v>114</v>
      </c>
      <c r="C879" s="68">
        <f t="shared" si="86"/>
        <v>4</v>
      </c>
      <c r="D879" s="68">
        <f t="shared" si="85"/>
        <v>110</v>
      </c>
      <c r="E879" s="68">
        <f t="shared" si="87"/>
        <v>546</v>
      </c>
      <c r="F879" s="21" t="str">
        <f>VLOOKUP(D879,Sheet2!A:B,2)</f>
        <v>J20-1367</v>
      </c>
      <c r="G879" s="68" t="str">
        <f>VLOOKUP(F879,Sheet2!B:C,2,0)</f>
        <v xml:space="preserve"> Ansell_UT113_Install new water meter 4 unit</v>
      </c>
      <c r="H879" s="68" t="str">
        <f>HLOOKUP(I$2+$A879,Sheet2!BX:NB,2,0)</f>
        <v>16-28 Feb 21</v>
      </c>
      <c r="I879" t="str">
        <f>IF(OR(HLOOKUP(I$2+$A879,Sheet2!BX:NB,$B879,0),HLOOKUP(I$2+$A879,Sheet2!BX:NB,$B879,0)&lt;&gt;""),HLOOKUP(I$2+$A879,Sheet2!BX:NB,$B879,0),"")</f>
        <v/>
      </c>
      <c r="J879" t="str">
        <f>IF(OR(HLOOKUP(J$2+$A879,Sheet2!BY:NC,$B879,0),HLOOKUP(J$2+$A879,Sheet2!BY:NC,$B879,0)&lt;&gt;""),HLOOKUP(J$2+$A879,Sheet2!BY:NC,$B879,0),"")</f>
        <v/>
      </c>
      <c r="K879" t="str">
        <f>IF(OR(HLOOKUP(K$2+$A879,Sheet2!BZ:ND,$B879,0),HLOOKUP(K$2+$A879,Sheet2!BZ:ND,$B879,0)&lt;&gt;""),HLOOKUP(K$2+$A879,Sheet2!BZ:ND,$B879,0),"")</f>
        <v/>
      </c>
      <c r="L879" t="str">
        <f>IF(OR(HLOOKUP(L$2+$A879,Sheet2!CA:NE,$B879,0),HLOOKUP(L$2+$A879,Sheet2!CA:NE,$B879,0)&lt;&gt;""),HLOOKUP(L$2+$A879,Sheet2!CA:NE,$B879,0),"")</f>
        <v/>
      </c>
      <c r="M879" t="str">
        <f>IF(OR(HLOOKUP(M$2+$A879,Sheet2!CB:NF,$B879,0),HLOOKUP(M$2+$A879,Sheet2!CB:NF,$B879,0)&lt;&gt;""),HLOOKUP(M$2+$A879,Sheet2!CB:NF,$B879,0),"")</f>
        <v/>
      </c>
    </row>
    <row r="880" spans="1:13" x14ac:dyDescent="0.25">
      <c r="A880" s="68">
        <f t="shared" si="83"/>
        <v>20</v>
      </c>
      <c r="B880" s="68">
        <f t="shared" si="84"/>
        <v>114</v>
      </c>
      <c r="C880" s="68">
        <f t="shared" si="86"/>
        <v>5</v>
      </c>
      <c r="D880" s="68">
        <f t="shared" si="85"/>
        <v>110</v>
      </c>
      <c r="E880" s="68">
        <f t="shared" si="87"/>
        <v>546</v>
      </c>
      <c r="F880" s="21" t="str">
        <f>VLOOKUP(D880,Sheet2!A:B,2)</f>
        <v>J20-1367</v>
      </c>
      <c r="G880" s="68" t="str">
        <f>VLOOKUP(F880,Sheet2!B:C,2,0)</f>
        <v xml:space="preserve"> Ansell_UT113_Install new water meter 4 unit</v>
      </c>
      <c r="H880" s="68" t="str">
        <f>HLOOKUP(I$2+$A880,Sheet2!BX:NB,2,0)</f>
        <v>1-15 Mar 2021</v>
      </c>
      <c r="I880" t="str">
        <f>IF(OR(HLOOKUP(I$2+$A880,Sheet2!BX:NB,$B880,0),HLOOKUP(I$2+$A880,Sheet2!BX:NB,$B880,0)&lt;&gt;""),HLOOKUP(I$2+$A880,Sheet2!BX:NB,$B880,0),"")</f>
        <v/>
      </c>
      <c r="J880" t="str">
        <f>IF(OR(HLOOKUP(J$2+$A880,Sheet2!BY:NC,$B880,0),HLOOKUP(J$2+$A880,Sheet2!BY:NC,$B880,0)&lt;&gt;""),HLOOKUP(J$2+$A880,Sheet2!BY:NC,$B880,0),"")</f>
        <v/>
      </c>
      <c r="K880" t="str">
        <f>IF(OR(HLOOKUP(K$2+$A880,Sheet2!BZ:ND,$B880,0),HLOOKUP(K$2+$A880,Sheet2!BZ:ND,$B880,0)&lt;&gt;""),HLOOKUP(K$2+$A880,Sheet2!BZ:ND,$B880,0),"")</f>
        <v/>
      </c>
      <c r="L880" t="str">
        <f>IF(OR(HLOOKUP(L$2+$A880,Sheet2!CA:NE,$B880,0),HLOOKUP(L$2+$A880,Sheet2!CA:NE,$B880,0)&lt;&gt;""),HLOOKUP(L$2+$A880,Sheet2!CA:NE,$B880,0),"")</f>
        <v/>
      </c>
      <c r="M880" t="str">
        <f>IF(OR(HLOOKUP(M$2+$A880,Sheet2!CB:NF,$B880,0),HLOOKUP(M$2+$A880,Sheet2!CB:NF,$B880,0)&lt;&gt;""),HLOOKUP(M$2+$A880,Sheet2!CB:NF,$B880,0),"")</f>
        <v/>
      </c>
    </row>
    <row r="881" spans="1:13" x14ac:dyDescent="0.25">
      <c r="A881" s="68">
        <f t="shared" si="83"/>
        <v>25</v>
      </c>
      <c r="B881" s="68">
        <f t="shared" si="84"/>
        <v>114</v>
      </c>
      <c r="C881" s="68">
        <f t="shared" si="86"/>
        <v>6</v>
      </c>
      <c r="D881" s="68">
        <f t="shared" si="85"/>
        <v>110</v>
      </c>
      <c r="E881" s="68">
        <f t="shared" si="87"/>
        <v>546</v>
      </c>
      <c r="F881" s="21" t="str">
        <f>VLOOKUP(D881,Sheet2!A:B,2)</f>
        <v>J20-1367</v>
      </c>
      <c r="G881" s="68" t="str">
        <f>VLOOKUP(F881,Sheet2!B:C,2,0)</f>
        <v xml:space="preserve"> Ansell_UT113_Install new water meter 4 unit</v>
      </c>
      <c r="H881" s="68" t="str">
        <f>HLOOKUP(I$2+$A881,Sheet2!BX:NB,2,0)</f>
        <v>16-31 Mar 21</v>
      </c>
      <c r="I881">
        <f>IF(OR(HLOOKUP(I$2+$A881,Sheet2!BX:NB,$B881,0),HLOOKUP(I$2+$A881,Sheet2!BX:NB,$B881,0)&lt;&gt;""),HLOOKUP(I$2+$A881,Sheet2!BX:NB,$B881,0),"")</f>
        <v>3240</v>
      </c>
      <c r="J881">
        <f>IF(OR(HLOOKUP(J$2+$A881,Sheet2!BY:NC,$B881,0),HLOOKUP(J$2+$A881,Sheet2!BY:NC,$B881,0)&lt;&gt;""),HLOOKUP(J$2+$A881,Sheet2!BY:NC,$B881,0),"")</f>
        <v>1822</v>
      </c>
      <c r="K881" t="str">
        <f>IF(OR(HLOOKUP(K$2+$A881,Sheet2!BZ:ND,$B881,0),HLOOKUP(K$2+$A881,Sheet2!BZ:ND,$B881,0)&lt;&gt;""),HLOOKUP(K$2+$A881,Sheet2!BZ:ND,$B881,0),"")</f>
        <v/>
      </c>
      <c r="L881" t="str">
        <f>IF(OR(HLOOKUP(L$2+$A881,Sheet2!CA:NE,$B881,0),HLOOKUP(L$2+$A881,Sheet2!CA:NE,$B881,0)&lt;&gt;""),HLOOKUP(L$2+$A881,Sheet2!CA:NE,$B881,0),"")</f>
        <v/>
      </c>
      <c r="M881" t="str">
        <f>IF(OR(HLOOKUP(M$2+$A881,Sheet2!CB:NF,$B881,0),HLOOKUP(M$2+$A881,Sheet2!CB:NF,$B881,0)&lt;&gt;""),HLOOKUP(M$2+$A881,Sheet2!CB:NF,$B881,0),"")</f>
        <v/>
      </c>
    </row>
    <row r="882" spans="1:13" x14ac:dyDescent="0.25">
      <c r="A882" s="68">
        <f t="shared" si="83"/>
        <v>30</v>
      </c>
      <c r="B882" s="68">
        <f t="shared" si="84"/>
        <v>114</v>
      </c>
      <c r="C882" s="68">
        <f t="shared" si="86"/>
        <v>7</v>
      </c>
      <c r="D882" s="68">
        <f t="shared" si="85"/>
        <v>110</v>
      </c>
      <c r="E882" s="68">
        <f t="shared" si="87"/>
        <v>546</v>
      </c>
      <c r="F882" s="21" t="str">
        <f>VLOOKUP(D882,Sheet2!A:B,2)</f>
        <v>J20-1367</v>
      </c>
      <c r="G882" s="68" t="str">
        <f>VLOOKUP(F882,Sheet2!B:C,2,0)</f>
        <v xml:space="preserve"> Ansell_UT113_Install new water meter 4 unit</v>
      </c>
      <c r="H882" s="68" t="str">
        <f>HLOOKUP(I$2+$A882,Sheet2!BX:NB,2,0)</f>
        <v>1-15 April 21</v>
      </c>
      <c r="I882" t="str">
        <f>IF(OR(HLOOKUP(I$2+$A882,Sheet2!BX:NB,$B882,0),HLOOKUP(I$2+$A882,Sheet2!BX:NB,$B882,0)&lt;&gt;""),HLOOKUP(I$2+$A882,Sheet2!BX:NB,$B882,0),"")</f>
        <v/>
      </c>
      <c r="J882" t="str">
        <f>IF(OR(HLOOKUP(J$2+$A882,Sheet2!BY:NC,$B882,0),HLOOKUP(J$2+$A882,Sheet2!BY:NC,$B882,0)&lt;&gt;""),HLOOKUP(J$2+$A882,Sheet2!BY:NC,$B882,0),"")</f>
        <v/>
      </c>
      <c r="K882" t="str">
        <f>IF(OR(HLOOKUP(K$2+$A882,Sheet2!BZ:ND,$B882,0),HLOOKUP(K$2+$A882,Sheet2!BZ:ND,$B882,0)&lt;&gt;""),HLOOKUP(K$2+$A882,Sheet2!BZ:ND,$B882,0),"")</f>
        <v/>
      </c>
      <c r="L882" t="str">
        <f>IF(OR(HLOOKUP(L$2+$A882,Sheet2!CA:NE,$B882,0),HLOOKUP(L$2+$A882,Sheet2!CA:NE,$B882,0)&lt;&gt;""),HLOOKUP(L$2+$A882,Sheet2!CA:NE,$B882,0),"")</f>
        <v/>
      </c>
      <c r="M882" t="str">
        <f>IF(OR(HLOOKUP(M$2+$A882,Sheet2!CB:NF,$B882,0),HLOOKUP(M$2+$A882,Sheet2!CB:NF,$B882,0)&lt;&gt;""),HLOOKUP(M$2+$A882,Sheet2!CB:NF,$B882,0),"")</f>
        <v/>
      </c>
    </row>
    <row r="883" spans="1:13" x14ac:dyDescent="0.25">
      <c r="A883" s="68">
        <f t="shared" si="83"/>
        <v>35</v>
      </c>
      <c r="B883" s="68">
        <f t="shared" si="84"/>
        <v>114</v>
      </c>
      <c r="C883" s="68">
        <f t="shared" si="86"/>
        <v>8</v>
      </c>
      <c r="D883" s="68">
        <f t="shared" si="85"/>
        <v>110</v>
      </c>
      <c r="E883" s="68">
        <f t="shared" si="87"/>
        <v>546</v>
      </c>
      <c r="F883" s="21" t="str">
        <f>VLOOKUP(D883,Sheet2!A:B,2)</f>
        <v>J20-1367</v>
      </c>
      <c r="G883" s="68" t="str">
        <f>VLOOKUP(F883,Sheet2!B:C,2,0)</f>
        <v xml:space="preserve"> Ansell_UT113_Install new water meter 4 unit</v>
      </c>
      <c r="H883" s="68" t="str">
        <f>HLOOKUP(I$2+$A883,Sheet2!BX:NB,2,0)</f>
        <v>16-30 April 21</v>
      </c>
      <c r="I883" t="str">
        <f>IF(OR(HLOOKUP(I$2+$A883,Sheet2!BX:NB,$B883,0),HLOOKUP(I$2+$A883,Sheet2!BX:NB,$B883,0)&lt;&gt;""),HLOOKUP(I$2+$A883,Sheet2!BX:NB,$B883,0),"")</f>
        <v/>
      </c>
      <c r="J883" t="str">
        <f>IF(OR(HLOOKUP(J$2+$A883,Sheet2!BY:NC,$B883,0),HLOOKUP(J$2+$A883,Sheet2!BY:NC,$B883,0)&lt;&gt;""),HLOOKUP(J$2+$A883,Sheet2!BY:NC,$B883,0),"")</f>
        <v/>
      </c>
      <c r="K883" t="str">
        <f>IF(OR(HLOOKUP(K$2+$A883,Sheet2!BZ:ND,$B883,0),HLOOKUP(K$2+$A883,Sheet2!BZ:ND,$B883,0)&lt;&gt;""),HLOOKUP(K$2+$A883,Sheet2!BZ:ND,$B883,0),"")</f>
        <v/>
      </c>
      <c r="L883" t="str">
        <f>IF(OR(HLOOKUP(L$2+$A883,Sheet2!CA:NE,$B883,0),HLOOKUP(L$2+$A883,Sheet2!CA:NE,$B883,0)&lt;&gt;""),HLOOKUP(L$2+$A883,Sheet2!CA:NE,$B883,0),"")</f>
        <v/>
      </c>
      <c r="M883" t="str">
        <f>IF(OR(HLOOKUP(M$2+$A883,Sheet2!CB:NF,$B883,0),HLOOKUP(M$2+$A883,Sheet2!CB:NF,$B883,0)&lt;&gt;""),HLOOKUP(M$2+$A883,Sheet2!CB:NF,$B883,0),"")</f>
        <v/>
      </c>
    </row>
    <row r="884" spans="1:13" x14ac:dyDescent="0.25">
      <c r="A884" s="68">
        <f t="shared" si="83"/>
        <v>0</v>
      </c>
      <c r="B884" s="68">
        <f t="shared" si="84"/>
        <v>115</v>
      </c>
      <c r="C884" s="68">
        <f t="shared" si="86"/>
        <v>1</v>
      </c>
      <c r="D884" s="68">
        <f t="shared" si="85"/>
        <v>111</v>
      </c>
      <c r="E884" s="68">
        <f t="shared" si="87"/>
        <v>551</v>
      </c>
      <c r="F884" s="21" t="str">
        <f>VLOOKUP(D884,Sheet2!A:B,2)</f>
        <v>J21-0270</v>
      </c>
      <c r="G884" s="68" t="str">
        <f>VLOOKUP(F884,Sheet2!B:C,2,0)</f>
        <v>INSTRUMENT INSTALLATION WORK  (ไนโตรเคมีอุตสาหกรรม)</v>
      </c>
      <c r="H884" s="68" t="str">
        <f>HLOOKUP(I$2+$A884,Sheet2!BX:NB,2,0)</f>
        <v>1-15 Jan 21</v>
      </c>
      <c r="I884" t="str">
        <f>IF(OR(HLOOKUP(I$2+$A884,Sheet2!BX:NB,$B884,0),HLOOKUP(I$2+$A884,Sheet2!BX:NB,$B884,0)&lt;&gt;""),HLOOKUP(I$2+$A884,Sheet2!BX:NB,$B884,0),"")</f>
        <v/>
      </c>
      <c r="J884" t="str">
        <f>IF(OR(HLOOKUP(J$2+$A884,Sheet2!BY:NC,$B884,0),HLOOKUP(J$2+$A884,Sheet2!BY:NC,$B884,0)&lt;&gt;""),HLOOKUP(J$2+$A884,Sheet2!BY:NC,$B884,0),"")</f>
        <v/>
      </c>
      <c r="K884" t="str">
        <f>IF(OR(HLOOKUP(K$2+$A884,Sheet2!BZ:ND,$B884,0),HLOOKUP(K$2+$A884,Sheet2!BZ:ND,$B884,0)&lt;&gt;""),HLOOKUP(K$2+$A884,Sheet2!BZ:ND,$B884,0),"")</f>
        <v/>
      </c>
      <c r="L884" t="str">
        <f>IF(OR(HLOOKUP(L$2+$A884,Sheet2!CA:NE,$B884,0),HLOOKUP(L$2+$A884,Sheet2!CA:NE,$B884,0)&lt;&gt;""),HLOOKUP(L$2+$A884,Sheet2!CA:NE,$B884,0),"")</f>
        <v/>
      </c>
      <c r="M884" t="str">
        <f>IF(OR(HLOOKUP(M$2+$A884,Sheet2!CB:NF,$B884,0),HLOOKUP(M$2+$A884,Sheet2!CB:NF,$B884,0)&lt;&gt;""),HLOOKUP(M$2+$A884,Sheet2!CB:NF,$B884,0),"")</f>
        <v/>
      </c>
    </row>
    <row r="885" spans="1:13" x14ac:dyDescent="0.25">
      <c r="A885" s="68">
        <f t="shared" si="83"/>
        <v>5</v>
      </c>
      <c r="B885" s="68">
        <f t="shared" si="84"/>
        <v>115</v>
      </c>
      <c r="C885" s="68">
        <f t="shared" si="86"/>
        <v>2</v>
      </c>
      <c r="D885" s="68">
        <f t="shared" si="85"/>
        <v>111</v>
      </c>
      <c r="E885" s="68">
        <f t="shared" si="87"/>
        <v>551</v>
      </c>
      <c r="F885" s="21" t="str">
        <f>VLOOKUP(D885,Sheet2!A:B,2)</f>
        <v>J21-0270</v>
      </c>
      <c r="G885" s="68" t="str">
        <f>VLOOKUP(F885,Sheet2!B:C,2,0)</f>
        <v>INSTRUMENT INSTALLATION WORK  (ไนโตรเคมีอุตสาหกรรม)</v>
      </c>
      <c r="H885" s="68" t="str">
        <f>HLOOKUP(I$2+$A885,Sheet2!BX:NB,2,0)</f>
        <v>16-31 Jan 21</v>
      </c>
      <c r="I885" t="str">
        <f>IF(OR(HLOOKUP(I$2+$A885,Sheet2!BX:NB,$B885,0),HLOOKUP(I$2+$A885,Sheet2!BX:NB,$B885,0)&lt;&gt;""),HLOOKUP(I$2+$A885,Sheet2!BX:NB,$B885,0),"")</f>
        <v/>
      </c>
      <c r="J885" t="str">
        <f>IF(OR(HLOOKUP(J$2+$A885,Sheet2!BY:NC,$B885,0),HLOOKUP(J$2+$A885,Sheet2!BY:NC,$B885,0)&lt;&gt;""),HLOOKUP(J$2+$A885,Sheet2!BY:NC,$B885,0),"")</f>
        <v/>
      </c>
      <c r="K885" t="str">
        <f>IF(OR(HLOOKUP(K$2+$A885,Sheet2!BZ:ND,$B885,0),HLOOKUP(K$2+$A885,Sheet2!BZ:ND,$B885,0)&lt;&gt;""),HLOOKUP(K$2+$A885,Sheet2!BZ:ND,$B885,0),"")</f>
        <v/>
      </c>
      <c r="L885" t="str">
        <f>IF(OR(HLOOKUP(L$2+$A885,Sheet2!CA:NE,$B885,0),HLOOKUP(L$2+$A885,Sheet2!CA:NE,$B885,0)&lt;&gt;""),HLOOKUP(L$2+$A885,Sheet2!CA:NE,$B885,0),"")</f>
        <v/>
      </c>
      <c r="M885" t="str">
        <f>IF(OR(HLOOKUP(M$2+$A885,Sheet2!CB:NF,$B885,0),HLOOKUP(M$2+$A885,Sheet2!CB:NF,$B885,0)&lt;&gt;""),HLOOKUP(M$2+$A885,Sheet2!CB:NF,$B885,0),"")</f>
        <v/>
      </c>
    </row>
    <row r="886" spans="1:13" x14ac:dyDescent="0.25">
      <c r="A886" s="68">
        <f t="shared" ref="A886:A907" si="88">IF(C886&lt;&gt;1,A885+5,0)</f>
        <v>10</v>
      </c>
      <c r="B886" s="68">
        <f t="shared" ref="B886:B907" si="89">IF(C886&lt;&gt;1,B885,B885+1)</f>
        <v>115</v>
      </c>
      <c r="C886" s="68">
        <f t="shared" si="86"/>
        <v>3</v>
      </c>
      <c r="D886" s="68">
        <f t="shared" ref="D886:D907" si="90">IF(C886=1,D885+1,D885)</f>
        <v>111</v>
      </c>
      <c r="E886" s="68">
        <f t="shared" si="87"/>
        <v>551</v>
      </c>
      <c r="F886" s="21" t="str">
        <f>VLOOKUP(D886,Sheet2!A:B,2)</f>
        <v>J21-0270</v>
      </c>
      <c r="G886" s="68" t="str">
        <f>VLOOKUP(F886,Sheet2!B:C,2,0)</f>
        <v>INSTRUMENT INSTALLATION WORK  (ไนโตรเคมีอุตสาหกรรม)</v>
      </c>
      <c r="H886" s="68" t="str">
        <f>HLOOKUP(I$2+$A886,Sheet2!BX:NB,2,0)</f>
        <v>1-15 Feb 21</v>
      </c>
      <c r="I886" t="str">
        <f>IF(OR(HLOOKUP(I$2+$A886,Sheet2!BX:NB,$B886,0),HLOOKUP(I$2+$A886,Sheet2!BX:NB,$B886,0)&lt;&gt;""),HLOOKUP(I$2+$A886,Sheet2!BX:NB,$B886,0),"")</f>
        <v/>
      </c>
      <c r="J886" t="str">
        <f>IF(OR(HLOOKUP(J$2+$A886,Sheet2!BY:NC,$B886,0),HLOOKUP(J$2+$A886,Sheet2!BY:NC,$B886,0)&lt;&gt;""),HLOOKUP(J$2+$A886,Sheet2!BY:NC,$B886,0),"")</f>
        <v/>
      </c>
      <c r="K886" t="str">
        <f>IF(OR(HLOOKUP(K$2+$A886,Sheet2!BZ:ND,$B886,0),HLOOKUP(K$2+$A886,Sheet2!BZ:ND,$B886,0)&lt;&gt;""),HLOOKUP(K$2+$A886,Sheet2!BZ:ND,$B886,0),"")</f>
        <v/>
      </c>
      <c r="L886" t="str">
        <f>IF(OR(HLOOKUP(L$2+$A886,Sheet2!CA:NE,$B886,0),HLOOKUP(L$2+$A886,Sheet2!CA:NE,$B886,0)&lt;&gt;""),HLOOKUP(L$2+$A886,Sheet2!CA:NE,$B886,0),"")</f>
        <v/>
      </c>
      <c r="M886" t="str">
        <f>IF(OR(HLOOKUP(M$2+$A886,Sheet2!CB:NF,$B886,0),HLOOKUP(M$2+$A886,Sheet2!CB:NF,$B886,0)&lt;&gt;""),HLOOKUP(M$2+$A886,Sheet2!CB:NF,$B886,0),"")</f>
        <v/>
      </c>
    </row>
    <row r="887" spans="1:13" x14ac:dyDescent="0.25">
      <c r="A887" s="68">
        <f t="shared" si="88"/>
        <v>15</v>
      </c>
      <c r="B887" s="68">
        <f t="shared" si="89"/>
        <v>115</v>
      </c>
      <c r="C887" s="68">
        <f t="shared" si="86"/>
        <v>4</v>
      </c>
      <c r="D887" s="68">
        <f t="shared" si="90"/>
        <v>111</v>
      </c>
      <c r="E887" s="68">
        <f t="shared" si="87"/>
        <v>551</v>
      </c>
      <c r="F887" s="21" t="str">
        <f>VLOOKUP(D887,Sheet2!A:B,2)</f>
        <v>J21-0270</v>
      </c>
      <c r="G887" s="68" t="str">
        <f>VLOOKUP(F887,Sheet2!B:C,2,0)</f>
        <v>INSTRUMENT INSTALLATION WORK  (ไนโตรเคมีอุตสาหกรรม)</v>
      </c>
      <c r="H887" s="68" t="str">
        <f>HLOOKUP(I$2+$A887,Sheet2!BX:NB,2,0)</f>
        <v>16-28 Feb 21</v>
      </c>
      <c r="I887" t="str">
        <f>IF(OR(HLOOKUP(I$2+$A887,Sheet2!BX:NB,$B887,0),HLOOKUP(I$2+$A887,Sheet2!BX:NB,$B887,0)&lt;&gt;""),HLOOKUP(I$2+$A887,Sheet2!BX:NB,$B887,0),"")</f>
        <v/>
      </c>
      <c r="J887" t="str">
        <f>IF(OR(HLOOKUP(J$2+$A887,Sheet2!BY:NC,$B887,0),HLOOKUP(J$2+$A887,Sheet2!BY:NC,$B887,0)&lt;&gt;""),HLOOKUP(J$2+$A887,Sheet2!BY:NC,$B887,0),"")</f>
        <v/>
      </c>
      <c r="K887" t="str">
        <f>IF(OR(HLOOKUP(K$2+$A887,Sheet2!BZ:ND,$B887,0),HLOOKUP(K$2+$A887,Sheet2!BZ:ND,$B887,0)&lt;&gt;""),HLOOKUP(K$2+$A887,Sheet2!BZ:ND,$B887,0),"")</f>
        <v/>
      </c>
      <c r="L887" t="str">
        <f>IF(OR(HLOOKUP(L$2+$A887,Sheet2!CA:NE,$B887,0),HLOOKUP(L$2+$A887,Sheet2!CA:NE,$B887,0)&lt;&gt;""),HLOOKUP(L$2+$A887,Sheet2!CA:NE,$B887,0),"")</f>
        <v/>
      </c>
      <c r="M887" t="str">
        <f>IF(OR(HLOOKUP(M$2+$A887,Sheet2!CB:NF,$B887,0),HLOOKUP(M$2+$A887,Sheet2!CB:NF,$B887,0)&lt;&gt;""),HLOOKUP(M$2+$A887,Sheet2!CB:NF,$B887,0),"")</f>
        <v/>
      </c>
    </row>
    <row r="888" spans="1:13" x14ac:dyDescent="0.25">
      <c r="A888" s="68">
        <f t="shared" si="88"/>
        <v>20</v>
      </c>
      <c r="B888" s="68">
        <f t="shared" si="89"/>
        <v>115</v>
      </c>
      <c r="C888" s="68">
        <f t="shared" si="86"/>
        <v>5</v>
      </c>
      <c r="D888" s="68">
        <f t="shared" si="90"/>
        <v>111</v>
      </c>
      <c r="E888" s="68">
        <f t="shared" si="87"/>
        <v>551</v>
      </c>
      <c r="F888" s="21" t="str">
        <f>VLOOKUP(D888,Sheet2!A:B,2)</f>
        <v>J21-0270</v>
      </c>
      <c r="G888" s="68" t="str">
        <f>VLOOKUP(F888,Sheet2!B:C,2,0)</f>
        <v>INSTRUMENT INSTALLATION WORK  (ไนโตรเคมีอุตสาหกรรม)</v>
      </c>
      <c r="H888" s="68" t="str">
        <f>HLOOKUP(I$2+$A888,Sheet2!BX:NB,2,0)</f>
        <v>1-15 Mar 2021</v>
      </c>
      <c r="I888" t="str">
        <f>IF(OR(HLOOKUP(I$2+$A888,Sheet2!BX:NB,$B888,0),HLOOKUP(I$2+$A888,Sheet2!BX:NB,$B888,0)&lt;&gt;""),HLOOKUP(I$2+$A888,Sheet2!BX:NB,$B888,0),"")</f>
        <v/>
      </c>
      <c r="J888" t="str">
        <f>IF(OR(HLOOKUP(J$2+$A888,Sheet2!BY:NC,$B888,0),HLOOKUP(J$2+$A888,Sheet2!BY:NC,$B888,0)&lt;&gt;""),HLOOKUP(J$2+$A888,Sheet2!BY:NC,$B888,0),"")</f>
        <v/>
      </c>
      <c r="K888" t="str">
        <f>IF(OR(HLOOKUP(K$2+$A888,Sheet2!BZ:ND,$B888,0),HLOOKUP(K$2+$A888,Sheet2!BZ:ND,$B888,0)&lt;&gt;""),HLOOKUP(K$2+$A888,Sheet2!BZ:ND,$B888,0),"")</f>
        <v/>
      </c>
      <c r="L888" t="str">
        <f>IF(OR(HLOOKUP(L$2+$A888,Sheet2!CA:NE,$B888,0),HLOOKUP(L$2+$A888,Sheet2!CA:NE,$B888,0)&lt;&gt;""),HLOOKUP(L$2+$A888,Sheet2!CA:NE,$B888,0),"")</f>
        <v/>
      </c>
      <c r="M888" t="str">
        <f>IF(OR(HLOOKUP(M$2+$A888,Sheet2!CB:NF,$B888,0),HLOOKUP(M$2+$A888,Sheet2!CB:NF,$B888,0)&lt;&gt;""),HLOOKUP(M$2+$A888,Sheet2!CB:NF,$B888,0),"")</f>
        <v/>
      </c>
    </row>
    <row r="889" spans="1:13" x14ac:dyDescent="0.25">
      <c r="A889" s="68">
        <f t="shared" si="88"/>
        <v>25</v>
      </c>
      <c r="B889" s="68">
        <f t="shared" si="89"/>
        <v>115</v>
      </c>
      <c r="C889" s="68">
        <f t="shared" si="86"/>
        <v>6</v>
      </c>
      <c r="D889" s="68">
        <f t="shared" si="90"/>
        <v>111</v>
      </c>
      <c r="E889" s="68">
        <f t="shared" si="87"/>
        <v>551</v>
      </c>
      <c r="F889" s="21" t="str">
        <f>VLOOKUP(D889,Sheet2!A:B,2)</f>
        <v>J21-0270</v>
      </c>
      <c r="G889" s="68" t="str">
        <f>VLOOKUP(F889,Sheet2!B:C,2,0)</f>
        <v>INSTRUMENT INSTALLATION WORK  (ไนโตรเคมีอุตสาหกรรม)</v>
      </c>
      <c r="H889" s="68" t="str">
        <f>HLOOKUP(I$2+$A889,Sheet2!BX:NB,2,0)</f>
        <v>16-31 Mar 21</v>
      </c>
      <c r="I889" t="str">
        <f>IF(OR(HLOOKUP(I$2+$A889,Sheet2!BX:NB,$B889,0),HLOOKUP(I$2+$A889,Sheet2!BX:NB,$B889,0)&lt;&gt;""),HLOOKUP(I$2+$A889,Sheet2!BX:NB,$B889,0),"")</f>
        <v/>
      </c>
      <c r="J889" t="str">
        <f>IF(OR(HLOOKUP(J$2+$A889,Sheet2!BY:NC,$B889,0),HLOOKUP(J$2+$A889,Sheet2!BY:NC,$B889,0)&lt;&gt;""),HLOOKUP(J$2+$A889,Sheet2!BY:NC,$B889,0),"")</f>
        <v/>
      </c>
      <c r="K889" t="str">
        <f>IF(OR(HLOOKUP(K$2+$A889,Sheet2!BZ:ND,$B889,0),HLOOKUP(K$2+$A889,Sheet2!BZ:ND,$B889,0)&lt;&gt;""),HLOOKUP(K$2+$A889,Sheet2!BZ:ND,$B889,0),"")</f>
        <v/>
      </c>
      <c r="L889" t="str">
        <f>IF(OR(HLOOKUP(L$2+$A889,Sheet2!CA:NE,$B889,0),HLOOKUP(L$2+$A889,Sheet2!CA:NE,$B889,0)&lt;&gt;""),HLOOKUP(L$2+$A889,Sheet2!CA:NE,$B889,0),"")</f>
        <v/>
      </c>
      <c r="M889" t="str">
        <f>IF(OR(HLOOKUP(M$2+$A889,Sheet2!CB:NF,$B889,0),HLOOKUP(M$2+$A889,Sheet2!CB:NF,$B889,0)&lt;&gt;""),HLOOKUP(M$2+$A889,Sheet2!CB:NF,$B889,0),"")</f>
        <v/>
      </c>
    </row>
    <row r="890" spans="1:13" x14ac:dyDescent="0.25">
      <c r="A890" s="68">
        <f t="shared" si="88"/>
        <v>30</v>
      </c>
      <c r="B890" s="68">
        <f t="shared" si="89"/>
        <v>115</v>
      </c>
      <c r="C890" s="68">
        <f t="shared" si="86"/>
        <v>7</v>
      </c>
      <c r="D890" s="68">
        <f t="shared" si="90"/>
        <v>111</v>
      </c>
      <c r="E890" s="68">
        <f t="shared" si="87"/>
        <v>551</v>
      </c>
      <c r="F890" s="21" t="str">
        <f>VLOOKUP(D890,Sheet2!A:B,2)</f>
        <v>J21-0270</v>
      </c>
      <c r="G890" s="68" t="str">
        <f>VLOOKUP(F890,Sheet2!B:C,2,0)</f>
        <v>INSTRUMENT INSTALLATION WORK  (ไนโตรเคมีอุตสาหกรรม)</v>
      </c>
      <c r="H890" s="68" t="str">
        <f>HLOOKUP(I$2+$A890,Sheet2!BX:NB,2,0)</f>
        <v>1-15 April 21</v>
      </c>
      <c r="I890">
        <f>IF(OR(HLOOKUP(I$2+$A890,Sheet2!BX:NB,$B890,0),HLOOKUP(I$2+$A890,Sheet2!BX:NB,$B890,0)&lt;&gt;""),HLOOKUP(I$2+$A890,Sheet2!BX:NB,$B890,0),"")</f>
        <v>80249</v>
      </c>
      <c r="J890" t="str">
        <f>IF(OR(HLOOKUP(J$2+$A890,Sheet2!BY:NC,$B890,0),HLOOKUP(J$2+$A890,Sheet2!BY:NC,$B890,0)&lt;&gt;""),HLOOKUP(J$2+$A890,Sheet2!BY:NC,$B890,0),"")</f>
        <v/>
      </c>
      <c r="K890" t="str">
        <f>IF(OR(HLOOKUP(K$2+$A890,Sheet2!BZ:ND,$B890,0),HLOOKUP(K$2+$A890,Sheet2!BZ:ND,$B890,0)&lt;&gt;""),HLOOKUP(K$2+$A890,Sheet2!BZ:ND,$B890,0),"")</f>
        <v/>
      </c>
      <c r="L890" t="str">
        <f>IF(OR(HLOOKUP(L$2+$A890,Sheet2!CA:NE,$B890,0),HLOOKUP(L$2+$A890,Sheet2!CA:NE,$B890,0)&lt;&gt;""),HLOOKUP(L$2+$A890,Sheet2!CA:NE,$B890,0),"")</f>
        <v/>
      </c>
      <c r="M890">
        <f>IF(OR(HLOOKUP(M$2+$A890,Sheet2!CB:NF,$B890,0),HLOOKUP(M$2+$A890,Sheet2!CB:NF,$B890,0)&lt;&gt;""),HLOOKUP(M$2+$A890,Sheet2!CB:NF,$B890,0),"")</f>
        <v>8</v>
      </c>
    </row>
    <row r="891" spans="1:13" x14ac:dyDescent="0.25">
      <c r="A891" s="68">
        <f t="shared" si="88"/>
        <v>35</v>
      </c>
      <c r="B891" s="68">
        <f t="shared" si="89"/>
        <v>115</v>
      </c>
      <c r="C891" s="68">
        <f t="shared" si="86"/>
        <v>8</v>
      </c>
      <c r="D891" s="68">
        <f t="shared" si="90"/>
        <v>111</v>
      </c>
      <c r="E891" s="68">
        <f t="shared" si="87"/>
        <v>551</v>
      </c>
      <c r="F891" s="21" t="str">
        <f>VLOOKUP(D891,Sheet2!A:B,2)</f>
        <v>J21-0270</v>
      </c>
      <c r="G891" s="68" t="str">
        <f>VLOOKUP(F891,Sheet2!B:C,2,0)</f>
        <v>INSTRUMENT INSTALLATION WORK  (ไนโตรเคมีอุตสาหกรรม)</v>
      </c>
      <c r="H891" s="68" t="str">
        <f>HLOOKUP(I$2+$A891,Sheet2!BX:NB,2,0)</f>
        <v>16-30 April 21</v>
      </c>
      <c r="I891" t="str">
        <f>IF(OR(HLOOKUP(I$2+$A891,Sheet2!BX:NB,$B891,0),HLOOKUP(I$2+$A891,Sheet2!BX:NB,$B891,0)&lt;&gt;""),HLOOKUP(I$2+$A891,Sheet2!BX:NB,$B891,0),"")</f>
        <v/>
      </c>
      <c r="J891" t="str">
        <f>IF(OR(HLOOKUP(J$2+$A891,Sheet2!BY:NC,$B891,0),HLOOKUP(J$2+$A891,Sheet2!BY:NC,$B891,0)&lt;&gt;""),HLOOKUP(J$2+$A891,Sheet2!BY:NC,$B891,0),"")</f>
        <v/>
      </c>
      <c r="K891" t="str">
        <f>IF(OR(HLOOKUP(K$2+$A891,Sheet2!BZ:ND,$B891,0),HLOOKUP(K$2+$A891,Sheet2!BZ:ND,$B891,0)&lt;&gt;""),HLOOKUP(K$2+$A891,Sheet2!BZ:ND,$B891,0),"")</f>
        <v/>
      </c>
      <c r="L891" t="str">
        <f>IF(OR(HLOOKUP(L$2+$A891,Sheet2!CA:NE,$B891,0),HLOOKUP(L$2+$A891,Sheet2!CA:NE,$B891,0)&lt;&gt;""),HLOOKUP(L$2+$A891,Sheet2!CA:NE,$B891,0),"")</f>
        <v/>
      </c>
      <c r="M891" t="str">
        <f>IF(OR(HLOOKUP(M$2+$A891,Sheet2!CB:NF,$B891,0),HLOOKUP(M$2+$A891,Sheet2!CB:NF,$B891,0)&lt;&gt;""),HLOOKUP(M$2+$A891,Sheet2!CB:NF,$B891,0),"")</f>
        <v/>
      </c>
    </row>
    <row r="892" spans="1:13" x14ac:dyDescent="0.25">
      <c r="A892" s="68">
        <f t="shared" si="88"/>
        <v>0</v>
      </c>
      <c r="B892" s="68">
        <f t="shared" si="89"/>
        <v>116</v>
      </c>
      <c r="C892" s="68">
        <f t="shared" si="86"/>
        <v>1</v>
      </c>
      <c r="D892" s="68">
        <f t="shared" si="90"/>
        <v>112</v>
      </c>
      <c r="E892" s="68">
        <f t="shared" si="87"/>
        <v>556</v>
      </c>
      <c r="F892" s="21" t="str">
        <f>VLOOKUP(D892,Sheet2!A:B,2)</f>
        <v>J21-0224</v>
      </c>
      <c r="G892" s="68" t="str">
        <f>VLOOKUP(F892,Sheet2!B:C,2,0)</f>
        <v xml:space="preserve">THE MRT PINK  &amp; YELLOW </v>
      </c>
      <c r="H892" s="68" t="str">
        <f>HLOOKUP(I$2+$A892,Sheet2!BX:NB,2,0)</f>
        <v>1-15 Jan 21</v>
      </c>
      <c r="I892" t="str">
        <f>IF(OR(HLOOKUP(I$2+$A892,Sheet2!BX:NB,$B892,0),HLOOKUP(I$2+$A892,Sheet2!BX:NB,$B892,0)&lt;&gt;""),HLOOKUP(I$2+$A892,Sheet2!BX:NB,$B892,0),"")</f>
        <v/>
      </c>
      <c r="J892" t="str">
        <f>IF(OR(HLOOKUP(J$2+$A892,Sheet2!BY:NC,$B892,0),HLOOKUP(J$2+$A892,Sheet2!BY:NC,$B892,0)&lt;&gt;""),HLOOKUP(J$2+$A892,Sheet2!BY:NC,$B892,0),"")</f>
        <v/>
      </c>
      <c r="K892" t="str">
        <f>IF(OR(HLOOKUP(K$2+$A892,Sheet2!BZ:ND,$B892,0),HLOOKUP(K$2+$A892,Sheet2!BZ:ND,$B892,0)&lt;&gt;""),HLOOKUP(K$2+$A892,Sheet2!BZ:ND,$B892,0),"")</f>
        <v/>
      </c>
      <c r="L892" t="str">
        <f>IF(OR(HLOOKUP(L$2+$A892,Sheet2!CA:NE,$B892,0),HLOOKUP(L$2+$A892,Sheet2!CA:NE,$B892,0)&lt;&gt;""),HLOOKUP(L$2+$A892,Sheet2!CA:NE,$B892,0),"")</f>
        <v/>
      </c>
      <c r="M892" t="str">
        <f>IF(OR(HLOOKUP(M$2+$A892,Sheet2!CB:NF,$B892,0),HLOOKUP(M$2+$A892,Sheet2!CB:NF,$B892,0)&lt;&gt;""),HLOOKUP(M$2+$A892,Sheet2!CB:NF,$B892,0),"")</f>
        <v/>
      </c>
    </row>
    <row r="893" spans="1:13" x14ac:dyDescent="0.25">
      <c r="A893" s="68">
        <f t="shared" si="88"/>
        <v>5</v>
      </c>
      <c r="B893" s="68">
        <f t="shared" si="89"/>
        <v>116</v>
      </c>
      <c r="C893" s="68">
        <f t="shared" si="86"/>
        <v>2</v>
      </c>
      <c r="D893" s="68">
        <f t="shared" si="90"/>
        <v>112</v>
      </c>
      <c r="E893" s="68">
        <f t="shared" si="87"/>
        <v>556</v>
      </c>
      <c r="F893" s="21" t="str">
        <f>VLOOKUP(D893,Sheet2!A:B,2)</f>
        <v>J21-0224</v>
      </c>
      <c r="G893" s="68" t="str">
        <f>VLOOKUP(F893,Sheet2!B:C,2,0)</f>
        <v xml:space="preserve">THE MRT PINK  &amp; YELLOW </v>
      </c>
      <c r="H893" s="68" t="str">
        <f>HLOOKUP(I$2+$A893,Sheet2!BX:NB,2,0)</f>
        <v>16-31 Jan 21</v>
      </c>
      <c r="I893" t="str">
        <f>IF(OR(HLOOKUP(I$2+$A893,Sheet2!BX:NB,$B893,0),HLOOKUP(I$2+$A893,Sheet2!BX:NB,$B893,0)&lt;&gt;""),HLOOKUP(I$2+$A893,Sheet2!BX:NB,$B893,0),"")</f>
        <v/>
      </c>
      <c r="J893" t="str">
        <f>IF(OR(HLOOKUP(J$2+$A893,Sheet2!BY:NC,$B893,0),HLOOKUP(J$2+$A893,Sheet2!BY:NC,$B893,0)&lt;&gt;""),HLOOKUP(J$2+$A893,Sheet2!BY:NC,$B893,0),"")</f>
        <v/>
      </c>
      <c r="K893" t="str">
        <f>IF(OR(HLOOKUP(K$2+$A893,Sheet2!BZ:ND,$B893,0),HLOOKUP(K$2+$A893,Sheet2!BZ:ND,$B893,0)&lt;&gt;""),HLOOKUP(K$2+$A893,Sheet2!BZ:ND,$B893,0),"")</f>
        <v/>
      </c>
      <c r="L893" t="str">
        <f>IF(OR(HLOOKUP(L$2+$A893,Sheet2!CA:NE,$B893,0),HLOOKUP(L$2+$A893,Sheet2!CA:NE,$B893,0)&lt;&gt;""),HLOOKUP(L$2+$A893,Sheet2!CA:NE,$B893,0),"")</f>
        <v/>
      </c>
      <c r="M893" t="str">
        <f>IF(OR(HLOOKUP(M$2+$A893,Sheet2!CB:NF,$B893,0),HLOOKUP(M$2+$A893,Sheet2!CB:NF,$B893,0)&lt;&gt;""),HLOOKUP(M$2+$A893,Sheet2!CB:NF,$B893,0),"")</f>
        <v/>
      </c>
    </row>
    <row r="894" spans="1:13" x14ac:dyDescent="0.25">
      <c r="A894" s="68">
        <f t="shared" si="88"/>
        <v>10</v>
      </c>
      <c r="B894" s="68">
        <f t="shared" si="89"/>
        <v>116</v>
      </c>
      <c r="C894" s="68">
        <f t="shared" si="86"/>
        <v>3</v>
      </c>
      <c r="D894" s="68">
        <f t="shared" si="90"/>
        <v>112</v>
      </c>
      <c r="E894" s="68">
        <f t="shared" si="87"/>
        <v>556</v>
      </c>
      <c r="F894" s="21" t="str">
        <f>VLOOKUP(D894,Sheet2!A:B,2)</f>
        <v>J21-0224</v>
      </c>
      <c r="G894" s="68" t="str">
        <f>VLOOKUP(F894,Sheet2!B:C,2,0)</f>
        <v xml:space="preserve">THE MRT PINK  &amp; YELLOW </v>
      </c>
      <c r="H894" s="68" t="str">
        <f>HLOOKUP(I$2+$A894,Sheet2!BX:NB,2,0)</f>
        <v>1-15 Feb 21</v>
      </c>
      <c r="I894" t="str">
        <f>IF(OR(HLOOKUP(I$2+$A894,Sheet2!BX:NB,$B894,0),HLOOKUP(I$2+$A894,Sheet2!BX:NB,$B894,0)&lt;&gt;""),HLOOKUP(I$2+$A894,Sheet2!BX:NB,$B894,0),"")</f>
        <v/>
      </c>
      <c r="J894" t="str">
        <f>IF(OR(HLOOKUP(J$2+$A894,Sheet2!BY:NC,$B894,0),HLOOKUP(J$2+$A894,Sheet2!BY:NC,$B894,0)&lt;&gt;""),HLOOKUP(J$2+$A894,Sheet2!BY:NC,$B894,0),"")</f>
        <v/>
      </c>
      <c r="K894" t="str">
        <f>IF(OR(HLOOKUP(K$2+$A894,Sheet2!BZ:ND,$B894,0),HLOOKUP(K$2+$A894,Sheet2!BZ:ND,$B894,0)&lt;&gt;""),HLOOKUP(K$2+$A894,Sheet2!BZ:ND,$B894,0),"")</f>
        <v/>
      </c>
      <c r="L894" t="str">
        <f>IF(OR(HLOOKUP(L$2+$A894,Sheet2!CA:NE,$B894,0),HLOOKUP(L$2+$A894,Sheet2!CA:NE,$B894,0)&lt;&gt;""),HLOOKUP(L$2+$A894,Sheet2!CA:NE,$B894,0),"")</f>
        <v/>
      </c>
      <c r="M894" t="str">
        <f>IF(OR(HLOOKUP(M$2+$A894,Sheet2!CB:NF,$B894,0),HLOOKUP(M$2+$A894,Sheet2!CB:NF,$B894,0)&lt;&gt;""),HLOOKUP(M$2+$A894,Sheet2!CB:NF,$B894,0),"")</f>
        <v/>
      </c>
    </row>
    <row r="895" spans="1:13" x14ac:dyDescent="0.25">
      <c r="A895" s="68">
        <f t="shared" si="88"/>
        <v>15</v>
      </c>
      <c r="B895" s="68">
        <f t="shared" si="89"/>
        <v>116</v>
      </c>
      <c r="C895" s="68">
        <f t="shared" si="86"/>
        <v>4</v>
      </c>
      <c r="D895" s="68">
        <f t="shared" si="90"/>
        <v>112</v>
      </c>
      <c r="E895" s="68">
        <f t="shared" si="87"/>
        <v>556</v>
      </c>
      <c r="F895" s="21" t="str">
        <f>VLOOKUP(D895,Sheet2!A:B,2)</f>
        <v>J21-0224</v>
      </c>
      <c r="G895" s="68" t="str">
        <f>VLOOKUP(F895,Sheet2!B:C,2,0)</f>
        <v xml:space="preserve">THE MRT PINK  &amp; YELLOW </v>
      </c>
      <c r="H895" s="68" t="str">
        <f>HLOOKUP(I$2+$A895,Sheet2!BX:NB,2,0)</f>
        <v>16-28 Feb 21</v>
      </c>
      <c r="I895" t="str">
        <f>IF(OR(HLOOKUP(I$2+$A895,Sheet2!BX:NB,$B895,0),HLOOKUP(I$2+$A895,Sheet2!BX:NB,$B895,0)&lt;&gt;""),HLOOKUP(I$2+$A895,Sheet2!BX:NB,$B895,0),"")</f>
        <v/>
      </c>
      <c r="J895" t="str">
        <f>IF(OR(HLOOKUP(J$2+$A895,Sheet2!BY:NC,$B895,0),HLOOKUP(J$2+$A895,Sheet2!BY:NC,$B895,0)&lt;&gt;""),HLOOKUP(J$2+$A895,Sheet2!BY:NC,$B895,0),"")</f>
        <v/>
      </c>
      <c r="K895" t="str">
        <f>IF(OR(HLOOKUP(K$2+$A895,Sheet2!BZ:ND,$B895,0),HLOOKUP(K$2+$A895,Sheet2!BZ:ND,$B895,0)&lt;&gt;""),HLOOKUP(K$2+$A895,Sheet2!BZ:ND,$B895,0),"")</f>
        <v/>
      </c>
      <c r="L895" t="str">
        <f>IF(OR(HLOOKUP(L$2+$A895,Sheet2!CA:NE,$B895,0),HLOOKUP(L$2+$A895,Sheet2!CA:NE,$B895,0)&lt;&gt;""),HLOOKUP(L$2+$A895,Sheet2!CA:NE,$B895,0),"")</f>
        <v/>
      </c>
      <c r="M895" t="str">
        <f>IF(OR(HLOOKUP(M$2+$A895,Sheet2!CB:NF,$B895,0),HLOOKUP(M$2+$A895,Sheet2!CB:NF,$B895,0)&lt;&gt;""),HLOOKUP(M$2+$A895,Sheet2!CB:NF,$B895,0),"")</f>
        <v/>
      </c>
    </row>
    <row r="896" spans="1:13" x14ac:dyDescent="0.25">
      <c r="A896" s="68">
        <f t="shared" si="88"/>
        <v>20</v>
      </c>
      <c r="B896" s="68">
        <f t="shared" si="89"/>
        <v>116</v>
      </c>
      <c r="C896" s="68">
        <f t="shared" si="86"/>
        <v>5</v>
      </c>
      <c r="D896" s="68">
        <f t="shared" si="90"/>
        <v>112</v>
      </c>
      <c r="E896" s="68">
        <f t="shared" si="87"/>
        <v>556</v>
      </c>
      <c r="F896" s="21" t="str">
        <f>VLOOKUP(D896,Sheet2!A:B,2)</f>
        <v>J21-0224</v>
      </c>
      <c r="G896" s="68" t="str">
        <f>VLOOKUP(F896,Sheet2!B:C,2,0)</f>
        <v xml:space="preserve">THE MRT PINK  &amp; YELLOW </v>
      </c>
      <c r="H896" s="68" t="str">
        <f>HLOOKUP(I$2+$A896,Sheet2!BX:NB,2,0)</f>
        <v>1-15 Mar 2021</v>
      </c>
      <c r="I896" t="str">
        <f>IF(OR(HLOOKUP(I$2+$A896,Sheet2!BX:NB,$B896,0),HLOOKUP(I$2+$A896,Sheet2!BX:NB,$B896,0)&lt;&gt;""),HLOOKUP(I$2+$A896,Sheet2!BX:NB,$B896,0),"")</f>
        <v/>
      </c>
      <c r="J896" t="str">
        <f>IF(OR(HLOOKUP(J$2+$A896,Sheet2!BY:NC,$B896,0),HLOOKUP(J$2+$A896,Sheet2!BY:NC,$B896,0)&lt;&gt;""),HLOOKUP(J$2+$A896,Sheet2!BY:NC,$B896,0),"")</f>
        <v/>
      </c>
      <c r="K896" t="str">
        <f>IF(OR(HLOOKUP(K$2+$A896,Sheet2!BZ:ND,$B896,0),HLOOKUP(K$2+$A896,Sheet2!BZ:ND,$B896,0)&lt;&gt;""),HLOOKUP(K$2+$A896,Sheet2!BZ:ND,$B896,0),"")</f>
        <v/>
      </c>
      <c r="L896" t="str">
        <f>IF(OR(HLOOKUP(L$2+$A896,Sheet2!CA:NE,$B896,0),HLOOKUP(L$2+$A896,Sheet2!CA:NE,$B896,0)&lt;&gt;""),HLOOKUP(L$2+$A896,Sheet2!CA:NE,$B896,0),"")</f>
        <v/>
      </c>
      <c r="M896" t="str">
        <f>IF(OR(HLOOKUP(M$2+$A896,Sheet2!CB:NF,$B896,0),HLOOKUP(M$2+$A896,Sheet2!CB:NF,$B896,0)&lt;&gt;""),HLOOKUP(M$2+$A896,Sheet2!CB:NF,$B896,0),"")</f>
        <v/>
      </c>
    </row>
    <row r="897" spans="1:13" x14ac:dyDescent="0.25">
      <c r="A897" s="68">
        <f t="shared" si="88"/>
        <v>25</v>
      </c>
      <c r="B897" s="68">
        <f t="shared" si="89"/>
        <v>116</v>
      </c>
      <c r="C897" s="68">
        <f t="shared" si="86"/>
        <v>6</v>
      </c>
      <c r="D897" s="68">
        <f t="shared" si="90"/>
        <v>112</v>
      </c>
      <c r="E897" s="68">
        <f t="shared" si="87"/>
        <v>556</v>
      </c>
      <c r="F897" s="21" t="str">
        <f>VLOOKUP(D897,Sheet2!A:B,2)</f>
        <v>J21-0224</v>
      </c>
      <c r="G897" s="68" t="str">
        <f>VLOOKUP(F897,Sheet2!B:C,2,0)</f>
        <v xml:space="preserve">THE MRT PINK  &amp; YELLOW </v>
      </c>
      <c r="H897" s="68" t="str">
        <f>HLOOKUP(I$2+$A897,Sheet2!BX:NB,2,0)</f>
        <v>16-31 Mar 21</v>
      </c>
      <c r="I897" t="str">
        <f>IF(OR(HLOOKUP(I$2+$A897,Sheet2!BX:NB,$B897,0),HLOOKUP(I$2+$A897,Sheet2!BX:NB,$B897,0)&lt;&gt;""),HLOOKUP(I$2+$A897,Sheet2!BX:NB,$B897,0),"")</f>
        <v/>
      </c>
      <c r="J897" t="str">
        <f>IF(OR(HLOOKUP(J$2+$A897,Sheet2!BY:NC,$B897,0),HLOOKUP(J$2+$A897,Sheet2!BY:NC,$B897,0)&lt;&gt;""),HLOOKUP(J$2+$A897,Sheet2!BY:NC,$B897,0),"")</f>
        <v/>
      </c>
      <c r="K897" t="str">
        <f>IF(OR(HLOOKUP(K$2+$A897,Sheet2!BZ:ND,$B897,0),HLOOKUP(K$2+$A897,Sheet2!BZ:ND,$B897,0)&lt;&gt;""),HLOOKUP(K$2+$A897,Sheet2!BZ:ND,$B897,0),"")</f>
        <v/>
      </c>
      <c r="L897" t="str">
        <f>IF(OR(HLOOKUP(L$2+$A897,Sheet2!CA:NE,$B897,0),HLOOKUP(L$2+$A897,Sheet2!CA:NE,$B897,0)&lt;&gt;""),HLOOKUP(L$2+$A897,Sheet2!CA:NE,$B897,0),"")</f>
        <v/>
      </c>
      <c r="M897" t="str">
        <f>IF(OR(HLOOKUP(M$2+$A897,Sheet2!CB:NF,$B897,0),HLOOKUP(M$2+$A897,Sheet2!CB:NF,$B897,0)&lt;&gt;""),HLOOKUP(M$2+$A897,Sheet2!CB:NF,$B897,0),"")</f>
        <v/>
      </c>
    </row>
    <row r="898" spans="1:13" x14ac:dyDescent="0.25">
      <c r="A898" s="68">
        <f t="shared" si="88"/>
        <v>30</v>
      </c>
      <c r="B898" s="68">
        <f t="shared" si="89"/>
        <v>116</v>
      </c>
      <c r="C898" s="68">
        <f t="shared" si="86"/>
        <v>7</v>
      </c>
      <c r="D898" s="68">
        <f t="shared" si="90"/>
        <v>112</v>
      </c>
      <c r="E898" s="68">
        <f t="shared" si="87"/>
        <v>556</v>
      </c>
      <c r="F898" s="21" t="str">
        <f>VLOOKUP(D898,Sheet2!A:B,2)</f>
        <v>J21-0224</v>
      </c>
      <c r="G898" s="68" t="str">
        <f>VLOOKUP(F898,Sheet2!B:C,2,0)</f>
        <v xml:space="preserve">THE MRT PINK  &amp; YELLOW </v>
      </c>
      <c r="H898" s="68" t="str">
        <f>HLOOKUP(I$2+$A898,Sheet2!BX:NB,2,0)</f>
        <v>1-15 April 21</v>
      </c>
      <c r="I898">
        <f>IF(OR(HLOOKUP(I$2+$A898,Sheet2!BX:NB,$B898,0),HLOOKUP(I$2+$A898,Sheet2!BX:NB,$B898,0)&lt;&gt;""),HLOOKUP(I$2+$A898,Sheet2!BX:NB,$B898,0),"")</f>
        <v>31900</v>
      </c>
      <c r="J898">
        <f>IF(OR(HLOOKUP(J$2+$A898,Sheet2!BY:NC,$B898,0),HLOOKUP(J$2+$A898,Sheet2!BY:NC,$B898,0)&lt;&gt;""),HLOOKUP(J$2+$A898,Sheet2!BY:NC,$B898,0),"")</f>
        <v>1201</v>
      </c>
      <c r="K898" t="str">
        <f>IF(OR(HLOOKUP(K$2+$A898,Sheet2!BZ:ND,$B898,0),HLOOKUP(K$2+$A898,Sheet2!BZ:ND,$B898,0)&lt;&gt;""),HLOOKUP(K$2+$A898,Sheet2!BZ:ND,$B898,0),"")</f>
        <v/>
      </c>
      <c r="L898" t="str">
        <f>IF(OR(HLOOKUP(L$2+$A898,Sheet2!CA:NE,$B898,0),HLOOKUP(L$2+$A898,Sheet2!CA:NE,$B898,0)&lt;&gt;""),HLOOKUP(L$2+$A898,Sheet2!CA:NE,$B898,0),"")</f>
        <v/>
      </c>
      <c r="M898">
        <f>IF(OR(HLOOKUP(M$2+$A898,Sheet2!CB:NF,$B898,0),HLOOKUP(M$2+$A898,Sheet2!CB:NF,$B898,0)&lt;&gt;""),HLOOKUP(M$2+$A898,Sheet2!CB:NF,$B898,0),"")</f>
        <v>5</v>
      </c>
    </row>
    <row r="899" spans="1:13" x14ac:dyDescent="0.25">
      <c r="A899" s="68">
        <f t="shared" si="88"/>
        <v>35</v>
      </c>
      <c r="B899" s="68">
        <f t="shared" si="89"/>
        <v>116</v>
      </c>
      <c r="C899" s="68">
        <f t="shared" si="86"/>
        <v>8</v>
      </c>
      <c r="D899" s="68">
        <f t="shared" si="90"/>
        <v>112</v>
      </c>
      <c r="E899" s="68">
        <f t="shared" si="87"/>
        <v>556</v>
      </c>
      <c r="F899" s="21" t="str">
        <f>VLOOKUP(D899,Sheet2!A:B,2)</f>
        <v>J21-0224</v>
      </c>
      <c r="G899" s="68" t="str">
        <f>VLOOKUP(F899,Sheet2!B:C,2,0)</f>
        <v xml:space="preserve">THE MRT PINK  &amp; YELLOW </v>
      </c>
      <c r="H899" s="68" t="str">
        <f>HLOOKUP(I$2+$A899,Sheet2!BX:NB,2,0)</f>
        <v>16-30 April 21</v>
      </c>
      <c r="I899" t="str">
        <f>IF(OR(HLOOKUP(I$2+$A899,Sheet2!BX:NB,$B899,0),HLOOKUP(I$2+$A899,Sheet2!BX:NB,$B899,0)&lt;&gt;""),HLOOKUP(I$2+$A899,Sheet2!BX:NB,$B899,0),"")</f>
        <v/>
      </c>
      <c r="J899" t="str">
        <f>IF(OR(HLOOKUP(J$2+$A899,Sheet2!BY:NC,$B899,0),HLOOKUP(J$2+$A899,Sheet2!BY:NC,$B899,0)&lt;&gt;""),HLOOKUP(J$2+$A899,Sheet2!BY:NC,$B899,0),"")</f>
        <v/>
      </c>
      <c r="K899" t="str">
        <f>IF(OR(HLOOKUP(K$2+$A899,Sheet2!BZ:ND,$B899,0),HLOOKUP(K$2+$A899,Sheet2!BZ:ND,$B899,0)&lt;&gt;""),HLOOKUP(K$2+$A899,Sheet2!BZ:ND,$B899,0),"")</f>
        <v/>
      </c>
      <c r="L899" t="str">
        <f>IF(OR(HLOOKUP(L$2+$A899,Sheet2!CA:NE,$B899,0),HLOOKUP(L$2+$A899,Sheet2!CA:NE,$B899,0)&lt;&gt;""),HLOOKUP(L$2+$A899,Sheet2!CA:NE,$B899,0),"")</f>
        <v/>
      </c>
      <c r="M899" t="str">
        <f>IF(OR(HLOOKUP(M$2+$A899,Sheet2!CB:NF,$B899,0),HLOOKUP(M$2+$A899,Sheet2!CB:NF,$B899,0)&lt;&gt;""),HLOOKUP(M$2+$A899,Sheet2!CB:NF,$B899,0),"")</f>
        <v/>
      </c>
    </row>
    <row r="900" spans="1:13" x14ac:dyDescent="0.25">
      <c r="A900" s="68">
        <f t="shared" si="88"/>
        <v>0</v>
      </c>
      <c r="B900" s="68">
        <f t="shared" si="89"/>
        <v>117</v>
      </c>
      <c r="C900" s="68">
        <f t="shared" si="86"/>
        <v>1</v>
      </c>
      <c r="D900" s="68">
        <f t="shared" si="90"/>
        <v>113</v>
      </c>
      <c r="E900" s="68">
        <f t="shared" si="87"/>
        <v>561</v>
      </c>
      <c r="F900" s="21" t="str">
        <f>VLOOKUP(D900,Sheet2!A:B,2)</f>
        <v>J21-0273</v>
      </c>
      <c r="G900" s="68" t="str">
        <f>VLOOKUP(F900,Sheet2!B:C,2,0)</f>
        <v>งานติดตั้งรางกัลวาไนซ์ Tray 200 x 100 mm.</v>
      </c>
      <c r="H900" s="68" t="str">
        <f>HLOOKUP(I$2+$A900,Sheet2!BX:NB,2,0)</f>
        <v>1-15 Jan 21</v>
      </c>
      <c r="I900" t="str">
        <f>IF(OR(HLOOKUP(I$2+$A900,Sheet2!BX:NB,$B900,0),HLOOKUP(I$2+$A900,Sheet2!BX:NB,$B900,0)&lt;&gt;""),HLOOKUP(I$2+$A900,Sheet2!BX:NB,$B900,0),"")</f>
        <v/>
      </c>
      <c r="J900" t="str">
        <f>IF(OR(HLOOKUP(J$2+$A900,Sheet2!BY:NC,$B900,0),HLOOKUP(J$2+$A900,Sheet2!BY:NC,$B900,0)&lt;&gt;""),HLOOKUP(J$2+$A900,Sheet2!BY:NC,$B900,0),"")</f>
        <v/>
      </c>
      <c r="K900" t="str">
        <f>IF(OR(HLOOKUP(K$2+$A900,Sheet2!BZ:ND,$B900,0),HLOOKUP(K$2+$A900,Sheet2!BZ:ND,$B900,0)&lt;&gt;""),HLOOKUP(K$2+$A900,Sheet2!BZ:ND,$B900,0),"")</f>
        <v/>
      </c>
      <c r="L900" t="str">
        <f>IF(OR(HLOOKUP(L$2+$A900,Sheet2!CA:NE,$B900,0),HLOOKUP(L$2+$A900,Sheet2!CA:NE,$B900,0)&lt;&gt;""),HLOOKUP(L$2+$A900,Sheet2!CA:NE,$B900,0),"")</f>
        <v/>
      </c>
      <c r="M900" t="str">
        <f>IF(OR(HLOOKUP(M$2+$A900,Sheet2!CB:NF,$B900,0),HLOOKUP(M$2+$A900,Sheet2!CB:NF,$B900,0)&lt;&gt;""),HLOOKUP(M$2+$A900,Sheet2!CB:NF,$B900,0),"")</f>
        <v/>
      </c>
    </row>
    <row r="901" spans="1:13" x14ac:dyDescent="0.25">
      <c r="A901" s="68">
        <f t="shared" si="88"/>
        <v>5</v>
      </c>
      <c r="B901" s="68">
        <f t="shared" si="89"/>
        <v>117</v>
      </c>
      <c r="C901" s="68">
        <f t="shared" si="86"/>
        <v>2</v>
      </c>
      <c r="D901" s="68">
        <f t="shared" si="90"/>
        <v>113</v>
      </c>
      <c r="E901" s="68">
        <f t="shared" si="87"/>
        <v>561</v>
      </c>
      <c r="F901" s="21" t="str">
        <f>VLOOKUP(D901,Sheet2!A:B,2)</f>
        <v>J21-0273</v>
      </c>
      <c r="G901" s="68" t="str">
        <f>VLOOKUP(F901,Sheet2!B:C,2,0)</f>
        <v>งานติดตั้งรางกัลวาไนซ์ Tray 200 x 100 mm.</v>
      </c>
      <c r="H901" s="68" t="str">
        <f>HLOOKUP(I$2+$A901,Sheet2!BX:NB,2,0)</f>
        <v>16-31 Jan 21</v>
      </c>
      <c r="I901" t="str">
        <f>IF(OR(HLOOKUP(I$2+$A901,Sheet2!BX:NB,$B901,0),HLOOKUP(I$2+$A901,Sheet2!BX:NB,$B901,0)&lt;&gt;""),HLOOKUP(I$2+$A901,Sheet2!BX:NB,$B901,0),"")</f>
        <v/>
      </c>
      <c r="J901" t="str">
        <f>IF(OR(HLOOKUP(J$2+$A901,Sheet2!BY:NC,$B901,0),HLOOKUP(J$2+$A901,Sheet2!BY:NC,$B901,0)&lt;&gt;""),HLOOKUP(J$2+$A901,Sheet2!BY:NC,$B901,0),"")</f>
        <v/>
      </c>
      <c r="K901" t="str">
        <f>IF(OR(HLOOKUP(K$2+$A901,Sheet2!BZ:ND,$B901,0),HLOOKUP(K$2+$A901,Sheet2!BZ:ND,$B901,0)&lt;&gt;""),HLOOKUP(K$2+$A901,Sheet2!BZ:ND,$B901,0),"")</f>
        <v/>
      </c>
      <c r="L901" t="str">
        <f>IF(OR(HLOOKUP(L$2+$A901,Sheet2!CA:NE,$B901,0),HLOOKUP(L$2+$A901,Sheet2!CA:NE,$B901,0)&lt;&gt;""),HLOOKUP(L$2+$A901,Sheet2!CA:NE,$B901,0),"")</f>
        <v/>
      </c>
      <c r="M901" t="str">
        <f>IF(OR(HLOOKUP(M$2+$A901,Sheet2!CB:NF,$B901,0),HLOOKUP(M$2+$A901,Sheet2!CB:NF,$B901,0)&lt;&gt;""),HLOOKUP(M$2+$A901,Sheet2!CB:NF,$B901,0),"")</f>
        <v/>
      </c>
    </row>
    <row r="902" spans="1:13" x14ac:dyDescent="0.25">
      <c r="A902" s="68">
        <f t="shared" si="88"/>
        <v>10</v>
      </c>
      <c r="B902" s="68">
        <f t="shared" si="89"/>
        <v>117</v>
      </c>
      <c r="C902" s="68">
        <f t="shared" si="86"/>
        <v>3</v>
      </c>
      <c r="D902" s="68">
        <f t="shared" si="90"/>
        <v>113</v>
      </c>
      <c r="E902" s="68">
        <f t="shared" si="87"/>
        <v>561</v>
      </c>
      <c r="F902" s="21" t="str">
        <f>VLOOKUP(D902,Sheet2!A:B,2)</f>
        <v>J21-0273</v>
      </c>
      <c r="G902" s="68" t="str">
        <f>VLOOKUP(F902,Sheet2!B:C,2,0)</f>
        <v>งานติดตั้งรางกัลวาไนซ์ Tray 200 x 100 mm.</v>
      </c>
      <c r="H902" s="68" t="str">
        <f>HLOOKUP(I$2+$A902,Sheet2!BX:NB,2,0)</f>
        <v>1-15 Feb 21</v>
      </c>
      <c r="I902" t="str">
        <f>IF(OR(HLOOKUP(I$2+$A902,Sheet2!BX:NB,$B902,0),HLOOKUP(I$2+$A902,Sheet2!BX:NB,$B902,0)&lt;&gt;""),HLOOKUP(I$2+$A902,Sheet2!BX:NB,$B902,0),"")</f>
        <v/>
      </c>
      <c r="J902" t="str">
        <f>IF(OR(HLOOKUP(J$2+$A902,Sheet2!BY:NC,$B902,0),HLOOKUP(J$2+$A902,Sheet2!BY:NC,$B902,0)&lt;&gt;""),HLOOKUP(J$2+$A902,Sheet2!BY:NC,$B902,0),"")</f>
        <v/>
      </c>
      <c r="K902" t="str">
        <f>IF(OR(HLOOKUP(K$2+$A902,Sheet2!BZ:ND,$B902,0),HLOOKUP(K$2+$A902,Sheet2!BZ:ND,$B902,0)&lt;&gt;""),HLOOKUP(K$2+$A902,Sheet2!BZ:ND,$B902,0),"")</f>
        <v/>
      </c>
      <c r="L902" t="str">
        <f>IF(OR(HLOOKUP(L$2+$A902,Sheet2!CA:NE,$B902,0),HLOOKUP(L$2+$A902,Sheet2!CA:NE,$B902,0)&lt;&gt;""),HLOOKUP(L$2+$A902,Sheet2!CA:NE,$B902,0),"")</f>
        <v/>
      </c>
      <c r="M902" t="str">
        <f>IF(OR(HLOOKUP(M$2+$A902,Sheet2!CB:NF,$B902,0),HLOOKUP(M$2+$A902,Sheet2!CB:NF,$B902,0)&lt;&gt;""),HLOOKUP(M$2+$A902,Sheet2!CB:NF,$B902,0),"")</f>
        <v/>
      </c>
    </row>
    <row r="903" spans="1:13" x14ac:dyDescent="0.25">
      <c r="A903" s="68">
        <f t="shared" si="88"/>
        <v>15</v>
      </c>
      <c r="B903" s="68">
        <f t="shared" si="89"/>
        <v>117</v>
      </c>
      <c r="C903" s="68">
        <f t="shared" si="86"/>
        <v>4</v>
      </c>
      <c r="D903" s="68">
        <f t="shared" si="90"/>
        <v>113</v>
      </c>
      <c r="E903" s="68">
        <f t="shared" si="87"/>
        <v>561</v>
      </c>
      <c r="F903" s="21" t="str">
        <f>VLOOKUP(D903,Sheet2!A:B,2)</f>
        <v>J21-0273</v>
      </c>
      <c r="G903" s="68" t="str">
        <f>VLOOKUP(F903,Sheet2!B:C,2,0)</f>
        <v>งานติดตั้งรางกัลวาไนซ์ Tray 200 x 100 mm.</v>
      </c>
      <c r="H903" s="68" t="str">
        <f>HLOOKUP(I$2+$A903,Sheet2!BX:NB,2,0)</f>
        <v>16-28 Feb 21</v>
      </c>
      <c r="I903" t="str">
        <f>IF(OR(HLOOKUP(I$2+$A903,Sheet2!BX:NB,$B903,0),HLOOKUP(I$2+$A903,Sheet2!BX:NB,$B903,0)&lt;&gt;""),HLOOKUP(I$2+$A903,Sheet2!BX:NB,$B903,0),"")</f>
        <v/>
      </c>
      <c r="J903" t="str">
        <f>IF(OR(HLOOKUP(J$2+$A903,Sheet2!BY:NC,$B903,0),HLOOKUP(J$2+$A903,Sheet2!BY:NC,$B903,0)&lt;&gt;""),HLOOKUP(J$2+$A903,Sheet2!BY:NC,$B903,0),"")</f>
        <v/>
      </c>
      <c r="K903" t="str">
        <f>IF(OR(HLOOKUP(K$2+$A903,Sheet2!BZ:ND,$B903,0),HLOOKUP(K$2+$A903,Sheet2!BZ:ND,$B903,0)&lt;&gt;""),HLOOKUP(K$2+$A903,Sheet2!BZ:ND,$B903,0),"")</f>
        <v/>
      </c>
      <c r="L903" t="str">
        <f>IF(OR(HLOOKUP(L$2+$A903,Sheet2!CA:NE,$B903,0),HLOOKUP(L$2+$A903,Sheet2!CA:NE,$B903,0)&lt;&gt;""),HLOOKUP(L$2+$A903,Sheet2!CA:NE,$B903,0),"")</f>
        <v/>
      </c>
      <c r="M903" t="str">
        <f>IF(OR(HLOOKUP(M$2+$A903,Sheet2!CB:NF,$B903,0),HLOOKUP(M$2+$A903,Sheet2!CB:NF,$B903,0)&lt;&gt;""),HLOOKUP(M$2+$A903,Sheet2!CB:NF,$B903,0),"")</f>
        <v/>
      </c>
    </row>
    <row r="904" spans="1:13" x14ac:dyDescent="0.25">
      <c r="A904" s="68">
        <f t="shared" si="88"/>
        <v>20</v>
      </c>
      <c r="B904" s="68">
        <f t="shared" si="89"/>
        <v>117</v>
      </c>
      <c r="C904" s="68">
        <f t="shared" si="86"/>
        <v>5</v>
      </c>
      <c r="D904" s="68">
        <f t="shared" si="90"/>
        <v>113</v>
      </c>
      <c r="E904" s="68">
        <f t="shared" si="87"/>
        <v>561</v>
      </c>
      <c r="F904" s="21" t="str">
        <f>VLOOKUP(D904,Sheet2!A:B,2)</f>
        <v>J21-0273</v>
      </c>
      <c r="G904" s="68" t="str">
        <f>VLOOKUP(F904,Sheet2!B:C,2,0)</f>
        <v>งานติดตั้งรางกัลวาไนซ์ Tray 200 x 100 mm.</v>
      </c>
      <c r="H904" s="68" t="str">
        <f>HLOOKUP(I$2+$A904,Sheet2!BX:NB,2,0)</f>
        <v>1-15 Mar 2021</v>
      </c>
      <c r="I904" t="str">
        <f>IF(OR(HLOOKUP(I$2+$A904,Sheet2!BX:NB,$B904,0),HLOOKUP(I$2+$A904,Sheet2!BX:NB,$B904,0)&lt;&gt;""),HLOOKUP(I$2+$A904,Sheet2!BX:NB,$B904,0),"")</f>
        <v/>
      </c>
      <c r="J904" t="str">
        <f>IF(OR(HLOOKUP(J$2+$A904,Sheet2!BY:NC,$B904,0),HLOOKUP(J$2+$A904,Sheet2!BY:NC,$B904,0)&lt;&gt;""),HLOOKUP(J$2+$A904,Sheet2!BY:NC,$B904,0),"")</f>
        <v/>
      </c>
      <c r="K904" t="str">
        <f>IF(OR(HLOOKUP(K$2+$A904,Sheet2!BZ:ND,$B904,0),HLOOKUP(K$2+$A904,Sheet2!BZ:ND,$B904,0)&lt;&gt;""),HLOOKUP(K$2+$A904,Sheet2!BZ:ND,$B904,0),"")</f>
        <v/>
      </c>
      <c r="L904" t="str">
        <f>IF(OR(HLOOKUP(L$2+$A904,Sheet2!CA:NE,$B904,0),HLOOKUP(L$2+$A904,Sheet2!CA:NE,$B904,0)&lt;&gt;""),HLOOKUP(L$2+$A904,Sheet2!CA:NE,$B904,0),"")</f>
        <v/>
      </c>
      <c r="M904" t="str">
        <f>IF(OR(HLOOKUP(M$2+$A904,Sheet2!CB:NF,$B904,0),HLOOKUP(M$2+$A904,Sheet2!CB:NF,$B904,0)&lt;&gt;""),HLOOKUP(M$2+$A904,Sheet2!CB:NF,$B904,0),"")</f>
        <v/>
      </c>
    </row>
    <row r="905" spans="1:13" x14ac:dyDescent="0.25">
      <c r="A905" s="68">
        <f t="shared" si="88"/>
        <v>25</v>
      </c>
      <c r="B905" s="68">
        <f t="shared" si="89"/>
        <v>117</v>
      </c>
      <c r="C905" s="68">
        <f t="shared" si="86"/>
        <v>6</v>
      </c>
      <c r="D905" s="68">
        <f t="shared" si="90"/>
        <v>113</v>
      </c>
      <c r="E905" s="68">
        <f t="shared" si="87"/>
        <v>561</v>
      </c>
      <c r="F905" s="21" t="str">
        <f>VLOOKUP(D905,Sheet2!A:B,2)</f>
        <v>J21-0273</v>
      </c>
      <c r="G905" s="68" t="str">
        <f>VLOOKUP(F905,Sheet2!B:C,2,0)</f>
        <v>งานติดตั้งรางกัลวาไนซ์ Tray 200 x 100 mm.</v>
      </c>
      <c r="H905" s="68" t="str">
        <f>HLOOKUP(I$2+$A905,Sheet2!BX:NB,2,0)</f>
        <v>16-31 Mar 21</v>
      </c>
      <c r="I905" t="str">
        <f>IF(OR(HLOOKUP(I$2+$A905,Sheet2!BX:NB,$B905,0),HLOOKUP(I$2+$A905,Sheet2!BX:NB,$B905,0)&lt;&gt;""),HLOOKUP(I$2+$A905,Sheet2!BX:NB,$B905,0),"")</f>
        <v/>
      </c>
      <c r="J905" t="str">
        <f>IF(OR(HLOOKUP(J$2+$A905,Sheet2!BY:NC,$B905,0),HLOOKUP(J$2+$A905,Sheet2!BY:NC,$B905,0)&lt;&gt;""),HLOOKUP(J$2+$A905,Sheet2!BY:NC,$B905,0),"")</f>
        <v/>
      </c>
      <c r="K905" t="str">
        <f>IF(OR(HLOOKUP(K$2+$A905,Sheet2!BZ:ND,$B905,0),HLOOKUP(K$2+$A905,Sheet2!BZ:ND,$B905,0)&lt;&gt;""),HLOOKUP(K$2+$A905,Sheet2!BZ:ND,$B905,0),"")</f>
        <v/>
      </c>
      <c r="L905" t="str">
        <f>IF(OR(HLOOKUP(L$2+$A905,Sheet2!CA:NE,$B905,0),HLOOKUP(L$2+$A905,Sheet2!CA:NE,$B905,0)&lt;&gt;""),HLOOKUP(L$2+$A905,Sheet2!CA:NE,$B905,0),"")</f>
        <v/>
      </c>
      <c r="M905" t="str">
        <f>IF(OR(HLOOKUP(M$2+$A905,Sheet2!CB:NF,$B905,0),HLOOKUP(M$2+$A905,Sheet2!CB:NF,$B905,0)&lt;&gt;""),HLOOKUP(M$2+$A905,Sheet2!CB:NF,$B905,0),"")</f>
        <v/>
      </c>
    </row>
    <row r="906" spans="1:13" x14ac:dyDescent="0.25">
      <c r="A906" s="68">
        <f t="shared" si="88"/>
        <v>30</v>
      </c>
      <c r="B906" s="68">
        <f t="shared" si="89"/>
        <v>117</v>
      </c>
      <c r="C906" s="68">
        <f t="shared" si="86"/>
        <v>7</v>
      </c>
      <c r="D906" s="68">
        <f t="shared" si="90"/>
        <v>113</v>
      </c>
      <c r="E906" s="68">
        <f t="shared" si="87"/>
        <v>561</v>
      </c>
      <c r="F906" s="21" t="str">
        <f>VLOOKUP(D906,Sheet2!A:B,2)</f>
        <v>J21-0273</v>
      </c>
      <c r="G906" s="68" t="str">
        <f>VLOOKUP(F906,Sheet2!B:C,2,0)</f>
        <v>งานติดตั้งรางกัลวาไนซ์ Tray 200 x 100 mm.</v>
      </c>
      <c r="H906" s="68" t="str">
        <f>HLOOKUP(I$2+$A906,Sheet2!BX:NB,2,0)</f>
        <v>1-15 April 21</v>
      </c>
      <c r="I906">
        <f>IF(OR(HLOOKUP(I$2+$A906,Sheet2!BX:NB,$B906,0),HLOOKUP(I$2+$A906,Sheet2!BX:NB,$B906,0)&lt;&gt;""),HLOOKUP(I$2+$A906,Sheet2!BX:NB,$B906,0),"")</f>
        <v>9570</v>
      </c>
      <c r="J906">
        <f>IF(OR(HLOOKUP(J$2+$A906,Sheet2!BY:NC,$B906,0),HLOOKUP(J$2+$A906,Sheet2!BY:NC,$B906,0)&lt;&gt;""),HLOOKUP(J$2+$A906,Sheet2!BY:NC,$B906,0),"")</f>
        <v>1195</v>
      </c>
      <c r="K906" t="str">
        <f>IF(OR(HLOOKUP(K$2+$A906,Sheet2!BZ:ND,$B906,0),HLOOKUP(K$2+$A906,Sheet2!BZ:ND,$B906,0)&lt;&gt;""),HLOOKUP(K$2+$A906,Sheet2!BZ:ND,$B906,0),"")</f>
        <v/>
      </c>
      <c r="L906" t="str">
        <f>IF(OR(HLOOKUP(L$2+$A906,Sheet2!CA:NE,$B906,0),HLOOKUP(L$2+$A906,Sheet2!CA:NE,$B906,0)&lt;&gt;""),HLOOKUP(L$2+$A906,Sheet2!CA:NE,$B906,0),"")</f>
        <v/>
      </c>
      <c r="M906" t="str">
        <f>IF(OR(HLOOKUP(M$2+$A906,Sheet2!CB:NF,$B906,0),HLOOKUP(M$2+$A906,Sheet2!CB:NF,$B906,0)&lt;&gt;""),HLOOKUP(M$2+$A906,Sheet2!CB:NF,$B906,0),"")</f>
        <v/>
      </c>
    </row>
    <row r="907" spans="1:13" x14ac:dyDescent="0.25">
      <c r="A907" s="68">
        <f t="shared" si="88"/>
        <v>35</v>
      </c>
      <c r="B907" s="68">
        <f t="shared" si="89"/>
        <v>117</v>
      </c>
      <c r="C907" s="68">
        <f t="shared" si="86"/>
        <v>8</v>
      </c>
      <c r="D907" s="68">
        <f t="shared" si="90"/>
        <v>113</v>
      </c>
      <c r="E907" s="68">
        <f t="shared" si="87"/>
        <v>561</v>
      </c>
      <c r="F907" s="21" t="str">
        <f>VLOOKUP(D907,Sheet2!A:B,2)</f>
        <v>J21-0273</v>
      </c>
      <c r="G907" s="68" t="str">
        <f>VLOOKUP(F907,Sheet2!B:C,2,0)</f>
        <v>งานติดตั้งรางกัลวาไนซ์ Tray 200 x 100 mm.</v>
      </c>
      <c r="H907" s="68" t="str">
        <f>HLOOKUP(I$2+$A907,Sheet2!BX:NB,2,0)</f>
        <v>16-30 April 21</v>
      </c>
      <c r="I907" t="str">
        <f>IF(OR(HLOOKUP(I$2+$A907,Sheet2!BX:NB,$B907,0),HLOOKUP(I$2+$A907,Sheet2!BX:NB,$B907,0)&lt;&gt;""),HLOOKUP(I$2+$A907,Sheet2!BX:NB,$B907,0),"")</f>
        <v/>
      </c>
      <c r="J907" t="str">
        <f>IF(OR(HLOOKUP(J$2+$A907,Sheet2!BY:NC,$B907,0),HLOOKUP(J$2+$A907,Sheet2!BY:NC,$B907,0)&lt;&gt;""),HLOOKUP(J$2+$A907,Sheet2!BY:NC,$B907,0),"")</f>
        <v/>
      </c>
      <c r="K907" t="str">
        <f>IF(OR(HLOOKUP(K$2+$A907,Sheet2!BZ:ND,$B907,0),HLOOKUP(K$2+$A907,Sheet2!BZ:ND,$B907,0)&lt;&gt;""),HLOOKUP(K$2+$A907,Sheet2!BZ:ND,$B907,0),"")</f>
        <v/>
      </c>
      <c r="L907" t="str">
        <f>IF(OR(HLOOKUP(L$2+$A907,Sheet2!CA:NE,$B907,0),HLOOKUP(L$2+$A907,Sheet2!CA:NE,$B907,0)&lt;&gt;""),HLOOKUP(L$2+$A907,Sheet2!CA:NE,$B907,0),"")</f>
        <v/>
      </c>
      <c r="M907" t="str">
        <f>IF(OR(HLOOKUP(M$2+$A907,Sheet2!CB:NF,$B907,0),HLOOKUP(M$2+$A907,Sheet2!CB:NF,$B907,0)&lt;&gt;""),HLOOKUP(M$2+$A907,Sheet2!CB:NF,$B907,0),"")</f>
        <v/>
      </c>
    </row>
    <row r="908" spans="1:13" x14ac:dyDescent="0.25">
      <c r="A908" s="68"/>
      <c r="B908" s="68"/>
      <c r="C908" s="68"/>
      <c r="D908" s="68"/>
      <c r="E908" s="68"/>
      <c r="F908" s="21"/>
      <c r="G908" s="68"/>
    </row>
    <row r="909" spans="1:13" x14ac:dyDescent="0.25">
      <c r="A909" s="68"/>
      <c r="B909" s="68"/>
      <c r="C909" s="68"/>
      <c r="D909" s="68"/>
      <c r="E909" s="68"/>
      <c r="F909" s="21"/>
      <c r="G909" s="68"/>
    </row>
    <row r="910" spans="1:13" x14ac:dyDescent="0.25">
      <c r="A910" s="68"/>
      <c r="B910" s="68"/>
      <c r="C910" s="68"/>
      <c r="D910" s="68"/>
      <c r="E910" s="68"/>
      <c r="F910" s="21"/>
      <c r="G910" s="68"/>
    </row>
    <row r="911" spans="1:13" x14ac:dyDescent="0.25">
      <c r="A911" s="68"/>
      <c r="B911" s="68"/>
      <c r="C911" s="68"/>
      <c r="D911" s="68"/>
      <c r="E911" s="68"/>
      <c r="F911" s="21"/>
      <c r="G911" s="68"/>
    </row>
    <row r="912" spans="1:13" x14ac:dyDescent="0.25">
      <c r="A912" s="68"/>
      <c r="B912" s="68"/>
      <c r="C912" s="68"/>
      <c r="D912" s="68"/>
      <c r="E912" s="68"/>
      <c r="F912" s="21"/>
      <c r="G912" s="68"/>
    </row>
    <row r="913" spans="1:7" x14ac:dyDescent="0.25">
      <c r="A913" s="68"/>
      <c r="B913" s="68"/>
      <c r="C913" s="68"/>
      <c r="D913" s="68"/>
      <c r="E913" s="68"/>
      <c r="F913" s="21"/>
      <c r="G913" s="68"/>
    </row>
    <row r="914" spans="1:7" x14ac:dyDescent="0.25">
      <c r="A914" s="68"/>
      <c r="B914" s="68"/>
      <c r="C914" s="68"/>
      <c r="D914" s="68"/>
      <c r="E914" s="68"/>
      <c r="F914" s="21"/>
      <c r="G914" s="68"/>
    </row>
    <row r="915" spans="1:7" x14ac:dyDescent="0.25">
      <c r="A915" s="68"/>
      <c r="B915" s="68"/>
      <c r="C915" s="68"/>
      <c r="D915" s="68"/>
      <c r="E915" s="68"/>
      <c r="F915" s="21"/>
      <c r="G915" s="68"/>
    </row>
    <row r="916" spans="1:7" x14ac:dyDescent="0.25">
      <c r="A916" s="68"/>
      <c r="B916" s="68"/>
      <c r="C916" s="68"/>
      <c r="D916" s="68"/>
      <c r="E916" s="68"/>
      <c r="F916" s="21"/>
      <c r="G916" s="68"/>
    </row>
    <row r="917" spans="1:7" x14ac:dyDescent="0.25">
      <c r="A917" s="68"/>
      <c r="B917" s="68"/>
      <c r="C917" s="68"/>
      <c r="D917" s="68"/>
      <c r="E917" s="68"/>
      <c r="F917" s="21"/>
      <c r="G917" s="68"/>
    </row>
    <row r="918" spans="1:7" x14ac:dyDescent="0.25">
      <c r="A918" s="68"/>
      <c r="B918" s="68"/>
      <c r="C918" s="68"/>
      <c r="D918" s="68"/>
      <c r="E918" s="68"/>
      <c r="F918" s="21"/>
      <c r="G918" s="68"/>
    </row>
    <row r="919" spans="1:7" x14ac:dyDescent="0.25">
      <c r="A919" s="68"/>
      <c r="B919" s="68"/>
      <c r="C919" s="68"/>
      <c r="D919" s="68"/>
      <c r="E919" s="68"/>
      <c r="F919" s="21"/>
      <c r="G919" s="68"/>
    </row>
    <row r="920" spans="1:7" x14ac:dyDescent="0.25">
      <c r="A920" s="68"/>
      <c r="B920" s="68"/>
      <c r="C920" s="68"/>
      <c r="D920" s="68"/>
      <c r="E920" s="68"/>
      <c r="F920" s="21"/>
      <c r="G920" s="68"/>
    </row>
    <row r="921" spans="1:7" x14ac:dyDescent="0.25">
      <c r="A921" s="68"/>
      <c r="B921" s="68"/>
      <c r="C921" s="68"/>
      <c r="D921" s="68"/>
      <c r="E921" s="68"/>
      <c r="F921" s="21"/>
      <c r="G921" s="68"/>
    </row>
    <row r="922" spans="1:7" x14ac:dyDescent="0.25">
      <c r="A922" s="68"/>
      <c r="B922" s="68"/>
      <c r="C922" s="68"/>
      <c r="D922" s="68"/>
      <c r="E922" s="68"/>
      <c r="F922" s="21"/>
      <c r="G922" s="68"/>
    </row>
    <row r="923" spans="1:7" x14ac:dyDescent="0.25">
      <c r="A923" s="68"/>
      <c r="B923" s="68"/>
      <c r="C923" s="68"/>
      <c r="D923" s="68"/>
      <c r="E923" s="68"/>
      <c r="F923" s="21"/>
      <c r="G923" s="68"/>
    </row>
    <row r="924" spans="1:7" x14ac:dyDescent="0.25">
      <c r="A924" s="68"/>
      <c r="B924" s="68"/>
      <c r="C924" s="68"/>
      <c r="D924" s="68"/>
      <c r="E924" s="68"/>
      <c r="F924" s="21"/>
      <c r="G924" s="68"/>
    </row>
    <row r="925" spans="1:7" x14ac:dyDescent="0.25">
      <c r="A925" s="68"/>
      <c r="B925" s="68"/>
      <c r="C925" s="68"/>
      <c r="D925" s="68"/>
      <c r="E925" s="68"/>
      <c r="F925" s="21"/>
      <c r="G925" s="68"/>
    </row>
    <row r="926" spans="1:7" x14ac:dyDescent="0.25">
      <c r="A926" s="68"/>
      <c r="B926" s="68"/>
      <c r="C926" s="68"/>
      <c r="D926" s="68"/>
      <c r="E926" s="68"/>
      <c r="F926" s="21"/>
      <c r="G926" s="68"/>
    </row>
    <row r="927" spans="1:7" x14ac:dyDescent="0.25">
      <c r="A927" s="68"/>
      <c r="B927" s="68"/>
      <c r="C927" s="68"/>
      <c r="D927" s="68"/>
      <c r="E927" s="68"/>
      <c r="F927" s="21"/>
      <c r="G927" s="68"/>
    </row>
    <row r="928" spans="1:7" x14ac:dyDescent="0.25">
      <c r="A928" s="68"/>
      <c r="B928" s="68"/>
      <c r="C928" s="68"/>
      <c r="D928" s="68"/>
      <c r="E928" s="68"/>
      <c r="F928" s="21"/>
      <c r="G928" s="68"/>
    </row>
    <row r="929" spans="1:7" x14ac:dyDescent="0.25">
      <c r="A929" s="68"/>
      <c r="B929" s="68"/>
      <c r="C929" s="68"/>
      <c r="D929" s="68"/>
      <c r="E929" s="68"/>
      <c r="F929" s="21"/>
      <c r="G929" s="68"/>
    </row>
    <row r="930" spans="1:7" x14ac:dyDescent="0.25">
      <c r="A930" s="68"/>
      <c r="B930" s="68"/>
      <c r="C930" s="68"/>
      <c r="D930" s="68"/>
      <c r="E930" s="68"/>
      <c r="F930" s="21"/>
      <c r="G930" s="68"/>
    </row>
    <row r="931" spans="1:7" x14ac:dyDescent="0.25">
      <c r="A931" s="68"/>
      <c r="B931" s="68"/>
      <c r="C931" s="68"/>
      <c r="D931" s="68"/>
      <c r="E931" s="68"/>
      <c r="F931" s="21"/>
      <c r="G931" s="68"/>
    </row>
    <row r="932" spans="1:7" x14ac:dyDescent="0.25">
      <c r="A932" s="68"/>
      <c r="B932" s="68"/>
      <c r="C932" s="68"/>
      <c r="D932" s="68"/>
      <c r="E932" s="68"/>
      <c r="F932" s="21"/>
      <c r="G932" s="68"/>
    </row>
    <row r="933" spans="1:7" x14ac:dyDescent="0.25">
      <c r="A933" s="68"/>
      <c r="B933" s="68"/>
      <c r="C933" s="68"/>
      <c r="D933" s="68"/>
      <c r="E933" s="68"/>
      <c r="F933" s="21"/>
      <c r="G933" s="68"/>
    </row>
    <row r="934" spans="1:7" x14ac:dyDescent="0.25">
      <c r="A934" s="68"/>
      <c r="B934" s="68"/>
      <c r="C934" s="68"/>
      <c r="D934" s="68"/>
      <c r="E934" s="68"/>
      <c r="F934" s="21"/>
      <c r="G934" s="68"/>
    </row>
    <row r="935" spans="1:7" x14ac:dyDescent="0.25">
      <c r="A935" s="68"/>
      <c r="B935" s="68"/>
      <c r="C935" s="68"/>
      <c r="D935" s="68"/>
      <c r="E935" s="68"/>
      <c r="F935" s="21"/>
      <c r="G935" s="68"/>
    </row>
    <row r="936" spans="1:7" x14ac:dyDescent="0.25">
      <c r="A936" s="68"/>
      <c r="B936" s="68"/>
      <c r="C936" s="68"/>
      <c r="D936" s="68"/>
      <c r="E936" s="68"/>
      <c r="F936" s="21"/>
      <c r="G936" s="68"/>
    </row>
    <row r="937" spans="1:7" x14ac:dyDescent="0.25">
      <c r="A937" s="68"/>
      <c r="B937" s="68"/>
      <c r="C937" s="68"/>
      <c r="D937" s="68"/>
      <c r="E937" s="68"/>
      <c r="F937" s="21"/>
      <c r="G937" s="68"/>
    </row>
    <row r="938" spans="1:7" x14ac:dyDescent="0.25">
      <c r="A938" s="68"/>
      <c r="B938" s="68"/>
      <c r="C938" s="68"/>
      <c r="D938" s="68"/>
      <c r="E938" s="68"/>
      <c r="F938" s="21"/>
      <c r="G938" s="68"/>
    </row>
    <row r="939" spans="1:7" x14ac:dyDescent="0.25">
      <c r="A939" s="68"/>
      <c r="B939" s="68"/>
      <c r="C939" s="68"/>
      <c r="D939" s="68"/>
      <c r="E939" s="68"/>
      <c r="F939" s="21"/>
      <c r="G939" s="68"/>
    </row>
    <row r="940" spans="1:7" x14ac:dyDescent="0.25">
      <c r="A940" s="68"/>
      <c r="B940" s="68"/>
      <c r="C940" s="68"/>
      <c r="D940" s="68"/>
      <c r="E940" s="68"/>
      <c r="F940" s="21"/>
      <c r="G940" s="68"/>
    </row>
    <row r="941" spans="1:7" x14ac:dyDescent="0.25">
      <c r="A941" s="68"/>
      <c r="B941" s="68"/>
      <c r="C941" s="68"/>
      <c r="D941" s="68"/>
      <c r="E941" s="68"/>
      <c r="F941" s="21"/>
      <c r="G941" s="68"/>
    </row>
    <row r="942" spans="1:7" x14ac:dyDescent="0.25">
      <c r="A942" s="68"/>
      <c r="B942" s="68"/>
      <c r="C942" s="68"/>
      <c r="D942" s="68"/>
      <c r="E942" s="68"/>
      <c r="F942" s="21"/>
      <c r="G942" s="68"/>
    </row>
    <row r="943" spans="1:7" x14ac:dyDescent="0.25">
      <c r="A943" s="68"/>
      <c r="B943" s="68"/>
      <c r="C943" s="68"/>
      <c r="D943" s="68"/>
      <c r="E943" s="68"/>
      <c r="F943" s="21"/>
      <c r="G943" s="68"/>
    </row>
    <row r="944" spans="1:7" x14ac:dyDescent="0.25">
      <c r="A944" s="68"/>
      <c r="B944" s="68"/>
      <c r="C944" s="68"/>
      <c r="D944" s="68"/>
      <c r="E944" s="68"/>
      <c r="F944" s="21"/>
      <c r="G944" s="68"/>
    </row>
    <row r="945" spans="1:7" x14ac:dyDescent="0.25">
      <c r="A945" s="68"/>
      <c r="B945" s="68"/>
      <c r="C945" s="68"/>
      <c r="D945" s="68"/>
      <c r="E945" s="68"/>
      <c r="F945" s="21"/>
      <c r="G945" s="68"/>
    </row>
    <row r="946" spans="1:7" x14ac:dyDescent="0.25">
      <c r="A946" s="68"/>
      <c r="B946" s="68"/>
      <c r="C946" s="68"/>
      <c r="D946" s="68"/>
      <c r="E946" s="68"/>
      <c r="F946" s="21"/>
      <c r="G946" s="68"/>
    </row>
    <row r="947" spans="1:7" x14ac:dyDescent="0.25">
      <c r="A947" s="68"/>
      <c r="B947" s="68"/>
      <c r="C947" s="68"/>
      <c r="D947" s="68"/>
      <c r="E947" s="68"/>
      <c r="F947" s="21"/>
      <c r="G947" s="68"/>
    </row>
    <row r="948" spans="1:7" x14ac:dyDescent="0.25">
      <c r="A948" s="68"/>
      <c r="B948" s="68"/>
      <c r="C948" s="68"/>
      <c r="D948" s="68"/>
      <c r="E948" s="68"/>
      <c r="F948" s="21"/>
      <c r="G948" s="68"/>
    </row>
    <row r="949" spans="1:7" x14ac:dyDescent="0.25">
      <c r="A949" s="68"/>
      <c r="B949" s="68"/>
      <c r="C949" s="68"/>
      <c r="D949" s="68"/>
      <c r="E949" s="68"/>
      <c r="F949" s="21"/>
      <c r="G949" s="68"/>
    </row>
    <row r="950" spans="1:7" x14ac:dyDescent="0.25">
      <c r="A950" s="68"/>
      <c r="B950" s="68"/>
      <c r="C950" s="68"/>
      <c r="D950" s="68"/>
      <c r="E950" s="68"/>
      <c r="F950" s="21"/>
      <c r="G950" s="68"/>
    </row>
    <row r="951" spans="1:7" x14ac:dyDescent="0.25">
      <c r="A951" s="68"/>
      <c r="B951" s="68"/>
      <c r="C951" s="68"/>
      <c r="D951" s="68"/>
      <c r="E951" s="68"/>
      <c r="F951" s="21"/>
      <c r="G951" s="68"/>
    </row>
    <row r="952" spans="1:7" x14ac:dyDescent="0.25">
      <c r="A952" s="68"/>
      <c r="B952" s="68"/>
      <c r="C952" s="68"/>
      <c r="D952" s="68"/>
      <c r="E952" s="68"/>
      <c r="F952" s="21"/>
      <c r="G952" s="68"/>
    </row>
    <row r="953" spans="1:7" x14ac:dyDescent="0.25">
      <c r="A953" s="68"/>
      <c r="B953" s="68"/>
      <c r="C953" s="68"/>
      <c r="D953" s="68"/>
      <c r="E953" s="68"/>
      <c r="F953" s="21"/>
      <c r="G953" s="68"/>
    </row>
    <row r="954" spans="1:7" x14ac:dyDescent="0.25">
      <c r="A954" s="68"/>
      <c r="B954" s="68"/>
      <c r="C954" s="68"/>
      <c r="D954" s="68"/>
      <c r="E954" s="68"/>
      <c r="F954" s="21"/>
      <c r="G954" s="68"/>
    </row>
    <row r="955" spans="1:7" x14ac:dyDescent="0.25">
      <c r="A955" s="68"/>
      <c r="B955" s="68"/>
      <c r="C955" s="68"/>
      <c r="D955" s="68"/>
      <c r="E955" s="68"/>
      <c r="F955" s="21"/>
      <c r="G955" s="68"/>
    </row>
    <row r="956" spans="1:7" x14ac:dyDescent="0.25">
      <c r="A956" s="68"/>
      <c r="B956" s="68"/>
      <c r="C956" s="68"/>
      <c r="D956" s="68"/>
      <c r="E956" s="68"/>
      <c r="F956" s="21"/>
      <c r="G956" s="68"/>
    </row>
    <row r="957" spans="1:7" x14ac:dyDescent="0.25">
      <c r="A957" s="68"/>
      <c r="B957" s="68"/>
      <c r="C957" s="68"/>
      <c r="D957" s="68"/>
      <c r="E957" s="68"/>
      <c r="F957" s="21"/>
      <c r="G957" s="68"/>
    </row>
    <row r="958" spans="1:7" x14ac:dyDescent="0.25">
      <c r="A958" s="68"/>
      <c r="B958" s="68"/>
      <c r="C958" s="68"/>
      <c r="D958" s="68"/>
      <c r="E958" s="68"/>
      <c r="F958" s="21"/>
      <c r="G958" s="68"/>
    </row>
    <row r="959" spans="1:7" x14ac:dyDescent="0.25">
      <c r="A959" s="68"/>
      <c r="B959" s="68"/>
      <c r="C959" s="68"/>
      <c r="D959" s="68"/>
      <c r="E959" s="68"/>
      <c r="F959" s="21"/>
      <c r="G959" s="68"/>
    </row>
    <row r="960" spans="1:7" x14ac:dyDescent="0.25">
      <c r="A960" s="68"/>
      <c r="B960" s="68"/>
      <c r="C960" s="68"/>
      <c r="D960" s="68"/>
      <c r="E960" s="68"/>
      <c r="F960" s="21"/>
      <c r="G960" s="68"/>
    </row>
    <row r="961" spans="1:7" x14ac:dyDescent="0.25">
      <c r="A961" s="68"/>
      <c r="B961" s="68"/>
      <c r="C961" s="68"/>
      <c r="D961" s="68"/>
      <c r="E961" s="68"/>
      <c r="F961" s="21"/>
      <c r="G961" s="68"/>
    </row>
    <row r="962" spans="1:7" x14ac:dyDescent="0.25">
      <c r="A962" s="68"/>
      <c r="B962" s="68"/>
      <c r="C962" s="68"/>
      <c r="D962" s="68"/>
      <c r="E962" s="68"/>
      <c r="F962" s="21"/>
      <c r="G962" s="68"/>
    </row>
    <row r="963" spans="1:7" x14ac:dyDescent="0.25">
      <c r="A963" s="68"/>
      <c r="B963" s="68"/>
      <c r="C963" s="68"/>
      <c r="D963" s="68"/>
      <c r="E963" s="68"/>
      <c r="F963" s="21"/>
      <c r="G963" s="68"/>
    </row>
    <row r="964" spans="1:7" x14ac:dyDescent="0.25">
      <c r="A964" s="68"/>
      <c r="B964" s="68"/>
      <c r="C964" s="68"/>
      <c r="D964" s="68"/>
      <c r="E964" s="68"/>
      <c r="F964" s="21"/>
      <c r="G964" s="68"/>
    </row>
    <row r="965" spans="1:7" x14ac:dyDescent="0.25">
      <c r="A965" s="68"/>
      <c r="B965" s="68"/>
      <c r="C965" s="68"/>
      <c r="D965" s="68"/>
      <c r="E965" s="68"/>
      <c r="F965" s="21"/>
      <c r="G965" s="68"/>
    </row>
    <row r="966" spans="1:7" x14ac:dyDescent="0.25">
      <c r="A966" s="68"/>
      <c r="B966" s="68"/>
      <c r="C966" s="68"/>
      <c r="D966" s="68"/>
      <c r="E966" s="68"/>
      <c r="F966" s="21"/>
      <c r="G966" s="68"/>
    </row>
    <row r="967" spans="1:7" x14ac:dyDescent="0.25">
      <c r="A967" s="68"/>
      <c r="B967" s="68"/>
      <c r="C967" s="68"/>
      <c r="D967" s="68"/>
      <c r="E967" s="68"/>
      <c r="F967" s="21"/>
      <c r="G967" s="68"/>
    </row>
    <row r="968" spans="1:7" x14ac:dyDescent="0.25">
      <c r="A968" s="68"/>
      <c r="B968" s="68"/>
      <c r="C968" s="68"/>
      <c r="D968" s="68"/>
      <c r="E968" s="68"/>
      <c r="F968" s="21"/>
      <c r="G968" s="68"/>
    </row>
    <row r="969" spans="1:7" x14ac:dyDescent="0.25">
      <c r="A969" s="68"/>
      <c r="B969" s="68"/>
      <c r="C969" s="68"/>
      <c r="D969" s="68"/>
      <c r="E969" s="68"/>
      <c r="F969" s="21"/>
      <c r="G969" s="68"/>
    </row>
    <row r="970" spans="1:7" x14ac:dyDescent="0.25">
      <c r="A970" s="68"/>
      <c r="B970" s="68"/>
      <c r="C970" s="68"/>
      <c r="D970" s="68"/>
      <c r="E970" s="68"/>
      <c r="F970" s="21"/>
      <c r="G970" s="68"/>
    </row>
    <row r="971" spans="1:7" x14ac:dyDescent="0.25">
      <c r="A971" s="68"/>
      <c r="B971" s="68"/>
      <c r="C971" s="68"/>
      <c r="D971" s="68"/>
      <c r="E971" s="68"/>
      <c r="F971" s="21"/>
      <c r="G971" s="68"/>
    </row>
    <row r="972" spans="1:7" x14ac:dyDescent="0.25">
      <c r="A972" s="68"/>
      <c r="B972" s="68"/>
      <c r="C972" s="68"/>
      <c r="D972" s="68"/>
      <c r="E972" s="68"/>
      <c r="F972" s="21"/>
      <c r="G972" s="68"/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yanakawee narathirahiran</dc:creator>
  <cp:lastModifiedBy>korakod phongdee</cp:lastModifiedBy>
  <dcterms:created xsi:type="dcterms:W3CDTF">2021-05-07T07:23:44Z</dcterms:created>
  <dcterms:modified xsi:type="dcterms:W3CDTF">2021-05-12T04:44:43Z</dcterms:modified>
</cp:coreProperties>
</file>