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david/Documents/CPD/2020-21-Q2-Primavera/EBH/"/>
    </mc:Choice>
  </mc:AlternateContent>
  <xr:revisionPtr revIDLastSave="0" documentId="13_ncr:1_{EF50A7BE-6796-8A46-8AA1-DC25EE53AD7B}" xr6:coauthVersionLast="45" xr6:coauthVersionMax="45" xr10:uidLastSave="{00000000-0000-0000-0000-000000000000}"/>
  <bookViews>
    <workbookView xWindow="3180" yWindow="-18960" windowWidth="26200" windowHeight="16600" xr2:uid="{00000000-000D-0000-FFFF-FFFF00000000}"/>
  </bookViews>
  <sheets>
    <sheet name="IOP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83" i="1"/>
  <c r="O4" i="1"/>
  <c r="O5" i="1"/>
  <c r="O83" i="1"/>
  <c r="N4" i="1"/>
  <c r="N5" i="1"/>
  <c r="N83" i="1"/>
  <c r="M4" i="1"/>
  <c r="M5" i="1"/>
  <c r="M83" i="1"/>
  <c r="L4" i="1"/>
  <c r="L5" i="1"/>
  <c r="L83" i="1"/>
  <c r="K3" i="1"/>
  <c r="K4" i="1" s="1"/>
  <c r="K83" i="1"/>
  <c r="P75" i="1"/>
  <c r="O75" i="1"/>
  <c r="N75" i="1"/>
  <c r="M75" i="1"/>
  <c r="L75" i="1"/>
  <c r="K75" i="1"/>
  <c r="P67" i="1"/>
  <c r="O67" i="1"/>
  <c r="N67" i="1"/>
  <c r="M67" i="1"/>
  <c r="L67" i="1"/>
  <c r="K67" i="1"/>
  <c r="P59" i="1"/>
  <c r="O59" i="1"/>
  <c r="N59" i="1"/>
  <c r="M59" i="1"/>
  <c r="L59" i="1"/>
  <c r="K59" i="1"/>
  <c r="P51" i="1"/>
  <c r="O51" i="1"/>
  <c r="N51" i="1"/>
  <c r="M51" i="1"/>
  <c r="L51" i="1"/>
  <c r="K51" i="1"/>
  <c r="P3" i="1"/>
  <c r="P42" i="1" s="1"/>
  <c r="P43" i="1"/>
  <c r="O3" i="1"/>
  <c r="O42" i="1" s="1"/>
  <c r="O43" i="1"/>
  <c r="N3" i="1"/>
  <c r="N42" i="1" s="1"/>
  <c r="N43" i="1"/>
  <c r="M3" i="1"/>
  <c r="M42" i="1" s="1"/>
  <c r="M43" i="1"/>
  <c r="L3" i="1"/>
  <c r="L18" i="1" s="1"/>
  <c r="L43" i="1"/>
  <c r="K42" i="1"/>
  <c r="K43" i="1"/>
  <c r="P35" i="1"/>
  <c r="O35" i="1"/>
  <c r="N35" i="1"/>
  <c r="M35" i="1"/>
  <c r="L35" i="1"/>
  <c r="K35" i="1"/>
  <c r="P27" i="1"/>
  <c r="O27" i="1"/>
  <c r="N27" i="1"/>
  <c r="M27" i="1"/>
  <c r="L27" i="1"/>
  <c r="K27" i="1"/>
  <c r="P19" i="1"/>
  <c r="O19" i="1"/>
  <c r="N19" i="1"/>
  <c r="M19" i="1"/>
  <c r="L19" i="1"/>
  <c r="K19" i="1"/>
  <c r="P11" i="1"/>
  <c r="O11" i="1"/>
  <c r="N11" i="1"/>
  <c r="M11" i="1"/>
  <c r="L11" i="1"/>
  <c r="K11" i="1"/>
  <c r="M74" i="1" l="1"/>
  <c r="K26" i="1"/>
  <c r="K28" i="1" s="1"/>
  <c r="K34" i="1"/>
  <c r="K36" i="1" s="1"/>
  <c r="K18" i="1"/>
  <c r="K20" i="1" s="1"/>
  <c r="K22" i="1" s="1"/>
  <c r="O34" i="1"/>
  <c r="K10" i="1"/>
  <c r="K12" i="1" s="1"/>
  <c r="P58" i="1"/>
  <c r="P60" i="1" s="1"/>
  <c r="P63" i="1" s="1"/>
  <c r="M82" i="1"/>
  <c r="M84" i="1" s="1"/>
  <c r="M85" i="1" s="1"/>
  <c r="M50" i="1"/>
  <c r="M52" i="1" s="1"/>
  <c r="P50" i="1"/>
  <c r="P52" i="1" s="1"/>
  <c r="P55" i="1" s="1"/>
  <c r="M58" i="1"/>
  <c r="M60" i="1" s="1"/>
  <c r="P44" i="1"/>
  <c r="P46" i="1" s="1"/>
  <c r="K44" i="1"/>
  <c r="O44" i="1"/>
  <c r="O47" i="1" s="1"/>
  <c r="N74" i="1"/>
  <c r="N76" i="1" s="1"/>
  <c r="N78" i="1" s="1"/>
  <c r="P74" i="1"/>
  <c r="M66" i="1"/>
  <c r="M68" i="1" s="1"/>
  <c r="M69" i="1" s="1"/>
  <c r="P66" i="1"/>
  <c r="P68" i="1" s="1"/>
  <c r="L66" i="1"/>
  <c r="L68" i="1" s="1"/>
  <c r="P82" i="1"/>
  <c r="P84" i="1" s="1"/>
  <c r="L50" i="1"/>
  <c r="L52" i="1" s="1"/>
  <c r="L53" i="1" s="1"/>
  <c r="O66" i="1"/>
  <c r="O68" i="1" s="1"/>
  <c r="O70" i="1" s="1"/>
  <c r="L42" i="1"/>
  <c r="L44" i="1" s="1"/>
  <c r="L46" i="1" s="1"/>
  <c r="M10" i="1"/>
  <c r="M12" i="1" s="1"/>
  <c r="L34" i="1"/>
  <c r="L36" i="1" s="1"/>
  <c r="L37" i="1" s="1"/>
  <c r="L58" i="1"/>
  <c r="L60" i="1" s="1"/>
  <c r="O10" i="1"/>
  <c r="O12" i="1" s="1"/>
  <c r="L26" i="1"/>
  <c r="L28" i="1" s="1"/>
  <c r="L29" i="1" s="1"/>
  <c r="O26" i="1"/>
  <c r="O28" i="1" s="1"/>
  <c r="N50" i="1"/>
  <c r="N52" i="1" s="1"/>
  <c r="N54" i="1" s="1"/>
  <c r="N58" i="1"/>
  <c r="N60" i="1" s="1"/>
  <c r="N61" i="1" s="1"/>
  <c r="N66" i="1"/>
  <c r="N68" i="1" s="1"/>
  <c r="O74" i="1"/>
  <c r="O76" i="1" s="1"/>
  <c r="K5" i="1"/>
  <c r="K74" i="1" s="1"/>
  <c r="K76" i="1" s="1"/>
  <c r="K78" i="1" s="1"/>
  <c r="L10" i="1"/>
  <c r="L12" i="1" s="1"/>
  <c r="L15" i="1" s="1"/>
  <c r="N10" i="1"/>
  <c r="N12" i="1" s="1"/>
  <c r="P10" i="1"/>
  <c r="P12" i="1" s="1"/>
  <c r="O18" i="1"/>
  <c r="O20" i="1" s="1"/>
  <c r="P26" i="1"/>
  <c r="P28" i="1" s="1"/>
  <c r="P29" i="1" s="1"/>
  <c r="P76" i="1"/>
  <c r="P79" i="1" s="1"/>
  <c r="O50" i="1"/>
  <c r="O52" i="1" s="1"/>
  <c r="O58" i="1"/>
  <c r="O60" i="1" s="1"/>
  <c r="O82" i="1"/>
  <c r="O84" i="1" s="1"/>
  <c r="N82" i="1"/>
  <c r="N84" i="1" s="1"/>
  <c r="N87" i="1" s="1"/>
  <c r="M18" i="1"/>
  <c r="M20" i="1" s="1"/>
  <c r="N26" i="1"/>
  <c r="N28" i="1" s="1"/>
  <c r="N30" i="1" s="1"/>
  <c r="M34" i="1"/>
  <c r="M36" i="1" s="1"/>
  <c r="M37" i="1" s="1"/>
  <c r="N44" i="1"/>
  <c r="N46" i="1" s="1"/>
  <c r="L74" i="1"/>
  <c r="L76" i="1" s="1"/>
  <c r="N18" i="1"/>
  <c r="N20" i="1" s="1"/>
  <c r="P18" i="1"/>
  <c r="P20" i="1" s="1"/>
  <c r="P23" i="1" s="1"/>
  <c r="M26" i="1"/>
  <c r="M28" i="1" s="1"/>
  <c r="M31" i="1" s="1"/>
  <c r="N34" i="1"/>
  <c r="N36" i="1" s="1"/>
  <c r="N38" i="1" s="1"/>
  <c r="P34" i="1"/>
  <c r="P36" i="1" s="1"/>
  <c r="P38" i="1" s="1"/>
  <c r="L20" i="1"/>
  <c r="L22" i="1" s="1"/>
  <c r="O36" i="1"/>
  <c r="L38" i="1"/>
  <c r="M44" i="1"/>
  <c r="M46" i="1" s="1"/>
  <c r="M76" i="1"/>
  <c r="K47" i="1"/>
  <c r="K45" i="1"/>
  <c r="K46" i="1"/>
  <c r="L82" i="1"/>
  <c r="L84" i="1" s="1"/>
  <c r="L47" i="1" l="1"/>
  <c r="L31" i="1"/>
  <c r="L45" i="1"/>
  <c r="K21" i="1"/>
  <c r="M38" i="1"/>
  <c r="M39" i="1"/>
  <c r="N85" i="1"/>
  <c r="P77" i="1"/>
  <c r="P78" i="1"/>
  <c r="M70" i="1"/>
  <c r="M71" i="1"/>
  <c r="N62" i="1"/>
  <c r="N47" i="1"/>
  <c r="P47" i="1"/>
  <c r="N45" i="1"/>
  <c r="P45" i="1"/>
  <c r="K23" i="1"/>
  <c r="P13" i="1"/>
  <c r="P15" i="1"/>
  <c r="L62" i="1"/>
  <c r="L61" i="1"/>
  <c r="L63" i="1"/>
  <c r="O69" i="1"/>
  <c r="M86" i="1"/>
  <c r="P61" i="1"/>
  <c r="O71" i="1"/>
  <c r="P62" i="1"/>
  <c r="O46" i="1"/>
  <c r="N53" i="1"/>
  <c r="N77" i="1"/>
  <c r="O45" i="1"/>
  <c r="L39" i="1"/>
  <c r="M29" i="1"/>
  <c r="N86" i="1"/>
  <c r="P85" i="1"/>
  <c r="P86" i="1"/>
  <c r="P87" i="1"/>
  <c r="L14" i="1"/>
  <c r="N37" i="1"/>
  <c r="P30" i="1"/>
  <c r="N29" i="1"/>
  <c r="L78" i="1"/>
  <c r="L77" i="1"/>
  <c r="L79" i="1"/>
  <c r="N39" i="1"/>
  <c r="K77" i="1"/>
  <c r="P53" i="1"/>
  <c r="N31" i="1"/>
  <c r="K79" i="1"/>
  <c r="P54" i="1"/>
  <c r="L30" i="1"/>
  <c r="K50" i="1"/>
  <c r="K52" i="1" s="1"/>
  <c r="K55" i="1" s="1"/>
  <c r="M47" i="1"/>
  <c r="K58" i="1"/>
  <c r="K60" i="1" s="1"/>
  <c r="K63" i="1" s="1"/>
  <c r="K66" i="1"/>
  <c r="K68" i="1" s="1"/>
  <c r="O86" i="1"/>
  <c r="O85" i="1"/>
  <c r="O87" i="1"/>
  <c r="O77" i="1"/>
  <c r="O79" i="1"/>
  <c r="O78" i="1"/>
  <c r="N79" i="1"/>
  <c r="M30" i="1"/>
  <c r="L54" i="1"/>
  <c r="N63" i="1"/>
  <c r="M45" i="1"/>
  <c r="P31" i="1"/>
  <c r="M87" i="1"/>
  <c r="L13" i="1"/>
  <c r="P37" i="1"/>
  <c r="P14" i="1"/>
  <c r="K82" i="1"/>
  <c r="K84" i="1" s="1"/>
  <c r="L55" i="1"/>
  <c r="P21" i="1"/>
  <c r="P22" i="1"/>
  <c r="O23" i="1"/>
  <c r="O22" i="1"/>
  <c r="O21" i="1"/>
  <c r="O38" i="1"/>
  <c r="O39" i="1"/>
  <c r="O37" i="1"/>
  <c r="P39" i="1"/>
  <c r="N55" i="1"/>
  <c r="K38" i="1"/>
  <c r="K39" i="1"/>
  <c r="K37" i="1"/>
  <c r="M14" i="1"/>
  <c r="M13" i="1"/>
  <c r="M15" i="1"/>
  <c r="O29" i="1"/>
  <c r="O31" i="1"/>
  <c r="O30" i="1"/>
  <c r="L21" i="1"/>
  <c r="L23" i="1"/>
  <c r="K29" i="1"/>
  <c r="K31" i="1"/>
  <c r="K30" i="1"/>
  <c r="K13" i="1"/>
  <c r="K15" i="1"/>
  <c r="K14" i="1"/>
  <c r="L71" i="1"/>
  <c r="L70" i="1"/>
  <c r="L69" i="1"/>
  <c r="M79" i="1"/>
  <c r="M78" i="1"/>
  <c r="M77" i="1"/>
  <c r="P71" i="1"/>
  <c r="P70" i="1"/>
  <c r="P69" i="1"/>
  <c r="O55" i="1"/>
  <c r="O53" i="1"/>
  <c r="O54" i="1"/>
  <c r="N15" i="1"/>
  <c r="N14" i="1"/>
  <c r="N13" i="1"/>
  <c r="M63" i="1"/>
  <c r="M62" i="1"/>
  <c r="M61" i="1"/>
  <c r="L87" i="1"/>
  <c r="L86" i="1"/>
  <c r="L85" i="1"/>
  <c r="N22" i="1"/>
  <c r="N23" i="1"/>
  <c r="N21" i="1"/>
  <c r="N71" i="1"/>
  <c r="N69" i="1"/>
  <c r="N70" i="1"/>
  <c r="M55" i="1"/>
  <c r="M54" i="1"/>
  <c r="M53" i="1"/>
  <c r="M22" i="1"/>
  <c r="M23" i="1"/>
  <c r="M21" i="1"/>
  <c r="O63" i="1"/>
  <c r="O61" i="1"/>
  <c r="O62" i="1"/>
  <c r="O13" i="1"/>
  <c r="O14" i="1"/>
  <c r="O15" i="1"/>
  <c r="K53" i="1" l="1"/>
  <c r="K61" i="1"/>
  <c r="K54" i="1"/>
  <c r="K62" i="1"/>
  <c r="K69" i="1"/>
  <c r="K70" i="1"/>
  <c r="K71" i="1"/>
  <c r="K86" i="1"/>
  <c r="K87" i="1"/>
  <c r="K85" i="1"/>
</calcChain>
</file>

<file path=xl/sharedStrings.xml><?xml version="1.0" encoding="utf-8"?>
<sst xmlns="http://schemas.openxmlformats.org/spreadsheetml/2006/main" count="185" uniqueCount="44">
  <si>
    <t>RAID 0</t>
  </si>
  <si>
    <t>RAID 10</t>
  </si>
  <si>
    <t>RAID 5</t>
  </si>
  <si>
    <t>RAID 51</t>
  </si>
  <si>
    <t>RAID 6</t>
  </si>
  <si>
    <t>RAID 61</t>
  </si>
  <si>
    <t>IOPS requerides</t>
  </si>
  <si>
    <t>Dades bàsiques</t>
  </si>
  <si>
    <t>% escriptures (0-1)</t>
  </si>
  <si>
    <t>IOPS necessaris</t>
  </si>
  <si>
    <t>Mida dades (GB)</t>
  </si>
  <si>
    <t>IOPS read</t>
  </si>
  <si>
    <t>IOPS write</t>
  </si>
  <si>
    <t>Discs mínims</t>
  </si>
  <si>
    <t>SSD/HDD</t>
  </si>
  <si>
    <t>RPM</t>
  </si>
  <si>
    <t>Capacitat (Gb)</t>
  </si>
  <si>
    <t>Read IOPS</t>
  </si>
  <si>
    <t>Write IOPS</t>
  </si>
  <si>
    <t>R/W IOPS</t>
  </si>
  <si>
    <t>Preu (euros)</t>
  </si>
  <si>
    <t>Consum (watts)</t>
  </si>
  <si>
    <t># discs per  IOPS</t>
  </si>
  <si>
    <t>HDD</t>
  </si>
  <si>
    <t># discs per capacitat</t>
  </si>
  <si>
    <t># discs</t>
  </si>
  <si>
    <t>Capacitat nativa (GB)</t>
  </si>
  <si>
    <t>Cost (Euros)</t>
  </si>
  <si>
    <t>10K</t>
  </si>
  <si>
    <t>SSD</t>
  </si>
  <si>
    <t>-</t>
  </si>
  <si>
    <t>Opció 1: Seagate Barracuda ST8000DM0004 (Consumer)</t>
  </si>
  <si>
    <t>5400</t>
  </si>
  <si>
    <t>Opció 2: Toshiba MG07ACA14TA (Enterprise)</t>
  </si>
  <si>
    <t>7200</t>
  </si>
  <si>
    <t xml:space="preserve">Opció 3: Seagate ST10000NM009G (Enterprise) </t>
  </si>
  <si>
    <t>Opció 4: HPE 765466-B21 (Enterprise)</t>
  </si>
  <si>
    <t>Opció 5: HPE EG002400JWJNN (Enterprise)</t>
  </si>
  <si>
    <t>Opció 6: Samsung 860 EVO (Consumer)</t>
  </si>
  <si>
    <t>Opció 9: WD Gold S768T1D0D (Enterprise)</t>
  </si>
  <si>
    <t>Opció 8: Kingston SEDC100M (Enterprise)</t>
  </si>
  <si>
    <t>Opció 7: Intel Optane H10 (Consumer)</t>
  </si>
  <si>
    <t>Opció 10: WD Ultrastar DC SN640 (Enterprise)</t>
  </si>
  <si>
    <t>Anàlisi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</si>
</sst>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color indexed="8"/>
      <name val="Helvetica"/>
      <family val="2"/>
    </font>
    <font>
      <sz val="11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color theme="1"/>
      <name val="Helvetica"/>
      <family val="2"/>
    </font>
    <font>
      <sz val="10"/>
      <color indexed="8"/>
      <name val="Helvetica"/>
      <family val="2"/>
    </font>
    <font>
      <b/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horizontal="right" vertical="top" wrapText="1"/>
    </xf>
    <xf numFmtId="0" fontId="0" fillId="0" borderId="3" xfId="0" applyFont="1" applyBorder="1" applyAlignment="1">
      <alignment vertical="top" wrapText="1"/>
    </xf>
    <xf numFmtId="49" fontId="0" fillId="2" borderId="3" xfId="0" applyNumberFormat="1" applyFont="1" applyFill="1" applyBorder="1" applyAlignment="1">
      <alignment horizontal="left" vertical="top" wrapText="1"/>
    </xf>
    <xf numFmtId="0" fontId="0" fillId="6" borderId="3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horizontal="left" vertical="top" wrapText="1"/>
    </xf>
    <xf numFmtId="0" fontId="2" fillId="6" borderId="3" xfId="0" applyNumberFormat="1" applyFont="1" applyFill="1" applyBorder="1" applyAlignment="1">
      <alignment vertical="top" wrapText="1"/>
    </xf>
    <xf numFmtId="0" fontId="0" fillId="3" borderId="3" xfId="0" quotePrefix="1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0" fontId="0" fillId="6" borderId="5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6" fillId="7" borderId="3" xfId="0" applyNumberFormat="1" applyFont="1" applyFill="1" applyBorder="1" applyAlignment="1">
      <alignment vertical="top" wrapText="1"/>
    </xf>
    <xf numFmtId="0" fontId="6" fillId="7" borderId="3" xfId="0" applyNumberFormat="1" applyFont="1" applyFill="1" applyBorder="1" applyAlignment="1">
      <alignment vertical="top" wrapText="1"/>
    </xf>
    <xf numFmtId="49" fontId="0" fillId="7" borderId="3" xfId="0" applyNumberFormat="1" applyFont="1" applyFill="1" applyBorder="1" applyAlignment="1">
      <alignment vertical="top" wrapText="1"/>
    </xf>
    <xf numFmtId="0" fontId="0" fillId="7" borderId="3" xfId="0" applyNumberFormat="1" applyFont="1" applyFill="1" applyBorder="1" applyAlignment="1">
      <alignment vertical="top" wrapText="1"/>
    </xf>
    <xf numFmtId="49" fontId="7" fillId="0" borderId="3" xfId="0" applyNumberFormat="1" applyFont="1" applyFill="1" applyBorder="1" applyAlignment="1">
      <alignment vertical="top" wrapText="1"/>
    </xf>
    <xf numFmtId="0" fontId="0" fillId="0" borderId="3" xfId="0" applyNumberFormat="1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horizontal="left" vertical="top" wrapText="1"/>
    </xf>
    <xf numFmtId="0" fontId="0" fillId="0" borderId="5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 wrapText="1"/>
    </xf>
    <xf numFmtId="49" fontId="0" fillId="5" borderId="2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3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8" fillId="0" borderId="5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E159"/>
      <rgbColor rgb="FFA5A5A5"/>
      <rgbColor rgb="FF3F3F3F"/>
      <rgbColor rgb="FFBFBFBF"/>
      <rgbColor rgb="FFBDC0BF"/>
      <rgbColor rgb="FFAA7941"/>
      <rgbColor rgb="FFFFE06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8"/>
  <sheetViews>
    <sheetView showGridLines="0" tabSelected="1" zoomScale="130" zoomScaleNormal="130" workbookViewId="0">
      <pane ySplit="1" topLeftCell="A68" activePane="bottomLeft" state="frozen"/>
      <selection pane="bottomLeft" activeCell="M1" sqref="M1:M1048576"/>
    </sheetView>
  </sheetViews>
  <sheetFormatPr baseColWidth="10" defaultColWidth="12" defaultRowHeight="18" customHeight="1" x14ac:dyDescent="0.15"/>
  <cols>
    <col min="1" max="1" width="17.33203125" style="1" customWidth="1"/>
    <col min="2" max="2" width="11.5" style="1" customWidth="1"/>
    <col min="3" max="3" width="9" style="1" customWidth="1"/>
    <col min="4" max="4" width="7" style="1" customWidth="1"/>
    <col min="5" max="5" width="6.1640625" style="1" customWidth="1"/>
    <col min="6" max="7" width="7.5" style="1" customWidth="1"/>
    <col min="8" max="8" width="7.6640625" style="1" customWidth="1"/>
    <col min="9" max="9" width="2.6640625" style="1" customWidth="1"/>
    <col min="10" max="10" width="14" style="1" customWidth="1"/>
    <col min="11" max="11" width="8.6640625" style="1" customWidth="1"/>
    <col min="12" max="12" width="8" style="1" customWidth="1"/>
    <col min="13" max="13" width="7.5" style="1" customWidth="1"/>
    <col min="14" max="14" width="7.83203125" style="1" customWidth="1"/>
    <col min="15" max="15" width="7.5" style="1" customWidth="1"/>
    <col min="16" max="16" width="7.83203125" style="1" customWidth="1"/>
    <col min="17" max="17" width="7.83203125" style="19" customWidth="1"/>
    <col min="18" max="257" width="12" customWidth="1"/>
  </cols>
  <sheetData>
    <row r="1" spans="1:17" ht="20.5" customHeight="1" x14ac:dyDescent="0.15">
      <c r="A1" s="2"/>
      <c r="B1" s="3"/>
      <c r="C1" s="4"/>
      <c r="D1" s="4"/>
      <c r="E1" s="4"/>
      <c r="F1" s="4"/>
      <c r="G1" s="4"/>
      <c r="H1" s="4"/>
      <c r="I1" s="4"/>
      <c r="J1" s="4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0" t="s">
        <v>5</v>
      </c>
      <c r="Q1" s="17"/>
    </row>
    <row r="2" spans="1:17" ht="20.5" customHeight="1" x14ac:dyDescent="0.15">
      <c r="A2" s="5" t="s">
        <v>6</v>
      </c>
      <c r="B2" s="6">
        <v>80000</v>
      </c>
      <c r="C2" s="7"/>
      <c r="D2" s="7"/>
      <c r="E2" s="7"/>
      <c r="F2" s="7"/>
      <c r="G2" s="7"/>
      <c r="H2" s="7"/>
      <c r="I2" s="7"/>
      <c r="J2" s="7"/>
      <c r="K2" s="33" t="s">
        <v>7</v>
      </c>
      <c r="L2" s="34"/>
      <c r="M2" s="34"/>
      <c r="N2" s="34"/>
      <c r="O2" s="34"/>
      <c r="P2" s="34"/>
      <c r="Q2" s="18"/>
    </row>
    <row r="3" spans="1:17" ht="20.25" customHeight="1" x14ac:dyDescent="0.15">
      <c r="A3" s="8" t="s">
        <v>8</v>
      </c>
      <c r="B3" s="16">
        <v>0.25</v>
      </c>
      <c r="C3" s="10"/>
      <c r="D3" s="11"/>
      <c r="E3" s="11"/>
      <c r="F3" s="11"/>
      <c r="G3" s="11"/>
      <c r="H3" s="11"/>
      <c r="I3" s="11"/>
      <c r="J3" s="12" t="s">
        <v>9</v>
      </c>
      <c r="K3" s="13">
        <f>$B$2</f>
        <v>80000</v>
      </c>
      <c r="L3" s="13">
        <f>$B$2*(1-$B$3)+$B$2*$B$3*2</f>
        <v>100000</v>
      </c>
      <c r="M3" s="13">
        <f>$B$2*(1-$B$3)+$B$2*$B$3*4</f>
        <v>140000</v>
      </c>
      <c r="N3" s="13">
        <f>$B$2*(1-$B$3)+$B$2*$B$3*8</f>
        <v>220000</v>
      </c>
      <c r="O3" s="13">
        <f>$B$2*(1-$B$3)+$B$2*$B$3*6</f>
        <v>180000</v>
      </c>
      <c r="P3" s="21">
        <f>$B$2*(1-$B$3)+$B$2*$B$3*12</f>
        <v>300000</v>
      </c>
    </row>
    <row r="4" spans="1:17" ht="20.25" customHeight="1" x14ac:dyDescent="0.15">
      <c r="A4" s="8" t="s">
        <v>10</v>
      </c>
      <c r="B4" s="9">
        <v>50000</v>
      </c>
      <c r="C4" s="11"/>
      <c r="D4" s="11"/>
      <c r="E4" s="11"/>
      <c r="F4" s="11"/>
      <c r="G4" s="11"/>
      <c r="H4" s="11"/>
      <c r="I4" s="11"/>
      <c r="J4" s="12" t="s">
        <v>11</v>
      </c>
      <c r="K4" s="13">
        <f>K3*(1-$B$3)</f>
        <v>60000</v>
      </c>
      <c r="L4" s="13">
        <f>$B$2*(1-$B$3)</f>
        <v>60000</v>
      </c>
      <c r="M4" s="13">
        <f>$B$2*(1-$B$3)+($B$2*$B$3*2)</f>
        <v>100000</v>
      </c>
      <c r="N4" s="13">
        <f>$B$2*(1-$B$3)+($B$2*$B$3*4)</f>
        <v>140000</v>
      </c>
      <c r="O4" s="13">
        <f>$B$2*(1-$B$3)+($B$2*$B$3*3)</f>
        <v>120000</v>
      </c>
      <c r="P4" s="21">
        <f>$B$2*(1-$B$3)+($B$2*$B$3*6)</f>
        <v>180000</v>
      </c>
    </row>
    <row r="5" spans="1:17" ht="25.25" customHeight="1" x14ac:dyDescent="0.15">
      <c r="A5" s="32"/>
      <c r="B5" s="28"/>
      <c r="C5" s="11"/>
      <c r="D5" s="11"/>
      <c r="E5" s="11"/>
      <c r="F5" s="11"/>
      <c r="G5" s="11"/>
      <c r="H5" s="11"/>
      <c r="I5" s="11"/>
      <c r="J5" s="12" t="s">
        <v>12</v>
      </c>
      <c r="K5" s="13">
        <f>K3*$B$3</f>
        <v>20000</v>
      </c>
      <c r="L5" s="13">
        <f t="shared" ref="L5:M5" si="0">$B$2*$B$3*2</f>
        <v>40000</v>
      </c>
      <c r="M5" s="13">
        <f t="shared" si="0"/>
        <v>40000</v>
      </c>
      <c r="N5" s="13">
        <f>$B$2*$B$3*4</f>
        <v>80000</v>
      </c>
      <c r="O5" s="13">
        <f>$B$2*$B$3*3</f>
        <v>60000</v>
      </c>
      <c r="P5" s="21">
        <f>$B$2*$B$3*6</f>
        <v>120000</v>
      </c>
    </row>
    <row r="6" spans="1:17" ht="20.25" customHeight="1" x14ac:dyDescent="0.15">
      <c r="A6" s="27"/>
      <c r="B6" s="28"/>
      <c r="C6" s="11"/>
      <c r="D6" s="11"/>
      <c r="E6" s="11"/>
      <c r="F6" s="11"/>
      <c r="G6" s="11"/>
      <c r="H6" s="11"/>
      <c r="I6" s="11"/>
      <c r="J6" s="12" t="s">
        <v>13</v>
      </c>
      <c r="K6" s="13">
        <v>2</v>
      </c>
      <c r="L6" s="13">
        <v>4</v>
      </c>
      <c r="M6" s="13">
        <v>3</v>
      </c>
      <c r="N6" s="13">
        <v>6</v>
      </c>
      <c r="O6" s="13">
        <v>4</v>
      </c>
      <c r="P6" s="21">
        <v>8</v>
      </c>
    </row>
    <row r="7" spans="1:17" ht="20.25" customHeight="1" x14ac:dyDescent="0.15">
      <c r="A7" s="27"/>
      <c r="B7" s="28"/>
      <c r="C7" s="29"/>
      <c r="D7" s="29"/>
      <c r="E7" s="29"/>
      <c r="F7" s="29"/>
      <c r="G7" s="29"/>
      <c r="H7" s="29"/>
      <c r="I7" s="29"/>
      <c r="J7" s="30"/>
      <c r="K7" s="28"/>
      <c r="L7" s="28"/>
      <c r="M7" s="28"/>
      <c r="N7" s="28"/>
      <c r="O7" s="28"/>
      <c r="P7" s="31"/>
    </row>
    <row r="8" spans="1:17" ht="40.5" customHeight="1" x14ac:dyDescent="0.15">
      <c r="A8" s="38" t="s">
        <v>43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18"/>
    </row>
    <row r="9" spans="1:17" ht="20.25" customHeight="1" x14ac:dyDescent="0.15">
      <c r="A9" s="37" t="s">
        <v>31</v>
      </c>
      <c r="B9" s="36"/>
      <c r="C9" s="36"/>
      <c r="D9" s="36"/>
      <c r="E9" s="36"/>
      <c r="F9" s="36"/>
      <c r="G9" s="36"/>
      <c r="H9" s="36"/>
      <c r="I9" s="11"/>
      <c r="J9" s="14"/>
      <c r="K9" s="11"/>
      <c r="L9" s="11"/>
      <c r="M9" s="11"/>
      <c r="N9" s="11"/>
      <c r="O9" s="11"/>
      <c r="P9" s="22"/>
      <c r="Q9" s="18"/>
    </row>
    <row r="10" spans="1:17" ht="32.25" customHeight="1" x14ac:dyDescent="0.15">
      <c r="A10" s="8" t="s">
        <v>14</v>
      </c>
      <c r="B10" s="8" t="s">
        <v>15</v>
      </c>
      <c r="C10" s="8" t="s">
        <v>16</v>
      </c>
      <c r="D10" s="8" t="s">
        <v>17</v>
      </c>
      <c r="E10" s="8" t="s">
        <v>18</v>
      </c>
      <c r="F10" s="8" t="s">
        <v>19</v>
      </c>
      <c r="G10" s="8" t="s">
        <v>20</v>
      </c>
      <c r="H10" s="8" t="s">
        <v>21</v>
      </c>
      <c r="I10" s="11"/>
      <c r="J10" s="12" t="s">
        <v>22</v>
      </c>
      <c r="K10" s="13">
        <f>IF($F11=0,MAX(CEILING(K$4/$D11,1),K$6,CEILING(K$5/$E11,1)),MAX(K$6,CEILING(K$3/$F11,1)))</f>
        <v>125</v>
      </c>
      <c r="L10" s="13">
        <f t="shared" ref="L10:P10" si="1">IF($F11=0,MAX(CEILING(L$4/$D11,1),L$6,CEILING(L$5/$E11,1)),MAX(L$6,CEILING(L$3/$F11,1)))</f>
        <v>157</v>
      </c>
      <c r="M10" s="13">
        <f t="shared" si="1"/>
        <v>219</v>
      </c>
      <c r="N10" s="13">
        <f t="shared" si="1"/>
        <v>344</v>
      </c>
      <c r="O10" s="13">
        <f t="shared" si="1"/>
        <v>282</v>
      </c>
      <c r="P10" s="21">
        <f t="shared" si="1"/>
        <v>469</v>
      </c>
    </row>
    <row r="11" spans="1:17" ht="32.25" customHeight="1" x14ac:dyDescent="0.15">
      <c r="A11" s="23" t="s">
        <v>23</v>
      </c>
      <c r="B11" s="23" t="s">
        <v>32</v>
      </c>
      <c r="C11" s="24">
        <v>8000</v>
      </c>
      <c r="D11" s="24">
        <v>0</v>
      </c>
      <c r="E11" s="24">
        <v>0</v>
      </c>
      <c r="F11" s="24">
        <v>640</v>
      </c>
      <c r="G11" s="24">
        <v>235</v>
      </c>
      <c r="H11" s="24">
        <v>6.8</v>
      </c>
      <c r="I11" s="11"/>
      <c r="J11" s="12" t="s">
        <v>24</v>
      </c>
      <c r="K11" s="15">
        <f>MAX($K$6,CEILING($B$4/C11,1))</f>
        <v>7</v>
      </c>
      <c r="L11" s="13">
        <f>MAX($L$6,CEILING(2*$B$4/C11,2))</f>
        <v>14</v>
      </c>
      <c r="M11" s="13">
        <f>MAX($M$6,CEILING(1+$B$4/C11,1))</f>
        <v>8</v>
      </c>
      <c r="N11" s="13">
        <f>MAX($N$6,CEILING(2*(1+$B$4/C11),2))</f>
        <v>16</v>
      </c>
      <c r="O11" s="13">
        <f>MAX($O$6,CEILING(2+$B$4/C11,1))</f>
        <v>9</v>
      </c>
      <c r="P11" s="21">
        <f>MAX($P$6,CEILING(2*(2+$B$4/C11),2))</f>
        <v>18</v>
      </c>
    </row>
    <row r="12" spans="1:17" ht="20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2" t="s">
        <v>25</v>
      </c>
      <c r="K12" s="13">
        <f t="shared" ref="K12:P12" si="2">MAX(K10,K11)</f>
        <v>125</v>
      </c>
      <c r="L12" s="13">
        <f t="shared" si="2"/>
        <v>157</v>
      </c>
      <c r="M12" s="13">
        <f t="shared" si="2"/>
        <v>219</v>
      </c>
      <c r="N12" s="13">
        <f t="shared" si="2"/>
        <v>344</v>
      </c>
      <c r="O12" s="13">
        <f t="shared" si="2"/>
        <v>282</v>
      </c>
      <c r="P12" s="21">
        <f t="shared" si="2"/>
        <v>469</v>
      </c>
    </row>
    <row r="13" spans="1:17" ht="3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2" t="s">
        <v>26</v>
      </c>
      <c r="K13" s="13">
        <f>K12*$C11</f>
        <v>1000000</v>
      </c>
      <c r="L13" s="13">
        <f t="shared" ref="L13:P13" si="3">L12*$C11</f>
        <v>1256000</v>
      </c>
      <c r="M13" s="13">
        <f t="shared" si="3"/>
        <v>1752000</v>
      </c>
      <c r="N13" s="13">
        <f t="shared" si="3"/>
        <v>2752000</v>
      </c>
      <c r="O13" s="13">
        <f t="shared" si="3"/>
        <v>2256000</v>
      </c>
      <c r="P13" s="21">
        <f t="shared" si="3"/>
        <v>3752000</v>
      </c>
    </row>
    <row r="14" spans="1:17" ht="20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2" t="s">
        <v>21</v>
      </c>
      <c r="K14" s="13">
        <f t="shared" ref="K14:P14" si="4">$H11*K12</f>
        <v>850</v>
      </c>
      <c r="L14" s="13">
        <f t="shared" si="4"/>
        <v>1067.5999999999999</v>
      </c>
      <c r="M14" s="13">
        <f t="shared" si="4"/>
        <v>1489.2</v>
      </c>
      <c r="N14" s="13">
        <f t="shared" si="4"/>
        <v>2339.1999999999998</v>
      </c>
      <c r="O14" s="13">
        <f t="shared" si="4"/>
        <v>1917.6</v>
      </c>
      <c r="P14" s="21">
        <f t="shared" si="4"/>
        <v>3189.2</v>
      </c>
    </row>
    <row r="15" spans="1:17" ht="20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2" t="s">
        <v>27</v>
      </c>
      <c r="K15" s="13">
        <f t="shared" ref="K15:P15" si="5">$G11*K12</f>
        <v>29375</v>
      </c>
      <c r="L15" s="13">
        <f t="shared" si="5"/>
        <v>36895</v>
      </c>
      <c r="M15" s="13">
        <f t="shared" si="5"/>
        <v>51465</v>
      </c>
      <c r="N15" s="13">
        <f t="shared" si="5"/>
        <v>80840</v>
      </c>
      <c r="O15" s="13">
        <f t="shared" si="5"/>
        <v>66270</v>
      </c>
      <c r="P15" s="21">
        <f t="shared" si="5"/>
        <v>110215</v>
      </c>
    </row>
    <row r="16" spans="1:17" ht="20.2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4"/>
      <c r="K16" s="11"/>
      <c r="L16" s="11"/>
      <c r="M16" s="11"/>
      <c r="N16" s="11"/>
      <c r="O16" s="11"/>
      <c r="P16" s="22"/>
      <c r="Q16" s="18"/>
    </row>
    <row r="17" spans="1:17" ht="20.25" customHeight="1" x14ac:dyDescent="0.15">
      <c r="A17" s="37" t="s">
        <v>33</v>
      </c>
      <c r="B17" s="36"/>
      <c r="C17" s="36"/>
      <c r="D17" s="36"/>
      <c r="E17" s="36"/>
      <c r="F17" s="36"/>
      <c r="G17" s="36"/>
      <c r="H17" s="36"/>
      <c r="I17" s="11"/>
      <c r="J17" s="14"/>
      <c r="K17" s="11"/>
      <c r="L17" s="11"/>
      <c r="M17" s="11"/>
      <c r="N17" s="11"/>
      <c r="O17" s="11"/>
      <c r="P17" s="22"/>
      <c r="Q17" s="18"/>
    </row>
    <row r="18" spans="1:17" ht="32.25" customHeight="1" x14ac:dyDescent="0.15">
      <c r="A18" s="8" t="s">
        <v>14</v>
      </c>
      <c r="B18" s="8" t="s">
        <v>15</v>
      </c>
      <c r="C18" s="8" t="s">
        <v>16</v>
      </c>
      <c r="D18" s="8" t="s">
        <v>17</v>
      </c>
      <c r="E18" s="8" t="s">
        <v>18</v>
      </c>
      <c r="F18" s="8" t="s">
        <v>19</v>
      </c>
      <c r="G18" s="8" t="s">
        <v>20</v>
      </c>
      <c r="H18" s="8" t="s">
        <v>21</v>
      </c>
      <c r="I18" s="11"/>
      <c r="J18" s="12" t="s">
        <v>22</v>
      </c>
      <c r="K18" s="13">
        <f>IF($F19=0,MAX(CEILING(K$4/$D19,1),K$6,CEILING(K$5/$E19,1)),MAX(K$6,CEILING(K$3/$F19,1)))</f>
        <v>100</v>
      </c>
      <c r="L18" s="13">
        <f t="shared" ref="L18" si="6">IF($F19=0,MAX(CEILING(L$4/$D19,1),L$6,CEILING(L$5/$E19,1)),MAX(L$6,CEILING(L$3/$F19,1)))</f>
        <v>125</v>
      </c>
      <c r="M18" s="13">
        <f t="shared" ref="M18" si="7">IF($F19=0,MAX(CEILING(M$4/$D19,1),M$6,CEILING(M$5/$E19,1)),MAX(M$6,CEILING(M$3/$F19,1)))</f>
        <v>175</v>
      </c>
      <c r="N18" s="13">
        <f t="shared" ref="N18" si="8">IF($F19=0,MAX(CEILING(N$4/$D19,1),N$6,CEILING(N$5/$E19,1)),MAX(N$6,CEILING(N$3/$F19,1)))</f>
        <v>275</v>
      </c>
      <c r="O18" s="13">
        <f t="shared" ref="O18" si="9">IF($F19=0,MAX(CEILING(O$4/$D19,1),O$6,CEILING(O$5/$E19,1)),MAX(O$6,CEILING(O$3/$F19,1)))</f>
        <v>225</v>
      </c>
      <c r="P18" s="21">
        <f t="shared" ref="P18" si="10">IF($F19=0,MAX(CEILING(P$4/$D19,1),P$6,CEILING(P$5/$E19,1)),MAX(P$6,CEILING(P$3/$F19,1)))</f>
        <v>375</v>
      </c>
    </row>
    <row r="19" spans="1:17" ht="32.25" customHeight="1" x14ac:dyDescent="0.15">
      <c r="A19" s="25" t="s">
        <v>23</v>
      </c>
      <c r="B19" s="25" t="s">
        <v>34</v>
      </c>
      <c r="C19" s="26">
        <v>14000</v>
      </c>
      <c r="D19" s="26">
        <v>0</v>
      </c>
      <c r="E19" s="26">
        <v>0</v>
      </c>
      <c r="F19" s="26">
        <v>800</v>
      </c>
      <c r="G19" s="26">
        <v>520</v>
      </c>
      <c r="H19" s="26">
        <v>7.8</v>
      </c>
      <c r="I19" s="11"/>
      <c r="J19" s="12" t="s">
        <v>24</v>
      </c>
      <c r="K19" s="15">
        <f>MAX($K$6,CEILING($B$4/C19,1))</f>
        <v>4</v>
      </c>
      <c r="L19" s="13">
        <f>MAX($L$6,CEILING(2*$B$4/C19,2))</f>
        <v>8</v>
      </c>
      <c r="M19" s="13">
        <f>MAX($M$6,CEILING(1+$B$4/C19,1))</f>
        <v>5</v>
      </c>
      <c r="N19" s="13">
        <f>MAX($N$6,CEILING(2*(1+$B$4/C19),2))</f>
        <v>10</v>
      </c>
      <c r="O19" s="13">
        <f>MAX($O$6,CEILING(2+$B$4/C19,1))</f>
        <v>6</v>
      </c>
      <c r="P19" s="21">
        <f>MAX($P$6,CEILING(2*(2+$B$4/C19),2))</f>
        <v>12</v>
      </c>
    </row>
    <row r="20" spans="1:17" ht="20.2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2" t="s">
        <v>25</v>
      </c>
      <c r="K20" s="13">
        <f t="shared" ref="K20:P20" si="11">MAX(K18,K19)</f>
        <v>100</v>
      </c>
      <c r="L20" s="13">
        <f t="shared" si="11"/>
        <v>125</v>
      </c>
      <c r="M20" s="13">
        <f t="shared" si="11"/>
        <v>175</v>
      </c>
      <c r="N20" s="13">
        <f t="shared" si="11"/>
        <v>275</v>
      </c>
      <c r="O20" s="13">
        <f t="shared" si="11"/>
        <v>225</v>
      </c>
      <c r="P20" s="21">
        <f t="shared" si="11"/>
        <v>375</v>
      </c>
    </row>
    <row r="21" spans="1:17" ht="32.2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2" t="s">
        <v>26</v>
      </c>
      <c r="K21" s="13">
        <f>K20*$C19</f>
        <v>1400000</v>
      </c>
      <c r="L21" s="13">
        <f t="shared" ref="L21" si="12">L20*$C19</f>
        <v>1750000</v>
      </c>
      <c r="M21" s="13">
        <f t="shared" ref="M21" si="13">M20*$C19</f>
        <v>2450000</v>
      </c>
      <c r="N21" s="13">
        <f t="shared" ref="N21" si="14">N20*$C19</f>
        <v>3850000</v>
      </c>
      <c r="O21" s="13">
        <f t="shared" ref="O21" si="15">O20*$C19</f>
        <v>3150000</v>
      </c>
      <c r="P21" s="21">
        <f t="shared" ref="P21" si="16">P20*$C19</f>
        <v>5250000</v>
      </c>
    </row>
    <row r="22" spans="1:17" ht="20.2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2" t="s">
        <v>21</v>
      </c>
      <c r="K22" s="13">
        <f t="shared" ref="K22:P22" si="17">$H19*K20</f>
        <v>780</v>
      </c>
      <c r="L22" s="13">
        <f t="shared" si="17"/>
        <v>975</v>
      </c>
      <c r="M22" s="13">
        <f t="shared" si="17"/>
        <v>1365</v>
      </c>
      <c r="N22" s="13">
        <f t="shared" si="17"/>
        <v>2145</v>
      </c>
      <c r="O22" s="13">
        <f t="shared" si="17"/>
        <v>1755</v>
      </c>
      <c r="P22" s="21">
        <f t="shared" si="17"/>
        <v>2925</v>
      </c>
    </row>
    <row r="23" spans="1:17" ht="20.2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2" t="s">
        <v>27</v>
      </c>
      <c r="K23" s="13">
        <f t="shared" ref="K23:P23" si="18">$G19*K20</f>
        <v>52000</v>
      </c>
      <c r="L23" s="13">
        <f t="shared" si="18"/>
        <v>65000</v>
      </c>
      <c r="M23" s="13">
        <f t="shared" si="18"/>
        <v>91000</v>
      </c>
      <c r="N23" s="13">
        <f t="shared" si="18"/>
        <v>143000</v>
      </c>
      <c r="O23" s="13">
        <f t="shared" si="18"/>
        <v>117000</v>
      </c>
      <c r="P23" s="21">
        <f t="shared" si="18"/>
        <v>195000</v>
      </c>
    </row>
    <row r="24" spans="1:17" ht="20.2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22"/>
      <c r="Q24" s="18"/>
    </row>
    <row r="25" spans="1:17" ht="21.25" customHeight="1" x14ac:dyDescent="0.15">
      <c r="A25" s="35" t="s">
        <v>35</v>
      </c>
      <c r="B25" s="36"/>
      <c r="C25" s="36"/>
      <c r="D25" s="36"/>
      <c r="E25" s="36"/>
      <c r="F25" s="36"/>
      <c r="G25" s="36"/>
      <c r="H25" s="36"/>
      <c r="I25" s="11"/>
      <c r="J25" s="11"/>
      <c r="K25" s="11"/>
      <c r="L25" s="11"/>
      <c r="M25" s="11"/>
      <c r="N25" s="11"/>
      <c r="O25" s="11"/>
      <c r="P25" s="22"/>
      <c r="Q25" s="18"/>
    </row>
    <row r="26" spans="1:17" ht="32.25" customHeight="1" x14ac:dyDescent="0.15">
      <c r="A26" s="8" t="s">
        <v>14</v>
      </c>
      <c r="B26" s="8" t="s">
        <v>15</v>
      </c>
      <c r="C26" s="8" t="s">
        <v>16</v>
      </c>
      <c r="D26" s="8" t="s">
        <v>17</v>
      </c>
      <c r="E26" s="8" t="s">
        <v>18</v>
      </c>
      <c r="F26" s="8" t="s">
        <v>19</v>
      </c>
      <c r="G26" s="8" t="s">
        <v>20</v>
      </c>
      <c r="H26" s="8" t="s">
        <v>21</v>
      </c>
      <c r="I26" s="11"/>
      <c r="J26" s="12" t="s">
        <v>22</v>
      </c>
      <c r="K26" s="13">
        <f>IF($F27=0,MAX(CEILING(K$4/$D27,1),K$6,CEILING(K$5/$E27,1)),MAX(K$6,CEILING(K$3/$F27,1)))</f>
        <v>113</v>
      </c>
      <c r="L26" s="13">
        <f t="shared" ref="L26" si="19">IF($F27=0,MAX(CEILING(L$4/$D27,1),L$6,CEILING(L$5/$E27,1)),MAX(L$6,CEILING(L$3/$F27,1)))</f>
        <v>141</v>
      </c>
      <c r="M26" s="13">
        <f t="shared" ref="M26" si="20">IF($F27=0,MAX(CEILING(M$4/$D27,1),M$6,CEILING(M$5/$E27,1)),MAX(M$6,CEILING(M$3/$F27,1)))</f>
        <v>198</v>
      </c>
      <c r="N26" s="13">
        <f t="shared" ref="N26" si="21">IF($F27=0,MAX(CEILING(N$4/$D27,1),N$6,CEILING(N$5/$E27,1)),MAX(N$6,CEILING(N$3/$F27,1)))</f>
        <v>310</v>
      </c>
      <c r="O26" s="13">
        <f t="shared" ref="O26" si="22">IF($F27=0,MAX(CEILING(O$4/$D27,1),O$6,CEILING(O$5/$E27,1)),MAX(O$6,CEILING(O$3/$F27,1)))</f>
        <v>254</v>
      </c>
      <c r="P26" s="21">
        <f t="shared" ref="P26" si="23">IF($F27=0,MAX(CEILING(P$4/$D27,1),P$6,CEILING(P$5/$E27,1)),MAX(P$6,CEILING(P$3/$F27,1)))</f>
        <v>423</v>
      </c>
    </row>
    <row r="27" spans="1:17" ht="32.25" customHeight="1" x14ac:dyDescent="0.15">
      <c r="A27" s="25" t="s">
        <v>23</v>
      </c>
      <c r="B27" s="25" t="s">
        <v>34</v>
      </c>
      <c r="C27" s="26">
        <v>10000</v>
      </c>
      <c r="D27" s="26">
        <v>0</v>
      </c>
      <c r="E27" s="26">
        <v>0</v>
      </c>
      <c r="F27" s="26">
        <v>710</v>
      </c>
      <c r="G27" s="26">
        <v>350</v>
      </c>
      <c r="H27" s="26">
        <v>9.5</v>
      </c>
      <c r="I27" s="11"/>
      <c r="J27" s="12" t="s">
        <v>24</v>
      </c>
      <c r="K27" s="15">
        <f>MAX($K$6,CEILING($B$4/C27,1))</f>
        <v>5</v>
      </c>
      <c r="L27" s="13">
        <f>MAX($L$6,CEILING(2*$B$4/C27,2))</f>
        <v>10</v>
      </c>
      <c r="M27" s="13">
        <f>MAX($M$6,CEILING(1+$B$4/C27,1))</f>
        <v>6</v>
      </c>
      <c r="N27" s="13">
        <f>MAX($N$6,CEILING(2*(1+$B$4/C27),2))</f>
        <v>12</v>
      </c>
      <c r="O27" s="13">
        <f>MAX($O$6,CEILING(2+$B$4/C27,1))</f>
        <v>7</v>
      </c>
      <c r="P27" s="21">
        <f>MAX($P$6,CEILING(2*(2+$B$4/C27),2))</f>
        <v>14</v>
      </c>
    </row>
    <row r="28" spans="1:17" ht="20.2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2" t="s">
        <v>25</v>
      </c>
      <c r="K28" s="13">
        <f t="shared" ref="K28:P28" si="24">MAX(K26,K27)</f>
        <v>113</v>
      </c>
      <c r="L28" s="13">
        <f t="shared" si="24"/>
        <v>141</v>
      </c>
      <c r="M28" s="13">
        <f t="shared" si="24"/>
        <v>198</v>
      </c>
      <c r="N28" s="13">
        <f t="shared" si="24"/>
        <v>310</v>
      </c>
      <c r="O28" s="13">
        <f t="shared" si="24"/>
        <v>254</v>
      </c>
      <c r="P28" s="21">
        <f t="shared" si="24"/>
        <v>423</v>
      </c>
    </row>
    <row r="29" spans="1:17" ht="32.2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2" t="s">
        <v>26</v>
      </c>
      <c r="K29" s="13">
        <f>K28*$C27</f>
        <v>1130000</v>
      </c>
      <c r="L29" s="13">
        <f t="shared" ref="L29" si="25">L28*$C27</f>
        <v>1410000</v>
      </c>
      <c r="M29" s="13">
        <f t="shared" ref="M29" si="26">M28*$C27</f>
        <v>1980000</v>
      </c>
      <c r="N29" s="13">
        <f t="shared" ref="N29" si="27">N28*$C27</f>
        <v>3100000</v>
      </c>
      <c r="O29" s="13">
        <f t="shared" ref="O29" si="28">O28*$C27</f>
        <v>2540000</v>
      </c>
      <c r="P29" s="21">
        <f t="shared" ref="P29" si="29">P28*$C27</f>
        <v>4230000</v>
      </c>
    </row>
    <row r="30" spans="1:17" ht="20.2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2" t="s">
        <v>21</v>
      </c>
      <c r="K30" s="13">
        <f t="shared" ref="K30:P30" si="30">$H27*K28</f>
        <v>1073.5</v>
      </c>
      <c r="L30" s="13">
        <f t="shared" si="30"/>
        <v>1339.5</v>
      </c>
      <c r="M30" s="13">
        <f t="shared" si="30"/>
        <v>1881</v>
      </c>
      <c r="N30" s="13">
        <f t="shared" si="30"/>
        <v>2945</v>
      </c>
      <c r="O30" s="13">
        <f t="shared" si="30"/>
        <v>2413</v>
      </c>
      <c r="P30" s="21">
        <f t="shared" si="30"/>
        <v>4018.5</v>
      </c>
    </row>
    <row r="31" spans="1:17" ht="20.2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2" t="s">
        <v>27</v>
      </c>
      <c r="K31" s="13">
        <f t="shared" ref="K31:P31" si="31">$G27*K28</f>
        <v>39550</v>
      </c>
      <c r="L31" s="13">
        <f t="shared" si="31"/>
        <v>49350</v>
      </c>
      <c r="M31" s="13">
        <f t="shared" si="31"/>
        <v>69300</v>
      </c>
      <c r="N31" s="13">
        <f t="shared" si="31"/>
        <v>108500</v>
      </c>
      <c r="O31" s="13">
        <f t="shared" si="31"/>
        <v>88900</v>
      </c>
      <c r="P31" s="21">
        <f t="shared" si="31"/>
        <v>148050</v>
      </c>
    </row>
    <row r="32" spans="1:17" ht="20.2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22"/>
      <c r="Q32" s="18"/>
    </row>
    <row r="33" spans="1:17" ht="21.25" customHeight="1" x14ac:dyDescent="0.15">
      <c r="A33" s="35" t="s">
        <v>36</v>
      </c>
      <c r="B33" s="36"/>
      <c r="C33" s="36"/>
      <c r="D33" s="36"/>
      <c r="E33" s="36"/>
      <c r="F33" s="36"/>
      <c r="G33" s="36"/>
      <c r="H33" s="36"/>
      <c r="I33" s="11"/>
      <c r="J33" s="11"/>
      <c r="K33" s="11"/>
      <c r="L33" s="11"/>
      <c r="M33" s="11"/>
      <c r="N33" s="11"/>
      <c r="O33" s="11"/>
      <c r="P33" s="22"/>
      <c r="Q33" s="18"/>
    </row>
    <row r="34" spans="1:17" ht="32.25" customHeight="1" x14ac:dyDescent="0.15">
      <c r="A34" s="8" t="s">
        <v>14</v>
      </c>
      <c r="B34" s="8" t="s">
        <v>15</v>
      </c>
      <c r="C34" s="8" t="s">
        <v>16</v>
      </c>
      <c r="D34" s="8" t="s">
        <v>17</v>
      </c>
      <c r="E34" s="8" t="s">
        <v>18</v>
      </c>
      <c r="F34" s="8" t="s">
        <v>19</v>
      </c>
      <c r="G34" s="8" t="s">
        <v>20</v>
      </c>
      <c r="H34" s="8" t="s">
        <v>21</v>
      </c>
      <c r="I34" s="11"/>
      <c r="J34" s="12" t="s">
        <v>22</v>
      </c>
      <c r="K34" s="13">
        <f>IF($F35=0,MAX(CEILING(K$4/$D35,1),K$6,CEILING(K$5/$E35,1)),MAX(K$6,CEILING(K$3/$F35,1)))</f>
        <v>24</v>
      </c>
      <c r="L34" s="13">
        <f t="shared" ref="L34" si="32">IF($F35=0,MAX(CEILING(L$4/$D35,1),L$6,CEILING(L$5/$E35,1)),MAX(L$6,CEILING(L$3/$F35,1)))</f>
        <v>30</v>
      </c>
      <c r="M34" s="13">
        <f t="shared" ref="M34" si="33">IF($F35=0,MAX(CEILING(M$4/$D35,1),M$6,CEILING(M$5/$E35,1)),MAX(M$6,CEILING(M$3/$F35,1)))</f>
        <v>42</v>
      </c>
      <c r="N34" s="13">
        <f t="shared" ref="N34" si="34">IF($F35=0,MAX(CEILING(N$4/$D35,1),N$6,CEILING(N$5/$E35,1)),MAX(N$6,CEILING(N$3/$F35,1)))</f>
        <v>66</v>
      </c>
      <c r="O34" s="13">
        <f t="shared" ref="O34" si="35">IF($F35=0,MAX(CEILING(O$4/$D35,1),O$6,CEILING(O$5/$E35,1)),MAX(O$6,CEILING(O$3/$F35,1)))</f>
        <v>54</v>
      </c>
      <c r="P34" s="21">
        <f t="shared" ref="P34" si="36">IF($F35=0,MAX(CEILING(P$4/$D35,1),P$6,CEILING(P$5/$E35,1)),MAX(P$6,CEILING(P$3/$F35,1)))</f>
        <v>90</v>
      </c>
    </row>
    <row r="35" spans="1:17" ht="32.25" customHeight="1" x14ac:dyDescent="0.15">
      <c r="A35" s="25" t="s">
        <v>23</v>
      </c>
      <c r="B35" s="25" t="s">
        <v>28</v>
      </c>
      <c r="C35" s="26">
        <v>2000</v>
      </c>
      <c r="D35" s="26">
        <v>0</v>
      </c>
      <c r="E35" s="26">
        <v>0</v>
      </c>
      <c r="F35" s="26">
        <v>3360</v>
      </c>
      <c r="G35" s="26">
        <v>250</v>
      </c>
      <c r="H35" s="26">
        <v>7</v>
      </c>
      <c r="I35" s="11"/>
      <c r="J35" s="12" t="s">
        <v>24</v>
      </c>
      <c r="K35" s="15">
        <f>MAX($K$6,CEILING($B$4/C35,1))</f>
        <v>25</v>
      </c>
      <c r="L35" s="13">
        <f>MAX($L$6,CEILING(2*$B$4/C35,2))</f>
        <v>50</v>
      </c>
      <c r="M35" s="13">
        <f>MAX($M$6,CEILING(1+$B$4/C35,1))</f>
        <v>26</v>
      </c>
      <c r="N35" s="13">
        <f>MAX($N$6,CEILING(2*(1+$B$4/C35),2))</f>
        <v>52</v>
      </c>
      <c r="O35" s="13">
        <f>MAX($O$6,CEILING(2+$B$4/C35,1))</f>
        <v>27</v>
      </c>
      <c r="P35" s="21">
        <f>MAX($P$6,CEILING(2*(2+$B$4/C35),2))</f>
        <v>54</v>
      </c>
    </row>
    <row r="36" spans="1:17" ht="20.2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2" t="s">
        <v>25</v>
      </c>
      <c r="K36" s="13">
        <f t="shared" ref="K36:P36" si="37">MAX(K34,K35)</f>
        <v>25</v>
      </c>
      <c r="L36" s="13">
        <f t="shared" si="37"/>
        <v>50</v>
      </c>
      <c r="M36" s="13">
        <f t="shared" si="37"/>
        <v>42</v>
      </c>
      <c r="N36" s="13">
        <f t="shared" si="37"/>
        <v>66</v>
      </c>
      <c r="O36" s="13">
        <f t="shared" si="37"/>
        <v>54</v>
      </c>
      <c r="P36" s="21">
        <f t="shared" si="37"/>
        <v>90</v>
      </c>
    </row>
    <row r="37" spans="1:17" ht="32.2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2" t="s">
        <v>26</v>
      </c>
      <c r="K37" s="13">
        <f>K36*$C35</f>
        <v>50000</v>
      </c>
      <c r="L37" s="13">
        <f t="shared" ref="L37" si="38">L36*$C35</f>
        <v>100000</v>
      </c>
      <c r="M37" s="13">
        <f t="shared" ref="M37" si="39">M36*$C35</f>
        <v>84000</v>
      </c>
      <c r="N37" s="13">
        <f t="shared" ref="N37" si="40">N36*$C35</f>
        <v>132000</v>
      </c>
      <c r="O37" s="13">
        <f t="shared" ref="O37" si="41">O36*$C35</f>
        <v>108000</v>
      </c>
      <c r="P37" s="21">
        <f t="shared" ref="P37" si="42">P36*$C35</f>
        <v>180000</v>
      </c>
    </row>
    <row r="38" spans="1:17" ht="20.2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2" t="s">
        <v>21</v>
      </c>
      <c r="K38" s="13">
        <f t="shared" ref="K38:P38" si="43">$H35*K36</f>
        <v>175</v>
      </c>
      <c r="L38" s="13">
        <f t="shared" si="43"/>
        <v>350</v>
      </c>
      <c r="M38" s="13">
        <f t="shared" si="43"/>
        <v>294</v>
      </c>
      <c r="N38" s="13">
        <f t="shared" si="43"/>
        <v>462</v>
      </c>
      <c r="O38" s="13">
        <f t="shared" si="43"/>
        <v>378</v>
      </c>
      <c r="P38" s="21">
        <f t="shared" si="43"/>
        <v>630</v>
      </c>
    </row>
    <row r="39" spans="1:17" ht="20.2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2" t="s">
        <v>27</v>
      </c>
      <c r="K39" s="13">
        <f t="shared" ref="K39:P39" si="44">$G35*K36</f>
        <v>6250</v>
      </c>
      <c r="L39" s="13">
        <f t="shared" si="44"/>
        <v>12500</v>
      </c>
      <c r="M39" s="13">
        <f t="shared" si="44"/>
        <v>10500</v>
      </c>
      <c r="N39" s="13">
        <f t="shared" si="44"/>
        <v>16500</v>
      </c>
      <c r="O39" s="13">
        <f t="shared" si="44"/>
        <v>13500</v>
      </c>
      <c r="P39" s="21">
        <f t="shared" si="44"/>
        <v>22500</v>
      </c>
    </row>
    <row r="40" spans="1:17" ht="20.2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22"/>
      <c r="Q40" s="18"/>
    </row>
    <row r="41" spans="1:17" ht="21.25" customHeight="1" x14ac:dyDescent="0.15">
      <c r="A41" s="35" t="s">
        <v>37</v>
      </c>
      <c r="B41" s="36"/>
      <c r="C41" s="36"/>
      <c r="D41" s="36"/>
      <c r="E41" s="36"/>
      <c r="F41" s="36"/>
      <c r="G41" s="36"/>
      <c r="H41" s="36"/>
      <c r="I41" s="11"/>
      <c r="J41" s="11"/>
      <c r="K41" s="11"/>
      <c r="L41" s="11"/>
      <c r="M41" s="11"/>
      <c r="N41" s="11"/>
      <c r="O41" s="11"/>
      <c r="P41" s="22"/>
      <c r="Q41" s="18"/>
    </row>
    <row r="42" spans="1:17" ht="32.25" customHeight="1" x14ac:dyDescent="0.15">
      <c r="A42" s="8" t="s">
        <v>14</v>
      </c>
      <c r="B42" s="8" t="s">
        <v>15</v>
      </c>
      <c r="C42" s="8" t="s">
        <v>16</v>
      </c>
      <c r="D42" s="8" t="s">
        <v>17</v>
      </c>
      <c r="E42" s="8" t="s">
        <v>18</v>
      </c>
      <c r="F42" s="8" t="s">
        <v>19</v>
      </c>
      <c r="G42" s="8" t="s">
        <v>20</v>
      </c>
      <c r="H42" s="8" t="s">
        <v>21</v>
      </c>
      <c r="I42" s="11"/>
      <c r="J42" s="12" t="s">
        <v>22</v>
      </c>
      <c r="K42" s="13">
        <f>IF($F43=0,MAX(CEILING(K$4/$D43,1),K$6,CEILING(K$5/$E43,1)),MAX(K$6,CEILING(K$3/$F43,1)))</f>
        <v>16</v>
      </c>
      <c r="L42" s="13">
        <f t="shared" ref="L42" si="45">IF($F43=0,MAX(CEILING(L$4/$D43,1),L$6,CEILING(L$5/$E43,1)),MAX(L$6,CEILING(L$3/$F43,1)))</f>
        <v>20</v>
      </c>
      <c r="M42" s="13">
        <f t="shared" ref="M42" si="46">IF($F43=0,MAX(CEILING(M$4/$D43,1),M$6,CEILING(M$5/$E43,1)),MAX(M$6,CEILING(M$3/$F43,1)))</f>
        <v>27</v>
      </c>
      <c r="N42" s="13">
        <f t="shared" ref="N42" si="47">IF($F43=0,MAX(CEILING(N$4/$D43,1),N$6,CEILING(N$5/$E43,1)),MAX(N$6,CEILING(N$3/$F43,1)))</f>
        <v>43</v>
      </c>
      <c r="O42" s="13">
        <f t="shared" ref="O42" si="48">IF($F43=0,MAX(CEILING(O$4/$D43,1),O$6,CEILING(O$5/$E43,1)),MAX(O$6,CEILING(O$3/$F43,1)))</f>
        <v>35</v>
      </c>
      <c r="P42" s="21">
        <f t="shared" ref="P42" si="49">IF($F43=0,MAX(CEILING(P$4/$D43,1),P$6,CEILING(P$5/$E43,1)),MAX(P$6,CEILING(P$3/$F43,1)))</f>
        <v>58</v>
      </c>
    </row>
    <row r="43" spans="1:17" ht="32.25" customHeight="1" x14ac:dyDescent="0.15">
      <c r="A43" s="25" t="s">
        <v>23</v>
      </c>
      <c r="B43" s="26" t="s">
        <v>28</v>
      </c>
      <c r="C43" s="26">
        <v>2400</v>
      </c>
      <c r="D43" s="26">
        <v>0</v>
      </c>
      <c r="E43" s="26">
        <v>0</v>
      </c>
      <c r="F43" s="26">
        <v>5210</v>
      </c>
      <c r="G43" s="26">
        <v>360</v>
      </c>
      <c r="H43" s="26">
        <v>7.1</v>
      </c>
      <c r="I43" s="11"/>
      <c r="J43" s="12" t="s">
        <v>24</v>
      </c>
      <c r="K43" s="15">
        <f>MAX($K$6,CEILING($B$4/C43,1))</f>
        <v>21</v>
      </c>
      <c r="L43" s="13">
        <f>MAX($L$6,CEILING(2*$B$4/C43,2))</f>
        <v>42</v>
      </c>
      <c r="M43" s="13">
        <f>MAX($M$6,CEILING(1+$B$4/C43,1))</f>
        <v>22</v>
      </c>
      <c r="N43" s="13">
        <f>MAX($N$6,CEILING(2*(1+$B$4/C43),2))</f>
        <v>44</v>
      </c>
      <c r="O43" s="13">
        <f>MAX($O$6,CEILING(2+$B$4/C43,1))</f>
        <v>23</v>
      </c>
      <c r="P43" s="21">
        <f>MAX($P$6,CEILING(2*(2+$B$4/C43),2))</f>
        <v>46</v>
      </c>
    </row>
    <row r="44" spans="1:17" ht="20.2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2" t="s">
        <v>25</v>
      </c>
      <c r="K44" s="13">
        <f t="shared" ref="K44:P44" si="50">MAX(K42,K43)</f>
        <v>21</v>
      </c>
      <c r="L44" s="13">
        <f t="shared" si="50"/>
        <v>42</v>
      </c>
      <c r="M44" s="13">
        <f t="shared" si="50"/>
        <v>27</v>
      </c>
      <c r="N44" s="13">
        <f t="shared" si="50"/>
        <v>44</v>
      </c>
      <c r="O44" s="13">
        <f t="shared" si="50"/>
        <v>35</v>
      </c>
      <c r="P44" s="21">
        <f t="shared" si="50"/>
        <v>58</v>
      </c>
    </row>
    <row r="45" spans="1:17" ht="32.2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2" t="s">
        <v>26</v>
      </c>
      <c r="K45" s="13">
        <f>K44*$C43</f>
        <v>50400</v>
      </c>
      <c r="L45" s="13">
        <f t="shared" ref="L45" si="51">L44*$C43</f>
        <v>100800</v>
      </c>
      <c r="M45" s="13">
        <f t="shared" ref="M45" si="52">M44*$C43</f>
        <v>64800</v>
      </c>
      <c r="N45" s="13">
        <f t="shared" ref="N45" si="53">N44*$C43</f>
        <v>105600</v>
      </c>
      <c r="O45" s="13">
        <f t="shared" ref="O45" si="54">O44*$C43</f>
        <v>84000</v>
      </c>
      <c r="P45" s="21">
        <f t="shared" ref="P45" si="55">P44*$C43</f>
        <v>139200</v>
      </c>
    </row>
    <row r="46" spans="1:17" ht="20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2" t="s">
        <v>21</v>
      </c>
      <c r="K46" s="13">
        <f t="shared" ref="K46:P46" si="56">$H43*K44</f>
        <v>149.1</v>
      </c>
      <c r="L46" s="13">
        <f t="shared" si="56"/>
        <v>298.2</v>
      </c>
      <c r="M46" s="13">
        <f t="shared" si="56"/>
        <v>191.7</v>
      </c>
      <c r="N46" s="13">
        <f t="shared" si="56"/>
        <v>312.39999999999998</v>
      </c>
      <c r="O46" s="13">
        <f t="shared" si="56"/>
        <v>248.5</v>
      </c>
      <c r="P46" s="21">
        <f t="shared" si="56"/>
        <v>411.79999999999995</v>
      </c>
    </row>
    <row r="47" spans="1:17" ht="20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2" t="s">
        <v>27</v>
      </c>
      <c r="K47" s="13">
        <f t="shared" ref="K47:P47" si="57">$G43*K44</f>
        <v>7560</v>
      </c>
      <c r="L47" s="13">
        <f t="shared" si="57"/>
        <v>15120</v>
      </c>
      <c r="M47" s="13">
        <f t="shared" si="57"/>
        <v>9720</v>
      </c>
      <c r="N47" s="13">
        <f t="shared" si="57"/>
        <v>15840</v>
      </c>
      <c r="O47" s="13">
        <f t="shared" si="57"/>
        <v>12600</v>
      </c>
      <c r="P47" s="21">
        <f t="shared" si="57"/>
        <v>20880</v>
      </c>
    </row>
    <row r="48" spans="1:17" ht="20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22"/>
      <c r="Q48" s="18"/>
    </row>
    <row r="49" spans="1:17" ht="21.25" customHeight="1" x14ac:dyDescent="0.15">
      <c r="A49" s="35" t="s">
        <v>38</v>
      </c>
      <c r="B49" s="36"/>
      <c r="C49" s="36"/>
      <c r="D49" s="36"/>
      <c r="E49" s="36"/>
      <c r="F49" s="36"/>
      <c r="G49" s="36"/>
      <c r="H49" s="36"/>
      <c r="I49" s="11"/>
      <c r="J49" s="11"/>
      <c r="K49" s="11"/>
      <c r="L49" s="11"/>
      <c r="M49" s="11"/>
      <c r="N49" s="11"/>
      <c r="O49" s="11"/>
      <c r="P49" s="22"/>
      <c r="Q49" s="18"/>
    </row>
    <row r="50" spans="1:17" ht="32.25" customHeight="1" x14ac:dyDescent="0.15">
      <c r="A50" s="8" t="s">
        <v>14</v>
      </c>
      <c r="B50" s="8" t="s">
        <v>15</v>
      </c>
      <c r="C50" s="8" t="s">
        <v>16</v>
      </c>
      <c r="D50" s="8" t="s">
        <v>17</v>
      </c>
      <c r="E50" s="8" t="s">
        <v>18</v>
      </c>
      <c r="F50" s="8" t="s">
        <v>19</v>
      </c>
      <c r="G50" s="8" t="s">
        <v>20</v>
      </c>
      <c r="H50" s="8" t="s">
        <v>21</v>
      </c>
      <c r="I50" s="11"/>
      <c r="J50" s="12" t="s">
        <v>22</v>
      </c>
      <c r="K50" s="13">
        <f>IF($F51=0,MAX(CEILING(K$4/$D51,1),K$6,CEILING(K$5/$E51,1)),MAX(K$6,CEILING(K$3/$F51,1)))</f>
        <v>2</v>
      </c>
      <c r="L50" s="13">
        <f t="shared" ref="L50" si="58">IF($F51=0,MAX(CEILING(L$4/$D51,1),L$6,CEILING(L$5/$E51,1)),MAX(L$6,CEILING(L$3/$F51,1)))</f>
        <v>4</v>
      </c>
      <c r="M50" s="13">
        <f t="shared" ref="M50" si="59">IF($F51=0,MAX(CEILING(M$4/$D51,1),M$6,CEILING(M$5/$E51,1)),MAX(M$6,CEILING(M$3/$F51,1)))</f>
        <v>4</v>
      </c>
      <c r="N50" s="13">
        <f t="shared" ref="N50" si="60">IF($F51=0,MAX(CEILING(N$4/$D51,1),N$6,CEILING(N$5/$E51,1)),MAX(N$6,CEILING(N$3/$F51,1)))</f>
        <v>8</v>
      </c>
      <c r="O50" s="13">
        <f t="shared" ref="O50" si="61">IF($F51=0,MAX(CEILING(O$4/$D51,1),O$6,CEILING(O$5/$E51,1)),MAX(O$6,CEILING(O$3/$F51,1)))</f>
        <v>6</v>
      </c>
      <c r="P50" s="21">
        <f t="shared" ref="P50" si="62">IF($F51=0,MAX(CEILING(P$4/$D51,1),P$6,CEILING(P$5/$E51,1)),MAX(P$6,CEILING(P$3/$F51,1)))</f>
        <v>12</v>
      </c>
    </row>
    <row r="51" spans="1:17" ht="32.25" customHeight="1" x14ac:dyDescent="0.15">
      <c r="A51" s="25" t="s">
        <v>29</v>
      </c>
      <c r="B51" s="25" t="s">
        <v>30</v>
      </c>
      <c r="C51" s="26">
        <v>2200</v>
      </c>
      <c r="D51" s="26">
        <v>90000</v>
      </c>
      <c r="E51" s="26">
        <v>10000</v>
      </c>
      <c r="F51" s="26">
        <v>0</v>
      </c>
      <c r="G51" s="26">
        <v>310</v>
      </c>
      <c r="H51" s="26">
        <v>2.2000000000000002</v>
      </c>
      <c r="I51" s="11"/>
      <c r="J51" s="12" t="s">
        <v>24</v>
      </c>
      <c r="K51" s="15">
        <f>MAX($K$6,CEILING($B$4/C51,1))</f>
        <v>23</v>
      </c>
      <c r="L51" s="13">
        <f>MAX($L$6,CEILING(2*$B$4/C51,2))</f>
        <v>46</v>
      </c>
      <c r="M51" s="13">
        <f>MAX($M$6,CEILING(1+$B$4/C51,1))</f>
        <v>24</v>
      </c>
      <c r="N51" s="13">
        <f>MAX($N$6,CEILING(2*(1+$B$4/C51),2))</f>
        <v>48</v>
      </c>
      <c r="O51" s="13">
        <f>MAX($O$6,CEILING(2+$B$4/C51,1))</f>
        <v>25</v>
      </c>
      <c r="P51" s="21">
        <f>MAX($P$6,CEILING(2*(2+$B$4/C51),2))</f>
        <v>50</v>
      </c>
    </row>
    <row r="52" spans="1:17" ht="20.2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2" t="s">
        <v>25</v>
      </c>
      <c r="K52" s="13">
        <f t="shared" ref="K52:P52" si="63">MAX(K50,K51)</f>
        <v>23</v>
      </c>
      <c r="L52" s="13">
        <f t="shared" si="63"/>
        <v>46</v>
      </c>
      <c r="M52" s="13">
        <f t="shared" si="63"/>
        <v>24</v>
      </c>
      <c r="N52" s="13">
        <f t="shared" si="63"/>
        <v>48</v>
      </c>
      <c r="O52" s="13">
        <f t="shared" si="63"/>
        <v>25</v>
      </c>
      <c r="P52" s="21">
        <f t="shared" si="63"/>
        <v>50</v>
      </c>
    </row>
    <row r="53" spans="1:17" ht="32.2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2" t="s">
        <v>26</v>
      </c>
      <c r="K53" s="13">
        <f>K52*$C51</f>
        <v>50600</v>
      </c>
      <c r="L53" s="13">
        <f t="shared" ref="L53" si="64">L52*$C51</f>
        <v>101200</v>
      </c>
      <c r="M53" s="13">
        <f t="shared" ref="M53" si="65">M52*$C51</f>
        <v>52800</v>
      </c>
      <c r="N53" s="13">
        <f t="shared" ref="N53" si="66">N52*$C51</f>
        <v>105600</v>
      </c>
      <c r="O53" s="13">
        <f t="shared" ref="O53" si="67">O52*$C51</f>
        <v>55000</v>
      </c>
      <c r="P53" s="21">
        <f t="shared" ref="P53" si="68">P52*$C51</f>
        <v>110000</v>
      </c>
    </row>
    <row r="54" spans="1:17" ht="20.2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2" t="s">
        <v>21</v>
      </c>
      <c r="K54" s="13">
        <f t="shared" ref="K54:P54" si="69">$H51*K52</f>
        <v>50.6</v>
      </c>
      <c r="L54" s="13">
        <f t="shared" si="69"/>
        <v>101.2</v>
      </c>
      <c r="M54" s="13">
        <f t="shared" si="69"/>
        <v>52.800000000000004</v>
      </c>
      <c r="N54" s="13">
        <f t="shared" si="69"/>
        <v>105.60000000000001</v>
      </c>
      <c r="O54" s="13">
        <f t="shared" si="69"/>
        <v>55.000000000000007</v>
      </c>
      <c r="P54" s="21">
        <f t="shared" si="69"/>
        <v>110.00000000000001</v>
      </c>
    </row>
    <row r="55" spans="1:17" ht="20.2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2" t="s">
        <v>27</v>
      </c>
      <c r="K55" s="13">
        <f t="shared" ref="K55:P55" si="70">$G51*K52</f>
        <v>7130</v>
      </c>
      <c r="L55" s="13">
        <f t="shared" si="70"/>
        <v>14260</v>
      </c>
      <c r="M55" s="13">
        <f t="shared" si="70"/>
        <v>7440</v>
      </c>
      <c r="N55" s="13">
        <f t="shared" si="70"/>
        <v>14880</v>
      </c>
      <c r="O55" s="13">
        <f t="shared" si="70"/>
        <v>7750</v>
      </c>
      <c r="P55" s="21">
        <f t="shared" si="70"/>
        <v>15500</v>
      </c>
    </row>
    <row r="56" spans="1:17" ht="20.2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22"/>
      <c r="Q56" s="18"/>
    </row>
    <row r="57" spans="1:17" ht="21.25" customHeight="1" x14ac:dyDescent="0.15">
      <c r="A57" s="35" t="s">
        <v>41</v>
      </c>
      <c r="B57" s="36"/>
      <c r="C57" s="36"/>
      <c r="D57" s="36"/>
      <c r="E57" s="36"/>
      <c r="F57" s="36"/>
      <c r="G57" s="36"/>
      <c r="H57" s="36"/>
      <c r="I57" s="11"/>
      <c r="J57" s="11"/>
      <c r="K57" s="11"/>
      <c r="L57" s="11"/>
      <c r="M57" s="11"/>
      <c r="N57" s="11"/>
      <c r="O57" s="11"/>
      <c r="P57" s="22"/>
      <c r="Q57" s="18"/>
    </row>
    <row r="58" spans="1:17" ht="32.25" customHeight="1" x14ac:dyDescent="0.15">
      <c r="A58" s="8" t="s">
        <v>14</v>
      </c>
      <c r="B58" s="8" t="s">
        <v>15</v>
      </c>
      <c r="C58" s="8" t="s">
        <v>16</v>
      </c>
      <c r="D58" s="8" t="s">
        <v>17</v>
      </c>
      <c r="E58" s="8" t="s">
        <v>18</v>
      </c>
      <c r="F58" s="8" t="s">
        <v>19</v>
      </c>
      <c r="G58" s="8" t="s">
        <v>20</v>
      </c>
      <c r="H58" s="8" t="s">
        <v>21</v>
      </c>
      <c r="I58" s="11"/>
      <c r="J58" s="12" t="s">
        <v>22</v>
      </c>
      <c r="K58" s="13">
        <f>IF($F59=0,MAX(CEILING(K$4/$D59,1),K$6,CEILING(K$5/$E59,1)),MAX(K$6,CEILING(K$3/$F59,1)))</f>
        <v>2</v>
      </c>
      <c r="L58" s="13">
        <f t="shared" ref="L58" si="71">IF($F59=0,MAX(CEILING(L$4/$D59,1),L$6,CEILING(L$5/$E59,1)),MAX(L$6,CEILING(L$3/$F59,1)))</f>
        <v>4</v>
      </c>
      <c r="M58" s="13">
        <f t="shared" ref="M58" si="72">IF($F59=0,MAX(CEILING(M$4/$D59,1),M$6,CEILING(M$5/$E59,1)),MAX(M$6,CEILING(M$3/$F59,1)))</f>
        <v>3</v>
      </c>
      <c r="N58" s="13">
        <f t="shared" ref="N58" si="73">IF($F59=0,MAX(CEILING(N$4/$D59,1),N$6,CEILING(N$5/$E59,1)),MAX(N$6,CEILING(N$3/$F59,1)))</f>
        <v>6</v>
      </c>
      <c r="O58" s="13">
        <f t="shared" ref="O58" si="74">IF($F59=0,MAX(CEILING(O$4/$D59,1),O$6,CEILING(O$5/$E59,1)),MAX(O$6,CEILING(O$3/$F59,1)))</f>
        <v>4</v>
      </c>
      <c r="P58" s="21">
        <f t="shared" ref="P58" si="75">IF($F59=0,MAX(CEILING(P$4/$D59,1),P$6,CEILING(P$5/$E59,1)),MAX(P$6,CEILING(P$3/$F59,1)))</f>
        <v>8</v>
      </c>
    </row>
    <row r="59" spans="1:17" ht="32.25" customHeight="1" x14ac:dyDescent="0.15">
      <c r="A59" s="25" t="s">
        <v>29</v>
      </c>
      <c r="B59" s="25" t="s">
        <v>30</v>
      </c>
      <c r="C59" s="26">
        <v>1000</v>
      </c>
      <c r="D59" s="26">
        <v>330000</v>
      </c>
      <c r="E59" s="26">
        <v>250000</v>
      </c>
      <c r="F59" s="26">
        <v>0</v>
      </c>
      <c r="G59" s="26">
        <v>195</v>
      </c>
      <c r="H59" s="26">
        <v>5.8</v>
      </c>
      <c r="I59" s="11"/>
      <c r="J59" s="12" t="s">
        <v>24</v>
      </c>
      <c r="K59" s="15">
        <f>MAX($K$6,CEILING($B$4/C59,1))</f>
        <v>50</v>
      </c>
      <c r="L59" s="13">
        <f>MAX($L$6,CEILING(2*$B$4/C59,2))</f>
        <v>100</v>
      </c>
      <c r="M59" s="13">
        <f>MAX($M$6,CEILING(1+$B$4/C59,1))</f>
        <v>51</v>
      </c>
      <c r="N59" s="13">
        <f>MAX($N$6,CEILING(2*(1+$B$4/C59),2))</f>
        <v>102</v>
      </c>
      <c r="O59" s="13">
        <f>MAX($O$6,CEILING(2+$B$4/C59,1))</f>
        <v>52</v>
      </c>
      <c r="P59" s="21">
        <f>MAX($P$6,CEILING(2*(2+$B$4/C59),2))</f>
        <v>104</v>
      </c>
    </row>
    <row r="60" spans="1:17" ht="20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2" t="s">
        <v>25</v>
      </c>
      <c r="K60" s="13">
        <f t="shared" ref="K60:P60" si="76">MAX(K58,K59)</f>
        <v>50</v>
      </c>
      <c r="L60" s="13">
        <f t="shared" si="76"/>
        <v>100</v>
      </c>
      <c r="M60" s="13">
        <f t="shared" si="76"/>
        <v>51</v>
      </c>
      <c r="N60" s="13">
        <f t="shared" si="76"/>
        <v>102</v>
      </c>
      <c r="O60" s="13">
        <f t="shared" si="76"/>
        <v>52</v>
      </c>
      <c r="P60" s="21">
        <f t="shared" si="76"/>
        <v>104</v>
      </c>
    </row>
    <row r="61" spans="1:17" ht="32.2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2" t="s">
        <v>26</v>
      </c>
      <c r="K61" s="13">
        <f>K60*$C59</f>
        <v>50000</v>
      </c>
      <c r="L61" s="13">
        <f t="shared" ref="L61" si="77">L60*$C59</f>
        <v>100000</v>
      </c>
      <c r="M61" s="13">
        <f t="shared" ref="M61" si="78">M60*$C59</f>
        <v>51000</v>
      </c>
      <c r="N61" s="13">
        <f t="shared" ref="N61" si="79">N60*$C59</f>
        <v>102000</v>
      </c>
      <c r="O61" s="13">
        <f t="shared" ref="O61" si="80">O60*$C59</f>
        <v>52000</v>
      </c>
      <c r="P61" s="21">
        <f t="shared" ref="P61" si="81">P60*$C59</f>
        <v>104000</v>
      </c>
    </row>
    <row r="62" spans="1:17" ht="20.2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2" t="s">
        <v>21</v>
      </c>
      <c r="K62" s="13">
        <f t="shared" ref="K62:P62" si="82">$H59*K60</f>
        <v>290</v>
      </c>
      <c r="L62" s="13">
        <f t="shared" si="82"/>
        <v>580</v>
      </c>
      <c r="M62" s="13">
        <f t="shared" si="82"/>
        <v>295.8</v>
      </c>
      <c r="N62" s="13">
        <f t="shared" si="82"/>
        <v>591.6</v>
      </c>
      <c r="O62" s="13">
        <f t="shared" si="82"/>
        <v>301.59999999999997</v>
      </c>
      <c r="P62" s="21">
        <f t="shared" si="82"/>
        <v>603.19999999999993</v>
      </c>
    </row>
    <row r="63" spans="1:17" ht="20.2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2" t="s">
        <v>27</v>
      </c>
      <c r="K63" s="13">
        <f t="shared" ref="K63:P63" si="83">$G59*K60</f>
        <v>9750</v>
      </c>
      <c r="L63" s="13">
        <f t="shared" si="83"/>
        <v>19500</v>
      </c>
      <c r="M63" s="13">
        <f t="shared" si="83"/>
        <v>9945</v>
      </c>
      <c r="N63" s="13">
        <f t="shared" si="83"/>
        <v>19890</v>
      </c>
      <c r="O63" s="13">
        <f t="shared" si="83"/>
        <v>10140</v>
      </c>
      <c r="P63" s="21">
        <f t="shared" si="83"/>
        <v>20280</v>
      </c>
    </row>
    <row r="64" spans="1:17" ht="20.2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22"/>
      <c r="Q64" s="18"/>
    </row>
    <row r="65" spans="1:17" ht="21.25" customHeight="1" x14ac:dyDescent="0.15">
      <c r="A65" s="35" t="s">
        <v>40</v>
      </c>
      <c r="B65" s="36"/>
      <c r="C65" s="36"/>
      <c r="D65" s="36"/>
      <c r="E65" s="36"/>
      <c r="F65" s="36"/>
      <c r="G65" s="36"/>
      <c r="H65" s="36"/>
      <c r="I65" s="11"/>
      <c r="J65" s="11"/>
      <c r="K65" s="11"/>
      <c r="L65" s="11"/>
      <c r="M65" s="11"/>
      <c r="N65" s="11"/>
      <c r="O65" s="11"/>
      <c r="P65" s="22"/>
      <c r="Q65" s="18"/>
    </row>
    <row r="66" spans="1:17" ht="32.25" customHeight="1" x14ac:dyDescent="0.15">
      <c r="A66" s="8" t="s">
        <v>14</v>
      </c>
      <c r="B66" s="8" t="s">
        <v>15</v>
      </c>
      <c r="C66" s="8" t="s">
        <v>16</v>
      </c>
      <c r="D66" s="8" t="s">
        <v>17</v>
      </c>
      <c r="E66" s="8" t="s">
        <v>18</v>
      </c>
      <c r="F66" s="8" t="s">
        <v>19</v>
      </c>
      <c r="G66" s="8" t="s">
        <v>20</v>
      </c>
      <c r="H66" s="8" t="s">
        <v>21</v>
      </c>
      <c r="I66" s="11"/>
      <c r="J66" s="12" t="s">
        <v>22</v>
      </c>
      <c r="K66" s="13">
        <f>IF($F67=0,MAX(CEILING(K$4/$D67,1),K$6,CEILING(K$5/$E67,1)),MAX(K$6,CEILING(K$3/$F67,1)))</f>
        <v>2</v>
      </c>
      <c r="L66" s="13">
        <f t="shared" ref="L66" si="84">IF($F67=0,MAX(CEILING(L$4/$D67,1),L$6,CEILING(L$5/$E67,1)),MAX(L$6,CEILING(L$3/$F67,1)))</f>
        <v>4</v>
      </c>
      <c r="M66" s="13">
        <f t="shared" ref="M66" si="85">IF($F67=0,MAX(CEILING(M$4/$D67,1),M$6,CEILING(M$5/$E67,1)),MAX(M$6,CEILING(M$3/$F67,1)))</f>
        <v>3</v>
      </c>
      <c r="N66" s="13">
        <f t="shared" ref="N66" si="86">IF($F67=0,MAX(CEILING(N$4/$D67,1),N$6,CEILING(N$5/$E67,1)),MAX(N$6,CEILING(N$3/$F67,1)))</f>
        <v>6</v>
      </c>
      <c r="O66" s="13">
        <f t="shared" ref="O66" si="87">IF($F67=0,MAX(CEILING(O$4/$D67,1),O$6,CEILING(O$5/$E67,1)),MAX(O$6,CEILING(O$3/$F67,1)))</f>
        <v>4</v>
      </c>
      <c r="P66" s="21">
        <f t="shared" ref="P66" si="88">IF($F67=0,MAX(CEILING(P$4/$D67,1),P$6,CEILING(P$5/$E67,1)),MAX(P$6,CEILING(P$3/$F67,1)))</f>
        <v>8</v>
      </c>
    </row>
    <row r="67" spans="1:17" ht="32.25" customHeight="1" x14ac:dyDescent="0.15">
      <c r="A67" s="25" t="s">
        <v>29</v>
      </c>
      <c r="B67" s="25" t="s">
        <v>30</v>
      </c>
      <c r="C67" s="26">
        <v>1920</v>
      </c>
      <c r="D67" s="26">
        <v>5400000</v>
      </c>
      <c r="E67" s="26">
        <v>205000</v>
      </c>
      <c r="F67" s="26">
        <v>0</v>
      </c>
      <c r="G67" s="26">
        <v>372</v>
      </c>
      <c r="H67" s="26">
        <v>9</v>
      </c>
      <c r="I67" s="11"/>
      <c r="J67" s="12" t="s">
        <v>24</v>
      </c>
      <c r="K67" s="15">
        <f>MAX($K$6,CEILING($B$4/C67,1))</f>
        <v>27</v>
      </c>
      <c r="L67" s="13">
        <f>MAX($L$6,CEILING(2*$B$4/C67,2))</f>
        <v>54</v>
      </c>
      <c r="M67" s="13">
        <f>MAX($M$6,CEILING(1+$B$4/C67,1))</f>
        <v>28</v>
      </c>
      <c r="N67" s="13">
        <f>MAX($N$6,CEILING(2*(1+$B$4/C67),2))</f>
        <v>56</v>
      </c>
      <c r="O67" s="13">
        <f>MAX($O$6,CEILING(2+$B$4/C67,1))</f>
        <v>29</v>
      </c>
      <c r="P67" s="21">
        <f>MAX($P$6,CEILING(2*(2+$B$4/C67),2))</f>
        <v>58</v>
      </c>
    </row>
    <row r="68" spans="1:17" ht="20.2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2" t="s">
        <v>25</v>
      </c>
      <c r="K68" s="13">
        <f t="shared" ref="K68:P68" si="89">MAX(K66,K67)</f>
        <v>27</v>
      </c>
      <c r="L68" s="13">
        <f t="shared" si="89"/>
        <v>54</v>
      </c>
      <c r="M68" s="13">
        <f t="shared" si="89"/>
        <v>28</v>
      </c>
      <c r="N68" s="13">
        <f t="shared" si="89"/>
        <v>56</v>
      </c>
      <c r="O68" s="13">
        <f t="shared" si="89"/>
        <v>29</v>
      </c>
      <c r="P68" s="21">
        <f t="shared" si="89"/>
        <v>58</v>
      </c>
    </row>
    <row r="69" spans="1:17" ht="32.2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2" t="s">
        <v>26</v>
      </c>
      <c r="K69" s="13">
        <f>K68*$C67</f>
        <v>51840</v>
      </c>
      <c r="L69" s="13">
        <f t="shared" ref="L69" si="90">L68*$C67</f>
        <v>103680</v>
      </c>
      <c r="M69" s="13">
        <f t="shared" ref="M69" si="91">M68*$C67</f>
        <v>53760</v>
      </c>
      <c r="N69" s="13">
        <f t="shared" ref="N69" si="92">N68*$C67</f>
        <v>107520</v>
      </c>
      <c r="O69" s="13">
        <f t="shared" ref="O69" si="93">O68*$C67</f>
        <v>55680</v>
      </c>
      <c r="P69" s="21">
        <f t="shared" ref="P69" si="94">P68*$C67</f>
        <v>111360</v>
      </c>
    </row>
    <row r="70" spans="1:17" ht="20.2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2" t="s">
        <v>21</v>
      </c>
      <c r="K70" s="13">
        <f t="shared" ref="K70:P70" si="95">$H67*K68</f>
        <v>243</v>
      </c>
      <c r="L70" s="13">
        <f t="shared" si="95"/>
        <v>486</v>
      </c>
      <c r="M70" s="13">
        <f t="shared" si="95"/>
        <v>252</v>
      </c>
      <c r="N70" s="13">
        <f t="shared" si="95"/>
        <v>504</v>
      </c>
      <c r="O70" s="13">
        <f t="shared" si="95"/>
        <v>261</v>
      </c>
      <c r="P70" s="21">
        <f t="shared" si="95"/>
        <v>522</v>
      </c>
    </row>
    <row r="71" spans="1:17" ht="20.2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2" t="s">
        <v>27</v>
      </c>
      <c r="K71" s="13">
        <f t="shared" ref="K71:P71" si="96">$G67*K68</f>
        <v>10044</v>
      </c>
      <c r="L71" s="13">
        <f t="shared" si="96"/>
        <v>20088</v>
      </c>
      <c r="M71" s="13">
        <f t="shared" si="96"/>
        <v>10416</v>
      </c>
      <c r="N71" s="13">
        <f t="shared" si="96"/>
        <v>20832</v>
      </c>
      <c r="O71" s="13">
        <f t="shared" si="96"/>
        <v>10788</v>
      </c>
      <c r="P71" s="21">
        <f t="shared" si="96"/>
        <v>21576</v>
      </c>
    </row>
    <row r="72" spans="1:17" ht="20.2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22"/>
      <c r="Q72" s="18"/>
    </row>
    <row r="73" spans="1:17" ht="21.25" customHeight="1" x14ac:dyDescent="0.15">
      <c r="A73" s="35" t="s">
        <v>39</v>
      </c>
      <c r="B73" s="36"/>
      <c r="C73" s="36"/>
      <c r="D73" s="36"/>
      <c r="E73" s="36"/>
      <c r="F73" s="36"/>
      <c r="G73" s="36"/>
      <c r="H73" s="36"/>
      <c r="I73" s="11"/>
      <c r="J73" s="11"/>
      <c r="K73" s="11"/>
      <c r="L73" s="11"/>
      <c r="M73" s="11"/>
      <c r="N73" s="11"/>
      <c r="O73" s="11"/>
      <c r="P73" s="22"/>
      <c r="Q73" s="18"/>
    </row>
    <row r="74" spans="1:17" ht="32.25" customHeight="1" x14ac:dyDescent="0.15">
      <c r="A74" s="8" t="s">
        <v>14</v>
      </c>
      <c r="B74" s="8" t="s">
        <v>15</v>
      </c>
      <c r="C74" s="8" t="s">
        <v>16</v>
      </c>
      <c r="D74" s="8" t="s">
        <v>17</v>
      </c>
      <c r="E74" s="8" t="s">
        <v>18</v>
      </c>
      <c r="F74" s="8" t="s">
        <v>19</v>
      </c>
      <c r="G74" s="8" t="s">
        <v>20</v>
      </c>
      <c r="H74" s="8" t="s">
        <v>21</v>
      </c>
      <c r="I74" s="11"/>
      <c r="J74" s="12" t="s">
        <v>22</v>
      </c>
      <c r="K74" s="13">
        <f>IF($F75=0,MAX(CEILING(K$4/$D75,1),K$6,CEILING(K$5/$E75,1)),MAX(K$6,CEILING(K$3/$F75,1)))</f>
        <v>2</v>
      </c>
      <c r="L74" s="13">
        <f t="shared" ref="L74" si="97">IF($F75=0,MAX(CEILING(L$4/$D75,1),L$6,CEILING(L$5/$E75,1)),MAX(L$6,CEILING(L$3/$F75,1)))</f>
        <v>4</v>
      </c>
      <c r="M74" s="13">
        <f t="shared" ref="M74" si="98">IF($F75=0,MAX(CEILING(M$4/$D75,1),M$6,CEILING(M$5/$E75,1)),MAX(M$6,CEILING(M$3/$F75,1)))</f>
        <v>3</v>
      </c>
      <c r="N74" s="13">
        <f t="shared" ref="N74" si="99">IF($F75=0,MAX(CEILING(N$4/$D75,1),N$6,CEILING(N$5/$E75,1)),MAX(N$6,CEILING(N$3/$F75,1)))</f>
        <v>6</v>
      </c>
      <c r="O74" s="13">
        <f t="shared" ref="O74" si="100">IF($F75=0,MAX(CEILING(O$4/$D75,1),O$6,CEILING(O$5/$E75,1)),MAX(O$6,CEILING(O$3/$F75,1)))</f>
        <v>4</v>
      </c>
      <c r="P74" s="21">
        <f t="shared" ref="P74" si="101">IF($F75=0,MAX(CEILING(P$4/$D75,1),P$6,CEILING(P$5/$E75,1)),MAX(P$6,CEILING(P$3/$F75,1)))</f>
        <v>8</v>
      </c>
    </row>
    <row r="75" spans="1:17" ht="32.25" customHeight="1" x14ac:dyDescent="0.15">
      <c r="A75" s="25" t="s">
        <v>29</v>
      </c>
      <c r="B75" s="25" t="s">
        <v>30</v>
      </c>
      <c r="C75" s="26">
        <v>7680</v>
      </c>
      <c r="D75" s="26">
        <v>467000</v>
      </c>
      <c r="E75" s="26">
        <v>65000</v>
      </c>
      <c r="F75" s="26">
        <v>0</v>
      </c>
      <c r="G75" s="26">
        <v>1545</v>
      </c>
      <c r="H75" s="26">
        <v>12</v>
      </c>
      <c r="I75" s="11"/>
      <c r="J75" s="12" t="s">
        <v>24</v>
      </c>
      <c r="K75" s="15">
        <f>MAX($K$6,CEILING($B$4/C75,1))</f>
        <v>7</v>
      </c>
      <c r="L75" s="13">
        <f>MAX($L$6,CEILING(2*$B$4/C75,2))</f>
        <v>14</v>
      </c>
      <c r="M75" s="13">
        <f>MAX($M$6,CEILING(1+$B$4/C75,1))</f>
        <v>8</v>
      </c>
      <c r="N75" s="13">
        <f>MAX($N$6,CEILING(2*(1+$B$4/C75),2))</f>
        <v>16</v>
      </c>
      <c r="O75" s="13">
        <f>MAX($O$6,CEILING(2+$B$4/C75,1))</f>
        <v>9</v>
      </c>
      <c r="P75" s="21">
        <f>MAX($P$6,CEILING(2*(2+$B$4/C75),2))</f>
        <v>18</v>
      </c>
    </row>
    <row r="76" spans="1:17" ht="20.2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2" t="s">
        <v>25</v>
      </c>
      <c r="K76" s="13">
        <f t="shared" ref="K76:P76" si="102">MAX(K74,K75)</f>
        <v>7</v>
      </c>
      <c r="L76" s="13">
        <f t="shared" si="102"/>
        <v>14</v>
      </c>
      <c r="M76" s="13">
        <f t="shared" si="102"/>
        <v>8</v>
      </c>
      <c r="N76" s="13">
        <f t="shared" si="102"/>
        <v>16</v>
      </c>
      <c r="O76" s="13">
        <f t="shared" si="102"/>
        <v>9</v>
      </c>
      <c r="P76" s="21">
        <f t="shared" si="102"/>
        <v>18</v>
      </c>
    </row>
    <row r="77" spans="1:17" ht="32.2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2" t="s">
        <v>26</v>
      </c>
      <c r="K77" s="13">
        <f>K76*$C75</f>
        <v>53760</v>
      </c>
      <c r="L77" s="13">
        <f t="shared" ref="L77" si="103">L76*$C75</f>
        <v>107520</v>
      </c>
      <c r="M77" s="13">
        <f t="shared" ref="M77" si="104">M76*$C75</f>
        <v>61440</v>
      </c>
      <c r="N77" s="13">
        <f t="shared" ref="N77" si="105">N76*$C75</f>
        <v>122880</v>
      </c>
      <c r="O77" s="13">
        <f t="shared" ref="O77" si="106">O76*$C75</f>
        <v>69120</v>
      </c>
      <c r="P77" s="21">
        <f t="shared" ref="P77" si="107">P76*$C75</f>
        <v>138240</v>
      </c>
    </row>
    <row r="78" spans="1:17" ht="20.2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2" t="s">
        <v>21</v>
      </c>
      <c r="K78" s="13">
        <f t="shared" ref="K78:P78" si="108">$H75*K76</f>
        <v>84</v>
      </c>
      <c r="L78" s="13">
        <f t="shared" si="108"/>
        <v>168</v>
      </c>
      <c r="M78" s="13">
        <f t="shared" si="108"/>
        <v>96</v>
      </c>
      <c r="N78" s="13">
        <f t="shared" si="108"/>
        <v>192</v>
      </c>
      <c r="O78" s="13">
        <f t="shared" si="108"/>
        <v>108</v>
      </c>
      <c r="P78" s="21">
        <f t="shared" si="108"/>
        <v>216</v>
      </c>
    </row>
    <row r="79" spans="1:17" ht="20.2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2" t="s">
        <v>27</v>
      </c>
      <c r="K79" s="13">
        <f t="shared" ref="K79:P79" si="109">$G75*K76</f>
        <v>10815</v>
      </c>
      <c r="L79" s="13">
        <f t="shared" si="109"/>
        <v>21630</v>
      </c>
      <c r="M79" s="13">
        <f t="shared" si="109"/>
        <v>12360</v>
      </c>
      <c r="N79" s="13">
        <f t="shared" si="109"/>
        <v>24720</v>
      </c>
      <c r="O79" s="13">
        <f t="shared" si="109"/>
        <v>13905</v>
      </c>
      <c r="P79" s="21">
        <f t="shared" si="109"/>
        <v>27810</v>
      </c>
    </row>
    <row r="80" spans="1:17" ht="20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22"/>
      <c r="Q80" s="18"/>
    </row>
    <row r="81" spans="1:17" ht="21.25" customHeight="1" x14ac:dyDescent="0.15">
      <c r="A81" s="35" t="s">
        <v>42</v>
      </c>
      <c r="B81" s="36"/>
      <c r="C81" s="36"/>
      <c r="D81" s="36"/>
      <c r="E81" s="36"/>
      <c r="F81" s="36"/>
      <c r="G81" s="36"/>
      <c r="H81" s="36"/>
      <c r="I81" s="11"/>
      <c r="J81" s="11"/>
      <c r="K81" s="11"/>
      <c r="L81" s="11"/>
      <c r="M81" s="11"/>
      <c r="N81" s="11"/>
      <c r="O81" s="11"/>
      <c r="P81" s="22"/>
      <c r="Q81" s="18"/>
    </row>
    <row r="82" spans="1:17" ht="32.25" customHeight="1" x14ac:dyDescent="0.15">
      <c r="A82" s="8" t="s">
        <v>14</v>
      </c>
      <c r="B82" s="8" t="s">
        <v>15</v>
      </c>
      <c r="C82" s="8" t="s">
        <v>16</v>
      </c>
      <c r="D82" s="8" t="s">
        <v>17</v>
      </c>
      <c r="E82" s="8" t="s">
        <v>18</v>
      </c>
      <c r="F82" s="8" t="s">
        <v>19</v>
      </c>
      <c r="G82" s="8" t="s">
        <v>20</v>
      </c>
      <c r="H82" s="8" t="s">
        <v>21</v>
      </c>
      <c r="I82" s="11"/>
      <c r="J82" s="12" t="s">
        <v>22</v>
      </c>
      <c r="K82" s="13">
        <f>IF($F83=0,MAX(CEILING(K$4/$D83,1),K$6,CEILING(K$5/$E83,1)),MAX(K$6,CEILING(K$3/$F83,1)))</f>
        <v>2</v>
      </c>
      <c r="L82" s="13">
        <f t="shared" ref="L82" si="110">IF($F83=0,MAX(CEILING(L$4/$D83,1),L$6,CEILING(L$5/$E83,1)),MAX(L$6,CEILING(L$3/$F83,1)))</f>
        <v>4</v>
      </c>
      <c r="M82" s="13">
        <f t="shared" ref="M82" si="111">IF($F83=0,MAX(CEILING(M$4/$D83,1),M$6,CEILING(M$5/$E83,1)),MAX(M$6,CEILING(M$3/$F83,1)))</f>
        <v>3</v>
      </c>
      <c r="N82" s="13">
        <f t="shared" ref="N82" si="112">IF($F83=0,MAX(CEILING(N$4/$D83,1),N$6,CEILING(N$5/$E83,1)),MAX(N$6,CEILING(N$3/$F83,1)))</f>
        <v>6</v>
      </c>
      <c r="O82" s="13">
        <f t="shared" ref="O82" si="113">IF($F83=0,MAX(CEILING(O$4/$D83,1),O$6,CEILING(O$5/$E83,1)),MAX(O$6,CEILING(O$3/$F83,1)))</f>
        <v>4</v>
      </c>
      <c r="P82" s="21">
        <f t="shared" ref="P82" si="114">IF($F83=0,MAX(CEILING(P$4/$D83,1),P$6,CEILING(P$5/$E83,1)),MAX(P$6,CEILING(P$3/$F83,1)))</f>
        <v>8</v>
      </c>
    </row>
    <row r="83" spans="1:17" ht="32.25" customHeight="1" x14ac:dyDescent="0.15">
      <c r="A83" s="25" t="s">
        <v>29</v>
      </c>
      <c r="B83" s="25" t="s">
        <v>30</v>
      </c>
      <c r="C83" s="26">
        <v>3800</v>
      </c>
      <c r="D83" s="26">
        <v>511000</v>
      </c>
      <c r="E83" s="26">
        <v>82000</v>
      </c>
      <c r="F83" s="26">
        <v>0</v>
      </c>
      <c r="G83" s="26">
        <v>750</v>
      </c>
      <c r="H83" s="26">
        <v>8</v>
      </c>
      <c r="I83" s="11"/>
      <c r="J83" s="12" t="s">
        <v>24</v>
      </c>
      <c r="K83" s="15">
        <f>MAX($K$6,CEILING($B$4/C83,1))</f>
        <v>14</v>
      </c>
      <c r="L83" s="13">
        <f>MAX($L$6,CEILING(2*$B$4/C83,2))</f>
        <v>28</v>
      </c>
      <c r="M83" s="13">
        <f>MAX($M$6,CEILING(1+$B$4/C83,1))</f>
        <v>15</v>
      </c>
      <c r="N83" s="13">
        <f>MAX($N$6,CEILING(2*(1+$B$4/C83),2))</f>
        <v>30</v>
      </c>
      <c r="O83" s="13">
        <f>MAX($O$6,CEILING(2+$B$4/C83,1))</f>
        <v>16</v>
      </c>
      <c r="P83" s="21">
        <f>MAX($P$6,CEILING(2*(2+$B$4/C83),2))</f>
        <v>32</v>
      </c>
    </row>
    <row r="84" spans="1:17" ht="20.2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2" t="s">
        <v>25</v>
      </c>
      <c r="K84" s="13">
        <f t="shared" ref="K84:P84" si="115">MAX(K82,K83)</f>
        <v>14</v>
      </c>
      <c r="L84" s="13">
        <f t="shared" si="115"/>
        <v>28</v>
      </c>
      <c r="M84" s="13">
        <f t="shared" si="115"/>
        <v>15</v>
      </c>
      <c r="N84" s="13">
        <f t="shared" si="115"/>
        <v>30</v>
      </c>
      <c r="O84" s="13">
        <f t="shared" si="115"/>
        <v>16</v>
      </c>
      <c r="P84" s="21">
        <f t="shared" si="115"/>
        <v>32</v>
      </c>
    </row>
    <row r="85" spans="1:17" ht="32.2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2" t="s">
        <v>26</v>
      </c>
      <c r="K85" s="13">
        <f>K84*$C83</f>
        <v>53200</v>
      </c>
      <c r="L85" s="13">
        <f t="shared" ref="L85" si="116">L84*$C83</f>
        <v>106400</v>
      </c>
      <c r="M85" s="13">
        <f t="shared" ref="M85" si="117">M84*$C83</f>
        <v>57000</v>
      </c>
      <c r="N85" s="13">
        <f t="shared" ref="N85" si="118">N84*$C83</f>
        <v>114000</v>
      </c>
      <c r="O85" s="13">
        <f t="shared" ref="O85" si="119">O84*$C83</f>
        <v>60800</v>
      </c>
      <c r="P85" s="21">
        <f t="shared" ref="P85" si="120">P84*$C83</f>
        <v>121600</v>
      </c>
    </row>
    <row r="86" spans="1:17" ht="20.2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2" t="s">
        <v>21</v>
      </c>
      <c r="K86" s="13">
        <f t="shared" ref="K86:P86" si="121">$H83*K84</f>
        <v>112</v>
      </c>
      <c r="L86" s="13">
        <f t="shared" si="121"/>
        <v>224</v>
      </c>
      <c r="M86" s="13">
        <f t="shared" si="121"/>
        <v>120</v>
      </c>
      <c r="N86" s="13">
        <f t="shared" si="121"/>
        <v>240</v>
      </c>
      <c r="O86" s="13">
        <f t="shared" si="121"/>
        <v>128</v>
      </c>
      <c r="P86" s="21">
        <f t="shared" si="121"/>
        <v>256</v>
      </c>
    </row>
    <row r="87" spans="1:17" ht="20.2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2" t="s">
        <v>27</v>
      </c>
      <c r="K87" s="13">
        <f t="shared" ref="K87:P87" si="122">$G83*K84</f>
        <v>10500</v>
      </c>
      <c r="L87" s="13">
        <f t="shared" si="122"/>
        <v>21000</v>
      </c>
      <c r="M87" s="13">
        <f t="shared" si="122"/>
        <v>11250</v>
      </c>
      <c r="N87" s="13">
        <f t="shared" si="122"/>
        <v>22500</v>
      </c>
      <c r="O87" s="13">
        <f t="shared" si="122"/>
        <v>12000</v>
      </c>
      <c r="P87" s="21">
        <f t="shared" si="122"/>
        <v>24000</v>
      </c>
    </row>
    <row r="88" spans="1:17" ht="20.2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22"/>
      <c r="Q88" s="18"/>
    </row>
  </sheetData>
  <mergeCells count="12">
    <mergeCell ref="A81:H81"/>
    <mergeCell ref="A73:H73"/>
    <mergeCell ref="A57:H57"/>
    <mergeCell ref="A49:H49"/>
    <mergeCell ref="A33:H33"/>
    <mergeCell ref="A65:H65"/>
    <mergeCell ref="K2:P2"/>
    <mergeCell ref="A25:H25"/>
    <mergeCell ref="A17:H17"/>
    <mergeCell ref="A9:H9"/>
    <mergeCell ref="A41:H41"/>
    <mergeCell ref="A8:P8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2021-02-18T11:44:23Z</dcterms:created>
  <dcterms:modified xsi:type="dcterms:W3CDTF">2021-02-24T17:54:59Z</dcterms:modified>
</cp:coreProperties>
</file>