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ocuments\МФТИ\Лабы\2.2.6\"/>
    </mc:Choice>
  </mc:AlternateContent>
  <xr:revisionPtr revIDLastSave="0" documentId="13_ncr:1_{D74FA949-6220-44CB-8636-8B1BDB80DC2D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Рассчёты" sheetId="1" r:id="rId1"/>
    <sheet name="График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26" i="1" s="1"/>
  <c r="Y7" i="1"/>
  <c r="Y6" i="1"/>
  <c r="Y5" i="1"/>
  <c r="Y4" i="1"/>
  <c r="Y3" i="1"/>
  <c r="Y2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S2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AA10" i="1"/>
  <c r="B10" i="2" s="1"/>
  <c r="AA11" i="1"/>
  <c r="B11" i="2" s="1"/>
  <c r="AA12" i="1"/>
  <c r="B12" i="2" s="1"/>
  <c r="AA13" i="1"/>
  <c r="B13" i="2" s="1"/>
  <c r="AA15" i="1"/>
  <c r="B15" i="2" s="1"/>
  <c r="AA16" i="1"/>
  <c r="B16" i="2" s="1"/>
  <c r="AA17" i="1"/>
  <c r="B17" i="2" s="1"/>
  <c r="AA18" i="1"/>
  <c r="B18" i="2" s="1"/>
  <c r="AA19" i="1"/>
  <c r="B19" i="2" s="1"/>
  <c r="AA20" i="1"/>
  <c r="B20" i="2" s="1"/>
  <c r="AA21" i="1"/>
  <c r="B21" i="2" s="1"/>
  <c r="AA22" i="1"/>
  <c r="B22" i="2" s="1"/>
  <c r="AA23" i="1"/>
  <c r="B23" i="2" s="1"/>
  <c r="AA24" i="1"/>
  <c r="B24" i="2" s="1"/>
  <c r="AA25" i="1"/>
  <c r="B25" i="2" s="1"/>
  <c r="C35" i="1"/>
  <c r="C36" i="1"/>
  <c r="G3" i="1"/>
  <c r="J3" i="1" s="1"/>
  <c r="G6" i="1"/>
  <c r="J6" i="1" s="1"/>
  <c r="G7" i="1"/>
  <c r="J7" i="1" s="1"/>
  <c r="G10" i="1"/>
  <c r="J10" i="1" s="1"/>
  <c r="G4" i="1"/>
  <c r="J4" i="1" s="1"/>
  <c r="G5" i="1"/>
  <c r="J5" i="1" s="1"/>
  <c r="G8" i="1"/>
  <c r="J8" i="1" s="1"/>
  <c r="G9" i="1"/>
  <c r="J9" i="1" s="1"/>
  <c r="G11" i="1"/>
  <c r="J11" i="1" s="1"/>
  <c r="G12" i="1"/>
  <c r="J12" i="1" s="1"/>
  <c r="G14" i="1"/>
  <c r="J14" i="1" s="1"/>
  <c r="G15" i="1"/>
  <c r="J15" i="1" s="1"/>
  <c r="G18" i="1"/>
  <c r="J18" i="1" s="1"/>
  <c r="G19" i="1"/>
  <c r="J19" i="1" s="1"/>
  <c r="G13" i="1"/>
  <c r="J13" i="1" s="1"/>
  <c r="G16" i="1"/>
  <c r="J16" i="1" s="1"/>
  <c r="G17" i="1"/>
  <c r="J17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" i="1"/>
  <c r="J2" i="1" s="1"/>
  <c r="D14" i="1"/>
  <c r="AA14" i="1" s="1"/>
  <c r="B14" i="2" s="1"/>
  <c r="D9" i="1"/>
  <c r="AA9" i="1" s="1"/>
  <c r="B9" i="2" s="1"/>
  <c r="D8" i="1"/>
  <c r="AA8" i="1" s="1"/>
  <c r="B8" i="2" s="1"/>
  <c r="D7" i="1"/>
  <c r="AA7" i="1" s="1"/>
  <c r="B7" i="2" s="1"/>
  <c r="D6" i="1"/>
  <c r="AA6" i="1" s="1"/>
  <c r="B6" i="2" s="1"/>
  <c r="D5" i="1"/>
  <c r="AA5" i="1" s="1"/>
  <c r="B5" i="2" s="1"/>
  <c r="D4" i="1"/>
  <c r="AA4" i="1" s="1"/>
  <c r="B4" i="2" s="1"/>
  <c r="D3" i="1"/>
  <c r="AA3" i="1" s="1"/>
  <c r="B3" i="2" s="1"/>
  <c r="D2" i="1"/>
  <c r="AA2" i="1" s="1"/>
  <c r="B2" i="2" s="1"/>
  <c r="C11" i="1"/>
  <c r="C9" i="1"/>
  <c r="C8" i="1"/>
  <c r="C5" i="1"/>
  <c r="C4" i="1"/>
  <c r="C6" i="1"/>
  <c r="C10" i="1"/>
  <c r="C7" i="1"/>
  <c r="C2" i="1"/>
  <c r="C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H4" i="1" l="1"/>
  <c r="K4" i="1" s="1"/>
  <c r="H25" i="1"/>
  <c r="K25" i="1" s="1"/>
  <c r="H20" i="1"/>
  <c r="K20" i="1" s="1"/>
  <c r="H12" i="1"/>
  <c r="K12" i="1" s="1"/>
  <c r="H19" i="1"/>
  <c r="K19" i="1" s="1"/>
  <c r="H11" i="1"/>
  <c r="K11" i="1" s="1"/>
  <c r="H2" i="1"/>
  <c r="K2" i="1" s="1"/>
  <c r="H18" i="1"/>
  <c r="K18" i="1" s="1"/>
  <c r="H10" i="1"/>
  <c r="K10" i="1" s="1"/>
  <c r="H17" i="1"/>
  <c r="K17" i="1" s="1"/>
  <c r="H24" i="1"/>
  <c r="K24" i="1" s="1"/>
  <c r="H16" i="1"/>
  <c r="K16" i="1" s="1"/>
  <c r="H8" i="1"/>
  <c r="K8" i="1" s="1"/>
  <c r="H23" i="1"/>
  <c r="K23" i="1" s="1"/>
  <c r="H15" i="1"/>
  <c r="K15" i="1" s="1"/>
  <c r="H7" i="1"/>
  <c r="K7" i="1" s="1"/>
  <c r="H22" i="1"/>
  <c r="K22" i="1" s="1"/>
  <c r="H14" i="1"/>
  <c r="K14" i="1" s="1"/>
  <c r="H6" i="1"/>
  <c r="K6" i="1" s="1"/>
  <c r="H9" i="1"/>
  <c r="K9" i="1" s="1"/>
  <c r="H21" i="1"/>
  <c r="K21" i="1" s="1"/>
  <c r="H13" i="1"/>
  <c r="K13" i="1" s="1"/>
  <c r="H5" i="1"/>
  <c r="K5" i="1" s="1"/>
  <c r="H3" i="1"/>
  <c r="K3" i="1" s="1"/>
  <c r="C38" i="1"/>
  <c r="C39" i="1" s="1"/>
  <c r="L11" i="1" l="1"/>
  <c r="L4" i="1"/>
  <c r="L14" i="1"/>
  <c r="L6" i="1"/>
  <c r="L12" i="1"/>
  <c r="L18" i="1"/>
  <c r="L22" i="1"/>
  <c r="L8" i="1"/>
  <c r="N8" i="1" s="1"/>
  <c r="L10" i="1"/>
  <c r="L3" i="1"/>
  <c r="N3" i="1" s="1"/>
  <c r="L15" i="1"/>
  <c r="L25" i="1"/>
  <c r="N25" i="1" s="1"/>
  <c r="L24" i="1"/>
  <c r="L7" i="1"/>
  <c r="N7" i="1" s="1"/>
  <c r="L13" i="1"/>
  <c r="L17" i="1"/>
  <c r="N17" i="1" s="1"/>
  <c r="L16" i="1"/>
  <c r="L5" i="1"/>
  <c r="L9" i="1"/>
  <c r="L23" i="1"/>
  <c r="L20" i="1"/>
  <c r="L19" i="1"/>
  <c r="L2" i="1"/>
  <c r="L21" i="1"/>
  <c r="O8" i="1" l="1"/>
  <c r="Q8" i="1"/>
  <c r="O7" i="1"/>
  <c r="Q7" i="1"/>
  <c r="O3" i="1"/>
  <c r="Q3" i="1"/>
  <c r="O17" i="1"/>
  <c r="R17" i="1" s="1"/>
  <c r="Q17" i="1"/>
  <c r="O25" i="1"/>
  <c r="Q25" i="1"/>
  <c r="N5" i="1"/>
  <c r="T5" i="1" s="1"/>
  <c r="W5" i="1" s="1"/>
  <c r="N19" i="1"/>
  <c r="N13" i="1"/>
  <c r="T13" i="1" s="1"/>
  <c r="W13" i="1" s="1"/>
  <c r="N6" i="1"/>
  <c r="N22" i="1"/>
  <c r="N18" i="1"/>
  <c r="N24" i="1"/>
  <c r="N23" i="1"/>
  <c r="N9" i="1"/>
  <c r="N15" i="1"/>
  <c r="N14" i="1"/>
  <c r="Q14" i="1" s="1"/>
  <c r="N12" i="1"/>
  <c r="N4" i="1"/>
  <c r="Q4" i="1" s="1"/>
  <c r="N20" i="1"/>
  <c r="N21" i="1"/>
  <c r="N2" i="1"/>
  <c r="N16" i="1"/>
  <c r="N10" i="1"/>
  <c r="T10" i="1" s="1"/>
  <c r="W10" i="1" s="1"/>
  <c r="N11" i="1"/>
  <c r="Z3" i="1"/>
  <c r="C3" i="2" s="1"/>
  <c r="E3" i="2" s="1"/>
  <c r="Z17" i="1"/>
  <c r="T8" i="1"/>
  <c r="W8" i="1" s="1"/>
  <c r="Z8" i="1"/>
  <c r="C8" i="2" s="1"/>
  <c r="E8" i="2" s="1"/>
  <c r="Z25" i="1"/>
  <c r="C25" i="2" s="1"/>
  <c r="E25" i="2" s="1"/>
  <c r="Z7" i="1"/>
  <c r="C7" i="2" s="1"/>
  <c r="E7" i="2" s="1"/>
  <c r="T25" i="1"/>
  <c r="W25" i="1" s="1"/>
  <c r="D23" i="2"/>
  <c r="T3" i="1"/>
  <c r="W3" i="1" s="1"/>
  <c r="T17" i="1"/>
  <c r="W17" i="1" s="1"/>
  <c r="T7" i="1"/>
  <c r="W7" i="1" s="1"/>
  <c r="D4" i="2"/>
  <c r="D6" i="2"/>
  <c r="D11" i="2"/>
  <c r="D13" i="2"/>
  <c r="D22" i="2"/>
  <c r="D15" i="2"/>
  <c r="D18" i="2"/>
  <c r="D14" i="2"/>
  <c r="D16" i="2"/>
  <c r="D12" i="2"/>
  <c r="D8" i="2"/>
  <c r="D5" i="2"/>
  <c r="Z5" i="1" l="1"/>
  <c r="C5" i="2" s="1"/>
  <c r="E5" i="2" s="1"/>
  <c r="Z11" i="1"/>
  <c r="C11" i="2" s="1"/>
  <c r="Q11" i="1"/>
  <c r="O2" i="1"/>
  <c r="Q2" i="1"/>
  <c r="O23" i="1"/>
  <c r="Q23" i="1"/>
  <c r="O5" i="1"/>
  <c r="Q5" i="1"/>
  <c r="P8" i="1"/>
  <c r="U8" i="1"/>
  <c r="X8" i="1" s="1"/>
  <c r="O16" i="1"/>
  <c r="Q16" i="1"/>
  <c r="O9" i="1"/>
  <c r="Q9" i="1"/>
  <c r="P7" i="1"/>
  <c r="U7" i="1"/>
  <c r="X7" i="1" s="1"/>
  <c r="R7" i="1"/>
  <c r="O18" i="1"/>
  <c r="Q18" i="1"/>
  <c r="R8" i="1"/>
  <c r="O15" i="1"/>
  <c r="Q15" i="1"/>
  <c r="O21" i="1"/>
  <c r="Q21" i="1"/>
  <c r="O22" i="1"/>
  <c r="Q22" i="1"/>
  <c r="P25" i="1"/>
  <c r="U25" i="1"/>
  <c r="X25" i="1" s="1"/>
  <c r="R25" i="1"/>
  <c r="O10" i="1"/>
  <c r="Q10" i="1"/>
  <c r="O19" i="1"/>
  <c r="Q19" i="1"/>
  <c r="P3" i="1"/>
  <c r="U3" i="1"/>
  <c r="X3" i="1" s="1"/>
  <c r="R3" i="1"/>
  <c r="O24" i="1"/>
  <c r="Q24" i="1"/>
  <c r="T19" i="1"/>
  <c r="W19" i="1" s="1"/>
  <c r="O20" i="1"/>
  <c r="Q20" i="1"/>
  <c r="T15" i="1"/>
  <c r="W15" i="1" s="1"/>
  <c r="O12" i="1"/>
  <c r="Q12" i="1"/>
  <c r="Z6" i="1"/>
  <c r="C6" i="2" s="1"/>
  <c r="E6" i="2" s="1"/>
  <c r="Q6" i="1"/>
  <c r="O13" i="1"/>
  <c r="Q13" i="1"/>
  <c r="P17" i="1"/>
  <c r="U17" i="1"/>
  <c r="X17" i="1" s="1"/>
  <c r="T9" i="1"/>
  <c r="W9" i="1" s="1"/>
  <c r="T21" i="1"/>
  <c r="W21" i="1" s="1"/>
  <c r="T24" i="1"/>
  <c r="W24" i="1" s="1"/>
  <c r="Z12" i="1"/>
  <c r="C12" i="2" s="1"/>
  <c r="E12" i="2" s="1"/>
  <c r="Z23" i="1"/>
  <c r="C23" i="2" s="1"/>
  <c r="E23" i="2" s="1"/>
  <c r="Z24" i="1"/>
  <c r="C24" i="2" s="1"/>
  <c r="E24" i="2" s="1"/>
  <c r="Z20" i="1"/>
  <c r="C20" i="2" s="1"/>
  <c r="E20" i="2" s="1"/>
  <c r="E11" i="2"/>
  <c r="F11" i="2"/>
  <c r="Z14" i="1"/>
  <c r="C14" i="2" s="1"/>
  <c r="E14" i="2" s="1"/>
  <c r="Z2" i="1"/>
  <c r="C2" i="2" s="1"/>
  <c r="E2" i="2" s="1"/>
  <c r="T6" i="1"/>
  <c r="W6" i="1" s="1"/>
  <c r="Z21" i="1"/>
  <c r="C21" i="2" s="1"/>
  <c r="E21" i="2" s="1"/>
  <c r="T23" i="1"/>
  <c r="W23" i="1" s="1"/>
  <c r="Z13" i="1"/>
  <c r="C13" i="2" s="1"/>
  <c r="T20" i="1"/>
  <c r="W20" i="1" s="1"/>
  <c r="Z16" i="1"/>
  <c r="C16" i="2" s="1"/>
  <c r="Z4" i="1"/>
  <c r="C4" i="2" s="1"/>
  <c r="Z9" i="1"/>
  <c r="C9" i="2" s="1"/>
  <c r="E9" i="2" s="1"/>
  <c r="Z22" i="1"/>
  <c r="C22" i="2" s="1"/>
  <c r="T16" i="1"/>
  <c r="W16" i="1" s="1"/>
  <c r="O6" i="1"/>
  <c r="T12" i="1"/>
  <c r="W12" i="1" s="1"/>
  <c r="O11" i="1"/>
  <c r="T11" i="1"/>
  <c r="W11" i="1" s="1"/>
  <c r="O14" i="1"/>
  <c r="T14" i="1"/>
  <c r="W14" i="1" s="1"/>
  <c r="O4" i="1"/>
  <c r="T4" i="1"/>
  <c r="W4" i="1" s="1"/>
  <c r="T2" i="1"/>
  <c r="W2" i="1" s="1"/>
  <c r="T18" i="1"/>
  <c r="W18" i="1" s="1"/>
  <c r="T22" i="1"/>
  <c r="W22" i="1" s="1"/>
  <c r="Z10" i="1"/>
  <c r="C10" i="2" s="1"/>
  <c r="E10" i="2" s="1"/>
  <c r="Z15" i="1"/>
  <c r="C15" i="2" s="1"/>
  <c r="Z18" i="1"/>
  <c r="C18" i="2" s="1"/>
  <c r="Z19" i="1"/>
  <c r="C19" i="2" s="1"/>
  <c r="E19" i="2" s="1"/>
  <c r="F8" i="2"/>
  <c r="F5" i="2"/>
  <c r="C17" i="2"/>
  <c r="F17" i="2" s="1"/>
  <c r="D20" i="2"/>
  <c r="F20" i="2"/>
  <c r="F7" i="2"/>
  <c r="D7" i="2"/>
  <c r="F25" i="2"/>
  <c r="D25" i="2"/>
  <c r="F3" i="2"/>
  <c r="D3" i="2"/>
  <c r="D24" i="2"/>
  <c r="D17" i="2"/>
  <c r="D10" i="2"/>
  <c r="D9" i="2"/>
  <c r="D21" i="2"/>
  <c r="D19" i="2"/>
  <c r="B26" i="2"/>
  <c r="D2" i="2"/>
  <c r="F21" i="2" l="1"/>
  <c r="F6" i="2"/>
  <c r="P19" i="1"/>
  <c r="U19" i="1"/>
  <c r="X19" i="1" s="1"/>
  <c r="R19" i="1"/>
  <c r="P5" i="1"/>
  <c r="U5" i="1"/>
  <c r="X5" i="1" s="1"/>
  <c r="R5" i="1"/>
  <c r="F23" i="2"/>
  <c r="P14" i="1"/>
  <c r="U14" i="1"/>
  <c r="X14" i="1" s="1"/>
  <c r="R14" i="1"/>
  <c r="P10" i="1"/>
  <c r="U10" i="1"/>
  <c r="X10" i="1" s="1"/>
  <c r="R10" i="1"/>
  <c r="P24" i="1"/>
  <c r="U24" i="1"/>
  <c r="X24" i="1" s="1"/>
  <c r="R24" i="1"/>
  <c r="P15" i="1"/>
  <c r="U15" i="1"/>
  <c r="X15" i="1" s="1"/>
  <c r="R15" i="1"/>
  <c r="P9" i="1"/>
  <c r="U9" i="1"/>
  <c r="X9" i="1" s="1"/>
  <c r="R9" i="1"/>
  <c r="P23" i="1"/>
  <c r="U23" i="1"/>
  <c r="X23" i="1" s="1"/>
  <c r="R23" i="1"/>
  <c r="P4" i="1"/>
  <c r="U4" i="1"/>
  <c r="X4" i="1" s="1"/>
  <c r="R4" i="1"/>
  <c r="P20" i="1"/>
  <c r="U20" i="1"/>
  <c r="X20" i="1" s="1"/>
  <c r="R20" i="1"/>
  <c r="P13" i="1"/>
  <c r="U13" i="1"/>
  <c r="X13" i="1" s="1"/>
  <c r="R13" i="1"/>
  <c r="P21" i="1"/>
  <c r="U21" i="1"/>
  <c r="X21" i="1" s="1"/>
  <c r="R21" i="1"/>
  <c r="P11" i="1"/>
  <c r="U11" i="1"/>
  <c r="X11" i="1" s="1"/>
  <c r="R11" i="1"/>
  <c r="P18" i="1"/>
  <c r="U18" i="1"/>
  <c r="X18" i="1" s="1"/>
  <c r="R18" i="1"/>
  <c r="P12" i="1"/>
  <c r="U12" i="1"/>
  <c r="X12" i="1" s="1"/>
  <c r="R12" i="1"/>
  <c r="P16" i="1"/>
  <c r="U16" i="1"/>
  <c r="X16" i="1" s="1"/>
  <c r="R16" i="1"/>
  <c r="P2" i="1"/>
  <c r="U2" i="1"/>
  <c r="X2" i="1" s="1"/>
  <c r="R2" i="1"/>
  <c r="P6" i="1"/>
  <c r="U6" i="1"/>
  <c r="X6" i="1" s="1"/>
  <c r="R6" i="1"/>
  <c r="F9" i="2"/>
  <c r="P22" i="1"/>
  <c r="U22" i="1"/>
  <c r="X22" i="1" s="1"/>
  <c r="R22" i="1"/>
  <c r="F12" i="2"/>
  <c r="F24" i="2"/>
  <c r="F2" i="2"/>
  <c r="E13" i="2"/>
  <c r="F13" i="2"/>
  <c r="F14" i="2"/>
  <c r="E15" i="2"/>
  <c r="F15" i="2"/>
  <c r="F10" i="2"/>
  <c r="E22" i="2"/>
  <c r="F22" i="2"/>
  <c r="E4" i="2"/>
  <c r="F4" i="2"/>
  <c r="F19" i="2"/>
  <c r="E18" i="2"/>
  <c r="F18" i="2"/>
  <c r="E16" i="2"/>
  <c r="F16" i="2"/>
  <c r="E17" i="2"/>
  <c r="C26" i="2"/>
  <c r="D26" i="2"/>
  <c r="P26" i="1" l="1"/>
  <c r="F26" i="2"/>
  <c r="B30" i="2" s="1"/>
  <c r="E26" i="2"/>
  <c r="C30" i="2" l="1"/>
  <c r="B33" i="2"/>
  <c r="G31" i="2" l="1"/>
  <c r="D30" i="2"/>
  <c r="G30" i="2"/>
  <c r="AB9" i="1" l="1"/>
  <c r="AC9" i="1" s="1"/>
  <c r="AB17" i="1"/>
  <c r="AC17" i="1" s="1"/>
  <c r="AB25" i="1"/>
  <c r="AC25" i="1" s="1"/>
  <c r="AB6" i="1"/>
  <c r="AC6" i="1" s="1"/>
  <c r="AB10" i="1"/>
  <c r="AC10" i="1" s="1"/>
  <c r="AB18" i="1"/>
  <c r="AC18" i="1" s="1"/>
  <c r="AB2" i="1"/>
  <c r="AC2" i="1" s="1"/>
  <c r="AB14" i="1"/>
  <c r="AC14" i="1" s="1"/>
  <c r="AB24" i="1"/>
  <c r="AC24" i="1" s="1"/>
  <c r="AB3" i="1"/>
  <c r="AC3" i="1" s="1"/>
  <c r="AB11" i="1"/>
  <c r="AC11" i="1" s="1"/>
  <c r="AB19" i="1"/>
  <c r="AC19" i="1" s="1"/>
  <c r="AB22" i="1"/>
  <c r="AC22" i="1" s="1"/>
  <c r="AB16" i="1"/>
  <c r="AC16" i="1" s="1"/>
  <c r="AB4" i="1"/>
  <c r="AC4" i="1" s="1"/>
  <c r="AB12" i="1"/>
  <c r="AC12" i="1" s="1"/>
  <c r="AB20" i="1"/>
  <c r="AC20" i="1" s="1"/>
  <c r="AB5" i="1"/>
  <c r="AC5" i="1" s="1"/>
  <c r="AB13" i="1"/>
  <c r="AC13" i="1" s="1"/>
  <c r="AB21" i="1"/>
  <c r="AC21" i="1" s="1"/>
  <c r="AB7" i="1"/>
  <c r="AC7" i="1" s="1"/>
  <c r="AB15" i="1"/>
  <c r="AC15" i="1" s="1"/>
  <c r="AB23" i="1"/>
  <c r="AC23" i="1" s="1"/>
  <c r="AB8" i="1"/>
  <c r="AC8" i="1" s="1"/>
  <c r="AC26" i="1" l="1"/>
  <c r="I28" i="1" s="1"/>
  <c r="I34" i="1" s="1"/>
</calcChain>
</file>

<file path=xl/sharedStrings.xml><?xml version="1.0" encoding="utf-8"?>
<sst xmlns="http://schemas.openxmlformats.org/spreadsheetml/2006/main" count="79" uniqueCount="52">
  <si>
    <t>материал</t>
  </si>
  <si>
    <t>шарик №</t>
  </si>
  <si>
    <t>Стекло</t>
  </si>
  <si>
    <t>Сталь</t>
  </si>
  <si>
    <t>время прохода 1, с</t>
  </si>
  <si>
    <t>вреям прохода 2, с</t>
  </si>
  <si>
    <t>T, K</t>
  </si>
  <si>
    <t>время прохода среднее, с</t>
  </si>
  <si>
    <t>расстояние, мм</t>
  </si>
  <si>
    <t>v уст, мм/c</t>
  </si>
  <si>
    <t>диаметр, мм</t>
  </si>
  <si>
    <t>rho стекло</t>
  </si>
  <si>
    <t>rho сталь</t>
  </si>
  <si>
    <t>rho глиц</t>
  </si>
  <si>
    <t>темп глиц K</t>
  </si>
  <si>
    <t xml:space="preserve">k = </t>
  </si>
  <si>
    <t xml:space="preserve">b = </t>
  </si>
  <si>
    <t>g, м/с2</t>
  </si>
  <si>
    <t>г/см3</t>
  </si>
  <si>
    <t>eta, мПа</t>
  </si>
  <si>
    <t>Rho г/см3</t>
  </si>
  <si>
    <t>tau, мс</t>
  </si>
  <si>
    <t>S, мкм</t>
  </si>
  <si>
    <t>ln(\eta)</t>
  </si>
  <si>
    <t>1/T</t>
  </si>
  <si>
    <t>x</t>
  </si>
  <si>
    <t>y</t>
  </si>
  <si>
    <t>&lt;&gt;</t>
  </si>
  <si>
    <t>x*x</t>
  </si>
  <si>
    <t>y*y</t>
  </si>
  <si>
    <t>x*y</t>
  </si>
  <si>
    <t>k</t>
  </si>
  <si>
    <t>b</t>
  </si>
  <si>
    <t>dk</t>
  </si>
  <si>
    <t>dt_ср</t>
  </si>
  <si>
    <t>dv</t>
  </si>
  <si>
    <t>deta</t>
  </si>
  <si>
    <t>Rhoшар</t>
  </si>
  <si>
    <t>Eps</t>
  </si>
  <si>
    <t>dRe</t>
  </si>
  <si>
    <t>dtau</t>
  </si>
  <si>
    <t>dS</t>
  </si>
  <si>
    <t>Re, 10^-3</t>
  </si>
  <si>
    <t>Epseta</t>
  </si>
  <si>
    <t>A</t>
  </si>
  <si>
    <t>ln(eta/A)</t>
  </si>
  <si>
    <t>FullEpsEta</t>
  </si>
  <si>
    <t>W, кДж/моль</t>
  </si>
  <si>
    <t>dWприб</t>
  </si>
  <si>
    <t>dW</t>
  </si>
  <si>
    <t>dWслуч</t>
  </si>
  <si>
    <t>EpsW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</si>
</sst>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1" xfId="0" applyBorder="1"/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/>
    <xf numFmtId="165" fontId="0" fillId="0" borderId="1" xfId="0" applyNumberFormat="1" applyBorder="1"/>
    <xf numFmtId="165" fontId="0" fillId="0" borderId="7" xfId="0" applyNumberFormat="1" applyBorder="1"/>
    <xf numFmtId="165" fontId="0" fillId="0" borderId="13" xfId="0" applyNumberFormat="1" applyBorder="1"/>
    <xf numFmtId="165" fontId="0" fillId="0" borderId="5" xfId="0" applyNumberFormat="1" applyBorder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165" fontId="0" fillId="0" borderId="0" xfId="0" applyNumberFormat="1" applyBorder="1"/>
    <xf numFmtId="165" fontId="0" fillId="0" borderId="0" xfId="0" applyNumberFormat="1"/>
    <xf numFmtId="0" fontId="0" fillId="0" borderId="6" xfId="0" applyFill="1" applyBorder="1" applyAlignment="1">
      <alignment wrapText="1"/>
    </xf>
  </cellXfs>
  <cellStyles count="1">
    <cellStyle name="Обычный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ln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η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en-US" baseline="0"/>
              <a:t>1/T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График!$B$2:$B$25</c:f>
              <c:numCache>
                <c:formatCode>General</c:formatCode>
                <c:ptCount val="24"/>
                <c:pt idx="0">
                  <c:v>3.3557046979865772</c:v>
                </c:pt>
                <c:pt idx="1">
                  <c:v>3.3557046979865772</c:v>
                </c:pt>
                <c:pt idx="2">
                  <c:v>3.3557046979865772</c:v>
                </c:pt>
                <c:pt idx="3">
                  <c:v>3.3557046979865772</c:v>
                </c:pt>
                <c:pt idx="4">
                  <c:v>3.3003300330033003</c:v>
                </c:pt>
                <c:pt idx="5">
                  <c:v>3.3003300330033003</c:v>
                </c:pt>
                <c:pt idx="6">
                  <c:v>3.3003300330033003</c:v>
                </c:pt>
                <c:pt idx="7">
                  <c:v>3.3003300330033003</c:v>
                </c:pt>
                <c:pt idx="8">
                  <c:v>3.2467532467532472</c:v>
                </c:pt>
                <c:pt idx="9">
                  <c:v>3.2467532467532472</c:v>
                </c:pt>
                <c:pt idx="10">
                  <c:v>3.2467532467532472</c:v>
                </c:pt>
                <c:pt idx="11">
                  <c:v>3.2467532467532472</c:v>
                </c:pt>
                <c:pt idx="12">
                  <c:v>3.1948881789137378</c:v>
                </c:pt>
                <c:pt idx="13">
                  <c:v>3.1948881789137378</c:v>
                </c:pt>
                <c:pt idx="14">
                  <c:v>3.1948881789137378</c:v>
                </c:pt>
                <c:pt idx="15">
                  <c:v>3.1948881789137378</c:v>
                </c:pt>
                <c:pt idx="16">
                  <c:v>3.1446540880503147</c:v>
                </c:pt>
                <c:pt idx="17">
                  <c:v>3.1446540880503147</c:v>
                </c:pt>
                <c:pt idx="18">
                  <c:v>3.1446540880503147</c:v>
                </c:pt>
                <c:pt idx="19">
                  <c:v>3.1446540880503147</c:v>
                </c:pt>
                <c:pt idx="20">
                  <c:v>3.0959752321981426</c:v>
                </c:pt>
                <c:pt idx="21">
                  <c:v>3.0959752321981426</c:v>
                </c:pt>
                <c:pt idx="22">
                  <c:v>3.0959752321981426</c:v>
                </c:pt>
                <c:pt idx="23">
                  <c:v>3.0959752321981426</c:v>
                </c:pt>
              </c:numCache>
            </c:numRef>
          </c:xVal>
          <c:yVal>
            <c:numRef>
              <c:f>График!$C$2:$C$25</c:f>
              <c:numCache>
                <c:formatCode>General</c:formatCode>
                <c:ptCount val="24"/>
                <c:pt idx="0">
                  <c:v>13.603100222382862</c:v>
                </c:pt>
                <c:pt idx="1">
                  <c:v>13.586753868164973</c:v>
                </c:pt>
                <c:pt idx="2">
                  <c:v>13.525284115702737</c:v>
                </c:pt>
                <c:pt idx="3">
                  <c:v>13.452158399535062</c:v>
                </c:pt>
                <c:pt idx="4">
                  <c:v>13.250090407643471</c:v>
                </c:pt>
                <c:pt idx="5">
                  <c:v>13.229902485405555</c:v>
                </c:pt>
                <c:pt idx="6">
                  <c:v>13.145661173035982</c:v>
                </c:pt>
                <c:pt idx="7">
                  <c:v>13.106642080001505</c:v>
                </c:pt>
                <c:pt idx="8">
                  <c:v>12.837803891846306</c:v>
                </c:pt>
                <c:pt idx="9">
                  <c:v>12.681588181542576</c:v>
                </c:pt>
                <c:pt idx="10">
                  <c:v>12.8235939502376</c:v>
                </c:pt>
                <c:pt idx="11">
                  <c:v>12.842003606518274</c:v>
                </c:pt>
                <c:pt idx="12">
                  <c:v>12.449969781089493</c:v>
                </c:pt>
                <c:pt idx="13">
                  <c:v>12.455497852633572</c:v>
                </c:pt>
                <c:pt idx="14">
                  <c:v>12.374506358268718</c:v>
                </c:pt>
                <c:pt idx="15">
                  <c:v>12.412106041333027</c:v>
                </c:pt>
                <c:pt idx="16">
                  <c:v>12.180432464347916</c:v>
                </c:pt>
                <c:pt idx="17">
                  <c:v>12.193539746791608</c:v>
                </c:pt>
                <c:pt idx="18">
                  <c:v>12.202210463497558</c:v>
                </c:pt>
                <c:pt idx="19">
                  <c:v>12.225905610862883</c:v>
                </c:pt>
                <c:pt idx="20">
                  <c:v>11.901666776181081</c:v>
                </c:pt>
                <c:pt idx="21">
                  <c:v>11.924375726421172</c:v>
                </c:pt>
                <c:pt idx="22">
                  <c:v>11.701120418202795</c:v>
                </c:pt>
                <c:pt idx="23">
                  <c:v>11.75411907033398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5-481A-8B32-0CD97E4B56B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График!$F$30:$F$31</c:f>
              <c:numCache>
                <c:formatCode>General</c:formatCode>
                <c:ptCount val="2"/>
                <c:pt idx="0">
                  <c:v>3.05</c:v>
                </c:pt>
                <c:pt idx="1">
                  <c:v>3.4</c:v>
                </c:pt>
              </c:numCache>
            </c:numRef>
          </c:xVal>
          <c:yVal>
            <c:numRef>
              <c:f>График!$G$30:$G$31</c:f>
              <c:numCache>
                <c:formatCode>General</c:formatCode>
                <c:ptCount val="2"/>
                <c:pt idx="0">
                  <c:v>11.524610386952533</c:v>
                </c:pt>
                <c:pt idx="1">
                  <c:v>13.822653786530557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5-481A-8B32-0CD97E4B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528392"/>
        <c:axId val="630523352"/>
      </c:scatterChart>
      <c:valAx>
        <c:axId val="63052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1</a:t>
                </a:r>
                <a:r>
                  <a:rPr lang="en-US"/>
                  <a:t>/T,</a:t>
                </a:r>
                <a:r>
                  <a:rPr lang="en-US" baseline="0"/>
                  <a:t> K</a:t>
                </a:r>
                <a:r>
                  <a:rPr lang="en-US" baseline="30000"/>
                  <a:t>-1</a:t>
                </a:r>
                <a:r>
                  <a:rPr lang="en-US" baseline="0"/>
                  <a:t> * 10^(-3)</a:t>
                </a:r>
                <a:endParaRPr lang="ru-RU" baseline="30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0523352"/>
        <c:crosses val="autoZero"/>
        <c:crossBetween val="midCat"/>
      </c:valAx>
      <c:valAx>
        <c:axId val="630523352"/>
        <c:scaling>
          <c:orientation val="minMax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η</a:t>
                </a:r>
                <a:r>
                  <a:rPr lang="en-US"/>
                  <a:t>,</a:t>
                </a:r>
                <a:r>
                  <a:rPr lang="en-US" baseline="0"/>
                  <a:t> ln(</a:t>
                </a:r>
                <a:r>
                  <a:rPr lang="ru-RU" baseline="0"/>
                  <a:t>Па)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052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2</xdr:row>
      <xdr:rowOff>0</xdr:rowOff>
    </xdr:from>
    <xdr:to>
      <xdr:col>21</xdr:col>
      <xdr:colOff>255270</xdr:colOff>
      <xdr:row>27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FD04B5-6B7B-492F-8538-264E89436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9"/>
  <sheetViews>
    <sheetView tabSelected="1" topLeftCell="A10" workbookViewId="0">
      <selection activeCell="G37" sqref="G37"/>
    </sheetView>
  </sheetViews>
  <sheetFormatPr defaultRowHeight="14.4" x14ac:dyDescent="0.55000000000000004"/>
  <cols>
    <col min="3" max="3" width="11.89453125" bestFit="1" customWidth="1"/>
    <col min="4" max="4" width="7.15625" customWidth="1"/>
    <col min="5" max="6" width="17.20703125" bestFit="1" customWidth="1"/>
    <col min="7" max="7" width="12.20703125" customWidth="1"/>
    <col min="8" max="8" width="5.578125" customWidth="1"/>
    <col min="9" max="9" width="11.578125" customWidth="1"/>
    <col min="10" max="10" width="5.734375" customWidth="1"/>
    <col min="11" max="11" width="5.15625" customWidth="1"/>
    <col min="15" max="16" width="6.9453125" customWidth="1"/>
    <col min="29" max="29" width="8.83984375" customWidth="1"/>
  </cols>
  <sheetData>
    <row r="1" spans="1:29" ht="45.6" customHeight="1" x14ac:dyDescent="0.55000000000000004">
      <c r="A1" s="25" t="s">
        <v>1</v>
      </c>
      <c r="B1" s="26" t="s">
        <v>0</v>
      </c>
      <c r="C1" s="25" t="s">
        <v>10</v>
      </c>
      <c r="D1" s="25" t="s">
        <v>6</v>
      </c>
      <c r="E1" s="25" t="s">
        <v>4</v>
      </c>
      <c r="F1" s="25" t="s">
        <v>5</v>
      </c>
      <c r="G1" s="25" t="s">
        <v>7</v>
      </c>
      <c r="H1" s="25" t="s">
        <v>34</v>
      </c>
      <c r="I1" s="25" t="s">
        <v>8</v>
      </c>
      <c r="J1" s="25" t="s">
        <v>9</v>
      </c>
      <c r="K1" s="27" t="s">
        <v>35</v>
      </c>
      <c r="L1" s="27" t="s">
        <v>20</v>
      </c>
      <c r="M1" s="27" t="s">
        <v>37</v>
      </c>
      <c r="N1" s="27" t="s">
        <v>19</v>
      </c>
      <c r="O1" s="27" t="s">
        <v>36</v>
      </c>
      <c r="P1" s="27" t="s">
        <v>43</v>
      </c>
      <c r="Q1" s="27" t="s">
        <v>42</v>
      </c>
      <c r="R1" s="27" t="s">
        <v>39</v>
      </c>
      <c r="S1" s="27" t="s">
        <v>38</v>
      </c>
      <c r="T1" s="27" t="s">
        <v>21</v>
      </c>
      <c r="U1" s="27" t="s">
        <v>40</v>
      </c>
      <c r="V1" s="27" t="s">
        <v>38</v>
      </c>
      <c r="W1" s="27" t="s">
        <v>22</v>
      </c>
      <c r="X1" s="27" t="s">
        <v>41</v>
      </c>
      <c r="Y1" s="27" t="s">
        <v>38</v>
      </c>
      <c r="Z1" s="27" t="s">
        <v>23</v>
      </c>
      <c r="AA1" s="27" t="s">
        <v>24</v>
      </c>
      <c r="AB1" s="30" t="s">
        <v>45</v>
      </c>
      <c r="AC1" s="30" t="s">
        <v>46</v>
      </c>
    </row>
    <row r="2" spans="1:29" x14ac:dyDescent="0.55000000000000004">
      <c r="A2" s="2">
        <v>1</v>
      </c>
      <c r="B2" s="5" t="s">
        <v>2</v>
      </c>
      <c r="C2" s="3">
        <f>(2.08+2.06)/2</f>
        <v>2.0700000000000003</v>
      </c>
      <c r="D2" s="1">
        <f>273 + 25</f>
        <v>298</v>
      </c>
      <c r="E2" s="21">
        <v>27.9</v>
      </c>
      <c r="F2" s="21">
        <v>27.85</v>
      </c>
      <c r="G2" s="21">
        <f>(E2+F2)/2</f>
        <v>27.875</v>
      </c>
      <c r="H2" s="21">
        <f>SQRT(0.36 + (G2-F2)^2)</f>
        <v>0.60052060747321567</v>
      </c>
      <c r="I2" s="8">
        <v>100</v>
      </c>
      <c r="J2" s="21">
        <f t="shared" ref="J2:J25" si="0">I2/G2</f>
        <v>3.5874439461883409</v>
      </c>
      <c r="K2" s="28">
        <f>J2*SQRT((1/100)^2 + (H2/G2)^2)</f>
        <v>8.5205796916500556E-2</v>
      </c>
      <c r="L2" s="19">
        <f>$C$38*D2 + $C$39</f>
        <v>1.2577777777777779</v>
      </c>
      <c r="M2" s="29">
        <f>IF(B2 = "Стекло",$B$31,$B$32)</f>
        <v>2.5</v>
      </c>
      <c r="N2" s="20">
        <f>2/9*$A$29*(C2)^2/4*(M2-L2)/J2 * 1000</f>
        <v>808.6328186625002</v>
      </c>
      <c r="O2" s="20">
        <f>N2*SQRT((0.01/$A$29)^2 + (2*0.02/C2)^2 + (K2/J2)^2 + (0.01 + 0.0001)/(L2-M2)^2)</f>
        <v>69.953781723225774</v>
      </c>
      <c r="P2" s="19">
        <f>O2/N2*100</f>
        <v>8.650870965011185</v>
      </c>
      <c r="Q2" s="29">
        <f>C2/2*J2/N2*1000*L2</f>
        <v>5.7753462651596399</v>
      </c>
      <c r="R2" s="29">
        <f>SQRT((0.02/C2)^2 + (K2/J2)^2 + (0.01/L2)^2 + (O2/N2)^2)*Q2</f>
        <v>0.52312123528918975</v>
      </c>
      <c r="S2" s="29">
        <f>R2/Q2*100</f>
        <v>9.0578332669847264</v>
      </c>
      <c r="T2" s="19">
        <f>2/9*C2*C2/4/N2*IF(B2 = "Стекло",$B$31,$B$32)*1000</f>
        <v>0.73596444055331867</v>
      </c>
      <c r="U2" s="19">
        <f>SQRT((0.04/C2)^2 + (0.1/M2)^2 + (O2/N2)^2)*T2</f>
        <v>7.157102307510721E-2</v>
      </c>
      <c r="V2" s="29">
        <f>U2/T2*100</f>
        <v>9.7247936355862663</v>
      </c>
      <c r="W2" s="19">
        <f>T2/1000*J2*1000</f>
        <v>2.6402311768728919</v>
      </c>
      <c r="X2" s="19">
        <f>SQRT((K2/J2)^2 +( U2/100)^2)*W2</f>
        <v>6.2736901177627452E-2</v>
      </c>
      <c r="Y2" s="29">
        <f>X2/W2*100</f>
        <v>2.3761896960831086</v>
      </c>
      <c r="Z2">
        <f>LN(N2*1000)</f>
        <v>13.603100222382862</v>
      </c>
      <c r="AA2">
        <f>1/D2</f>
        <v>3.3557046979865771E-3</v>
      </c>
      <c r="AB2">
        <f>LN(N2/График!$D$30)</f>
        <v>15.196541324199533</v>
      </c>
      <c r="AC2">
        <f>P2/100/AB2*100</f>
        <v>0.5692657809731495</v>
      </c>
    </row>
    <row r="3" spans="1:29" x14ac:dyDescent="0.55000000000000004">
      <c r="A3" s="2">
        <f t="shared" ref="A3:A21" si="1">A2+1</f>
        <v>2</v>
      </c>
      <c r="B3" s="5" t="s">
        <v>2</v>
      </c>
      <c r="C3" s="4">
        <f>(2.1+2.06)/2</f>
        <v>2.08</v>
      </c>
      <c r="D3" s="1">
        <f>273 + 25</f>
        <v>298</v>
      </c>
      <c r="E3" s="21">
        <v>27.26</v>
      </c>
      <c r="F3" s="21">
        <v>27.06</v>
      </c>
      <c r="G3" s="21">
        <f>(E3+F3)/2</f>
        <v>27.16</v>
      </c>
      <c r="H3" s="21">
        <f t="shared" ref="H3:H25" si="2">SQRT(0.36 + (G3-F3)^2)</f>
        <v>0.60827625302982224</v>
      </c>
      <c r="I3" s="8">
        <v>100</v>
      </c>
      <c r="J3" s="21">
        <f t="shared" si="0"/>
        <v>3.6818851251840941</v>
      </c>
      <c r="K3" s="28">
        <f t="shared" ref="K3:K25" si="3">J3*SQRT((1/100)^2 + (H3/G3)^2)</f>
        <v>9.0306238941094782E-2</v>
      </c>
      <c r="L3" s="19">
        <f>$C$38*D3 + $C$39</f>
        <v>1.2577777777777779</v>
      </c>
      <c r="M3" s="29">
        <f t="shared" ref="M3:M25" si="4">IF(B3 = "Стекло",$B$31,$B$32)</f>
        <v>2.5</v>
      </c>
      <c r="N3" s="20">
        <f t="shared" ref="N3:N25" si="5">2/9*$A$29*(C3)^2/4*(M3-L3)/J3 * 1000</f>
        <v>795.52206859377782</v>
      </c>
      <c r="O3" s="20">
        <f t="shared" ref="O3:O25" si="6">N3*SQRT((0.01/$A$29)^2 + (2*0.02/C3)^2 + (K3/J3)^2 + (0.01 + 0.0001)/(L3-M3)^2)</f>
        <v>68.97521251020558</v>
      </c>
      <c r="P3" s="19">
        <f t="shared" ref="P3:P25" si="7">O3/N3*100</f>
        <v>8.6704335722742591</v>
      </c>
      <c r="Q3" s="29">
        <f t="shared" ref="Q3:Q25" si="8">C3/2*J3/N3*1000*L3</f>
        <v>6.0541790260226351</v>
      </c>
      <c r="R3" s="29">
        <f t="shared" ref="R3:R25" si="9">SQRT((0.02/C3)^2 + (K3/J3)^2 + (0.01/L3)^2 + (O3/N3)^2)*Q3</f>
        <v>0.55072702875510871</v>
      </c>
      <c r="S3" s="29">
        <f t="shared" ref="S3:S25" si="10">R3/Q3*100</f>
        <v>9.0966426065024262</v>
      </c>
      <c r="T3" s="19">
        <f>2/9*C3*C3/4/N3*IF(B3 = "Стекло",$B$31,$B$32)*1000</f>
        <v>0.75533905671663315</v>
      </c>
      <c r="U3" s="19">
        <f t="shared" ref="U3:U25" si="11">SQRT((0.04/C3)^2 + (0.1/M3)^2 + (O3/N3)^2)*T3</f>
        <v>7.3572755075270599E-2</v>
      </c>
      <c r="V3" s="29">
        <f t="shared" ref="V3:V25" si="12">U3/T3*100</f>
        <v>9.7403615530067249</v>
      </c>
      <c r="W3" s="19">
        <f>T3/1000*J3*1000</f>
        <v>2.7810716373955566</v>
      </c>
      <c r="X3" s="19">
        <f t="shared" ref="X3:X25" si="13">SQRT((K3/J3)^2 +( U3/100)^2)*W3</f>
        <v>6.8242510445302634E-2</v>
      </c>
      <c r="Y3" s="29">
        <f t="shared" ref="Y3:Y25" si="14">X3/W3*100</f>
        <v>2.4538206613480478</v>
      </c>
      <c r="Z3">
        <f t="shared" ref="Z3:Z25" si="15">LN(N3*1000)</f>
        <v>13.586753868164973</v>
      </c>
      <c r="AA3">
        <f t="shared" ref="AA3:AA25" si="16">1/D3</f>
        <v>3.3557046979865771E-3</v>
      </c>
      <c r="AB3">
        <f>LN(N3/График!$D$30)</f>
        <v>15.180194969981644</v>
      </c>
      <c r="AC3">
        <f t="shared" ref="AC3:AC25" si="17">P3/AB3</f>
        <v>0.5711674711306256</v>
      </c>
    </row>
    <row r="4" spans="1:29" x14ac:dyDescent="0.55000000000000004">
      <c r="A4" s="2">
        <f t="shared" si="1"/>
        <v>3</v>
      </c>
      <c r="B4" s="5" t="s">
        <v>3</v>
      </c>
      <c r="C4" s="4">
        <f>(0.84+0.86)/2</f>
        <v>0.85</v>
      </c>
      <c r="D4" s="1">
        <f>273+25</f>
        <v>298</v>
      </c>
      <c r="E4" s="21">
        <v>29.08</v>
      </c>
      <c r="F4" s="21">
        <v>29</v>
      </c>
      <c r="G4" s="21">
        <f>(E4+F4)/2</f>
        <v>29.04</v>
      </c>
      <c r="H4" s="21">
        <f t="shared" si="2"/>
        <v>0.60133185513491627</v>
      </c>
      <c r="I4" s="8">
        <v>100</v>
      </c>
      <c r="J4" s="21">
        <f t="shared" si="0"/>
        <v>3.443526170798898</v>
      </c>
      <c r="K4" s="28">
        <f t="shared" si="3"/>
        <v>7.9184681283857861E-2</v>
      </c>
      <c r="L4" s="19">
        <f>$C$38*D4 + $C$39</f>
        <v>1.2577777777777779</v>
      </c>
      <c r="M4" s="29">
        <f t="shared" si="4"/>
        <v>7.8</v>
      </c>
      <c r="N4" s="20">
        <f t="shared" si="5"/>
        <v>748.09414826666648</v>
      </c>
      <c r="O4" s="20">
        <f t="shared" si="6"/>
        <v>40.840255802282329</v>
      </c>
      <c r="P4" s="19">
        <f t="shared" si="7"/>
        <v>5.4592401099392589</v>
      </c>
      <c r="Q4" s="29">
        <f t="shared" si="8"/>
        <v>2.4605940971019895</v>
      </c>
      <c r="R4" s="29">
        <f t="shared" si="9"/>
        <v>0.15805281132377072</v>
      </c>
      <c r="S4" s="29">
        <f t="shared" si="10"/>
        <v>6.4233597694930813</v>
      </c>
      <c r="T4" s="19">
        <f>2/9*C4*C4/4/N4*IF(B4 = "Стекло",$B$31,$B$32)*1000</f>
        <v>0.41850792986250074</v>
      </c>
      <c r="U4" s="19">
        <f t="shared" si="11"/>
        <v>3.0637606632684122E-2</v>
      </c>
      <c r="V4" s="29">
        <f t="shared" si="12"/>
        <v>7.320675295865958</v>
      </c>
      <c r="W4" s="19">
        <f>T4/1000*J4*1000</f>
        <v>1.4411430091683908</v>
      </c>
      <c r="X4" s="19">
        <f t="shared" si="13"/>
        <v>3.3142358275744972E-2</v>
      </c>
      <c r="Y4" s="29">
        <f t="shared" si="14"/>
        <v>2.2997272349029205</v>
      </c>
      <c r="Z4">
        <f t="shared" si="15"/>
        <v>13.525284115702737</v>
      </c>
      <c r="AA4">
        <f t="shared" si="16"/>
        <v>3.3557046979865771E-3</v>
      </c>
      <c r="AB4">
        <f>LN(N4/График!$D$30)</f>
        <v>15.118725217519406</v>
      </c>
      <c r="AC4">
        <f t="shared" si="17"/>
        <v>0.36109129780420596</v>
      </c>
    </row>
    <row r="5" spans="1:29" x14ac:dyDescent="0.55000000000000004">
      <c r="A5" s="2">
        <f t="shared" si="1"/>
        <v>4</v>
      </c>
      <c r="B5" s="5" t="s">
        <v>3</v>
      </c>
      <c r="C5" s="4">
        <f>(0.72+0.78)/2</f>
        <v>0.75</v>
      </c>
      <c r="D5" s="1">
        <f>273+25</f>
        <v>298</v>
      </c>
      <c r="E5" s="21">
        <v>34.83</v>
      </c>
      <c r="F5" s="21">
        <v>34.51</v>
      </c>
      <c r="G5" s="21">
        <f>(E5+F5)/2</f>
        <v>34.67</v>
      </c>
      <c r="H5" s="21">
        <f t="shared" si="2"/>
        <v>0.62096698785040194</v>
      </c>
      <c r="I5" s="8">
        <v>100</v>
      </c>
      <c r="J5" s="21">
        <f t="shared" si="0"/>
        <v>2.8843380444188056</v>
      </c>
      <c r="K5" s="28">
        <f t="shared" si="3"/>
        <v>5.9167349024945595E-2</v>
      </c>
      <c r="L5" s="19">
        <f>$C$38*D5 + $C$39</f>
        <v>1.2577777777777779</v>
      </c>
      <c r="M5" s="29">
        <f t="shared" si="4"/>
        <v>7.8</v>
      </c>
      <c r="N5" s="20">
        <f t="shared" si="5"/>
        <v>695.34152000000006</v>
      </c>
      <c r="O5" s="20">
        <f t="shared" si="6"/>
        <v>41.150223352672086</v>
      </c>
      <c r="P5" s="19">
        <f t="shared" si="7"/>
        <v>5.9179873729778256</v>
      </c>
      <c r="Q5" s="29">
        <f t="shared" si="8"/>
        <v>1.9565149956108907</v>
      </c>
      <c r="R5" s="29">
        <f t="shared" si="9"/>
        <v>0.13409445925963012</v>
      </c>
      <c r="S5" s="29">
        <f t="shared" si="10"/>
        <v>6.8537404293066135</v>
      </c>
      <c r="T5" s="19">
        <f>2/9*C5*C5/4/N5*IF(B5 = "Стекло",$B$31,$B$32)*1000</f>
        <v>0.35054716709567402</v>
      </c>
      <c r="U5" s="19">
        <f t="shared" si="11"/>
        <v>2.8286066553306975E-2</v>
      </c>
      <c r="V5" s="29">
        <f t="shared" si="12"/>
        <v>8.0691185690246723</v>
      </c>
      <c r="W5" s="19">
        <f>T5/1000*J5*1000</f>
        <v>1.0110965304172888</v>
      </c>
      <c r="X5" s="19">
        <f t="shared" si="13"/>
        <v>2.0742918332064222E-2</v>
      </c>
      <c r="Y5" s="29">
        <f t="shared" si="14"/>
        <v>2.0515270014331302</v>
      </c>
      <c r="Z5">
        <f t="shared" si="15"/>
        <v>13.452158399535062</v>
      </c>
      <c r="AA5">
        <f t="shared" si="16"/>
        <v>3.3557046979865771E-3</v>
      </c>
      <c r="AB5">
        <f>LN(N5/График!$D$30)</f>
        <v>15.045599501351733</v>
      </c>
      <c r="AC5">
        <f t="shared" si="17"/>
        <v>0.39333676085463654</v>
      </c>
    </row>
    <row r="6" spans="1:29" ht="14.7" thickBot="1" x14ac:dyDescent="0.6">
      <c r="A6" s="9">
        <f t="shared" si="1"/>
        <v>5</v>
      </c>
      <c r="B6" s="5" t="s">
        <v>2</v>
      </c>
      <c r="C6" s="10">
        <f>(2.08+2.14)/2</f>
        <v>2.1100000000000003</v>
      </c>
      <c r="D6" s="11">
        <f>273+30</f>
        <v>303</v>
      </c>
      <c r="E6" s="22">
        <v>18.760000000000002</v>
      </c>
      <c r="F6" s="22">
        <v>18.87</v>
      </c>
      <c r="G6" s="21">
        <f>(E6+F6)/2</f>
        <v>18.815000000000001</v>
      </c>
      <c r="H6" s="21">
        <f t="shared" si="2"/>
        <v>0.60251555996505179</v>
      </c>
      <c r="I6" s="12">
        <v>100</v>
      </c>
      <c r="J6" s="21">
        <f t="shared" si="0"/>
        <v>5.3149083178315166</v>
      </c>
      <c r="K6" s="28">
        <f t="shared" si="3"/>
        <v>0.17830563795377602</v>
      </c>
      <c r="L6" s="19">
        <f>$C$38*D6 + $C$39</f>
        <v>1.2555555555555558</v>
      </c>
      <c r="M6" s="29">
        <f t="shared" si="4"/>
        <v>2.5</v>
      </c>
      <c r="N6" s="20">
        <f t="shared" si="5"/>
        <v>568.12140021777805</v>
      </c>
      <c r="O6" s="20">
        <f t="shared" si="6"/>
        <v>50.838915126785928</v>
      </c>
      <c r="P6" s="19">
        <f t="shared" si="7"/>
        <v>8.9486006172796593</v>
      </c>
      <c r="Q6" s="29">
        <f t="shared" si="8"/>
        <v>12.392046153582278</v>
      </c>
      <c r="R6" s="29">
        <f t="shared" si="9"/>
        <v>1.1941784508080071</v>
      </c>
      <c r="S6" s="29">
        <f t="shared" si="10"/>
        <v>9.6366527045478705</v>
      </c>
      <c r="T6" s="19">
        <f>2/9*C6*C6/4/N6*IF(B6 = "Стекло",$B$31,$B$32)*1000</f>
        <v>1.088406847524475</v>
      </c>
      <c r="U6" s="19">
        <f t="shared" si="11"/>
        <v>0.10866163750225936</v>
      </c>
      <c r="V6" s="29">
        <f t="shared" si="12"/>
        <v>9.9835496027431851</v>
      </c>
      <c r="W6" s="19">
        <f>T6/1000*J6*1000</f>
        <v>5.7847826070926107</v>
      </c>
      <c r="X6" s="19">
        <f t="shared" si="13"/>
        <v>0.19417084884917588</v>
      </c>
      <c r="Y6" s="29">
        <f t="shared" si="14"/>
        <v>3.3565798758125625</v>
      </c>
      <c r="Z6">
        <f t="shared" si="15"/>
        <v>13.250090407643471</v>
      </c>
      <c r="AA6">
        <f t="shared" si="16"/>
        <v>3.3003300330033004E-3</v>
      </c>
      <c r="AB6">
        <f>LN(N6/График!$D$30)</f>
        <v>14.843531509460142</v>
      </c>
      <c r="AC6">
        <f t="shared" si="17"/>
        <v>0.60286196796069047</v>
      </c>
    </row>
    <row r="7" spans="1:29" ht="14.7" thickBot="1" x14ac:dyDescent="0.6">
      <c r="A7" s="13">
        <f t="shared" si="1"/>
        <v>6</v>
      </c>
      <c r="B7" s="17" t="s">
        <v>2</v>
      </c>
      <c r="C7" s="14">
        <f>(2.08+2.12)/2</f>
        <v>2.1</v>
      </c>
      <c r="D7" s="15">
        <f>273+30</f>
        <v>303</v>
      </c>
      <c r="E7" s="23">
        <v>18.559999999999999</v>
      </c>
      <c r="F7" s="23">
        <v>18.670000000000002</v>
      </c>
      <c r="G7" s="21">
        <f>(E7+F7)/2</f>
        <v>18.615000000000002</v>
      </c>
      <c r="H7" s="21">
        <f t="shared" si="2"/>
        <v>0.60251555996505179</v>
      </c>
      <c r="I7" s="16">
        <v>100</v>
      </c>
      <c r="J7" s="21">
        <f t="shared" si="0"/>
        <v>5.3720118184260004</v>
      </c>
      <c r="K7" s="28">
        <f t="shared" si="3"/>
        <v>0.18198645234853766</v>
      </c>
      <c r="L7" s="19">
        <f>$C$38*D7 + $C$39</f>
        <v>1.2555555555555558</v>
      </c>
      <c r="M7" s="29">
        <f t="shared" si="4"/>
        <v>2.5</v>
      </c>
      <c r="N7" s="20">
        <f t="shared" si="5"/>
        <v>556.76720399999999</v>
      </c>
      <c r="O7" s="20">
        <f t="shared" si="6"/>
        <v>49.902402215606905</v>
      </c>
      <c r="P7" s="19">
        <f t="shared" si="7"/>
        <v>8.9628846413889889</v>
      </c>
      <c r="Q7" s="29">
        <f t="shared" si="8"/>
        <v>12.720042050629857</v>
      </c>
      <c r="R7" s="29">
        <f t="shared" si="9"/>
        <v>1.2289893745903708</v>
      </c>
      <c r="S7" s="29">
        <f t="shared" si="10"/>
        <v>9.6618342116999134</v>
      </c>
      <c r="T7" s="19">
        <f>2/9*C7*C7/4/N7*IF(B7 = "Стекло",$B$31,$B$32)*1000</f>
        <v>1.1001007164207899</v>
      </c>
      <c r="U7" s="19">
        <f t="shared" si="11"/>
        <v>0.1099888481067226</v>
      </c>
      <c r="V7" s="29">
        <f t="shared" si="12"/>
        <v>9.9980707643364291</v>
      </c>
      <c r="W7" s="19">
        <f>T7/1000*J7*1000</f>
        <v>5.9097540500713928</v>
      </c>
      <c r="X7" s="19">
        <f t="shared" si="13"/>
        <v>0.20030891877463733</v>
      </c>
      <c r="Y7" s="29">
        <f t="shared" si="14"/>
        <v>3.3894628622018121</v>
      </c>
      <c r="Z7">
        <f t="shared" si="15"/>
        <v>13.229902485405555</v>
      </c>
      <c r="AA7">
        <f t="shared" si="16"/>
        <v>3.3003300330033004E-3</v>
      </c>
      <c r="AB7">
        <f>LN(N7/График!$D$30)</f>
        <v>14.823343587222224</v>
      </c>
      <c r="AC7">
        <f t="shared" si="17"/>
        <v>0.60464662298693717</v>
      </c>
    </row>
    <row r="8" spans="1:29" ht="14.7" thickBot="1" x14ac:dyDescent="0.6">
      <c r="A8" s="2">
        <f t="shared" si="1"/>
        <v>7</v>
      </c>
      <c r="B8" s="17" t="s">
        <v>3</v>
      </c>
      <c r="C8" s="4">
        <f>(0.82+0.8)/2</f>
        <v>0.81</v>
      </c>
      <c r="D8" s="1">
        <f>273+30</f>
        <v>303</v>
      </c>
      <c r="E8" s="21">
        <v>21.89</v>
      </c>
      <c r="F8" s="21">
        <v>21.85</v>
      </c>
      <c r="G8" s="21">
        <f>(E8+F8)/2</f>
        <v>21.87</v>
      </c>
      <c r="H8" s="21">
        <f t="shared" si="2"/>
        <v>0.60033324079214534</v>
      </c>
      <c r="I8" s="8">
        <v>100</v>
      </c>
      <c r="J8" s="21">
        <f t="shared" si="0"/>
        <v>4.5724737082761768</v>
      </c>
      <c r="K8" s="28">
        <f t="shared" si="3"/>
        <v>0.13358408729617244</v>
      </c>
      <c r="L8" s="19">
        <f>$C$38*D8 + $C$39</f>
        <v>1.2555555555555558</v>
      </c>
      <c r="M8" s="29">
        <f t="shared" si="4"/>
        <v>7.8</v>
      </c>
      <c r="N8" s="20">
        <f t="shared" si="5"/>
        <v>511.78565461500011</v>
      </c>
      <c r="O8" s="20">
        <f t="shared" si="6"/>
        <v>30.402893781921087</v>
      </c>
      <c r="P8" s="19">
        <f t="shared" si="7"/>
        <v>5.9405521643220354</v>
      </c>
      <c r="Q8" s="29">
        <f t="shared" si="8"/>
        <v>4.5431185100479929</v>
      </c>
      <c r="R8" s="29">
        <f t="shared" si="9"/>
        <v>0.32302885400617604</v>
      </c>
      <c r="S8" s="29">
        <f t="shared" si="10"/>
        <v>7.1102889632250337</v>
      </c>
      <c r="T8" s="19">
        <f>2/9*C8*C8/4/N8*IF(B8 = "Стекло",$B$31,$B$32)*1000</f>
        <v>0.55552553581025499</v>
      </c>
      <c r="U8" s="19">
        <f t="shared" si="11"/>
        <v>4.3501708201970489E-2</v>
      </c>
      <c r="V8" s="29">
        <f t="shared" si="12"/>
        <v>7.8307306141240849</v>
      </c>
      <c r="W8" s="19">
        <f>T8/1000*J8*1000</f>
        <v>2.5401259067684268</v>
      </c>
      <c r="X8" s="19">
        <f t="shared" si="13"/>
        <v>7.4217598079752464E-2</v>
      </c>
      <c r="Y8" s="29">
        <f t="shared" si="14"/>
        <v>2.921807847476853</v>
      </c>
      <c r="Z8">
        <f t="shared" si="15"/>
        <v>13.145661173035982</v>
      </c>
      <c r="AA8">
        <f t="shared" si="16"/>
        <v>3.3003300330033004E-3</v>
      </c>
      <c r="AB8">
        <f>LN(N8/График!$D$30)</f>
        <v>14.739102274852653</v>
      </c>
      <c r="AC8">
        <f t="shared" si="17"/>
        <v>0.40304708207755641</v>
      </c>
    </row>
    <row r="9" spans="1:29" ht="14.7" thickBot="1" x14ac:dyDescent="0.6">
      <c r="A9" s="2">
        <f t="shared" si="1"/>
        <v>8</v>
      </c>
      <c r="B9" s="17" t="s">
        <v>3</v>
      </c>
      <c r="C9" s="4">
        <f>(0.74+0.7)/2</f>
        <v>0.72</v>
      </c>
      <c r="D9" s="1">
        <f>273+30</f>
        <v>303</v>
      </c>
      <c r="E9" s="21">
        <v>26.6</v>
      </c>
      <c r="F9" s="21">
        <v>26.64</v>
      </c>
      <c r="G9" s="21">
        <f>(E9+F9)/2</f>
        <v>26.62</v>
      </c>
      <c r="H9" s="21">
        <f t="shared" si="2"/>
        <v>0.60033324079214534</v>
      </c>
      <c r="I9" s="8">
        <v>100</v>
      </c>
      <c r="J9" s="21">
        <f t="shared" si="0"/>
        <v>3.7565740045078888</v>
      </c>
      <c r="K9" s="28">
        <f t="shared" si="3"/>
        <v>9.2673318674040314E-2</v>
      </c>
      <c r="L9" s="19">
        <f>$C$38*D9 + $C$39</f>
        <v>1.2555555555555558</v>
      </c>
      <c r="M9" s="29">
        <f t="shared" si="4"/>
        <v>7.8</v>
      </c>
      <c r="N9" s="20">
        <f t="shared" si="5"/>
        <v>492.20081855999996</v>
      </c>
      <c r="O9" s="20">
        <f t="shared" si="6"/>
        <v>30.86325697930252</v>
      </c>
      <c r="P9" s="19">
        <f t="shared" si="7"/>
        <v>6.2704603112195443</v>
      </c>
      <c r="Q9" s="29">
        <f t="shared" si="8"/>
        <v>3.4497534055412804</v>
      </c>
      <c r="R9" s="29">
        <f t="shared" si="9"/>
        <v>0.25292828989485716</v>
      </c>
      <c r="S9" s="29">
        <f t="shared" si="10"/>
        <v>7.3317788305848977</v>
      </c>
      <c r="T9" s="19">
        <f>2/9*C9*C9/4/N9*IF(B9 = "Стекло",$B$31,$B$32)*1000</f>
        <v>0.45639907844366179</v>
      </c>
      <c r="U9" s="19">
        <f t="shared" si="11"/>
        <v>3.8680064377257461E-2</v>
      </c>
      <c r="V9" s="29">
        <f t="shared" si="12"/>
        <v>8.4750531287569544</v>
      </c>
      <c r="W9" s="19">
        <f>T9/1000*J9*1000</f>
        <v>1.7144969137628168</v>
      </c>
      <c r="X9" s="19">
        <f t="shared" si="13"/>
        <v>4.2301215901755465E-2</v>
      </c>
      <c r="Y9" s="29">
        <f t="shared" si="14"/>
        <v>2.4672669610653735</v>
      </c>
      <c r="Z9">
        <f t="shared" si="15"/>
        <v>13.106642080001505</v>
      </c>
      <c r="AA9">
        <f t="shared" si="16"/>
        <v>3.3003300330033004E-3</v>
      </c>
      <c r="AB9">
        <f>LN(N9/График!$D$30)</f>
        <v>14.700083181818176</v>
      </c>
      <c r="AC9">
        <f t="shared" si="17"/>
        <v>0.42655951219209254</v>
      </c>
    </row>
    <row r="10" spans="1:29" ht="14.7" thickBot="1" x14ac:dyDescent="0.6">
      <c r="A10" s="2">
        <f t="shared" si="1"/>
        <v>9</v>
      </c>
      <c r="B10" s="17" t="s">
        <v>2</v>
      </c>
      <c r="C10" s="4">
        <f>(2.06+2.12)/2</f>
        <v>2.09</v>
      </c>
      <c r="D10" s="1">
        <v>308</v>
      </c>
      <c r="E10" s="21">
        <v>12.64</v>
      </c>
      <c r="F10" s="21">
        <v>12.71</v>
      </c>
      <c r="G10" s="21">
        <f>(E10+F10)/2</f>
        <v>12.675000000000001</v>
      </c>
      <c r="H10" s="21">
        <f t="shared" si="2"/>
        <v>0.60101996639046862</v>
      </c>
      <c r="I10" s="8">
        <v>100</v>
      </c>
      <c r="J10" s="21">
        <f t="shared" si="0"/>
        <v>7.8895463510848121</v>
      </c>
      <c r="K10" s="28">
        <f t="shared" si="3"/>
        <v>0.38233322045558588</v>
      </c>
      <c r="L10" s="19">
        <f>$C$38*D10 + $C$39</f>
        <v>1.2533333333333334</v>
      </c>
      <c r="M10" s="29">
        <f t="shared" si="4"/>
        <v>2.5</v>
      </c>
      <c r="N10" s="20">
        <f t="shared" si="5"/>
        <v>376.17280021749991</v>
      </c>
      <c r="O10" s="20">
        <f t="shared" si="6"/>
        <v>36.109428542598224</v>
      </c>
      <c r="P10" s="19">
        <f t="shared" si="7"/>
        <v>9.5991598865521546</v>
      </c>
      <c r="Q10" s="29">
        <f t="shared" si="8"/>
        <v>27.469295586814301</v>
      </c>
      <c r="R10" s="29">
        <f t="shared" si="9"/>
        <v>2.9735513080383686</v>
      </c>
      <c r="S10" s="29">
        <f t="shared" si="10"/>
        <v>10.825000221213246</v>
      </c>
      <c r="T10" s="19">
        <f>2/9*C10*C10/4/N10*IF(B10 = "Стекло",$B$31,$B$32)*1000</f>
        <v>1.6127709265656045</v>
      </c>
      <c r="U10" s="19">
        <f t="shared" si="11"/>
        <v>0.17053234964169836</v>
      </c>
      <c r="V10" s="29">
        <f t="shared" si="12"/>
        <v>10.573873005315578</v>
      </c>
      <c r="W10" s="19">
        <f>T10/1000*J10*1000</f>
        <v>12.724030978821338</v>
      </c>
      <c r="X10" s="19">
        <f t="shared" si="13"/>
        <v>0.61699756857212928</v>
      </c>
      <c r="Y10" s="29">
        <f t="shared" si="14"/>
        <v>4.8490731404151566</v>
      </c>
      <c r="Z10">
        <f t="shared" si="15"/>
        <v>12.837803891846306</v>
      </c>
      <c r="AA10">
        <f t="shared" si="16"/>
        <v>3.246753246753247E-3</v>
      </c>
      <c r="AB10">
        <f>LN(N10/График!$D$30)</f>
        <v>14.431244993662977</v>
      </c>
      <c r="AC10">
        <f t="shared" si="17"/>
        <v>0.66516505615193422</v>
      </c>
    </row>
    <row r="11" spans="1:29" ht="14.7" thickBot="1" x14ac:dyDescent="0.6">
      <c r="A11" s="9">
        <f t="shared" si="1"/>
        <v>10</v>
      </c>
      <c r="B11" s="17" t="s">
        <v>3</v>
      </c>
      <c r="C11" s="10">
        <f>(0.72+0.7)/2</f>
        <v>0.71</v>
      </c>
      <c r="D11" s="11">
        <v>308</v>
      </c>
      <c r="E11" s="22">
        <v>17.64</v>
      </c>
      <c r="F11" s="22">
        <v>18.14</v>
      </c>
      <c r="G11" s="21">
        <f>(E11+F11)/2</f>
        <v>17.89</v>
      </c>
      <c r="H11" s="21">
        <f t="shared" si="2"/>
        <v>0.65</v>
      </c>
      <c r="I11" s="12">
        <v>100</v>
      </c>
      <c r="J11" s="21">
        <f t="shared" si="0"/>
        <v>5.589714924538848</v>
      </c>
      <c r="K11" s="28">
        <f t="shared" si="3"/>
        <v>0.21064383444097745</v>
      </c>
      <c r="L11" s="19">
        <f>$C$38*D11 + $C$39</f>
        <v>1.2533333333333334</v>
      </c>
      <c r="M11" s="29">
        <f t="shared" si="4"/>
        <v>7.8</v>
      </c>
      <c r="N11" s="20">
        <f t="shared" si="5"/>
        <v>321.76868008733334</v>
      </c>
      <c r="O11" s="20">
        <f t="shared" si="6"/>
        <v>22.36412097945334</v>
      </c>
      <c r="P11" s="19">
        <f t="shared" si="7"/>
        <v>6.9503722280811626</v>
      </c>
      <c r="Q11" s="29">
        <f t="shared" si="8"/>
        <v>7.7293119177513629</v>
      </c>
      <c r="R11" s="29">
        <f t="shared" si="9"/>
        <v>0.65165105734857365</v>
      </c>
      <c r="S11" s="29">
        <f t="shared" si="10"/>
        <v>8.430906454324516</v>
      </c>
      <c r="T11" s="19">
        <f>2/9*C11*C11/4/N11*IF(B11 = "Стекло",$B$31,$B$32)*1000</f>
        <v>0.67888314448144604</v>
      </c>
      <c r="U11" s="19">
        <f t="shared" si="11"/>
        <v>6.1359569190856868E-2</v>
      </c>
      <c r="V11" s="29">
        <f t="shared" si="12"/>
        <v>9.0383108918877912</v>
      </c>
      <c r="W11" s="19">
        <f>T11/1000*J11*1000</f>
        <v>3.794763244725802</v>
      </c>
      <c r="X11" s="19">
        <f t="shared" si="13"/>
        <v>0.14302150402392411</v>
      </c>
      <c r="Y11" s="29">
        <f t="shared" si="14"/>
        <v>3.7689177110773455</v>
      </c>
      <c r="Z11">
        <f t="shared" si="15"/>
        <v>12.681588181542576</v>
      </c>
      <c r="AA11">
        <f t="shared" si="16"/>
        <v>3.246753246753247E-3</v>
      </c>
      <c r="AB11">
        <f>LN(N11/График!$D$30)</f>
        <v>14.275029283359247</v>
      </c>
      <c r="AC11">
        <f t="shared" si="17"/>
        <v>0.48689022559017675</v>
      </c>
    </row>
    <row r="12" spans="1:29" ht="14.7" thickBot="1" x14ac:dyDescent="0.6">
      <c r="A12" s="15">
        <f t="shared" si="1"/>
        <v>11</v>
      </c>
      <c r="B12" s="17" t="s">
        <v>2</v>
      </c>
      <c r="C12" s="15">
        <v>2.12</v>
      </c>
      <c r="D12" s="15">
        <v>308</v>
      </c>
      <c r="E12" s="23">
        <v>12.21</v>
      </c>
      <c r="F12" s="23">
        <v>12.08</v>
      </c>
      <c r="G12" s="21">
        <f>(E12+F12)/2</f>
        <v>12.145</v>
      </c>
      <c r="H12" s="21">
        <f t="shared" si="2"/>
        <v>0.60351056328783503</v>
      </c>
      <c r="I12" s="16">
        <v>100</v>
      </c>
      <c r="J12" s="21">
        <f t="shared" si="0"/>
        <v>8.2338410868670238</v>
      </c>
      <c r="K12" s="28">
        <f t="shared" si="3"/>
        <v>0.41735949792163451</v>
      </c>
      <c r="L12" s="19">
        <f>$C$38*D12 + $C$39</f>
        <v>1.2533333333333334</v>
      </c>
      <c r="M12" s="29">
        <f t="shared" si="4"/>
        <v>2.5</v>
      </c>
      <c r="N12" s="20">
        <f t="shared" si="5"/>
        <v>370.86520630133339</v>
      </c>
      <c r="O12" s="20">
        <f t="shared" si="6"/>
        <v>36.004414069477484</v>
      </c>
      <c r="P12" s="19">
        <f t="shared" si="7"/>
        <v>9.7082210619195628</v>
      </c>
      <c r="Q12" s="29">
        <f t="shared" si="8"/>
        <v>29.495709382843433</v>
      </c>
      <c r="R12" s="29">
        <f t="shared" si="9"/>
        <v>3.2508125979897424</v>
      </c>
      <c r="S12" s="29">
        <f t="shared" si="10"/>
        <v>11.021306712089523</v>
      </c>
      <c r="T12" s="19">
        <f>2/9*C12*C12/4/N12*IF(B12 = "Стекло",$B$31,$B$32)*1000</f>
        <v>1.6831512140155649</v>
      </c>
      <c r="U12" s="19">
        <f t="shared" si="11"/>
        <v>0.1795611889493505</v>
      </c>
      <c r="V12" s="29">
        <f t="shared" si="12"/>
        <v>10.668155508200822</v>
      </c>
      <c r="W12" s="19">
        <f>T12/1000*J12*1000</f>
        <v>13.858799621371469</v>
      </c>
      <c r="X12" s="19">
        <f t="shared" si="13"/>
        <v>0.70291977814088935</v>
      </c>
      <c r="Y12" s="29">
        <f t="shared" si="14"/>
        <v>5.0720105445274362</v>
      </c>
      <c r="Z12">
        <f t="shared" si="15"/>
        <v>12.8235939502376</v>
      </c>
      <c r="AA12">
        <f t="shared" si="16"/>
        <v>3.246753246753247E-3</v>
      </c>
      <c r="AB12">
        <f>LN(N12/График!$D$30)</f>
        <v>14.417035052054269</v>
      </c>
      <c r="AC12">
        <f t="shared" si="17"/>
        <v>0.67338541016699882</v>
      </c>
    </row>
    <row r="13" spans="1:29" ht="14.7" thickBot="1" x14ac:dyDescent="0.6">
      <c r="A13" s="1">
        <f t="shared" si="1"/>
        <v>12</v>
      </c>
      <c r="B13" s="17" t="s">
        <v>3</v>
      </c>
      <c r="C13" s="1">
        <v>0.84</v>
      </c>
      <c r="D13" s="1">
        <v>308</v>
      </c>
      <c r="E13" s="21">
        <v>14.82</v>
      </c>
      <c r="F13" s="21">
        <v>15.19</v>
      </c>
      <c r="G13" s="21">
        <f>(E13+F13)/2</f>
        <v>15.004999999999999</v>
      </c>
      <c r="H13" s="21">
        <f t="shared" si="2"/>
        <v>0.62787339488148419</v>
      </c>
      <c r="I13" s="8">
        <v>100</v>
      </c>
      <c r="J13" s="21">
        <f t="shared" si="0"/>
        <v>6.6644451849383541</v>
      </c>
      <c r="K13" s="28">
        <f t="shared" si="3"/>
        <v>0.28672172146586411</v>
      </c>
      <c r="L13" s="19">
        <f>$C$38*D13 + $C$39</f>
        <v>1.2533333333333334</v>
      </c>
      <c r="M13" s="29">
        <f t="shared" si="4"/>
        <v>7.8</v>
      </c>
      <c r="N13" s="20">
        <f t="shared" si="5"/>
        <v>377.75594068799995</v>
      </c>
      <c r="O13" s="20">
        <f t="shared" si="6"/>
        <v>24.929641869901548</v>
      </c>
      <c r="P13" s="19">
        <f t="shared" si="7"/>
        <v>6.5994043202861743</v>
      </c>
      <c r="Q13" s="29">
        <f t="shared" si="8"/>
        <v>9.286853143757833</v>
      </c>
      <c r="R13" s="29">
        <f t="shared" si="9"/>
        <v>0.76787792539473942</v>
      </c>
      <c r="S13" s="29">
        <f t="shared" si="10"/>
        <v>8.2684404879479469</v>
      </c>
      <c r="T13" s="19">
        <f>2/9*C13*C13/4/N13*IF(B13 = "Стекло",$B$31,$B$32)*1000</f>
        <v>0.80941149315382011</v>
      </c>
      <c r="U13" s="19">
        <f t="shared" si="11"/>
        <v>6.6682701503090122E-2</v>
      </c>
      <c r="V13" s="29">
        <f t="shared" si="12"/>
        <v>8.2384179205641423</v>
      </c>
      <c r="W13" s="19">
        <f>T13/1000*J13*1000</f>
        <v>5.3942785281827392</v>
      </c>
      <c r="X13" s="19">
        <f t="shared" si="13"/>
        <v>0.23210373119013486</v>
      </c>
      <c r="Y13" s="29">
        <f t="shared" si="14"/>
        <v>4.302776172522325</v>
      </c>
      <c r="Z13">
        <f t="shared" si="15"/>
        <v>12.842003606518274</v>
      </c>
      <c r="AA13">
        <f t="shared" si="16"/>
        <v>3.246753246753247E-3</v>
      </c>
      <c r="AB13">
        <f>LN(N13/График!$D$30)</f>
        <v>14.435444708334945</v>
      </c>
      <c r="AC13">
        <f t="shared" si="17"/>
        <v>0.45716667921395698</v>
      </c>
    </row>
    <row r="14" spans="1:29" ht="14.7" thickBot="1" x14ac:dyDescent="0.6">
      <c r="A14" s="1">
        <f t="shared" si="1"/>
        <v>13</v>
      </c>
      <c r="B14" s="17" t="s">
        <v>2</v>
      </c>
      <c r="C14" s="1">
        <v>2.09</v>
      </c>
      <c r="D14" s="1">
        <f>40+273</f>
        <v>313</v>
      </c>
      <c r="E14" s="21">
        <v>8.64</v>
      </c>
      <c r="F14" s="21">
        <v>8.5299999999999994</v>
      </c>
      <c r="G14" s="21">
        <f>(E14+F14)/2</f>
        <v>8.5850000000000009</v>
      </c>
      <c r="H14" s="21">
        <f t="shared" si="2"/>
        <v>0.60251555996505202</v>
      </c>
      <c r="I14" s="8">
        <v>100</v>
      </c>
      <c r="J14" s="21">
        <f t="shared" si="0"/>
        <v>11.648223645893999</v>
      </c>
      <c r="K14" s="28">
        <f t="shared" si="3"/>
        <v>0.8257566677473831</v>
      </c>
      <c r="L14" s="19">
        <f>$C$38*D14 + $C$39</f>
        <v>1.2511111111111113</v>
      </c>
      <c r="M14" s="29">
        <f t="shared" si="4"/>
        <v>2.5</v>
      </c>
      <c r="N14" s="20">
        <f t="shared" si="5"/>
        <v>255.24260935922217</v>
      </c>
      <c r="O14" s="20">
        <f t="shared" si="6"/>
        <v>27.806689864310762</v>
      </c>
      <c r="P14" s="19">
        <f t="shared" si="7"/>
        <v>10.894219399385747</v>
      </c>
      <c r="Q14" s="29">
        <f t="shared" si="8"/>
        <v>59.664869660990064</v>
      </c>
      <c r="R14" s="29">
        <f t="shared" si="9"/>
        <v>7.7906476014861568</v>
      </c>
      <c r="S14" s="29">
        <f t="shared" si="10"/>
        <v>13.057344540852686</v>
      </c>
      <c r="T14" s="19">
        <f>2/9*C14*C14/4/N14*IF(B14 = "Стекло",$B$31,$B$32)*1000</f>
        <v>2.3768780497841102</v>
      </c>
      <c r="U14" s="19">
        <f t="shared" si="11"/>
        <v>0.2795707121837907</v>
      </c>
      <c r="V14" s="29">
        <f t="shared" si="12"/>
        <v>11.762097437400454</v>
      </c>
      <c r="W14" s="19">
        <f>T14/1000*J14*1000</f>
        <v>27.686407102901686</v>
      </c>
      <c r="X14" s="19">
        <f t="shared" si="13"/>
        <v>1.9642485616909613</v>
      </c>
      <c r="Y14" s="29">
        <f t="shared" si="14"/>
        <v>7.0946315077664854</v>
      </c>
      <c r="Z14">
        <f t="shared" si="15"/>
        <v>12.449969781089493</v>
      </c>
      <c r="AA14">
        <f t="shared" si="16"/>
        <v>3.1948881789137379E-3</v>
      </c>
      <c r="AB14">
        <f>LN(N14/График!$D$30)</f>
        <v>14.043410882906164</v>
      </c>
      <c r="AC14">
        <f t="shared" si="17"/>
        <v>0.77575309091371414</v>
      </c>
    </row>
    <row r="15" spans="1:29" ht="14.7" thickBot="1" x14ac:dyDescent="0.6">
      <c r="A15" s="1">
        <f t="shared" si="1"/>
        <v>14</v>
      </c>
      <c r="B15" s="17" t="s">
        <v>2</v>
      </c>
      <c r="C15" s="1">
        <v>2.12</v>
      </c>
      <c r="D15" s="1">
        <v>313</v>
      </c>
      <c r="E15" s="21">
        <v>8.4</v>
      </c>
      <c r="F15" s="21">
        <v>8.3800000000000008</v>
      </c>
      <c r="G15" s="21">
        <f>(E15+F15)/2</f>
        <v>8.39</v>
      </c>
      <c r="H15" s="21">
        <f t="shared" si="2"/>
        <v>0.60008332754709992</v>
      </c>
      <c r="I15" s="8">
        <v>100</v>
      </c>
      <c r="J15" s="21">
        <f t="shared" si="0"/>
        <v>11.918951132300357</v>
      </c>
      <c r="K15" s="28">
        <f t="shared" si="3"/>
        <v>0.8607786029984974</v>
      </c>
      <c r="L15" s="19">
        <f>$C$38*D15 + $C$39</f>
        <v>1.2511111111111113</v>
      </c>
      <c r="M15" s="29">
        <f t="shared" si="4"/>
        <v>2.5</v>
      </c>
      <c r="N15" s="20">
        <f t="shared" si="5"/>
        <v>256.65751601422227</v>
      </c>
      <c r="O15" s="20">
        <f t="shared" si="6"/>
        <v>28.171802072804645</v>
      </c>
      <c r="P15" s="19">
        <f t="shared" si="7"/>
        <v>10.976418111692295</v>
      </c>
      <c r="Q15" s="29">
        <f t="shared" si="8"/>
        <v>61.586539025025544</v>
      </c>
      <c r="R15" s="29">
        <f t="shared" si="9"/>
        <v>8.1277182261814751</v>
      </c>
      <c r="S15" s="29">
        <f t="shared" si="10"/>
        <v>13.197231659468306</v>
      </c>
      <c r="T15" s="19">
        <f>2/9*C15*C15/4/N15*IF(B15 = "Стекло",$B$31,$B$32)*1000</f>
        <v>2.4321213417635978</v>
      </c>
      <c r="U15" s="19">
        <f t="shared" si="11"/>
        <v>0.28781537379010169</v>
      </c>
      <c r="V15" s="29">
        <f t="shared" si="12"/>
        <v>11.833923285315974</v>
      </c>
      <c r="W15" s="19">
        <f>T15/1000*J15*1000</f>
        <v>28.988335420305098</v>
      </c>
      <c r="X15" s="19">
        <f t="shared" si="13"/>
        <v>2.0951798749419313</v>
      </c>
      <c r="Y15" s="29">
        <f t="shared" si="14"/>
        <v>7.2276653507822557</v>
      </c>
      <c r="Z15">
        <f t="shared" si="15"/>
        <v>12.455497852633572</v>
      </c>
      <c r="AA15">
        <f t="shared" si="16"/>
        <v>3.1948881789137379E-3</v>
      </c>
      <c r="AB15">
        <f>LN(N15/График!$D$30)</f>
        <v>14.048938954450243</v>
      </c>
      <c r="AC15">
        <f t="shared" si="17"/>
        <v>0.78129872635081288</v>
      </c>
    </row>
    <row r="16" spans="1:29" x14ac:dyDescent="0.55000000000000004">
      <c r="A16" s="1">
        <f t="shared" si="1"/>
        <v>15</v>
      </c>
      <c r="B16" s="17" t="s">
        <v>3</v>
      </c>
      <c r="C16" s="1">
        <v>0.78</v>
      </c>
      <c r="D16" s="1">
        <v>313</v>
      </c>
      <c r="E16" s="21">
        <v>10.83</v>
      </c>
      <c r="F16" s="21">
        <v>10.97</v>
      </c>
      <c r="G16" s="21">
        <f>(E16+F16)/2</f>
        <v>10.9</v>
      </c>
      <c r="H16" s="21">
        <f t="shared" si="2"/>
        <v>0.60406953242155825</v>
      </c>
      <c r="I16" s="8">
        <v>100</v>
      </c>
      <c r="J16" s="21">
        <f t="shared" si="0"/>
        <v>9.1743119266055047</v>
      </c>
      <c r="K16" s="28">
        <f t="shared" si="3"/>
        <v>0.51664413231000295</v>
      </c>
      <c r="L16" s="19">
        <f>$C$38*D16 + $C$39</f>
        <v>1.2511111111111113</v>
      </c>
      <c r="M16" s="29">
        <f t="shared" si="4"/>
        <v>7.8</v>
      </c>
      <c r="N16" s="20">
        <f t="shared" si="5"/>
        <v>236.68995532</v>
      </c>
      <c r="O16" s="20">
        <f t="shared" si="6"/>
        <v>18.391396822694769</v>
      </c>
      <c r="P16" s="19">
        <f t="shared" si="7"/>
        <v>7.7702481281176361</v>
      </c>
      <c r="Q16" s="29">
        <f t="shared" si="8"/>
        <v>18.912727383535593</v>
      </c>
      <c r="R16" s="29">
        <f t="shared" si="9"/>
        <v>1.8846715000968308</v>
      </c>
      <c r="S16" s="29">
        <f t="shared" si="10"/>
        <v>9.9650963178241803</v>
      </c>
      <c r="T16" s="19">
        <f>2/9*C16*C16/4/N16*IF(B16 = "Стекло",$B$31,$B$32)*1000</f>
        <v>1.1138622238681997</v>
      </c>
      <c r="U16" s="19">
        <f t="shared" si="11"/>
        <v>0.10467869487187706</v>
      </c>
      <c r="V16" s="29">
        <f t="shared" si="12"/>
        <v>9.397813538226556</v>
      </c>
      <c r="W16" s="19">
        <f>T16/1000*J16*1000</f>
        <v>10.218919485029355</v>
      </c>
      <c r="X16" s="19">
        <f t="shared" si="13"/>
        <v>0.57556979353599114</v>
      </c>
      <c r="Y16" s="29">
        <f t="shared" si="14"/>
        <v>5.632393859049353</v>
      </c>
      <c r="Z16">
        <f t="shared" si="15"/>
        <v>12.374506358268718</v>
      </c>
      <c r="AA16">
        <f t="shared" si="16"/>
        <v>3.1948881789137379E-3</v>
      </c>
      <c r="AB16">
        <f>LN(N16/График!$D$30)</f>
        <v>13.967947460085389</v>
      </c>
      <c r="AC16">
        <f t="shared" si="17"/>
        <v>0.55629133416500798</v>
      </c>
    </row>
    <row r="17" spans="1:29" x14ac:dyDescent="0.55000000000000004">
      <c r="A17" s="1">
        <f t="shared" si="1"/>
        <v>16</v>
      </c>
      <c r="B17" s="5" t="s">
        <v>3</v>
      </c>
      <c r="C17" s="1">
        <v>0.91</v>
      </c>
      <c r="D17" s="1">
        <v>313</v>
      </c>
      <c r="E17" s="21">
        <v>8.4</v>
      </c>
      <c r="F17" s="21">
        <v>8.23</v>
      </c>
      <c r="G17" s="21">
        <f>(E17+F17)/2</f>
        <v>8.3150000000000013</v>
      </c>
      <c r="H17" s="21">
        <f t="shared" si="2"/>
        <v>0.60599092402444454</v>
      </c>
      <c r="I17" s="8">
        <v>100</v>
      </c>
      <c r="J17" s="21">
        <f t="shared" si="0"/>
        <v>12.026458208057726</v>
      </c>
      <c r="K17" s="28">
        <f t="shared" si="3"/>
        <v>0.88469167075622501</v>
      </c>
      <c r="L17" s="19">
        <f>$C$38*D17 + $C$39</f>
        <v>1.2511111111111113</v>
      </c>
      <c r="M17" s="29">
        <f t="shared" si="4"/>
        <v>7.8</v>
      </c>
      <c r="N17" s="20">
        <f t="shared" si="5"/>
        <v>245.75884797605559</v>
      </c>
      <c r="O17" s="20">
        <f t="shared" si="6"/>
        <v>21.396627818232293</v>
      </c>
      <c r="P17" s="19">
        <f t="shared" si="7"/>
        <v>8.7063509592610799</v>
      </c>
      <c r="Q17" s="29">
        <f t="shared" si="8"/>
        <v>27.857097333319999</v>
      </c>
      <c r="R17" s="29">
        <f t="shared" si="9"/>
        <v>3.2412973436530579</v>
      </c>
      <c r="S17" s="29">
        <f t="shared" si="10"/>
        <v>11.635445376342666</v>
      </c>
      <c r="T17" s="19">
        <f>2/9*C17*C17/4/N17*IF(B17 = "Стекло",$B$31,$B$32)*1000</f>
        <v>1.4601441058524802</v>
      </c>
      <c r="U17" s="19">
        <f t="shared" si="11"/>
        <v>0.14363361238301359</v>
      </c>
      <c r="V17" s="29">
        <f t="shared" si="12"/>
        <v>9.8369477236738589</v>
      </c>
      <c r="W17" s="19">
        <f>T17/1000*J17*1000</f>
        <v>17.560362066776669</v>
      </c>
      <c r="X17" s="19">
        <f t="shared" si="13"/>
        <v>1.2920235466978653</v>
      </c>
      <c r="Y17" s="29">
        <f t="shared" si="14"/>
        <v>7.3576133668810257</v>
      </c>
      <c r="Z17">
        <f t="shared" si="15"/>
        <v>12.412106041333027</v>
      </c>
      <c r="AA17">
        <f t="shared" si="16"/>
        <v>3.1948881789137379E-3</v>
      </c>
      <c r="AB17">
        <f>LN(N17/График!$D$30)</f>
        <v>14.005547143149698</v>
      </c>
      <c r="AC17">
        <f t="shared" si="17"/>
        <v>0.62163590399390245</v>
      </c>
    </row>
    <row r="18" spans="1:29" x14ac:dyDescent="0.55000000000000004">
      <c r="A18" s="1">
        <f t="shared" si="1"/>
        <v>17</v>
      </c>
      <c r="B18" s="5" t="s">
        <v>2</v>
      </c>
      <c r="C18" s="1">
        <v>2.09</v>
      </c>
      <c r="D18" s="1">
        <v>318</v>
      </c>
      <c r="E18" s="21">
        <v>6.67</v>
      </c>
      <c r="F18" s="21">
        <v>6.42</v>
      </c>
      <c r="G18" s="21">
        <f>(E18+F18)/2</f>
        <v>6.5449999999999999</v>
      </c>
      <c r="H18" s="21">
        <f t="shared" si="2"/>
        <v>0.61288253360656308</v>
      </c>
      <c r="I18" s="8">
        <v>100</v>
      </c>
      <c r="J18" s="21">
        <f t="shared" si="0"/>
        <v>15.278838808250573</v>
      </c>
      <c r="K18" s="28">
        <f t="shared" si="3"/>
        <v>1.4388658964937731</v>
      </c>
      <c r="L18" s="19">
        <f>$C$38*D18 + $C$39</f>
        <v>1.2488888888888889</v>
      </c>
      <c r="M18" s="29">
        <f t="shared" si="4"/>
        <v>2.5</v>
      </c>
      <c r="N18" s="20">
        <f t="shared" si="5"/>
        <v>194.93714735794441</v>
      </c>
      <c r="O18" s="20">
        <f t="shared" si="6"/>
        <v>24.416649541989873</v>
      </c>
      <c r="P18" s="19">
        <f t="shared" si="7"/>
        <v>12.525395940649483</v>
      </c>
      <c r="Q18" s="29">
        <f t="shared" si="8"/>
        <v>102.29062564026248</v>
      </c>
      <c r="R18" s="29">
        <f t="shared" si="9"/>
        <v>16.080444487099278</v>
      </c>
      <c r="S18" s="29">
        <f t="shared" si="10"/>
        <v>15.720350116589643</v>
      </c>
      <c r="T18" s="19">
        <f>2/9*C18*C18/4/N18*IF(B18 = "Стекло",$B$31,$B$32)*1000</f>
        <v>3.1121854596628831</v>
      </c>
      <c r="U18" s="19">
        <f t="shared" si="11"/>
        <v>0.41352087696377193</v>
      </c>
      <c r="V18" s="29">
        <f t="shared" si="12"/>
        <v>13.287154069814502</v>
      </c>
      <c r="W18" s="19">
        <f>T18/1000*J18*1000</f>
        <v>47.550579979570408</v>
      </c>
      <c r="X18" s="19">
        <f t="shared" si="13"/>
        <v>4.4823325288330143</v>
      </c>
      <c r="Y18" s="29">
        <f t="shared" si="14"/>
        <v>9.426451855600499</v>
      </c>
      <c r="Z18">
        <f t="shared" si="15"/>
        <v>12.180432464347916</v>
      </c>
      <c r="AA18">
        <f t="shared" si="16"/>
        <v>3.1446540880503146E-3</v>
      </c>
      <c r="AB18">
        <f>LN(N18/График!$D$30)</f>
        <v>13.773873566164587</v>
      </c>
      <c r="AC18">
        <f t="shared" si="17"/>
        <v>0.90935900351358101</v>
      </c>
    </row>
    <row r="19" spans="1:29" x14ac:dyDescent="0.55000000000000004">
      <c r="A19" s="1">
        <f t="shared" si="1"/>
        <v>18</v>
      </c>
      <c r="B19" s="5" t="s">
        <v>2</v>
      </c>
      <c r="C19" s="1">
        <v>2.12</v>
      </c>
      <c r="D19" s="1">
        <v>318</v>
      </c>
      <c r="E19" s="21">
        <v>6.4</v>
      </c>
      <c r="F19" s="21">
        <v>6.49</v>
      </c>
      <c r="G19" s="21">
        <f>(E19+F19)/2</f>
        <v>6.4450000000000003</v>
      </c>
      <c r="H19" s="21">
        <f t="shared" si="2"/>
        <v>0.60168513360394738</v>
      </c>
      <c r="I19" s="8">
        <v>100</v>
      </c>
      <c r="J19" s="21">
        <f t="shared" si="0"/>
        <v>15.51590380139643</v>
      </c>
      <c r="K19" s="28">
        <f t="shared" si="3"/>
        <v>1.4568027636224594</v>
      </c>
      <c r="L19" s="19">
        <f>$C$38*D19 + $C$39</f>
        <v>1.2488888888888889</v>
      </c>
      <c r="M19" s="29">
        <f t="shared" si="4"/>
        <v>2.5</v>
      </c>
      <c r="N19" s="20">
        <f t="shared" si="5"/>
        <v>197.50906219288896</v>
      </c>
      <c r="O19" s="20">
        <f t="shared" si="6"/>
        <v>24.688687836171379</v>
      </c>
      <c r="P19" s="19">
        <f t="shared" si="7"/>
        <v>12.500027878245001</v>
      </c>
      <c r="Q19" s="29">
        <f t="shared" si="8"/>
        <v>103.99673828682872</v>
      </c>
      <c r="R19" s="29">
        <f t="shared" si="9"/>
        <v>16.309159469183616</v>
      </c>
      <c r="S19" s="29">
        <f t="shared" si="10"/>
        <v>15.68237594548596</v>
      </c>
      <c r="T19" s="19">
        <f>2/9*C19*C19/4/N19*IF(B19 = "Стекло",$B$31,$B$32)*1000</f>
        <v>3.1604738298671164</v>
      </c>
      <c r="U19" s="19">
        <f t="shared" si="11"/>
        <v>0.41905866848424839</v>
      </c>
      <c r="V19" s="29">
        <f t="shared" si="12"/>
        <v>13.259362078054856</v>
      </c>
      <c r="W19" s="19">
        <f>T19/1000*J19*1000</f>
        <v>49.037607911049129</v>
      </c>
      <c r="X19" s="19">
        <f t="shared" si="13"/>
        <v>4.6087706353092424</v>
      </c>
      <c r="Y19" s="29">
        <f t="shared" si="14"/>
        <v>9.3984409754840357</v>
      </c>
      <c r="Z19">
        <f t="shared" si="15"/>
        <v>12.193539746791608</v>
      </c>
      <c r="AA19">
        <f t="shared" si="16"/>
        <v>3.1446540880503146E-3</v>
      </c>
      <c r="AB19">
        <f>LN(N19/График!$D$30)</f>
        <v>13.786980848608279</v>
      </c>
      <c r="AC19">
        <f t="shared" si="17"/>
        <v>0.90665447464568083</v>
      </c>
    </row>
    <row r="20" spans="1:29" x14ac:dyDescent="0.55000000000000004">
      <c r="A20" s="1">
        <f t="shared" si="1"/>
        <v>19</v>
      </c>
      <c r="B20" s="5" t="s">
        <v>3</v>
      </c>
      <c r="C20" s="1">
        <v>0.83</v>
      </c>
      <c r="D20" s="1">
        <v>318</v>
      </c>
      <c r="E20" s="21">
        <v>8.07</v>
      </c>
      <c r="F20" s="21">
        <v>8.1300000000000008</v>
      </c>
      <c r="G20" s="21">
        <f>(E20+F20)/2</f>
        <v>8.1000000000000014</v>
      </c>
      <c r="H20" s="21">
        <f t="shared" si="2"/>
        <v>0.60074953183502355</v>
      </c>
      <c r="I20" s="8">
        <v>100</v>
      </c>
      <c r="J20" s="21">
        <f t="shared" si="0"/>
        <v>12.345679012345677</v>
      </c>
      <c r="K20" s="28">
        <f t="shared" si="3"/>
        <v>0.92392259585094583</v>
      </c>
      <c r="L20" s="19">
        <f>$C$38*D20 + $C$39</f>
        <v>1.2488888888888889</v>
      </c>
      <c r="M20" s="29">
        <f t="shared" si="4"/>
        <v>7.8</v>
      </c>
      <c r="N20" s="20">
        <f t="shared" si="5"/>
        <v>199.22905332000005</v>
      </c>
      <c r="O20" s="20">
        <f t="shared" si="6"/>
        <v>17.99646728283378</v>
      </c>
      <c r="P20" s="19">
        <f t="shared" si="7"/>
        <v>9.0330536550449807</v>
      </c>
      <c r="Q20" s="29">
        <f t="shared" si="8"/>
        <v>32.116943544424174</v>
      </c>
      <c r="R20" s="29">
        <f t="shared" si="9"/>
        <v>3.8547078135251618</v>
      </c>
      <c r="S20" s="29">
        <f t="shared" si="10"/>
        <v>12.002100412180654</v>
      </c>
      <c r="T20" s="19">
        <f>2/9*C20*C20/4/N20*IF(B20 = "Стекло",$B$31,$B$32)*1000</f>
        <v>1.4983925705546954</v>
      </c>
      <c r="U20" s="19">
        <f t="shared" si="11"/>
        <v>0.15460706556331019</v>
      </c>
      <c r="V20" s="29">
        <f t="shared" si="12"/>
        <v>10.31819488440707</v>
      </c>
      <c r="W20" s="19">
        <f>T20/1000*J20*1000</f>
        <v>18.498673710551792</v>
      </c>
      <c r="X20" s="19">
        <f t="shared" si="13"/>
        <v>1.3846941478415942</v>
      </c>
      <c r="Y20" s="29">
        <f t="shared" si="14"/>
        <v>7.4853698676340965</v>
      </c>
      <c r="Z20">
        <f t="shared" si="15"/>
        <v>12.202210463497558</v>
      </c>
      <c r="AA20">
        <f t="shared" si="16"/>
        <v>3.1446540880503146E-3</v>
      </c>
      <c r="AB20">
        <f>LN(N20/График!$D$30)</f>
        <v>13.795651565314229</v>
      </c>
      <c r="AC20">
        <f t="shared" si="17"/>
        <v>0.65477542777003528</v>
      </c>
    </row>
    <row r="21" spans="1:29" ht="14.7" thickBot="1" x14ac:dyDescent="0.6">
      <c r="A21" s="11">
        <f t="shared" si="1"/>
        <v>20</v>
      </c>
      <c r="B21" s="5" t="s">
        <v>3</v>
      </c>
      <c r="C21" s="11">
        <v>0.91</v>
      </c>
      <c r="D21" s="11">
        <v>318</v>
      </c>
      <c r="E21" s="22">
        <v>7.03</v>
      </c>
      <c r="F21" s="22">
        <v>6.77</v>
      </c>
      <c r="G21" s="21">
        <f>(E21+F21)/2</f>
        <v>6.9</v>
      </c>
      <c r="H21" s="21">
        <f t="shared" si="2"/>
        <v>0.6139218191268333</v>
      </c>
      <c r="I21" s="12">
        <v>100</v>
      </c>
      <c r="J21" s="21">
        <f t="shared" si="0"/>
        <v>14.492753623188404</v>
      </c>
      <c r="K21" s="28">
        <f t="shared" si="3"/>
        <v>1.2975996223151531</v>
      </c>
      <c r="L21" s="19">
        <f>$C$38*D21 + $C$39</f>
        <v>1.2488888888888889</v>
      </c>
      <c r="M21" s="29">
        <f t="shared" si="4"/>
        <v>7.8</v>
      </c>
      <c r="N21" s="20">
        <f t="shared" si="5"/>
        <v>204.0061890533334</v>
      </c>
      <c r="O21" s="20">
        <f t="shared" si="6"/>
        <v>20.58837362679607</v>
      </c>
      <c r="P21" s="19">
        <f t="shared" si="7"/>
        <v>10.092033835999773</v>
      </c>
      <c r="Q21" s="29">
        <f t="shared" si="8"/>
        <v>40.368514157802899</v>
      </c>
      <c r="R21" s="29">
        <f t="shared" si="9"/>
        <v>5.5274603586324664</v>
      </c>
      <c r="S21" s="29">
        <f t="shared" si="10"/>
        <v>13.692503858391463</v>
      </c>
      <c r="T21" s="19">
        <f>2/9*C21*C21/4/N21*IF(B21 = "Стекло",$B$31,$B$32)*1000</f>
        <v>1.7589825828250771</v>
      </c>
      <c r="U21" s="19">
        <f t="shared" si="11"/>
        <v>0.19493316116943479</v>
      </c>
      <c r="V21" s="29">
        <f t="shared" si="12"/>
        <v>11.082154142558672</v>
      </c>
      <c r="W21" s="19">
        <f>T21/1000*J21*1000</f>
        <v>25.492501200363435</v>
      </c>
      <c r="X21" s="19">
        <f t="shared" si="13"/>
        <v>2.282996029733797</v>
      </c>
      <c r="Y21" s="29">
        <f t="shared" si="14"/>
        <v>8.9555591732256126</v>
      </c>
      <c r="Z21">
        <f t="shared" si="15"/>
        <v>12.225905610862883</v>
      </c>
      <c r="AA21">
        <f t="shared" si="16"/>
        <v>3.1446540880503146E-3</v>
      </c>
      <c r="AB21">
        <f>LN(N21/График!$D$30)</f>
        <v>13.819346712679554</v>
      </c>
      <c r="AC21">
        <f t="shared" si="17"/>
        <v>0.73028298991442997</v>
      </c>
    </row>
    <row r="22" spans="1:29" x14ac:dyDescent="0.55000000000000004">
      <c r="A22" s="6">
        <v>21</v>
      </c>
      <c r="B22" s="6" t="s">
        <v>2</v>
      </c>
      <c r="C22" s="6">
        <v>2.12</v>
      </c>
      <c r="D22" s="6">
        <v>323</v>
      </c>
      <c r="E22" s="24">
        <v>4.8</v>
      </c>
      <c r="F22" s="24">
        <v>4.8099999999999996</v>
      </c>
      <c r="G22" s="21">
        <f>(E22+F22)/2</f>
        <v>4.8049999999999997</v>
      </c>
      <c r="H22" s="21">
        <f t="shared" si="2"/>
        <v>0.60002083297165609</v>
      </c>
      <c r="I22" s="7">
        <v>100</v>
      </c>
      <c r="J22" s="21">
        <f t="shared" si="0"/>
        <v>20.811654526534859</v>
      </c>
      <c r="K22" s="28">
        <f t="shared" si="3"/>
        <v>2.6071597445210397</v>
      </c>
      <c r="L22" s="19">
        <f>$C$38*D22 + $C$39</f>
        <v>1.2466666666666668</v>
      </c>
      <c r="M22" s="29">
        <f t="shared" si="4"/>
        <v>2.5</v>
      </c>
      <c r="N22" s="20">
        <f t="shared" si="5"/>
        <v>147.51229042133338</v>
      </c>
      <c r="O22" s="20">
        <f t="shared" si="6"/>
        <v>22.117145923137503</v>
      </c>
      <c r="P22" s="19">
        <f t="shared" si="7"/>
        <v>14.9934258765593</v>
      </c>
      <c r="Q22" s="29">
        <f t="shared" si="8"/>
        <v>186.43807683038264</v>
      </c>
      <c r="R22" s="29">
        <f t="shared" si="9"/>
        <v>36.499607463867726</v>
      </c>
      <c r="S22" s="29">
        <f t="shared" si="10"/>
        <v>19.577335319262215</v>
      </c>
      <c r="T22" s="19">
        <f>2/9*C22*C22/4/N22*IF(B22 = "Стекло",$B$31,$B$32)*1000</f>
        <v>4.2316624631024409</v>
      </c>
      <c r="U22" s="19">
        <f t="shared" si="11"/>
        <v>0.6614980528599097</v>
      </c>
      <c r="V22" s="29">
        <f t="shared" si="12"/>
        <v>15.632108152003521</v>
      </c>
      <c r="W22" s="19">
        <f>T22/1000*J22*1000</f>
        <v>88.067897254993554</v>
      </c>
      <c r="X22" s="19">
        <f t="shared" si="13"/>
        <v>11.0479902899956</v>
      </c>
      <c r="Y22" s="29">
        <f t="shared" si="14"/>
        <v>12.544855315447156</v>
      </c>
      <c r="Z22">
        <f t="shared" si="15"/>
        <v>11.901666776181081</v>
      </c>
      <c r="AA22">
        <f t="shared" si="16"/>
        <v>3.0959752321981426E-3</v>
      </c>
      <c r="AB22">
        <f>LN(N22/График!$D$30)</f>
        <v>13.495107877997752</v>
      </c>
      <c r="AC22">
        <f t="shared" si="17"/>
        <v>1.1110267522206612</v>
      </c>
    </row>
    <row r="23" spans="1:29" x14ac:dyDescent="0.55000000000000004">
      <c r="A23" s="1">
        <v>22</v>
      </c>
      <c r="B23" s="6" t="s">
        <v>2</v>
      </c>
      <c r="C23" s="1">
        <v>2.16</v>
      </c>
      <c r="D23" s="1">
        <v>323</v>
      </c>
      <c r="E23" s="21">
        <v>4.8600000000000003</v>
      </c>
      <c r="F23" s="21">
        <v>4.6100000000000003</v>
      </c>
      <c r="G23" s="21">
        <f>(E23+F23)/2</f>
        <v>4.7350000000000003</v>
      </c>
      <c r="H23" s="21">
        <f t="shared" si="2"/>
        <v>0.61288253360656308</v>
      </c>
      <c r="I23" s="8">
        <v>100</v>
      </c>
      <c r="J23" s="21">
        <f t="shared" si="0"/>
        <v>21.119324181626187</v>
      </c>
      <c r="K23" s="28">
        <f t="shared" si="3"/>
        <v>2.7417605866350128</v>
      </c>
      <c r="L23" s="19">
        <f>$C$38*D23 + $C$39</f>
        <v>1.2466666666666668</v>
      </c>
      <c r="M23" s="29">
        <f t="shared" si="4"/>
        <v>2.5</v>
      </c>
      <c r="N23" s="20">
        <f t="shared" si="5"/>
        <v>150.900465024</v>
      </c>
      <c r="O23" s="20">
        <f t="shared" si="6"/>
        <v>23.19526361094206</v>
      </c>
      <c r="P23" s="19">
        <f t="shared" si="7"/>
        <v>15.371234016577063</v>
      </c>
      <c r="Q23" s="29">
        <f t="shared" si="8"/>
        <v>188.43585454570362</v>
      </c>
      <c r="R23" s="29">
        <f t="shared" si="9"/>
        <v>37.983455200434932</v>
      </c>
      <c r="S23" s="29">
        <f t="shared" si="10"/>
        <v>20.157233501027982</v>
      </c>
      <c r="T23" s="19">
        <f>2/9*C23*C23/4/N23*IF(B23 = "Стекло",$B$31,$B$32)*1000</f>
        <v>4.2942213590722771</v>
      </c>
      <c r="U23" s="19">
        <f t="shared" si="11"/>
        <v>0.68667834284209062</v>
      </c>
      <c r="V23" s="29">
        <f t="shared" si="12"/>
        <v>15.990753280367468</v>
      </c>
      <c r="W23" s="19">
        <f>T23/1000*J23*1000</f>
        <v>90.691052989910816</v>
      </c>
      <c r="X23" s="19">
        <f t="shared" si="13"/>
        <v>11.790185294618084</v>
      </c>
      <c r="Y23" s="29">
        <f t="shared" si="14"/>
        <v>13.000384167917552</v>
      </c>
      <c r="Z23">
        <f t="shared" si="15"/>
        <v>11.924375726421172</v>
      </c>
      <c r="AA23">
        <f t="shared" si="16"/>
        <v>3.0959752321981426E-3</v>
      </c>
      <c r="AB23">
        <f>LN(N23/График!$D$30)</f>
        <v>13.517816828237843</v>
      </c>
      <c r="AC23">
        <f t="shared" si="17"/>
        <v>1.1371092101549676</v>
      </c>
    </row>
    <row r="24" spans="1:29" x14ac:dyDescent="0.55000000000000004">
      <c r="A24" s="1">
        <v>23</v>
      </c>
      <c r="B24" s="1" t="s">
        <v>3</v>
      </c>
      <c r="C24" s="1">
        <v>0.78</v>
      </c>
      <c r="D24" s="1">
        <v>323</v>
      </c>
      <c r="E24" s="21">
        <v>5.53</v>
      </c>
      <c r="F24" s="21">
        <v>5.58</v>
      </c>
      <c r="G24" s="21">
        <f>(E24+F24)/2</f>
        <v>5.5549999999999997</v>
      </c>
      <c r="H24" s="21">
        <f t="shared" si="2"/>
        <v>0.60052060747321567</v>
      </c>
      <c r="I24" s="8">
        <v>100</v>
      </c>
      <c r="J24" s="21">
        <f t="shared" si="0"/>
        <v>18.001800180018002</v>
      </c>
      <c r="K24" s="28">
        <f t="shared" si="3"/>
        <v>1.954384337436615</v>
      </c>
      <c r="L24" s="19">
        <f>$C$38*D24 + $C$39</f>
        <v>1.2466666666666668</v>
      </c>
      <c r="M24" s="29">
        <f t="shared" si="4"/>
        <v>7.8</v>
      </c>
      <c r="N24" s="20">
        <f t="shared" si="5"/>
        <v>120.70688143800001</v>
      </c>
      <c r="O24" s="20">
        <f t="shared" si="6"/>
        <v>14.611343975107536</v>
      </c>
      <c r="P24" s="19">
        <f t="shared" si="7"/>
        <v>12.104814407464017</v>
      </c>
      <c r="Q24" s="29">
        <f t="shared" si="8"/>
        <v>72.510159679838821</v>
      </c>
      <c r="R24" s="29">
        <f t="shared" si="9"/>
        <v>11.950115458367211</v>
      </c>
      <c r="S24" s="29">
        <f t="shared" si="10"/>
        <v>16.480608388026894</v>
      </c>
      <c r="T24" s="19">
        <f>2/9*C24*C24/4/N24*IF(B24 = "Стекло",$B$31,$B$32)*1000</f>
        <v>2.1841339686620627</v>
      </c>
      <c r="U24" s="19">
        <f t="shared" si="11"/>
        <v>0.28849481016313921</v>
      </c>
      <c r="V24" s="29">
        <f t="shared" si="12"/>
        <v>13.208659097951889</v>
      </c>
      <c r="W24" s="19">
        <f>T24/1000*J24*1000</f>
        <v>39.318343270244142</v>
      </c>
      <c r="X24" s="19">
        <f t="shared" si="13"/>
        <v>4.2701440710118508</v>
      </c>
      <c r="Y24" s="29">
        <f t="shared" si="14"/>
        <v>10.860437434156763</v>
      </c>
      <c r="Z24">
        <f t="shared" si="15"/>
        <v>11.701120418202795</v>
      </c>
      <c r="AA24">
        <f t="shared" si="16"/>
        <v>3.0959752321981426E-3</v>
      </c>
      <c r="AB24">
        <f>LN(N24/График!$D$30)</f>
        <v>13.294561520019466</v>
      </c>
      <c r="AC24">
        <f t="shared" si="17"/>
        <v>0.91050873616524464</v>
      </c>
    </row>
    <row r="25" spans="1:29" x14ac:dyDescent="0.55000000000000004">
      <c r="A25" s="1">
        <v>24</v>
      </c>
      <c r="B25" s="1" t="s">
        <v>3</v>
      </c>
      <c r="C25" s="1">
        <v>0.79</v>
      </c>
      <c r="D25" s="1">
        <v>323</v>
      </c>
      <c r="E25" s="21">
        <v>5.67</v>
      </c>
      <c r="F25" s="21">
        <v>5.75</v>
      </c>
      <c r="G25" s="21">
        <f>(E25+F25)/2</f>
        <v>5.71</v>
      </c>
      <c r="H25" s="21">
        <f t="shared" si="2"/>
        <v>0.60133185513491627</v>
      </c>
      <c r="I25" s="8">
        <v>100</v>
      </c>
      <c r="J25" s="21">
        <f t="shared" si="0"/>
        <v>17.513134851138354</v>
      </c>
      <c r="K25" s="28">
        <f t="shared" si="3"/>
        <v>1.852640502655432</v>
      </c>
      <c r="L25" s="19">
        <f>$C$38*D25 + $C$39</f>
        <v>1.2466666666666668</v>
      </c>
      <c r="M25" s="29">
        <f t="shared" si="4"/>
        <v>7.8</v>
      </c>
      <c r="N25" s="20">
        <f t="shared" si="5"/>
        <v>127.27674260566668</v>
      </c>
      <c r="O25" s="20">
        <f t="shared" si="6"/>
        <v>15.054497685329567</v>
      </c>
      <c r="P25" s="19">
        <f t="shared" si="7"/>
        <v>11.828160728446631</v>
      </c>
      <c r="Q25" s="29">
        <f t="shared" si="8"/>
        <v>67.758265927511786</v>
      </c>
      <c r="R25" s="29">
        <f t="shared" si="9"/>
        <v>10.901804676937735</v>
      </c>
      <c r="S25" s="29">
        <f t="shared" si="10"/>
        <v>16.089261623962681</v>
      </c>
      <c r="T25" s="19">
        <f>2/9*C25*C25/4/N25*IF(B25 = "Стекло",$B$31,$B$32)*1000</f>
        <v>2.1248448679365599</v>
      </c>
      <c r="U25" s="19">
        <f t="shared" si="11"/>
        <v>0.27474331146584829</v>
      </c>
      <c r="V25" s="29">
        <f t="shared" si="12"/>
        <v>12.930040946125725</v>
      </c>
      <c r="W25" s="19">
        <f>T25/1000*J25*1000</f>
        <v>37.212694709922239</v>
      </c>
      <c r="X25" s="19">
        <f t="shared" si="13"/>
        <v>3.9379011042021235</v>
      </c>
      <c r="Y25" s="29">
        <f t="shared" si="14"/>
        <v>10.582144439951396</v>
      </c>
      <c r="Z25">
        <f t="shared" si="15"/>
        <v>11.75411907033398</v>
      </c>
      <c r="AA25">
        <f t="shared" si="16"/>
        <v>3.0959752321981426E-3</v>
      </c>
      <c r="AB25">
        <f>LN(N25/График!$D$30)</f>
        <v>13.347560172150651</v>
      </c>
      <c r="AC25">
        <f t="shared" si="17"/>
        <v>0.88616650353266746</v>
      </c>
    </row>
    <row r="26" spans="1:29" x14ac:dyDescent="0.55000000000000004">
      <c r="P26" s="19">
        <f>AVERAGE(P2:P25)</f>
        <v>9.5197320911956158</v>
      </c>
      <c r="R26" s="19"/>
      <c r="S26" s="19">
        <f>AVERAGE(S2:S25)</f>
        <v>11.707277988222295</v>
      </c>
      <c r="U26" s="19"/>
      <c r="V26" s="19">
        <f>AVERAGE(V2:V25)</f>
        <v>10.758346630221382</v>
      </c>
      <c r="X26" s="19"/>
      <c r="Y26" s="19">
        <f>AVERAGE(Y2:Y25)</f>
        <v>6.2031294592817616</v>
      </c>
      <c r="AC26">
        <f>AVERAGE(AC2:AC25)</f>
        <v>0.67481025085181956</v>
      </c>
    </row>
    <row r="27" spans="1:29" x14ac:dyDescent="0.55000000000000004">
      <c r="G27" t="s">
        <v>47</v>
      </c>
      <c r="I27" t="s">
        <v>48</v>
      </c>
    </row>
    <row r="28" spans="1:29" x14ac:dyDescent="0.55000000000000004">
      <c r="A28" t="s">
        <v>17</v>
      </c>
      <c r="G28">
        <v>1.5111000000000001</v>
      </c>
      <c r="I28">
        <f>G28*SQRT((0.1/310.5)^2 + (AC26/100)^2)</f>
        <v>1.0208664466729021E-2</v>
      </c>
    </row>
    <row r="29" spans="1:29" x14ac:dyDescent="0.55000000000000004">
      <c r="A29">
        <v>9.81</v>
      </c>
    </row>
    <row r="30" spans="1:29" x14ac:dyDescent="0.55000000000000004">
      <c r="I30" t="s">
        <v>50</v>
      </c>
    </row>
    <row r="31" spans="1:29" x14ac:dyDescent="0.55000000000000004">
      <c r="A31" t="s">
        <v>11</v>
      </c>
      <c r="B31">
        <v>2.5</v>
      </c>
      <c r="C31" t="s">
        <v>18</v>
      </c>
      <c r="I31">
        <v>3.5999999999999997E-2</v>
      </c>
    </row>
    <row r="32" spans="1:29" x14ac:dyDescent="0.55000000000000004">
      <c r="A32" t="s">
        <v>12</v>
      </c>
      <c r="B32">
        <v>7.8</v>
      </c>
      <c r="C32" t="s">
        <v>18</v>
      </c>
    </row>
    <row r="33" spans="2:9" x14ac:dyDescent="0.55000000000000004">
      <c r="I33" t="s">
        <v>49</v>
      </c>
    </row>
    <row r="34" spans="2:9" x14ac:dyDescent="0.55000000000000004">
      <c r="B34" t="s">
        <v>13</v>
      </c>
      <c r="C34" t="s">
        <v>14</v>
      </c>
      <c r="I34">
        <f>SQRT(I28^2 + I31^2)</f>
        <v>3.7419471270907285E-2</v>
      </c>
    </row>
    <row r="35" spans="2:9" x14ac:dyDescent="0.55000000000000004">
      <c r="B35">
        <v>1.26</v>
      </c>
      <c r="C35">
        <f>20+273</f>
        <v>293</v>
      </c>
    </row>
    <row r="36" spans="2:9" x14ac:dyDescent="0.55000000000000004">
      <c r="B36">
        <v>1.25</v>
      </c>
      <c r="C36">
        <f>42.5+273</f>
        <v>315.5</v>
      </c>
      <c r="I36" t="s">
        <v>51</v>
      </c>
    </row>
    <row r="37" spans="2:9" x14ac:dyDescent="0.55000000000000004">
      <c r="I37">
        <f>I34/G28*100</f>
        <v>2.4763067481243652</v>
      </c>
    </row>
    <row r="38" spans="2:9" x14ac:dyDescent="0.55000000000000004">
      <c r="B38" s="18" t="s">
        <v>15</v>
      </c>
      <c r="C38">
        <f>(B35-B36)/(C35-C36)</f>
        <v>-4.4444444444444485E-4</v>
      </c>
    </row>
    <row r="39" spans="2:9" x14ac:dyDescent="0.55000000000000004">
      <c r="B39" s="18" t="s">
        <v>16</v>
      </c>
      <c r="C39">
        <f>B35-C38*C35</f>
        <v>1.3902222222222225</v>
      </c>
    </row>
  </sheetData>
  <sortState xmlns:xlrd2="http://schemas.microsoft.com/office/spreadsheetml/2017/richdata2" ref="A2:J25">
    <sortCondition ref="D2:D25"/>
  </sortState>
  <conditionalFormatting sqref="B2:B25">
    <cfRule type="cellIs" dxfId="0" priority="1" operator="equal">
      <formula>"Стекло"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2286-4DEF-40AB-AE7A-3C1229171D55}">
  <dimension ref="A1:G33"/>
  <sheetViews>
    <sheetView topLeftCell="A10" workbookViewId="0">
      <selection activeCell="D30" sqref="D30"/>
    </sheetView>
  </sheetViews>
  <sheetFormatPr defaultRowHeight="14.4" x14ac:dyDescent="0.55000000000000004"/>
  <cols>
    <col min="2" max="2" width="8.83984375" customWidth="1"/>
  </cols>
  <sheetData>
    <row r="1" spans="2:6" x14ac:dyDescent="0.55000000000000004">
      <c r="B1" t="s">
        <v>25</v>
      </c>
      <c r="C1" t="s">
        <v>26</v>
      </c>
      <c r="D1" t="s">
        <v>28</v>
      </c>
      <c r="E1" t="s">
        <v>29</v>
      </c>
      <c r="F1" t="s">
        <v>30</v>
      </c>
    </row>
    <row r="2" spans="2:6" x14ac:dyDescent="0.55000000000000004">
      <c r="B2">
        <f>Рассчёты!AA2*1000</f>
        <v>3.3557046979865772</v>
      </c>
      <c r="C2">
        <f>Рассчёты!Z2</f>
        <v>13.603100222382862</v>
      </c>
      <c r="D2">
        <f>B2*B2</f>
        <v>11.260754020089186</v>
      </c>
      <c r="E2">
        <f>C2*C2</f>
        <v>185.04433566019267</v>
      </c>
      <c r="F2">
        <f>B2*C2</f>
        <v>45.647987323432424</v>
      </c>
    </row>
    <row r="3" spans="2:6" x14ac:dyDescent="0.55000000000000004">
      <c r="B3">
        <f>Рассчёты!AA3*1000</f>
        <v>3.3557046979865772</v>
      </c>
      <c r="C3">
        <f>Рассчёты!Z3</f>
        <v>13.586753868164973</v>
      </c>
      <c r="D3">
        <f t="shared" ref="D3:E25" si="0">B3*B3</f>
        <v>11.260754020089186</v>
      </c>
      <c r="E3">
        <f t="shared" si="0"/>
        <v>184.59988067409586</v>
      </c>
      <c r="F3">
        <f t="shared" ref="F3:F25" si="1">B3*C3</f>
        <v>45.593133785788503</v>
      </c>
    </row>
    <row r="4" spans="2:6" x14ac:dyDescent="0.55000000000000004">
      <c r="B4">
        <f>Рассчёты!AA4*1000</f>
        <v>3.3557046979865772</v>
      </c>
      <c r="C4">
        <f>Рассчёты!Z4</f>
        <v>13.525284115702737</v>
      </c>
      <c r="D4">
        <f t="shared" si="0"/>
        <v>11.260754020089186</v>
      </c>
      <c r="E4">
        <f t="shared" si="0"/>
        <v>182.93331041048077</v>
      </c>
      <c r="F4">
        <f t="shared" si="1"/>
        <v>45.386859448666904</v>
      </c>
    </row>
    <row r="5" spans="2:6" x14ac:dyDescent="0.55000000000000004">
      <c r="B5">
        <f>Рассчёты!AA5*1000</f>
        <v>3.3557046979865772</v>
      </c>
      <c r="C5">
        <f>Рассчёты!Z5</f>
        <v>13.452158399535062</v>
      </c>
      <c r="D5">
        <f t="shared" si="0"/>
        <v>11.260754020089186</v>
      </c>
      <c r="E5">
        <f t="shared" si="0"/>
        <v>180.96056560618172</v>
      </c>
      <c r="F5">
        <f t="shared" si="1"/>
        <v>45.141471139379405</v>
      </c>
    </row>
    <row r="6" spans="2:6" x14ac:dyDescent="0.55000000000000004">
      <c r="B6">
        <f>Рассчёты!AA6*1000</f>
        <v>3.3003300330033003</v>
      </c>
      <c r="C6">
        <f>Рассчёты!Z6</f>
        <v>13.250090407643471</v>
      </c>
      <c r="D6">
        <f t="shared" si="0"/>
        <v>10.892178326743565</v>
      </c>
      <c r="E6">
        <f t="shared" si="0"/>
        <v>175.56489581072552</v>
      </c>
      <c r="F6">
        <f t="shared" si="1"/>
        <v>43.729671312354689</v>
      </c>
    </row>
    <row r="7" spans="2:6" x14ac:dyDescent="0.55000000000000004">
      <c r="B7">
        <f>Рассчёты!AA7*1000</f>
        <v>3.3003300330033003</v>
      </c>
      <c r="C7">
        <f>Рассчёты!Z7</f>
        <v>13.229902485405555</v>
      </c>
      <c r="D7">
        <f t="shared" si="0"/>
        <v>10.892178326743565</v>
      </c>
      <c r="E7">
        <f t="shared" si="0"/>
        <v>175.03031977334007</v>
      </c>
      <c r="F7">
        <f t="shared" si="1"/>
        <v>43.663044506288962</v>
      </c>
    </row>
    <row r="8" spans="2:6" x14ac:dyDescent="0.55000000000000004">
      <c r="B8">
        <f>Рассчёты!AA8*1000</f>
        <v>3.3003300330033003</v>
      </c>
      <c r="C8">
        <f>Рассчёты!Z8</f>
        <v>13.145661173035982</v>
      </c>
      <c r="D8">
        <f t="shared" si="0"/>
        <v>10.892178326743565</v>
      </c>
      <c r="E8">
        <f t="shared" si="0"/>
        <v>172.80840767626577</v>
      </c>
      <c r="F8">
        <f t="shared" si="1"/>
        <v>43.385020373056051</v>
      </c>
    </row>
    <row r="9" spans="2:6" x14ac:dyDescent="0.55000000000000004">
      <c r="B9">
        <f>Рассчёты!AA9*1000</f>
        <v>3.3003300330033003</v>
      </c>
      <c r="C9">
        <f>Рассчёты!Z9</f>
        <v>13.106642080001505</v>
      </c>
      <c r="D9">
        <f t="shared" si="0"/>
        <v>10.892178326743565</v>
      </c>
      <c r="E9">
        <f t="shared" si="0"/>
        <v>171.78406661326616</v>
      </c>
      <c r="F9">
        <f t="shared" si="1"/>
        <v>43.25624448845381</v>
      </c>
    </row>
    <row r="10" spans="2:6" x14ac:dyDescent="0.55000000000000004">
      <c r="B10">
        <f>Рассчёты!AA10*1000</f>
        <v>3.2467532467532472</v>
      </c>
      <c r="C10">
        <f>Рассчёты!Z10</f>
        <v>12.837803891846306</v>
      </c>
      <c r="D10">
        <f t="shared" si="0"/>
        <v>10.541406645302752</v>
      </c>
      <c r="E10">
        <f t="shared" si="0"/>
        <v>164.80920876550417</v>
      </c>
      <c r="F10">
        <f t="shared" si="1"/>
        <v>41.681181467033468</v>
      </c>
    </row>
    <row r="11" spans="2:6" x14ac:dyDescent="0.55000000000000004">
      <c r="B11">
        <f>Рассчёты!AA11*1000</f>
        <v>3.2467532467532472</v>
      </c>
      <c r="C11">
        <f>Рассчёты!Z11</f>
        <v>12.681588181542576</v>
      </c>
      <c r="D11">
        <f t="shared" si="0"/>
        <v>10.541406645302752</v>
      </c>
      <c r="E11">
        <f t="shared" si="0"/>
        <v>160.82267880624033</v>
      </c>
      <c r="F11">
        <f t="shared" si="1"/>
        <v>41.173987602410968</v>
      </c>
    </row>
    <row r="12" spans="2:6" x14ac:dyDescent="0.55000000000000004">
      <c r="B12">
        <f>Рассчёты!AA12*1000</f>
        <v>3.2467532467532472</v>
      </c>
      <c r="C12">
        <f>Рассчёты!Z12</f>
        <v>12.8235939502376</v>
      </c>
      <c r="D12">
        <f t="shared" si="0"/>
        <v>10.541406645302752</v>
      </c>
      <c r="E12">
        <f t="shared" si="0"/>
        <v>164.44456180057037</v>
      </c>
      <c r="F12">
        <f t="shared" si="1"/>
        <v>41.635045292979221</v>
      </c>
    </row>
    <row r="13" spans="2:6" x14ac:dyDescent="0.55000000000000004">
      <c r="B13">
        <f>Рассчёты!AA13*1000</f>
        <v>3.2467532467532472</v>
      </c>
      <c r="C13">
        <f>Рассчёты!Z13</f>
        <v>12.842003606518274</v>
      </c>
      <c r="D13">
        <f t="shared" si="0"/>
        <v>10.541406645302752</v>
      </c>
      <c r="E13">
        <f t="shared" si="0"/>
        <v>164.91705662982835</v>
      </c>
      <c r="F13">
        <f t="shared" si="1"/>
        <v>41.694816904280117</v>
      </c>
    </row>
    <row r="14" spans="2:6" x14ac:dyDescent="0.55000000000000004">
      <c r="B14">
        <f>Рассчёты!AA14*1000</f>
        <v>3.1948881789137378</v>
      </c>
      <c r="C14">
        <f>Рассчёты!Z14</f>
        <v>12.449969781089493</v>
      </c>
      <c r="D14">
        <f t="shared" si="0"/>
        <v>10.207310475762739</v>
      </c>
      <c r="E14">
        <f t="shared" si="0"/>
        <v>155.00174755004156</v>
      </c>
      <c r="F14">
        <f t="shared" si="1"/>
        <v>39.776261281436078</v>
      </c>
    </row>
    <row r="15" spans="2:6" x14ac:dyDescent="0.55000000000000004">
      <c r="B15">
        <f>Рассчёты!AA15*1000</f>
        <v>3.1948881789137378</v>
      </c>
      <c r="C15">
        <f>Рассчёты!Z15</f>
        <v>12.455497852633572</v>
      </c>
      <c r="D15">
        <f t="shared" si="0"/>
        <v>10.207310475762739</v>
      </c>
      <c r="E15">
        <f t="shared" si="0"/>
        <v>155.13942675695952</v>
      </c>
      <c r="F15">
        <f t="shared" si="1"/>
        <v>39.793922851864444</v>
      </c>
    </row>
    <row r="16" spans="2:6" x14ac:dyDescent="0.55000000000000004">
      <c r="B16">
        <f>Рассчёты!AA16*1000</f>
        <v>3.1948881789137378</v>
      </c>
      <c r="C16">
        <f>Рассчёты!Z16</f>
        <v>12.374506358268718</v>
      </c>
      <c r="D16">
        <f t="shared" si="0"/>
        <v>10.207310475762739</v>
      </c>
      <c r="E16">
        <f t="shared" si="0"/>
        <v>153.12840761083294</v>
      </c>
      <c r="F16">
        <f t="shared" si="1"/>
        <v>39.535164083925615</v>
      </c>
    </row>
    <row r="17" spans="1:7" x14ac:dyDescent="0.55000000000000004">
      <c r="B17">
        <f>Рассчёты!AA17*1000</f>
        <v>3.1948881789137378</v>
      </c>
      <c r="C17">
        <f>Рассчёты!Z17</f>
        <v>12.412106041333027</v>
      </c>
      <c r="D17">
        <f t="shared" si="0"/>
        <v>10.207310475762739</v>
      </c>
      <c r="E17">
        <f t="shared" si="0"/>
        <v>154.06037638129584</v>
      </c>
      <c r="F17">
        <f t="shared" si="1"/>
        <v>39.65529086687868</v>
      </c>
    </row>
    <row r="18" spans="1:7" x14ac:dyDescent="0.55000000000000004">
      <c r="B18">
        <f>Рассчёты!AA18*1000</f>
        <v>3.1446540880503147</v>
      </c>
      <c r="C18">
        <f>Рассчёты!Z18</f>
        <v>12.180432464347916</v>
      </c>
      <c r="D18">
        <f t="shared" si="0"/>
        <v>9.8888493334915566</v>
      </c>
      <c r="E18">
        <f t="shared" si="0"/>
        <v>148.36293501854064</v>
      </c>
      <c r="F18">
        <f t="shared" si="1"/>
        <v>38.303246743232442</v>
      </c>
    </row>
    <row r="19" spans="1:7" x14ac:dyDescent="0.55000000000000004">
      <c r="B19">
        <f>Рассчёты!AA19*1000</f>
        <v>3.1446540880503147</v>
      </c>
      <c r="C19">
        <f>Рассчёты!Z19</f>
        <v>12.193539746791608</v>
      </c>
      <c r="D19">
        <f t="shared" si="0"/>
        <v>9.8888493334915566</v>
      </c>
      <c r="E19">
        <f t="shared" si="0"/>
        <v>148.68241155658674</v>
      </c>
      <c r="F19">
        <f t="shared" si="1"/>
        <v>38.34446461255223</v>
      </c>
    </row>
    <row r="20" spans="1:7" x14ac:dyDescent="0.55000000000000004">
      <c r="B20">
        <f>Рассчёты!AA20*1000</f>
        <v>3.1446540880503147</v>
      </c>
      <c r="C20">
        <f>Рассчёты!Z20</f>
        <v>12.202210463497558</v>
      </c>
      <c r="D20">
        <f t="shared" si="0"/>
        <v>9.8888493334915566</v>
      </c>
      <c r="E20">
        <f t="shared" si="0"/>
        <v>148.89394019548928</v>
      </c>
      <c r="F20">
        <f t="shared" si="1"/>
        <v>38.371731017287921</v>
      </c>
    </row>
    <row r="21" spans="1:7" x14ac:dyDescent="0.55000000000000004">
      <c r="B21">
        <f>Рассчёты!AA21*1000</f>
        <v>3.1446540880503147</v>
      </c>
      <c r="C21">
        <f>Рассчёты!Z21</f>
        <v>12.225905610862883</v>
      </c>
      <c r="D21">
        <f t="shared" si="0"/>
        <v>9.8888493334915566</v>
      </c>
      <c r="E21">
        <f t="shared" si="0"/>
        <v>149.47276800572851</v>
      </c>
      <c r="F21">
        <f t="shared" si="1"/>
        <v>38.446244059317245</v>
      </c>
    </row>
    <row r="22" spans="1:7" x14ac:dyDescent="0.55000000000000004">
      <c r="B22">
        <f>Рассчёты!AA22*1000</f>
        <v>3.0959752321981426</v>
      </c>
      <c r="C22">
        <f>Рассчёты!Z22</f>
        <v>11.901666776181081</v>
      </c>
      <c r="D22">
        <f t="shared" si="0"/>
        <v>9.5850626383843434</v>
      </c>
      <c r="E22">
        <f t="shared" si="0"/>
        <v>141.64967205125257</v>
      </c>
      <c r="F22">
        <f t="shared" si="1"/>
        <v>36.847265560932144</v>
      </c>
    </row>
    <row r="23" spans="1:7" x14ac:dyDescent="0.55000000000000004">
      <c r="B23">
        <f>Рассчёты!AA23*1000</f>
        <v>3.0959752321981426</v>
      </c>
      <c r="C23">
        <f>Рассчёты!Z23</f>
        <v>11.924375726421172</v>
      </c>
      <c r="D23">
        <f t="shared" si="0"/>
        <v>9.5850626383843434</v>
      </c>
      <c r="E23">
        <f t="shared" si="0"/>
        <v>142.19073646486245</v>
      </c>
      <c r="F23">
        <f t="shared" si="1"/>
        <v>36.917571908424684</v>
      </c>
    </row>
    <row r="24" spans="1:7" x14ac:dyDescent="0.55000000000000004">
      <c r="B24">
        <f>Рассчёты!AA24*1000</f>
        <v>3.0959752321981426</v>
      </c>
      <c r="C24">
        <f>Рассчёты!Z24</f>
        <v>11.701120418202795</v>
      </c>
      <c r="D24">
        <f t="shared" si="0"/>
        <v>9.5850626383843434</v>
      </c>
      <c r="E24">
        <f t="shared" si="0"/>
        <v>136.91621904128235</v>
      </c>
      <c r="F24">
        <f t="shared" si="1"/>
        <v>36.226379003723828</v>
      </c>
    </row>
    <row r="25" spans="1:7" x14ac:dyDescent="0.55000000000000004">
      <c r="B25">
        <f>Рассчёты!AA25*1000</f>
        <v>3.0959752321981426</v>
      </c>
      <c r="C25">
        <f>Рассчёты!Z25</f>
        <v>11.75411907033398</v>
      </c>
      <c r="D25">
        <f t="shared" si="0"/>
        <v>9.5850626383843434</v>
      </c>
      <c r="E25">
        <f t="shared" si="0"/>
        <v>138.15931511958894</v>
      </c>
      <c r="F25">
        <f t="shared" si="1"/>
        <v>36.390461518061862</v>
      </c>
    </row>
    <row r="26" spans="1:7" x14ac:dyDescent="0.55000000000000004">
      <c r="A26" s="18" t="s">
        <v>27</v>
      </c>
      <c r="B26">
        <f>AVERAGE(B2:B25)</f>
        <v>3.2230509128175533</v>
      </c>
      <c r="C26">
        <f>AVERAGE(C2:C25)</f>
        <v>12.660834695499192</v>
      </c>
      <c r="D26">
        <f t="shared" ref="D26:F26" si="2">AVERAGE(D2:D25)</f>
        <v>10.395926906629022</v>
      </c>
      <c r="E26">
        <f t="shared" si="2"/>
        <v>160.64071849913137</v>
      </c>
      <c r="F26">
        <f t="shared" si="2"/>
        <v>40.8581861313234</v>
      </c>
    </row>
    <row r="29" spans="1:7" x14ac:dyDescent="0.55000000000000004">
      <c r="B29" t="s">
        <v>31</v>
      </c>
      <c r="C29" t="s">
        <v>32</v>
      </c>
      <c r="D29" t="s">
        <v>44</v>
      </c>
      <c r="F29" t="s">
        <v>25</v>
      </c>
      <c r="G29" t="s">
        <v>26</v>
      </c>
    </row>
    <row r="30" spans="1:7" x14ac:dyDescent="0.55000000000000004">
      <c r="B30">
        <f>(F26-B26*C26)/(D26-B26*B26)</f>
        <v>6.5658382845086365</v>
      </c>
      <c r="C30">
        <f>C26-B30*B26</f>
        <v>-8.5011963807988078</v>
      </c>
      <c r="D30">
        <f>EXP(C30)</f>
        <v>2.032250889176289E-4</v>
      </c>
      <c r="F30">
        <v>3.05</v>
      </c>
      <c r="G30">
        <f>F30*$B$30+$C$30</f>
        <v>11.524610386952533</v>
      </c>
    </row>
    <row r="31" spans="1:7" x14ac:dyDescent="0.55000000000000004">
      <c r="F31">
        <v>3.4</v>
      </c>
      <c r="G31">
        <f>F31*$B$30+$C$30</f>
        <v>13.822653786530557</v>
      </c>
    </row>
    <row r="32" spans="1:7" x14ac:dyDescent="0.55000000000000004">
      <c r="B32" t="s">
        <v>33</v>
      </c>
    </row>
    <row r="33" spans="2:2" x14ac:dyDescent="0.55000000000000004">
      <c r="B33">
        <f>1/SQRT(24)*SQRT((E26-C26*C26)/(D26-B26*B26) - B30*B30)</f>
        <v>0.15804726203576394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Рассчёты</vt:lpstr>
      <vt:lpstr>График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Aleksander Rozhkov</cp:lastModifiedBy>
  <dcterms:created xsi:type="dcterms:W3CDTF">2015-06-05T18:19:34Z</dcterms:created>
  <dcterms:modified xsi:type="dcterms:W3CDTF">2024-03-02T09:09:36Z</dcterms:modified>
</cp:coreProperties>
</file>