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c593ddb4862a74c/Рабочий стол/тех/3.2.5/"/>
    </mc:Choice>
  </mc:AlternateContent>
  <xr:revisionPtr revIDLastSave="1" documentId="11_F25DC773A252ABDACC1048B6D9DE47CE5ADE58FA" xr6:coauthVersionLast="47" xr6:coauthVersionMax="47" xr10:uidLastSave="{7C8B52A6-6DC6-4A7D-B849-6A0BD26CD8D6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7" i="1" l="1"/>
  <c r="BW8" i="1"/>
  <c r="BW6" i="1"/>
  <c r="BV8" i="1"/>
  <c r="BV6" i="1"/>
  <c r="AP13" i="1"/>
  <c r="AP14" i="1"/>
  <c r="AP15" i="1"/>
  <c r="AP16" i="1"/>
  <c r="AP17" i="1"/>
  <c r="AP18" i="1"/>
  <c r="AP19" i="1"/>
  <c r="AP20" i="1"/>
  <c r="AP21" i="1"/>
  <c r="AP22" i="1"/>
  <c r="AP3" i="1"/>
  <c r="AP4" i="1"/>
  <c r="AP5" i="1"/>
  <c r="AP6" i="1"/>
  <c r="AP7" i="1"/>
  <c r="AP8" i="1"/>
  <c r="AP9" i="1"/>
  <c r="AP10" i="1"/>
  <c r="AP11" i="1"/>
  <c r="AP12" i="1"/>
  <c r="AZ39" i="1"/>
  <c r="BA37" i="1"/>
  <c r="BA36" i="1"/>
  <c r="AN23" i="1"/>
  <c r="AM23" i="1"/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3" i="1"/>
  <c r="AH8" i="1"/>
  <c r="T9" i="1"/>
  <c r="T3" i="1"/>
  <c r="AG4" i="1"/>
  <c r="AH4" i="1" s="1"/>
  <c r="AG5" i="1"/>
  <c r="AH5" i="1" s="1"/>
  <c r="AG6" i="1"/>
  <c r="AH6" i="1" s="1"/>
  <c r="AG7" i="1"/>
  <c r="AH7" i="1" s="1"/>
  <c r="AG8" i="1"/>
  <c r="AG9" i="1"/>
  <c r="AH9" i="1" s="1"/>
  <c r="AG10" i="1"/>
  <c r="AH10" i="1" s="1"/>
  <c r="AG3" i="1"/>
  <c r="AH3" i="1" s="1"/>
  <c r="S3" i="1"/>
  <c r="X3" i="1" s="1"/>
  <c r="W4" i="1"/>
  <c r="W5" i="1"/>
  <c r="W6" i="1"/>
  <c r="W7" i="1"/>
  <c r="W8" i="1"/>
  <c r="W9" i="1"/>
  <c r="W10" i="1"/>
  <c r="W3" i="1"/>
  <c r="X6" i="1"/>
  <c r="X7" i="1"/>
  <c r="X8" i="1"/>
  <c r="X9" i="1"/>
  <c r="S10" i="1"/>
  <c r="T10" i="1" s="1"/>
  <c r="S4" i="1"/>
  <c r="T4" i="1" s="1"/>
  <c r="S5" i="1"/>
  <c r="T5" i="1" s="1"/>
  <c r="S6" i="1"/>
  <c r="T6" i="1" s="1"/>
  <c r="S7" i="1"/>
  <c r="T7" i="1" s="1"/>
  <c r="S8" i="1"/>
  <c r="T8" i="1" s="1"/>
  <c r="S9" i="1"/>
  <c r="J3" i="1"/>
  <c r="D3" i="1" s="1"/>
  <c r="E3" i="1" s="1"/>
  <c r="X10" i="1" l="1"/>
  <c r="X5" i="1"/>
  <c r="X4" i="1"/>
  <c r="D12" i="1"/>
  <c r="E12" i="1" s="1"/>
  <c r="D9" i="1"/>
  <c r="E9" i="1" s="1"/>
  <c r="D10" i="1"/>
  <c r="E10" i="1" s="1"/>
  <c r="D7" i="1"/>
  <c r="E7" i="1" s="1"/>
  <c r="D6" i="1"/>
  <c r="E6" i="1" s="1"/>
  <c r="D5" i="1"/>
  <c r="E5" i="1" s="1"/>
  <c r="D11" i="1"/>
  <c r="E11" i="1" s="1"/>
  <c r="D4" i="1"/>
  <c r="E4" i="1" s="1"/>
  <c r="D8" i="1"/>
  <c r="E8" i="1" s="1"/>
  <c r="AO23" i="1"/>
</calcChain>
</file>

<file path=xl/sharedStrings.xml><?xml version="1.0" encoding="utf-8"?>
<sst xmlns="http://schemas.openxmlformats.org/spreadsheetml/2006/main" count="64" uniqueCount="48">
  <si>
    <t>2 2</t>
  </si>
  <si>
    <t>Cмагазина, нФ</t>
  </si>
  <si>
    <t>Tэксп, мкс</t>
  </si>
  <si>
    <t>Ттеор, мкс</t>
  </si>
  <si>
    <t>L, мГн</t>
  </si>
  <si>
    <t>C0, нФ</t>
  </si>
  <si>
    <t>δTтеор, мкс</t>
  </si>
  <si>
    <t>dL, мГн</t>
  </si>
  <si>
    <t>dC, нФ</t>
  </si>
  <si>
    <t>`</t>
  </si>
  <si>
    <t>Rмаг, Ом</t>
  </si>
  <si>
    <t>Um, мВ</t>
  </si>
  <si>
    <t>Um+n, мВ</t>
  </si>
  <si>
    <t>n</t>
  </si>
  <si>
    <t>θ</t>
  </si>
  <si>
    <t>RL, Ом</t>
  </si>
  <si>
    <t>1/θ^2</t>
  </si>
  <si>
    <t>1/R^2</t>
  </si>
  <si>
    <t>ё</t>
  </si>
  <si>
    <t>Q</t>
  </si>
  <si>
    <t>v,кГц</t>
  </si>
  <si>
    <t>Uc, В</t>
  </si>
  <si>
    <t>Δx, мкс</t>
  </si>
  <si>
    <t>Δphi</t>
  </si>
  <si>
    <t>v0, кГц</t>
  </si>
  <si>
    <t>U0, В</t>
  </si>
  <si>
    <t>v/v0</t>
  </si>
  <si>
    <t>U/U0</t>
  </si>
  <si>
    <t>Cправа</t>
  </si>
  <si>
    <t>от</t>
  </si>
  <si>
    <t>резонанса</t>
  </si>
  <si>
    <t>&lt;---</t>
  </si>
  <si>
    <t>подгон</t>
  </si>
  <si>
    <t>вся строка</t>
  </si>
  <si>
    <t>Um, В</t>
  </si>
  <si>
    <t>Um+n, В</t>
  </si>
  <si>
    <t>Uk+n,В</t>
  </si>
  <si>
    <t>Uk,В</t>
  </si>
  <si>
    <t>Свободные колебания</t>
  </si>
  <si>
    <t>R, Ом</t>
  </si>
  <si>
    <t>Теор</t>
  </si>
  <si>
    <t>с пом. декремента</t>
  </si>
  <si>
    <t>спираль</t>
  </si>
  <si>
    <t>Вынужденные колебания</t>
  </si>
  <si>
    <t>АЧХ</t>
  </si>
  <si>
    <t>ФЧХ</t>
  </si>
  <si>
    <t>Нарастание</t>
  </si>
  <si>
    <t>Затухание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</si>
</sst>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11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9" xfId="0" applyBorder="1" applyAlignment="1"/>
    <xf numFmtId="0" fontId="0" fillId="0" borderId="10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</a:t>
            </a:r>
            <a:r>
              <a:rPr lang="en-US"/>
              <a:t>T</a:t>
            </a:r>
            <a:r>
              <a:rPr lang="ru-RU"/>
              <a:t>эксп</a:t>
            </a:r>
            <a:r>
              <a:rPr lang="ru-RU" baseline="0"/>
              <a:t> от Ттеор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68</c:v>
                </c:pt>
                <c:pt idx="1">
                  <c:v>93</c:v>
                </c:pt>
                <c:pt idx="2">
                  <c:v>110</c:v>
                </c:pt>
                <c:pt idx="3">
                  <c:v>126</c:v>
                </c:pt>
                <c:pt idx="4">
                  <c:v>140</c:v>
                </c:pt>
                <c:pt idx="5">
                  <c:v>153</c:v>
                </c:pt>
                <c:pt idx="6">
                  <c:v>169</c:v>
                </c:pt>
                <c:pt idx="7">
                  <c:v>179</c:v>
                </c:pt>
                <c:pt idx="8">
                  <c:v>190</c:v>
                </c:pt>
                <c:pt idx="9">
                  <c:v>200</c:v>
                </c:pt>
              </c:numCache>
            </c:numRef>
          </c:xVal>
          <c:yVal>
            <c:numRef>
              <c:f>Sheet1!$D$3:$D$12</c:f>
              <c:numCache>
                <c:formatCode>0.0</c:formatCode>
                <c:ptCount val="10"/>
                <c:pt idx="0">
                  <c:v>68</c:v>
                </c:pt>
                <c:pt idx="1">
                  <c:v>92.584241426042595</c:v>
                </c:pt>
                <c:pt idx="2">
                  <c:v>111.89139162988137</c:v>
                </c:pt>
                <c:pt idx="3">
                  <c:v>128.32585585651563</c:v>
                </c:pt>
                <c:pt idx="4">
                  <c:v>142.88235385009224</c:v>
                </c:pt>
                <c:pt idx="5">
                  <c:v>156.08718333732182</c:v>
                </c:pt>
                <c:pt idx="6">
                  <c:v>168.25887959514785</c:v>
                </c:pt>
                <c:pt idx="7">
                  <c:v>179.60760652892796</c:v>
                </c:pt>
                <c:pt idx="8">
                  <c:v>190.28067185998148</c:v>
                </c:pt>
                <c:pt idx="9">
                  <c:v>200.38606699050135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1-42C5-929A-490F11CE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526127"/>
        <c:axId val="774524047"/>
      </c:scatterChart>
      <c:valAx>
        <c:axId val="77452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теор,</a:t>
                </a:r>
                <a:r>
                  <a:rPr lang="ru-RU" baseline="0"/>
                  <a:t> мкс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524047"/>
        <c:crosses val="autoZero"/>
        <c:crossBetween val="midCat"/>
      </c:valAx>
      <c:valAx>
        <c:axId val="7745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Тэксп,</a:t>
                </a:r>
                <a:r>
                  <a:rPr lang="ru-RU" baseline="0"/>
                  <a:t>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52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1/</a:t>
            </a:r>
            <a:r>
              <a:rPr lang="el-GR" sz="1400" b="0" i="0" u="none" strike="noStrike" baseline="0">
                <a:effectLst/>
              </a:rPr>
              <a:t>θ </a:t>
            </a:r>
            <a:r>
              <a:rPr lang="en-US" baseline="0"/>
              <a:t>^2 </a:t>
            </a:r>
            <a:r>
              <a:rPr lang="ru-RU" baseline="0"/>
              <a:t>от 1</a:t>
            </a:r>
            <a:r>
              <a:rPr lang="en-US" baseline="0"/>
              <a:t>/R^2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Sheet1!$W$3:$W$10</c:f>
              <c:numCache>
                <c:formatCode>General</c:formatCode>
                <c:ptCount val="8"/>
                <c:pt idx="0">
                  <c:v>5.3609236885226421</c:v>
                </c:pt>
                <c:pt idx="1">
                  <c:v>1.4449768314004254</c:v>
                </c:pt>
                <c:pt idx="2">
                  <c:v>0.65894809198127058</c:v>
                </c:pt>
                <c:pt idx="3">
                  <c:v>0.37550395184576602</c:v>
                </c:pt>
                <c:pt idx="4">
                  <c:v>0.24221253876494639</c:v>
                </c:pt>
                <c:pt idx="5">
                  <c:v>1.0164051257206941</c:v>
                </c:pt>
                <c:pt idx="6">
                  <c:v>2.2151064212018929</c:v>
                </c:pt>
                <c:pt idx="7">
                  <c:v>0.51616173130780985</c:v>
                </c:pt>
              </c:numCache>
            </c:numRef>
          </c:xVal>
          <c:yVal>
            <c:numRef>
              <c:f>Sheet1!$X$3:$X$10</c:f>
              <c:numCache>
                <c:formatCode>General</c:formatCode>
                <c:ptCount val="8"/>
                <c:pt idx="0">
                  <c:v>6.8863710682833483</c:v>
                </c:pt>
                <c:pt idx="1">
                  <c:v>2.1076128460437946</c:v>
                </c:pt>
                <c:pt idx="2">
                  <c:v>0.90733686765765553</c:v>
                </c:pt>
                <c:pt idx="3">
                  <c:v>0.5310027061353525</c:v>
                </c:pt>
                <c:pt idx="4">
                  <c:v>0.33063058892146158</c:v>
                </c:pt>
                <c:pt idx="5">
                  <c:v>1.3667208109066673</c:v>
                </c:pt>
                <c:pt idx="6">
                  <c:v>3.1492206700292771</c:v>
                </c:pt>
                <c:pt idx="7">
                  <c:v>0.69221613772699619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2-4591-8126-C359645B6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145039"/>
        <c:axId val="859144623"/>
      </c:scatterChart>
      <c:valAx>
        <c:axId val="8591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1/R^2, </a:t>
                </a:r>
                <a:r>
                  <a:rPr lang="ru-RU"/>
                  <a:t>Ом</a:t>
                </a:r>
                <a:r>
                  <a:rPr lang="en-US"/>
                  <a:t>^-1  </a:t>
                </a:r>
                <a:r>
                  <a:rPr lang="ru-RU"/>
                  <a:t>*</a:t>
                </a:r>
                <a:r>
                  <a:rPr lang="ru-RU" baseline="0"/>
                  <a:t> 10</a:t>
                </a:r>
                <a:r>
                  <a:rPr lang="en-US" baseline="0"/>
                  <a:t>^-6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144623"/>
        <c:crosses val="autoZero"/>
        <c:crossBetween val="midCat"/>
      </c:valAx>
      <c:valAx>
        <c:axId val="8591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sz="1000" b="0" i="0" u="none" strike="noStrike" baseline="0">
                    <a:effectLst/>
                  </a:rPr>
                  <a:t>^2</a:t>
                </a:r>
                <a:r>
                  <a:rPr lang="el-GR" sz="1000" b="0" i="0" u="none" strike="noStrike" baseline="0">
                    <a:effectLst/>
                  </a:rPr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14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</a:t>
            </a:r>
            <a:r>
              <a:rPr lang="en-US"/>
              <a:t>U/U0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v/v0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Sheet1!$AQ$3:$AQ$23</c:f>
              <c:numCache>
                <c:formatCode>0.00</c:formatCode>
                <c:ptCount val="21"/>
                <c:pt idx="0">
                  <c:v>0.8833333333333333</c:v>
                </c:pt>
                <c:pt idx="1">
                  <c:v>0.89666666666666661</c:v>
                </c:pt>
                <c:pt idx="2">
                  <c:v>0.91</c:v>
                </c:pt>
                <c:pt idx="3">
                  <c:v>0.92333333333333334</c:v>
                </c:pt>
                <c:pt idx="4">
                  <c:v>0.93666666666666665</c:v>
                </c:pt>
                <c:pt idx="5">
                  <c:v>0.95000000000000007</c:v>
                </c:pt>
                <c:pt idx="6">
                  <c:v>0.96333333333333337</c:v>
                </c:pt>
                <c:pt idx="7">
                  <c:v>0.97666666666666668</c:v>
                </c:pt>
                <c:pt idx="8">
                  <c:v>0.9900000000000001</c:v>
                </c:pt>
                <c:pt idx="9">
                  <c:v>1.0033333333333332</c:v>
                </c:pt>
                <c:pt idx="10">
                  <c:v>1.18</c:v>
                </c:pt>
                <c:pt idx="11">
                  <c:v>1.165</c:v>
                </c:pt>
                <c:pt idx="12">
                  <c:v>1.1500000000000001</c:v>
                </c:pt>
                <c:pt idx="13">
                  <c:v>1.135</c:v>
                </c:pt>
                <c:pt idx="14">
                  <c:v>1.1199999999999999</c:v>
                </c:pt>
                <c:pt idx="15">
                  <c:v>1.105</c:v>
                </c:pt>
                <c:pt idx="16">
                  <c:v>1.0900000000000001</c:v>
                </c:pt>
                <c:pt idx="17">
                  <c:v>1.075</c:v>
                </c:pt>
                <c:pt idx="18">
                  <c:v>1.06</c:v>
                </c:pt>
                <c:pt idx="19">
                  <c:v>1.0449999999999999</c:v>
                </c:pt>
                <c:pt idx="20">
                  <c:v>1.02</c:v>
                </c:pt>
              </c:numCache>
            </c:numRef>
          </c:xVal>
          <c:yVal>
            <c:numRef>
              <c:f>Sheet1!$AR$3:$AR$23</c:f>
              <c:numCache>
                <c:formatCode>0.00</c:formatCode>
                <c:ptCount val="21"/>
                <c:pt idx="0">
                  <c:v>0.39534883720930231</c:v>
                </c:pt>
                <c:pt idx="1">
                  <c:v>0.44186046511627908</c:v>
                </c:pt>
                <c:pt idx="2">
                  <c:v>0.49302325581395351</c:v>
                </c:pt>
                <c:pt idx="3">
                  <c:v>0.57674418604651168</c:v>
                </c:pt>
                <c:pt idx="4">
                  <c:v>0.65581395348837213</c:v>
                </c:pt>
                <c:pt idx="5">
                  <c:v>0.74418604651162801</c:v>
                </c:pt>
                <c:pt idx="6">
                  <c:v>0.8418604651162791</c:v>
                </c:pt>
                <c:pt idx="7">
                  <c:v>0.92093023255813955</c:v>
                </c:pt>
                <c:pt idx="8">
                  <c:v>0.96744186046511638</c:v>
                </c:pt>
                <c:pt idx="9">
                  <c:v>0.9767441860465117</c:v>
                </c:pt>
                <c:pt idx="10">
                  <c:v>0.38604651162790699</c:v>
                </c:pt>
                <c:pt idx="11">
                  <c:v>0.41162790697674423</c:v>
                </c:pt>
                <c:pt idx="12">
                  <c:v>0.43720930232558136</c:v>
                </c:pt>
                <c:pt idx="13">
                  <c:v>0.46744186046511627</c:v>
                </c:pt>
                <c:pt idx="14">
                  <c:v>0.50232558139534889</c:v>
                </c:pt>
                <c:pt idx="15">
                  <c:v>0.54418604651162794</c:v>
                </c:pt>
                <c:pt idx="16">
                  <c:v>0.59069767441860466</c:v>
                </c:pt>
                <c:pt idx="17">
                  <c:v>0.64186046511627903</c:v>
                </c:pt>
                <c:pt idx="18">
                  <c:v>0.71162790697674427</c:v>
                </c:pt>
                <c:pt idx="19">
                  <c:v>0.79069767441860461</c:v>
                </c:pt>
                <c:pt idx="20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F-4BA2-BC30-A03AA337A3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Sheet1!$AZ$36:$AZ$37</c:f>
              <c:numCache>
                <c:formatCode>General</c:formatCode>
                <c:ptCount val="2"/>
                <c:pt idx="0">
                  <c:v>0.94299999999999995</c:v>
                </c:pt>
                <c:pt idx="1">
                  <c:v>1.0640000000000001</c:v>
                </c:pt>
              </c:numCache>
            </c:numRef>
          </c:xVal>
          <c:yVal>
            <c:numRef>
              <c:f>Sheet1!$BA$36:$BA$37</c:f>
              <c:numCache>
                <c:formatCode>General</c:formatCode>
                <c:ptCount val="2"/>
                <c:pt idx="0">
                  <c:v>0.69296464556281656</c:v>
                </c:pt>
                <c:pt idx="1">
                  <c:v>0.69296464556281656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F-4BA2-BC30-A03AA337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74751"/>
        <c:axId val="819275583"/>
      </c:scatterChart>
      <c:valAx>
        <c:axId val="819274751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v/v0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275583"/>
        <c:crosses val="autoZero"/>
        <c:crossBetween val="midCat"/>
      </c:valAx>
      <c:valAx>
        <c:axId val="8192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U/U0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2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</a:t>
            </a:r>
            <a:r>
              <a:rPr lang="en-US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phi  </a:t>
            </a:r>
            <a:r>
              <a:rPr lang="ru-RU" sz="1400" b="0" i="0" u="none" strike="noStrike" baseline="0">
                <a:effectLst/>
              </a:rPr>
              <a:t>от </a:t>
            </a:r>
            <a:r>
              <a:rPr lang="en-US" sz="1400" b="0" i="0" u="none" strike="noStrike" baseline="0">
                <a:effectLst/>
              </a:rPr>
              <a:t>v/v0</a:t>
            </a:r>
            <a:r>
              <a:rPr lang="ru-RU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Sheet1!$AR$2</c:f>
              <c:strCache>
                <c:ptCount val="1"/>
                <c:pt idx="0">
                  <c:v>U/U0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Sheet1!$AQ$3:$AQ$22</c:f>
              <c:numCache>
                <c:formatCode>0.00</c:formatCode>
                <c:ptCount val="20"/>
                <c:pt idx="0">
                  <c:v>0.8833333333333333</c:v>
                </c:pt>
                <c:pt idx="1">
                  <c:v>0.89666666666666661</c:v>
                </c:pt>
                <c:pt idx="2">
                  <c:v>0.91</c:v>
                </c:pt>
                <c:pt idx="3">
                  <c:v>0.92333333333333334</c:v>
                </c:pt>
                <c:pt idx="4">
                  <c:v>0.93666666666666665</c:v>
                </c:pt>
                <c:pt idx="5">
                  <c:v>0.95000000000000007</c:v>
                </c:pt>
                <c:pt idx="6">
                  <c:v>0.96333333333333337</c:v>
                </c:pt>
                <c:pt idx="7">
                  <c:v>0.97666666666666668</c:v>
                </c:pt>
                <c:pt idx="8">
                  <c:v>0.9900000000000001</c:v>
                </c:pt>
                <c:pt idx="9">
                  <c:v>1.0033333333333332</c:v>
                </c:pt>
                <c:pt idx="10">
                  <c:v>1.18</c:v>
                </c:pt>
                <c:pt idx="11">
                  <c:v>1.165</c:v>
                </c:pt>
                <c:pt idx="12">
                  <c:v>1.1500000000000001</c:v>
                </c:pt>
                <c:pt idx="13">
                  <c:v>1.135</c:v>
                </c:pt>
                <c:pt idx="14">
                  <c:v>1.1199999999999999</c:v>
                </c:pt>
                <c:pt idx="15">
                  <c:v>1.105</c:v>
                </c:pt>
                <c:pt idx="16">
                  <c:v>1.0900000000000001</c:v>
                </c:pt>
                <c:pt idx="17">
                  <c:v>1.075</c:v>
                </c:pt>
                <c:pt idx="18">
                  <c:v>1.06</c:v>
                </c:pt>
                <c:pt idx="19">
                  <c:v>1.0449999999999999</c:v>
                </c:pt>
              </c:numCache>
            </c:numRef>
          </c:xVal>
          <c:yVal>
            <c:numRef>
              <c:f>Sheet1!$AP$3:$AP$22</c:f>
              <c:numCache>
                <c:formatCode>0.00</c:formatCode>
                <c:ptCount val="20"/>
                <c:pt idx="0">
                  <c:v>1.6317432242745384</c:v>
                </c:pt>
                <c:pt idx="1">
                  <c:v>1.5549626998208042</c:v>
                </c:pt>
                <c:pt idx="2">
                  <c:v>1.4408600546424228</c:v>
                </c:pt>
                <c:pt idx="3">
                  <c:v>1.3923538640709965</c:v>
                </c:pt>
                <c:pt idx="4">
                  <c:v>1.2712140513485739</c:v>
                </c:pt>
                <c:pt idx="5">
                  <c:v>1.1818671562804803</c:v>
                </c:pt>
                <c:pt idx="6">
                  <c:v>0.98055389903844625</c:v>
                </c:pt>
                <c:pt idx="7">
                  <c:v>0.8247560361616213</c:v>
                </c:pt>
                <c:pt idx="8">
                  <c:v>0.61208277988420656</c:v>
                </c:pt>
                <c:pt idx="9">
                  <c:v>0.39337766571189958</c:v>
                </c:pt>
                <c:pt idx="10">
                  <c:v>-0.58720136606777529</c:v>
                </c:pt>
                <c:pt idx="11">
                  <c:v>-0.61487251416059441</c:v>
                </c:pt>
                <c:pt idx="12">
                  <c:v>-0.52024774343446989</c:v>
                </c:pt>
                <c:pt idx="13">
                  <c:v>-0.54769269685623012</c:v>
                </c:pt>
                <c:pt idx="14">
                  <c:v>-0.48978686106526309</c:v>
                </c:pt>
                <c:pt idx="15">
                  <c:v>-0.44990120073528717</c:v>
                </c:pt>
                <c:pt idx="16">
                  <c:v>-0.41913872547133585</c:v>
                </c:pt>
                <c:pt idx="17">
                  <c:v>-0.35663359803551342</c:v>
                </c:pt>
                <c:pt idx="18">
                  <c:v>-0.26374298645417033</c:v>
                </c:pt>
                <c:pt idx="19">
                  <c:v>-0.11030760125284479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8-4758-82D4-E012195D461B}"/>
            </c:ext>
          </c:extLst>
        </c:ser>
        <c:ser>
          <c:idx val="1"/>
          <c:order val="1"/>
          <c:tx>
            <c:v>добротность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Sheet1!$BG$32:$BG$33</c:f>
              <c:numCache>
                <c:formatCode>General</c:formatCode>
                <c:ptCount val="2"/>
                <c:pt idx="0">
                  <c:v>1.0149999999999999</c:v>
                </c:pt>
                <c:pt idx="1">
                  <c:v>1.0549999999999999</c:v>
                </c:pt>
              </c:numCache>
            </c:numRef>
          </c:xVal>
          <c:yVal>
            <c:numRef>
              <c:f>Sheet1!$BH$32:$BH$33</c:f>
              <c:numCache>
                <c:formatCode>General</c:formatCode>
                <c:ptCount val="2"/>
                <c:pt idx="0">
                  <c:v>0.4</c:v>
                </c:pt>
                <c:pt idx="1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58-4758-82D4-E012195D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91279"/>
        <c:axId val="765192943"/>
      </c:scatterChart>
      <c:valAx>
        <c:axId val="765191279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v/v0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192943"/>
        <c:crosses val="autoZero"/>
        <c:crossBetween val="midCat"/>
      </c:valAx>
      <c:valAx>
        <c:axId val="7651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phi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1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87630</xdr:rowOff>
    </xdr:from>
    <xdr:to>
      <xdr:col>8</xdr:col>
      <xdr:colOff>548640</xdr:colOff>
      <xdr:row>37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542F53-5890-4FCC-AAD9-2190781A4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129540</xdr:colOff>
      <xdr:row>11</xdr:row>
      <xdr:rowOff>22860</xdr:rowOff>
    </xdr:from>
    <xdr:to>
      <xdr:col>22</xdr:col>
      <xdr:colOff>464820</xdr:colOff>
      <xdr:row>29</xdr:row>
      <xdr:rowOff>102870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7C80FB1-AF84-4D7A-917B-BAF537CAA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584732</xdr:colOff>
      <xdr:row>26</xdr:row>
      <xdr:rowOff>25121</xdr:rowOff>
    </xdr:from>
    <xdr:to>
      <xdr:col>49</xdr:col>
      <xdr:colOff>427055</xdr:colOff>
      <xdr:row>52</xdr:row>
      <xdr:rowOff>176640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80ED3A1-699F-4E43-8F63-A10F7EA7C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174731</xdr:colOff>
      <xdr:row>1</xdr:row>
      <xdr:rowOff>126108</xdr:rowOff>
    </xdr:from>
    <xdr:to>
      <xdr:col>65</xdr:col>
      <xdr:colOff>324415</xdr:colOff>
      <xdr:row>28</xdr:row>
      <xdr:rowOff>7544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25BE744-E2F4-4912-B6AF-329C37A60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H39"/>
  <sheetViews>
    <sheetView tabSelected="1" topLeftCell="AG1" zoomScale="85" zoomScaleNormal="62" workbookViewId="0">
      <selection activeCell="AO12" sqref="AO12"/>
    </sheetView>
  </sheetViews>
  <sheetFormatPr defaultRowHeight="14.4" x14ac:dyDescent="0.3"/>
  <cols>
    <col min="2" max="2" width="21.6640625" customWidth="1"/>
    <col min="3" max="3" width="17" customWidth="1"/>
    <col min="4" max="4" width="15.44140625" customWidth="1"/>
    <col min="5" max="5" width="17.5546875" customWidth="1"/>
    <col min="8" max="8" width="12" bestFit="1" customWidth="1"/>
    <col min="22" max="22" width="12" bestFit="1" customWidth="1"/>
    <col min="38" max="38" width="10.6640625" customWidth="1"/>
    <col min="80" max="80" width="14.5546875" customWidth="1"/>
    <col min="81" max="81" width="21.109375" customWidth="1"/>
    <col min="82" max="83" width="14.77734375" customWidth="1"/>
    <col min="84" max="84" width="16.21875" customWidth="1"/>
    <col min="85" max="85" width="15.6640625" customWidth="1"/>
    <col min="86" max="86" width="19.5546875" customWidth="1"/>
  </cols>
  <sheetData>
    <row r="1" spans="2:86" x14ac:dyDescent="0.3">
      <c r="B1" s="1" t="s">
        <v>0</v>
      </c>
    </row>
    <row r="2" spans="2:86" x14ac:dyDescent="0.3">
      <c r="B2" t="s">
        <v>1</v>
      </c>
      <c r="C2" t="s">
        <v>2</v>
      </c>
      <c r="D2" t="s">
        <v>3</v>
      </c>
      <c r="E2" t="s">
        <v>6</v>
      </c>
      <c r="I2" t="s">
        <v>4</v>
      </c>
      <c r="J2" t="s">
        <v>5</v>
      </c>
      <c r="M2" t="s">
        <v>15</v>
      </c>
      <c r="O2" t="s">
        <v>13</v>
      </c>
      <c r="P2" t="s">
        <v>10</v>
      </c>
      <c r="Q2" t="s">
        <v>11</v>
      </c>
      <c r="R2" t="s">
        <v>12</v>
      </c>
      <c r="S2" s="4" t="s">
        <v>14</v>
      </c>
      <c r="T2" t="s">
        <v>19</v>
      </c>
      <c r="W2" t="s">
        <v>17</v>
      </c>
      <c r="X2" t="s">
        <v>16</v>
      </c>
      <c r="AC2" t="s">
        <v>13</v>
      </c>
      <c r="AD2" t="s">
        <v>10</v>
      </c>
      <c r="AE2" t="s">
        <v>11</v>
      </c>
      <c r="AF2" t="s">
        <v>12</v>
      </c>
      <c r="AG2" s="4" t="s">
        <v>14</v>
      </c>
      <c r="AH2" t="s">
        <v>19</v>
      </c>
      <c r="AJ2" t="s">
        <v>24</v>
      </c>
      <c r="AK2" t="s">
        <v>25</v>
      </c>
      <c r="AM2" t="s">
        <v>20</v>
      </c>
      <c r="AN2" t="s">
        <v>21</v>
      </c>
      <c r="AO2" s="5" t="s">
        <v>22</v>
      </c>
      <c r="AP2" s="5" t="s">
        <v>23</v>
      </c>
      <c r="AQ2" t="s">
        <v>26</v>
      </c>
      <c r="AR2" t="s">
        <v>27</v>
      </c>
    </row>
    <row r="3" spans="2:86" x14ac:dyDescent="0.3">
      <c r="B3">
        <v>0</v>
      </c>
      <c r="C3">
        <v>68</v>
      </c>
      <c r="D3" s="3">
        <f t="shared" ref="D3:D12" si="0">2 * PI() *SQRT($I$3 * ($J$3+B3))</f>
        <v>68</v>
      </c>
      <c r="E3" s="3">
        <f>D3*SQRT(($J$5/(2 *(B3+$J$3)))^2 + ($I$5/(2 * $I$3))^2)</f>
        <v>0.29814077141442241</v>
      </c>
      <c r="I3">
        <v>100</v>
      </c>
      <c r="J3">
        <f>C3 * C3/(4 * PI() * PI() * I3 *10^(-3)) * 10^-12 * 10^9</f>
        <v>1.1712728829054246</v>
      </c>
      <c r="M3">
        <v>31.896999999999998</v>
      </c>
      <c r="O3">
        <v>2</v>
      </c>
      <c r="P3">
        <v>400</v>
      </c>
      <c r="Q3">
        <v>600</v>
      </c>
      <c r="R3">
        <v>280</v>
      </c>
      <c r="S3">
        <f>1/O3 * LN(Q3/R3)</f>
        <v>0.38107002602344836</v>
      </c>
      <c r="T3">
        <f>PI()/S3</f>
        <v>8.24413477589151</v>
      </c>
      <c r="W3">
        <f>1/(P3+$M$3)^2 * 10^6</f>
        <v>5.3609236885226421</v>
      </c>
      <c r="X3">
        <f t="shared" ref="X3:X10" si="1">1/S3^2</f>
        <v>6.8863710682833483</v>
      </c>
      <c r="AC3">
        <v>1</v>
      </c>
      <c r="AD3">
        <v>400</v>
      </c>
      <c r="AE3">
        <v>185</v>
      </c>
      <c r="AF3">
        <v>130</v>
      </c>
      <c r="AG3">
        <f>1/AC3 * LN(AE3/AF3)</f>
        <v>0.35282137462274243</v>
      </c>
      <c r="AH3">
        <f>PI()/AG3</f>
        <v>8.9042016146243146</v>
      </c>
      <c r="AJ3">
        <v>6</v>
      </c>
      <c r="AK3">
        <v>17.2</v>
      </c>
      <c r="AM3" s="2">
        <v>5.3</v>
      </c>
      <c r="AN3" s="2">
        <v>6.8</v>
      </c>
      <c r="AO3" s="2">
        <v>49</v>
      </c>
      <c r="AP3" s="2">
        <f>2 * PI() * AM3 * AO3 * 10^(-3)</f>
        <v>1.6317432242745384</v>
      </c>
      <c r="AQ3" s="2">
        <f t="shared" ref="AQ3:AQ22" si="2">AM3/$AJ$3</f>
        <v>0.8833333333333333</v>
      </c>
      <c r="AR3" s="2">
        <f t="shared" ref="AR3:AR22" si="3">AN3/$AK$3</f>
        <v>0.39534883720930231</v>
      </c>
    </row>
    <row r="4" spans="2:86" x14ac:dyDescent="0.3">
      <c r="B4">
        <v>1</v>
      </c>
      <c r="C4">
        <v>93</v>
      </c>
      <c r="D4" s="3">
        <f t="shared" si="0"/>
        <v>92.584241426042595</v>
      </c>
      <c r="E4" s="3">
        <f t="shared" ref="E4:E12" si="4">D4*SQRT(($J$5/(2 *(B4+$J$3)))^2 + ($I$5/(2 * $I$3))^2)</f>
        <v>0.23243757523693379</v>
      </c>
      <c r="I4" t="s">
        <v>7</v>
      </c>
      <c r="J4" t="s">
        <v>8</v>
      </c>
      <c r="O4">
        <v>2</v>
      </c>
      <c r="P4">
        <v>800</v>
      </c>
      <c r="Q4">
        <v>460</v>
      </c>
      <c r="R4">
        <v>116</v>
      </c>
      <c r="S4">
        <f t="shared" ref="S4:S9" si="5">1/O4 * LN(Q4/R4)</f>
        <v>0.68881814918838802</v>
      </c>
      <c r="T4">
        <f t="shared" ref="T4:T10" si="6">PI()/S4</f>
        <v>4.5608447705558124</v>
      </c>
      <c r="W4">
        <f t="shared" ref="W4:W10" si="7">1/(P4+$M$3)^2 * 10^6</f>
        <v>1.4449768314004254</v>
      </c>
      <c r="X4">
        <f t="shared" si="1"/>
        <v>2.1076128460437946</v>
      </c>
      <c r="AC4">
        <v>1</v>
      </c>
      <c r="AD4">
        <v>800</v>
      </c>
      <c r="AE4">
        <v>220</v>
      </c>
      <c r="AF4">
        <v>110</v>
      </c>
      <c r="AG4">
        <f t="shared" ref="AG4:AG10" si="8">1/AC4 * LN(AE4/AF4)</f>
        <v>0.69314718055994529</v>
      </c>
      <c r="AH4">
        <f t="shared" ref="AH4:AH10" si="9">PI()/AG4</f>
        <v>4.5323601418271942</v>
      </c>
      <c r="AK4" t="s">
        <v>18</v>
      </c>
      <c r="AM4" s="2">
        <v>5.38</v>
      </c>
      <c r="AN4" s="2">
        <v>7.6</v>
      </c>
      <c r="AO4" s="2">
        <v>46</v>
      </c>
      <c r="AP4" s="2">
        <f t="shared" ref="AP4:AP12" si="10">2 * PI() * AM4 * AO4 * 10^(-3)</f>
        <v>1.5549626998208042</v>
      </c>
      <c r="AQ4" s="2">
        <f t="shared" si="2"/>
        <v>0.89666666666666661</v>
      </c>
      <c r="AR4" s="2">
        <f t="shared" si="3"/>
        <v>0.44186046511627908</v>
      </c>
    </row>
    <row r="5" spans="2:86" x14ac:dyDescent="0.3">
      <c r="B5">
        <v>2</v>
      </c>
      <c r="C5">
        <v>110</v>
      </c>
      <c r="D5" s="3">
        <f t="shared" si="0"/>
        <v>111.89139162988137</v>
      </c>
      <c r="E5" s="3">
        <f t="shared" si="4"/>
        <v>0.20890568580840402</v>
      </c>
      <c r="I5">
        <v>0.2</v>
      </c>
      <c r="J5">
        <v>0.01</v>
      </c>
      <c r="O5">
        <v>1</v>
      </c>
      <c r="P5">
        <v>1200</v>
      </c>
      <c r="Q5">
        <v>360</v>
      </c>
      <c r="R5">
        <v>126</v>
      </c>
      <c r="S5">
        <f t="shared" si="5"/>
        <v>1.0498221244986776</v>
      </c>
      <c r="T5">
        <f t="shared" si="6"/>
        <v>2.9924999485889101</v>
      </c>
      <c r="W5">
        <f t="shared" si="7"/>
        <v>0.65894809198127058</v>
      </c>
      <c r="X5">
        <f t="shared" si="1"/>
        <v>0.90733686765765553</v>
      </c>
      <c r="AC5">
        <v>2</v>
      </c>
      <c r="AD5">
        <v>1200</v>
      </c>
      <c r="AE5">
        <v>360</v>
      </c>
      <c r="AF5">
        <v>40</v>
      </c>
      <c r="AG5">
        <f t="shared" si="8"/>
        <v>1.0986122886681098</v>
      </c>
      <c r="AH5">
        <f t="shared" si="9"/>
        <v>2.8596008673801268</v>
      </c>
      <c r="AM5" s="2">
        <v>5.46</v>
      </c>
      <c r="AN5" s="2">
        <v>8.48</v>
      </c>
      <c r="AO5" s="2">
        <v>42</v>
      </c>
      <c r="AP5" s="2">
        <f>2 * PI() * AM5 * AO5 * 10^(-3)</f>
        <v>1.4408600546424228</v>
      </c>
      <c r="AQ5" s="2">
        <f t="shared" si="2"/>
        <v>0.91</v>
      </c>
      <c r="AR5" s="2">
        <f t="shared" si="3"/>
        <v>0.49302325581395351</v>
      </c>
      <c r="BR5" t="s">
        <v>25</v>
      </c>
      <c r="BS5" t="s">
        <v>13</v>
      </c>
      <c r="BT5" t="s">
        <v>37</v>
      </c>
      <c r="BU5" t="s">
        <v>36</v>
      </c>
      <c r="BV5" s="4" t="s">
        <v>14</v>
      </c>
      <c r="BW5" t="s">
        <v>19</v>
      </c>
    </row>
    <row r="6" spans="2:86" x14ac:dyDescent="0.3">
      <c r="B6">
        <v>3</v>
      </c>
      <c r="C6">
        <v>126</v>
      </c>
      <c r="D6" s="3">
        <f t="shared" si="0"/>
        <v>128.32585585651563</v>
      </c>
      <c r="E6" s="3">
        <f t="shared" si="4"/>
        <v>0.20032079002870296</v>
      </c>
      <c r="O6">
        <v>1</v>
      </c>
      <c r="P6">
        <v>1600</v>
      </c>
      <c r="Q6">
        <v>284</v>
      </c>
      <c r="R6">
        <v>72</v>
      </c>
      <c r="S6">
        <f t="shared" si="5"/>
        <v>1.3723081191451507</v>
      </c>
      <c r="T6">
        <f t="shared" si="6"/>
        <v>2.2892764458369448</v>
      </c>
      <c r="W6">
        <f t="shared" si="7"/>
        <v>0.37550395184576602</v>
      </c>
      <c r="X6">
        <f t="shared" si="1"/>
        <v>0.5310027061353525</v>
      </c>
      <c r="AC6">
        <v>1</v>
      </c>
      <c r="AD6">
        <v>1600</v>
      </c>
      <c r="AE6">
        <v>280</v>
      </c>
      <c r="AF6">
        <v>70</v>
      </c>
      <c r="AG6">
        <f t="shared" si="8"/>
        <v>1.3862943611198906</v>
      </c>
      <c r="AH6">
        <f t="shared" si="9"/>
        <v>2.2661800709135971</v>
      </c>
      <c r="AM6" s="2">
        <v>5.54</v>
      </c>
      <c r="AN6" s="2">
        <v>9.92</v>
      </c>
      <c r="AO6" s="2">
        <v>40</v>
      </c>
      <c r="AP6" s="2">
        <f t="shared" si="10"/>
        <v>1.3923538640709965</v>
      </c>
      <c r="AQ6" s="2">
        <f t="shared" si="2"/>
        <v>0.92333333333333334</v>
      </c>
      <c r="AR6" s="2">
        <f t="shared" si="3"/>
        <v>0.57674418604651168</v>
      </c>
      <c r="BR6">
        <v>11.1</v>
      </c>
      <c r="BS6">
        <v>4</v>
      </c>
      <c r="BT6">
        <v>4.32</v>
      </c>
      <c r="BU6">
        <v>8.64</v>
      </c>
      <c r="BV6">
        <f>1/BS6*LN((BR6-BT6)/(BR6-BU6))</f>
        <v>0.25345393800200827</v>
      </c>
      <c r="BW6">
        <f>PI()/BV6</f>
        <v>12.395122673394408</v>
      </c>
      <c r="CA6" s="7" t="s">
        <v>39</v>
      </c>
      <c r="CB6" s="15" t="s">
        <v>38</v>
      </c>
      <c r="CC6" s="16"/>
      <c r="CD6" s="17"/>
      <c r="CE6" s="18" t="s">
        <v>43</v>
      </c>
      <c r="CF6" s="18"/>
      <c r="CG6" s="18"/>
      <c r="CH6" s="19"/>
    </row>
    <row r="7" spans="2:86" x14ac:dyDescent="0.3">
      <c r="B7">
        <v>4</v>
      </c>
      <c r="C7">
        <v>140</v>
      </c>
      <c r="D7" s="3">
        <f t="shared" si="0"/>
        <v>142.88235385009224</v>
      </c>
      <c r="E7" s="3">
        <f t="shared" si="4"/>
        <v>0.19874811196021341</v>
      </c>
      <c r="O7">
        <v>1</v>
      </c>
      <c r="P7">
        <v>2000</v>
      </c>
      <c r="Q7">
        <v>222</v>
      </c>
      <c r="R7">
        <v>39</v>
      </c>
      <c r="S7">
        <f t="shared" si="5"/>
        <v>1.739115735742633</v>
      </c>
      <c r="T7">
        <f t="shared" si="6"/>
        <v>1.8064310436753526</v>
      </c>
      <c r="W7">
        <f t="shared" si="7"/>
        <v>0.24221253876494639</v>
      </c>
      <c r="X7">
        <f t="shared" si="1"/>
        <v>0.33063058892146158</v>
      </c>
      <c r="AC7">
        <v>1</v>
      </c>
      <c r="AD7">
        <v>2000</v>
      </c>
      <c r="AE7">
        <v>220</v>
      </c>
      <c r="AF7">
        <v>40</v>
      </c>
      <c r="AG7">
        <f t="shared" si="8"/>
        <v>1.7047480922384253</v>
      </c>
      <c r="AH7">
        <f t="shared" si="9"/>
        <v>1.8428486108259632</v>
      </c>
      <c r="AM7" s="2">
        <v>5.62</v>
      </c>
      <c r="AN7" s="2">
        <v>11.28</v>
      </c>
      <c r="AO7" s="2">
        <v>36</v>
      </c>
      <c r="AP7" s="2">
        <f t="shared" si="10"/>
        <v>1.2712140513485739</v>
      </c>
      <c r="AQ7" s="2">
        <f t="shared" si="2"/>
        <v>0.93666666666666665</v>
      </c>
      <c r="AR7" s="2">
        <f t="shared" si="3"/>
        <v>0.65581395348837213</v>
      </c>
      <c r="BT7" t="s">
        <v>34</v>
      </c>
      <c r="BU7" t="s">
        <v>35</v>
      </c>
      <c r="BW7" t="e">
        <f t="shared" ref="BW7:BW8" si="11">PI()/BV7</f>
        <v>#DIV/0!</v>
      </c>
      <c r="CA7" s="8"/>
      <c r="CB7" s="9" t="s">
        <v>40</v>
      </c>
      <c r="CC7" s="9" t="s">
        <v>41</v>
      </c>
      <c r="CD7" s="9" t="s">
        <v>42</v>
      </c>
      <c r="CE7" s="12" t="s">
        <v>44</v>
      </c>
      <c r="CF7" s="12" t="s">
        <v>45</v>
      </c>
      <c r="CG7" s="12" t="s">
        <v>46</v>
      </c>
      <c r="CH7" s="13" t="s">
        <v>47</v>
      </c>
    </row>
    <row r="8" spans="2:86" x14ac:dyDescent="0.3">
      <c r="B8">
        <v>5</v>
      </c>
      <c r="C8">
        <v>153</v>
      </c>
      <c r="D8" s="3">
        <f t="shared" si="0"/>
        <v>156.08718333732182</v>
      </c>
      <c r="E8" s="3">
        <f t="shared" si="4"/>
        <v>0.20088809520902456</v>
      </c>
      <c r="O8">
        <v>1</v>
      </c>
      <c r="P8">
        <v>960</v>
      </c>
      <c r="Q8">
        <v>414</v>
      </c>
      <c r="R8">
        <v>176</v>
      </c>
      <c r="S8">
        <f t="shared" si="5"/>
        <v>0.85538197878716249</v>
      </c>
      <c r="T8">
        <f t="shared" si="6"/>
        <v>3.6727365451914542</v>
      </c>
      <c r="W8">
        <f t="shared" si="7"/>
        <v>1.0164051257206941</v>
      </c>
      <c r="X8">
        <f t="shared" si="1"/>
        <v>1.3667208109066673</v>
      </c>
      <c r="AC8">
        <v>1</v>
      </c>
      <c r="AD8">
        <v>960</v>
      </c>
      <c r="AE8">
        <v>410</v>
      </c>
      <c r="AF8">
        <v>180</v>
      </c>
      <c r="AG8">
        <f t="shared" si="8"/>
        <v>0.8232003088081431</v>
      </c>
      <c r="AH8">
        <f t="shared" si="9"/>
        <v>3.8163161747816834</v>
      </c>
      <c r="AM8" s="2">
        <v>5.7</v>
      </c>
      <c r="AN8" s="2">
        <v>12.8</v>
      </c>
      <c r="AO8" s="2">
        <v>33</v>
      </c>
      <c r="AP8" s="2">
        <f t="shared" si="10"/>
        <v>1.1818671562804803</v>
      </c>
      <c r="AQ8" s="2">
        <f t="shared" si="2"/>
        <v>0.95000000000000007</v>
      </c>
      <c r="AR8" s="2">
        <f t="shared" si="3"/>
        <v>0.74418604651162801</v>
      </c>
      <c r="BS8">
        <v>2</v>
      </c>
      <c r="BT8">
        <v>6.88</v>
      </c>
      <c r="BU8">
        <v>4.4000000000000004</v>
      </c>
      <c r="BV8">
        <f>1/BS8 * LN(BT8/BU8)</f>
        <v>0.22350705551051836</v>
      </c>
      <c r="BW8">
        <f t="shared" si="11"/>
        <v>14.055899248522596</v>
      </c>
      <c r="CA8" s="10">
        <v>400</v>
      </c>
      <c r="CB8" s="6">
        <v>7.7</v>
      </c>
      <c r="CC8" s="6">
        <v>8.1999999999999993</v>
      </c>
      <c r="CD8" s="6">
        <v>8.9</v>
      </c>
      <c r="CE8" s="14">
        <v>10.199999999999999</v>
      </c>
      <c r="CF8" s="14">
        <v>8.3000000000000007</v>
      </c>
      <c r="CG8" s="6">
        <v>12.2</v>
      </c>
      <c r="CH8" s="11">
        <v>14.1</v>
      </c>
    </row>
    <row r="9" spans="2:86" x14ac:dyDescent="0.3">
      <c r="B9">
        <v>6</v>
      </c>
      <c r="C9">
        <v>169</v>
      </c>
      <c r="D9" s="3">
        <f t="shared" si="0"/>
        <v>168.25887959514785</v>
      </c>
      <c r="E9" s="3">
        <f t="shared" si="4"/>
        <v>0.20511885803072996</v>
      </c>
      <c r="O9">
        <v>2</v>
      </c>
      <c r="P9">
        <v>640</v>
      </c>
      <c r="Q9">
        <v>500</v>
      </c>
      <c r="R9">
        <v>162</v>
      </c>
      <c r="S9">
        <f t="shared" si="5"/>
        <v>0.56350588159490378</v>
      </c>
      <c r="T9">
        <f t="shared" si="6"/>
        <v>5.5750840518258133</v>
      </c>
      <c r="W9">
        <f t="shared" si="7"/>
        <v>2.2151064212018929</v>
      </c>
      <c r="X9">
        <f t="shared" si="1"/>
        <v>3.1492206700292771</v>
      </c>
      <c r="AC9">
        <v>2</v>
      </c>
      <c r="AD9">
        <v>640</v>
      </c>
      <c r="AE9">
        <v>500</v>
      </c>
      <c r="AF9">
        <v>160</v>
      </c>
      <c r="AG9">
        <f t="shared" si="8"/>
        <v>0.56971714159418241</v>
      </c>
      <c r="AH9">
        <f t="shared" si="9"/>
        <v>5.5143024919330825</v>
      </c>
      <c r="AM9" s="2">
        <v>5.78</v>
      </c>
      <c r="AN9" s="2">
        <v>14.48</v>
      </c>
      <c r="AO9" s="2">
        <v>27</v>
      </c>
      <c r="AP9" s="2">
        <f t="shared" si="10"/>
        <v>0.98055389903844625</v>
      </c>
      <c r="AQ9" s="2">
        <f t="shared" si="2"/>
        <v>0.96333333333333337</v>
      </c>
      <c r="AR9" s="2">
        <f t="shared" si="3"/>
        <v>0.8418604651162791</v>
      </c>
    </row>
    <row r="10" spans="2:86" x14ac:dyDescent="0.3">
      <c r="B10">
        <v>7</v>
      </c>
      <c r="C10">
        <v>179</v>
      </c>
      <c r="D10" s="3">
        <f t="shared" si="0"/>
        <v>179.60760652892796</v>
      </c>
      <c r="E10" s="3">
        <f t="shared" si="4"/>
        <v>0.21056426490443511</v>
      </c>
      <c r="O10">
        <v>1</v>
      </c>
      <c r="P10">
        <v>1360</v>
      </c>
      <c r="Q10">
        <v>326</v>
      </c>
      <c r="R10">
        <v>98</v>
      </c>
      <c r="S10">
        <f>1/O10 * LN(Q10/R10)</f>
        <v>1.2019299026961356</v>
      </c>
      <c r="T10">
        <f t="shared" si="6"/>
        <v>2.6137902439590364</v>
      </c>
      <c r="W10">
        <f t="shared" si="7"/>
        <v>0.51616173130780985</v>
      </c>
      <c r="X10">
        <f t="shared" si="1"/>
        <v>0.69221613772699619</v>
      </c>
      <c r="AC10">
        <v>1</v>
      </c>
      <c r="AD10">
        <v>1360</v>
      </c>
      <c r="AE10">
        <v>320</v>
      </c>
      <c r="AF10">
        <v>100</v>
      </c>
      <c r="AG10">
        <f t="shared" si="8"/>
        <v>1.1631508098056809</v>
      </c>
      <c r="AH10">
        <f t="shared" si="9"/>
        <v>2.700933212705785</v>
      </c>
      <c r="AM10" s="2">
        <v>5.86</v>
      </c>
      <c r="AN10" s="2">
        <v>15.84</v>
      </c>
      <c r="AO10" s="2">
        <v>22.4</v>
      </c>
      <c r="AP10" s="2">
        <f t="shared" si="10"/>
        <v>0.8247560361616213</v>
      </c>
      <c r="AQ10" s="2">
        <f t="shared" si="2"/>
        <v>0.97666666666666668</v>
      </c>
      <c r="AR10" s="2">
        <f t="shared" si="3"/>
        <v>0.92093023255813955</v>
      </c>
      <c r="BN10" t="s">
        <v>9</v>
      </c>
    </row>
    <row r="11" spans="2:86" x14ac:dyDescent="0.3">
      <c r="B11">
        <v>8</v>
      </c>
      <c r="C11">
        <v>190</v>
      </c>
      <c r="D11" s="3">
        <f t="shared" si="0"/>
        <v>190.28067185998148</v>
      </c>
      <c r="E11" s="3">
        <f t="shared" si="4"/>
        <v>0.21672140565151735</v>
      </c>
      <c r="G11" t="s">
        <v>9</v>
      </c>
      <c r="AM11" s="2">
        <v>5.94</v>
      </c>
      <c r="AN11" s="2">
        <v>16.64</v>
      </c>
      <c r="AO11" s="2">
        <v>16.399999999999999</v>
      </c>
      <c r="AP11" s="2">
        <f t="shared" si="10"/>
        <v>0.61208277988420656</v>
      </c>
      <c r="AQ11" s="2">
        <f t="shared" si="2"/>
        <v>0.9900000000000001</v>
      </c>
      <c r="AR11" s="2">
        <f t="shared" si="3"/>
        <v>0.96744186046511638</v>
      </c>
    </row>
    <row r="12" spans="2:86" x14ac:dyDescent="0.3">
      <c r="B12">
        <v>9</v>
      </c>
      <c r="C12">
        <v>200</v>
      </c>
      <c r="D12" s="3">
        <f t="shared" si="0"/>
        <v>200.38606699050135</v>
      </c>
      <c r="E12" s="3">
        <f t="shared" si="4"/>
        <v>0.22328902150047314</v>
      </c>
      <c r="U12" t="s">
        <v>18</v>
      </c>
      <c r="AM12" s="2">
        <v>6.02</v>
      </c>
      <c r="AN12" s="2">
        <v>16.8</v>
      </c>
      <c r="AO12" s="2">
        <v>10.4</v>
      </c>
      <c r="AP12" s="2">
        <f t="shared" si="10"/>
        <v>0.39337766571189958</v>
      </c>
      <c r="AQ12" s="2">
        <f t="shared" si="2"/>
        <v>1.0033333333333332</v>
      </c>
      <c r="AR12" s="2">
        <f t="shared" si="3"/>
        <v>0.9767441860465117</v>
      </c>
    </row>
    <row r="13" spans="2:86" x14ac:dyDescent="0.3">
      <c r="AL13" t="s">
        <v>28</v>
      </c>
      <c r="AM13" s="2">
        <v>7.08</v>
      </c>
      <c r="AN13" s="2">
        <v>6.64</v>
      </c>
      <c r="AO13" s="2">
        <v>13.2</v>
      </c>
      <c r="AP13" s="2">
        <f>2 * PI() * AM13 * AO13 * 10^(-3) * (-1)</f>
        <v>-0.58720136606777529</v>
      </c>
      <c r="AQ13" s="2">
        <f t="shared" si="2"/>
        <v>1.18</v>
      </c>
      <c r="AR13" s="2">
        <f t="shared" si="3"/>
        <v>0.38604651162790699</v>
      </c>
      <c r="CC13" t="s">
        <v>18</v>
      </c>
    </row>
    <row r="14" spans="2:86" x14ac:dyDescent="0.3">
      <c r="AL14" t="s">
        <v>29</v>
      </c>
      <c r="AM14" s="2">
        <v>6.99</v>
      </c>
      <c r="AN14" s="2">
        <v>7.08</v>
      </c>
      <c r="AO14" s="2">
        <v>14</v>
      </c>
      <c r="AP14" s="2">
        <f t="shared" ref="AP14:AP22" si="12">2 * PI() * AM14 * AO14 * 10^(-3) * (-1)</f>
        <v>-0.61487251416059441</v>
      </c>
      <c r="AQ14" s="2">
        <f t="shared" si="2"/>
        <v>1.165</v>
      </c>
      <c r="AR14" s="2">
        <f t="shared" si="3"/>
        <v>0.41162790697674423</v>
      </c>
    </row>
    <row r="15" spans="2:86" x14ac:dyDescent="0.3">
      <c r="AL15" t="s">
        <v>30</v>
      </c>
      <c r="AM15" s="2">
        <v>6.9</v>
      </c>
      <c r="AN15" s="2">
        <v>7.52</v>
      </c>
      <c r="AO15" s="2">
        <v>12</v>
      </c>
      <c r="AP15" s="2">
        <f t="shared" si="12"/>
        <v>-0.52024774343446989</v>
      </c>
      <c r="AQ15" s="2">
        <f t="shared" si="2"/>
        <v>1.1500000000000001</v>
      </c>
      <c r="AR15" s="2">
        <f t="shared" si="3"/>
        <v>0.43720930232558136</v>
      </c>
    </row>
    <row r="16" spans="2:86" x14ac:dyDescent="0.3">
      <c r="AM16" s="2">
        <v>6.81</v>
      </c>
      <c r="AN16" s="2">
        <v>8.0399999999999991</v>
      </c>
      <c r="AO16" s="2">
        <v>12.8</v>
      </c>
      <c r="AP16" s="2">
        <f t="shared" si="12"/>
        <v>-0.54769269685623012</v>
      </c>
      <c r="AQ16" s="2">
        <f t="shared" si="2"/>
        <v>1.135</v>
      </c>
      <c r="AR16" s="2">
        <f t="shared" si="3"/>
        <v>0.46744186046511627</v>
      </c>
    </row>
    <row r="17" spans="39:73" x14ac:dyDescent="0.3">
      <c r="AM17" s="2">
        <v>6.72</v>
      </c>
      <c r="AN17" s="2">
        <v>8.64</v>
      </c>
      <c r="AO17" s="2">
        <v>11.6</v>
      </c>
      <c r="AP17" s="2">
        <f t="shared" si="12"/>
        <v>-0.48978686106526309</v>
      </c>
      <c r="AQ17" s="2">
        <f t="shared" si="2"/>
        <v>1.1199999999999999</v>
      </c>
      <c r="AR17" s="2">
        <f t="shared" si="3"/>
        <v>0.50232558139534889</v>
      </c>
    </row>
    <row r="18" spans="39:73" x14ac:dyDescent="0.3">
      <c r="AM18" s="2">
        <v>6.63</v>
      </c>
      <c r="AN18" s="2">
        <v>9.36</v>
      </c>
      <c r="AO18" s="2">
        <v>10.8</v>
      </c>
      <c r="AP18" s="2">
        <f t="shared" si="12"/>
        <v>-0.44990120073528717</v>
      </c>
      <c r="AQ18" s="2">
        <f t="shared" si="2"/>
        <v>1.105</v>
      </c>
      <c r="AR18" s="2">
        <f t="shared" si="3"/>
        <v>0.54418604651162794</v>
      </c>
    </row>
    <row r="19" spans="39:73" x14ac:dyDescent="0.3">
      <c r="AM19" s="2">
        <v>6.54</v>
      </c>
      <c r="AN19" s="2">
        <v>10.16</v>
      </c>
      <c r="AO19" s="2">
        <v>10.199999999999999</v>
      </c>
      <c r="AP19" s="2">
        <f t="shared" si="12"/>
        <v>-0.41913872547133585</v>
      </c>
      <c r="AQ19" s="2">
        <f t="shared" si="2"/>
        <v>1.0900000000000001</v>
      </c>
      <c r="AR19" s="2">
        <f t="shared" si="3"/>
        <v>0.59069767441860466</v>
      </c>
    </row>
    <row r="20" spans="39:73" x14ac:dyDescent="0.3">
      <c r="AM20" s="2">
        <v>6.45</v>
      </c>
      <c r="AN20" s="2">
        <v>11.04</v>
      </c>
      <c r="AO20" s="2">
        <v>8.8000000000000007</v>
      </c>
      <c r="AP20" s="2">
        <f t="shared" si="12"/>
        <v>-0.35663359803551342</v>
      </c>
      <c r="AQ20" s="2">
        <f t="shared" si="2"/>
        <v>1.075</v>
      </c>
      <c r="AR20" s="2">
        <f t="shared" si="3"/>
        <v>0.64186046511627903</v>
      </c>
    </row>
    <row r="21" spans="39:73" x14ac:dyDescent="0.3">
      <c r="AM21" s="2">
        <v>6.36</v>
      </c>
      <c r="AN21" s="2">
        <v>12.24</v>
      </c>
      <c r="AO21" s="2">
        <v>6.6</v>
      </c>
      <c r="AP21" s="2">
        <f t="shared" si="12"/>
        <v>-0.26374298645417033</v>
      </c>
      <c r="AQ21" s="2">
        <f t="shared" si="2"/>
        <v>1.06</v>
      </c>
      <c r="AR21" s="2">
        <f t="shared" si="3"/>
        <v>0.71162790697674427</v>
      </c>
    </row>
    <row r="22" spans="39:73" x14ac:dyDescent="0.3">
      <c r="AM22" s="2">
        <v>6.27</v>
      </c>
      <c r="AN22" s="2">
        <v>13.6</v>
      </c>
      <c r="AO22" s="2">
        <v>2.8</v>
      </c>
      <c r="AP22" s="2">
        <f t="shared" si="12"/>
        <v>-0.11030760125284479</v>
      </c>
      <c r="AQ22" s="2">
        <f t="shared" si="2"/>
        <v>1.0449999999999999</v>
      </c>
      <c r="AR22" s="2">
        <f t="shared" si="3"/>
        <v>0.79069767441860461</v>
      </c>
    </row>
    <row r="23" spans="39:73" x14ac:dyDescent="0.3">
      <c r="AM23" s="2">
        <f>AQ23*AJ3</f>
        <v>6.12</v>
      </c>
      <c r="AN23" s="2">
        <f>AR23*AK3</f>
        <v>15.651999999999999</v>
      </c>
      <c r="AO23" s="2">
        <f>AP23/(2 * PI() * AM23) * 10^3 * (-1)</f>
        <v>3.9008564483307677</v>
      </c>
      <c r="AP23" s="2">
        <v>-0.15</v>
      </c>
      <c r="AQ23" s="2">
        <v>1.02</v>
      </c>
      <c r="AR23" s="2">
        <v>0.91</v>
      </c>
      <c r="AS23" t="s">
        <v>31</v>
      </c>
      <c r="AT23" t="s">
        <v>32</v>
      </c>
      <c r="AU23" t="s">
        <v>33</v>
      </c>
    </row>
    <row r="24" spans="39:73" x14ac:dyDescent="0.3">
      <c r="AO24" t="s">
        <v>9</v>
      </c>
      <c r="AP24">
        <v>0</v>
      </c>
      <c r="AQ24">
        <v>1.03</v>
      </c>
    </row>
    <row r="27" spans="39:73" x14ac:dyDescent="0.3">
      <c r="BU27" t="s">
        <v>9</v>
      </c>
    </row>
    <row r="32" spans="39:73" x14ac:dyDescent="0.3">
      <c r="BG32">
        <v>1.0149999999999999</v>
      </c>
      <c r="BH32">
        <v>0.4</v>
      </c>
    </row>
    <row r="33" spans="18:60" x14ac:dyDescent="0.3">
      <c r="BG33">
        <v>1.0549999999999999</v>
      </c>
      <c r="BH33">
        <v>-0.4</v>
      </c>
    </row>
    <row r="34" spans="18:60" x14ac:dyDescent="0.3">
      <c r="R34" t="s">
        <v>9</v>
      </c>
    </row>
    <row r="36" spans="18:60" x14ac:dyDescent="0.3">
      <c r="AZ36">
        <v>0.94299999999999995</v>
      </c>
      <c r="BA36">
        <f>0.98/SQRT(2)</f>
        <v>0.69296464556281656</v>
      </c>
    </row>
    <row r="37" spans="18:60" x14ac:dyDescent="0.3">
      <c r="AZ37">
        <v>1.0640000000000001</v>
      </c>
      <c r="BA37">
        <f>0.98/SQRT(2)</f>
        <v>0.69296464556281656</v>
      </c>
    </row>
    <row r="39" spans="18:60" x14ac:dyDescent="0.3">
      <c r="AZ39">
        <f>AZ37-AZ36</f>
        <v>0.12100000000000011</v>
      </c>
    </row>
  </sheetData>
  <mergeCells count="2">
    <mergeCell ref="CB6:CD6"/>
    <mergeCell ref="CE6:CH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Прамский</dc:creator>
  <cp:lastModifiedBy>Илья Прамский</cp:lastModifiedBy>
  <dcterms:created xsi:type="dcterms:W3CDTF">2015-06-05T18:17:20Z</dcterms:created>
  <dcterms:modified xsi:type="dcterms:W3CDTF">2023-10-16T07:17:27Z</dcterms:modified>
</cp:coreProperties>
</file>