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OqmWpqy9bvySfdXoOY2COEFsx6hOKjyt\Cotizaciones Generales\COTIZACIONES 2026\591 Tracto Frenos Mod\"/>
    </mc:Choice>
  </mc:AlternateContent>
  <xr:revisionPtr revIDLastSave="0" documentId="13_ncr:1_{6B9055C8-3993-4CD9-A901-4FD87CBEF606}" xr6:coauthVersionLast="47" xr6:coauthVersionMax="47" xr10:uidLastSave="{00000000-0000-0000-0000-000000000000}"/>
  <bookViews>
    <workbookView xWindow="-108" yWindow="-108" windowWidth="23256" windowHeight="13176" firstSheet="5" activeTab="7" xr2:uid="{00000000-000D-0000-FFFF-FFFF00000000}"/>
  </bookViews>
  <sheets>
    <sheet name="Distanciadores (2)" sheetId="15" state="hidden" r:id="rId1"/>
    <sheet name="Datos (2)" sheetId="16" state="hidden" r:id="rId2"/>
    <sheet name="Cálculo Drive Thru" sheetId="17" state="hidden" r:id="rId3"/>
    <sheet name="Marco de Lámina con Refuerzo" sheetId="18" state="hidden" r:id="rId4"/>
    <sheet name="Marco Estructural (2)" sheetId="19" state="hidden" r:id="rId5"/>
    <sheet name="Intro" sheetId="8" r:id="rId6"/>
    <sheet name="Calculador Selectivo" sheetId="1" r:id="rId7"/>
    <sheet name="Cotizador Selectivo" sheetId="9" r:id="rId8"/>
    <sheet name="Dibujos" sheetId="22" state="hidden" r:id="rId9"/>
    <sheet name="Vigas (2)" sheetId="25" state="hidden" r:id="rId10"/>
    <sheet name="Pesos" sheetId="2" state="hidden" r:id="rId11"/>
    <sheet name="Distribuidores" sheetId="24" state="hidden" r:id="rId12"/>
    <sheet name="CalEstant" sheetId="13" state="hidden" r:id="rId13"/>
    <sheet name="Calculos" sheetId="10" state="hidden" r:id="rId14"/>
    <sheet name="Marco Estructural" sheetId="3" state="hidden" r:id="rId15"/>
    <sheet name="Vigas" sheetId="4" state="hidden" r:id="rId16"/>
    <sheet name="Distanciadores" sheetId="5" state="hidden" r:id="rId17"/>
    <sheet name="Panel" sheetId="6" state="hidden" r:id="rId18"/>
    <sheet name="Datos" sheetId="7" state="hidden" r:id="rId19"/>
  </sheets>
  <externalReferences>
    <externalReference r:id="rId20"/>
    <externalReference r:id="rId21"/>
  </externalReferences>
  <definedNames>
    <definedName name="_xlnm._FilterDatabase" localSheetId="3" hidden="1">'Marco de Lámina con Refuerzo'!$A$23:$A$54</definedName>
    <definedName name="_xlnm.Print_Area" localSheetId="2">'Cálculo Drive Thru'!$A$1:$M$92</definedName>
  </definedNames>
  <calcPr calcId="191029"/>
</workbook>
</file>

<file path=xl/calcChain.xml><?xml version="1.0" encoding="utf-8"?>
<calcChain xmlns="http://schemas.openxmlformats.org/spreadsheetml/2006/main">
  <c r="N25" i="9" l="1"/>
  <c r="N24" i="9"/>
  <c r="J14" i="9"/>
  <c r="J16" i="9"/>
  <c r="J15" i="9"/>
  <c r="J13" i="9"/>
  <c r="J12" i="9"/>
  <c r="J11" i="9"/>
  <c r="J10" i="9"/>
  <c r="J9" i="9"/>
  <c r="L14" i="9"/>
  <c r="L13" i="9"/>
  <c r="C22" i="9"/>
  <c r="C18" i="9"/>
  <c r="C21" i="9" s="1"/>
  <c r="C19" i="9"/>
  <c r="C20" i="9" s="1"/>
  <c r="C17" i="9"/>
  <c r="L11" i="9"/>
  <c r="L10" i="9"/>
  <c r="L9" i="9"/>
  <c r="C25" i="9"/>
  <c r="C26" i="9" s="1"/>
  <c r="H25" i="9" l="1"/>
  <c r="L27" i="9"/>
  <c r="Y36" i="9"/>
  <c r="Y35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51" i="9"/>
  <c r="Y52" i="9"/>
  <c r="Y53" i="9"/>
  <c r="Y54" i="9"/>
  <c r="Y55" i="9"/>
  <c r="Y34" i="9"/>
  <c r="Y27" i="9"/>
  <c r="Y23" i="9"/>
  <c r="Y22" i="9"/>
  <c r="Y24" i="9"/>
  <c r="Y25" i="9"/>
  <c r="Y26" i="9"/>
  <c r="Y28" i="9"/>
  <c r="Y29" i="9"/>
  <c r="Y30" i="9"/>
  <c r="Y31" i="9"/>
  <c r="Y21" i="9"/>
  <c r="X55" i="9"/>
  <c r="X54" i="9"/>
  <c r="X51" i="9"/>
  <c r="X52" i="9"/>
  <c r="X53" i="9"/>
  <c r="X50" i="9"/>
  <c r="X49" i="9"/>
  <c r="X48" i="9"/>
  <c r="X47" i="9"/>
  <c r="X46" i="9"/>
  <c r="X45" i="9"/>
  <c r="X43" i="9"/>
  <c r="X44" i="9"/>
  <c r="X42" i="9"/>
  <c r="X41" i="9"/>
  <c r="X40" i="9"/>
  <c r="X39" i="9"/>
  <c r="X38" i="9"/>
  <c r="X37" i="9"/>
  <c r="X36" i="9"/>
  <c r="X35" i="9"/>
  <c r="X34" i="9"/>
  <c r="X22" i="9"/>
  <c r="X31" i="9"/>
  <c r="X30" i="9"/>
  <c r="X27" i="9"/>
  <c r="X28" i="9"/>
  <c r="X29" i="9"/>
  <c r="X26" i="9"/>
  <c r="X25" i="9"/>
  <c r="X24" i="9"/>
  <c r="X23" i="9"/>
  <c r="X21" i="9"/>
  <c r="W44" i="9"/>
  <c r="W45" i="9"/>
  <c r="W46" i="9"/>
  <c r="W47" i="9"/>
  <c r="W48" i="9"/>
  <c r="W49" i="9"/>
  <c r="W50" i="9"/>
  <c r="W51" i="9"/>
  <c r="W52" i="9"/>
  <c r="W53" i="9"/>
  <c r="W54" i="9"/>
  <c r="W55" i="9"/>
  <c r="W35" i="9"/>
  <c r="W36" i="9"/>
  <c r="W37" i="9"/>
  <c r="W38" i="9"/>
  <c r="W39" i="9"/>
  <c r="W40" i="9"/>
  <c r="W41" i="9"/>
  <c r="W42" i="9"/>
  <c r="W43" i="9"/>
  <c r="W34" i="9"/>
  <c r="W22" i="9"/>
  <c r="W23" i="9"/>
  <c r="W24" i="9"/>
  <c r="W25" i="9"/>
  <c r="W26" i="9"/>
  <c r="W27" i="9"/>
  <c r="W28" i="9"/>
  <c r="W29" i="9"/>
  <c r="W30" i="9"/>
  <c r="W31" i="9"/>
  <c r="W21" i="9"/>
  <c r="W8" i="9"/>
  <c r="W9" i="9"/>
  <c r="W10" i="9"/>
  <c r="W11" i="9"/>
  <c r="W12" i="9"/>
  <c r="W13" i="9"/>
  <c r="W14" i="9"/>
  <c r="W15" i="9"/>
  <c r="W16" i="9"/>
  <c r="W17" i="9"/>
  <c r="W18" i="9"/>
  <c r="L18" i="9"/>
  <c r="H18" i="9" s="1"/>
  <c r="K18" i="9" l="1"/>
  <c r="I18" i="9"/>
  <c r="W32" i="9"/>
  <c r="E31" i="9" s="1"/>
  <c r="W56" i="9"/>
  <c r="E32" i="9" s="1"/>
  <c r="Y56" i="9"/>
  <c r="X56" i="9"/>
  <c r="Y32" i="9"/>
  <c r="X32" i="9"/>
  <c r="W19" i="9"/>
  <c r="E30" i="9" s="1"/>
  <c r="I20" i="9"/>
  <c r="L19" i="9"/>
  <c r="H19" i="9" s="1"/>
  <c r="D4" i="25"/>
  <c r="N16" i="25" s="1"/>
  <c r="D2" i="25"/>
  <c r="N15" i="25" s="1"/>
  <c r="N13" i="25"/>
  <c r="F8" i="25"/>
  <c r="F9" i="25" s="1"/>
  <c r="D7" i="25"/>
  <c r="N12" i="25" s="1"/>
  <c r="D3" i="25"/>
  <c r="T59" i="25" s="1"/>
  <c r="M69" i="25" s="1" a="1"/>
  <c r="M69" i="25" s="1"/>
  <c r="L16" i="9"/>
  <c r="L15" i="9"/>
  <c r="H7" i="1"/>
  <c r="K13" i="9" l="1"/>
  <c r="H13" i="9"/>
  <c r="I13" i="9" s="1"/>
  <c r="I25" i="9"/>
  <c r="N15" i="9"/>
  <c r="A20" i="9"/>
  <c r="A21" i="9" s="1"/>
  <c r="A22" i="9" s="1"/>
  <c r="C34" i="9"/>
  <c r="I19" i="9"/>
  <c r="K19" i="9"/>
  <c r="M68" i="25"/>
  <c r="M71" i="25" s="1"/>
  <c r="D18" i="25" s="1"/>
  <c r="D25" i="25" s="1"/>
  <c r="N14" i="25"/>
  <c r="L40" i="25"/>
  <c r="L60" i="25"/>
  <c r="D15" i="25" s="1"/>
  <c r="T5" i="1"/>
  <c r="T6" i="1"/>
  <c r="K14" i="9" l="1"/>
  <c r="H14" i="9"/>
  <c r="I14" i="9" s="1"/>
  <c r="H10" i="9"/>
  <c r="I10" i="9" s="1"/>
  <c r="K10" i="9"/>
  <c r="H11" i="9"/>
  <c r="I11" i="9" s="1"/>
  <c r="K11" i="9"/>
  <c r="H9" i="9"/>
  <c r="I9" i="9" s="1"/>
  <c r="K9" i="9"/>
  <c r="I26" i="9"/>
  <c r="S50" i="25"/>
  <c r="L50" i="25"/>
  <c r="D13" i="25" s="1"/>
  <c r="D12" i="25"/>
  <c r="B34" i="24"/>
  <c r="B35" i="24" s="1"/>
  <c r="B36" i="24" s="1"/>
  <c r="B37" i="24" s="1"/>
  <c r="K33" i="24"/>
  <c r="K32" i="24"/>
  <c r="K31" i="24"/>
  <c r="K30" i="24"/>
  <c r="K29" i="24"/>
  <c r="O21" i="24"/>
  <c r="Q21" i="24"/>
  <c r="I22" i="24" s="1"/>
  <c r="K22" i="24" s="1"/>
  <c r="K38" i="24"/>
  <c r="K37" i="24"/>
  <c r="K36" i="24"/>
  <c r="K35" i="24"/>
  <c r="K34" i="24"/>
  <c r="D27" i="24"/>
  <c r="K27" i="24" s="1"/>
  <c r="D26" i="24"/>
  <c r="K26" i="24" s="1"/>
  <c r="D25" i="24"/>
  <c r="K25" i="24" s="1"/>
  <c r="D24" i="24"/>
  <c r="K24" i="24" s="1"/>
  <c r="D23" i="24"/>
  <c r="K23" i="24" s="1"/>
  <c r="G21" i="24"/>
  <c r="K20" i="24"/>
  <c r="AQ3" i="1" l="1"/>
  <c r="E10" i="1" s="1"/>
  <c r="AP4" i="1"/>
  <c r="AU2" i="1"/>
  <c r="Q30" i="22"/>
  <c r="O32" i="22"/>
  <c r="O31" i="22"/>
  <c r="O30" i="22"/>
  <c r="C55" i="9"/>
  <c r="C56" i="9"/>
  <c r="C57" i="9"/>
  <c r="C58" i="9"/>
  <c r="C54" i="9"/>
  <c r="I21" i="9"/>
  <c r="H27" i="9"/>
  <c r="K27" i="9"/>
  <c r="K25" i="9" l="1"/>
  <c r="C59" i="9"/>
  <c r="C60" i="9" s="1"/>
  <c r="I27" i="9"/>
  <c r="H8" i="1" l="1"/>
  <c r="C13" i="10"/>
  <c r="A11" i="13"/>
  <c r="A10" i="13"/>
  <c r="C3" i="18"/>
  <c r="D12" i="16"/>
  <c r="E12" i="16" s="1"/>
  <c r="R197" i="19"/>
  <c r="R196" i="19"/>
  <c r="R195" i="19"/>
  <c r="O195" i="19" s="1"/>
  <c r="R194" i="19"/>
  <c r="O194" i="19" s="1"/>
  <c r="R193" i="19"/>
  <c r="R192" i="19"/>
  <c r="O192" i="19" s="1"/>
  <c r="Q192" i="19" s="1"/>
  <c r="R191" i="19"/>
  <c r="O191" i="19" s="1"/>
  <c r="Q191" i="19" s="1"/>
  <c r="R190" i="19"/>
  <c r="R189" i="19"/>
  <c r="R188" i="19"/>
  <c r="O188" i="19" s="1"/>
  <c r="Q188" i="19" s="1"/>
  <c r="R187" i="19"/>
  <c r="O187" i="19" s="1"/>
  <c r="Q187" i="19" s="1"/>
  <c r="R186" i="19"/>
  <c r="O186" i="19" s="1"/>
  <c r="Q186" i="19" s="1"/>
  <c r="R185" i="19"/>
  <c r="R184" i="19"/>
  <c r="O184" i="19" s="1"/>
  <c r="Q184" i="19" s="1"/>
  <c r="R183" i="19"/>
  <c r="O183" i="19" s="1"/>
  <c r="R182" i="19"/>
  <c r="O182" i="19" s="1"/>
  <c r="P182" i="19" s="1"/>
  <c r="R181" i="19"/>
  <c r="R180" i="19"/>
  <c r="R179" i="19"/>
  <c r="O179" i="19"/>
  <c r="Q179" i="19" s="1"/>
  <c r="R178" i="19"/>
  <c r="O178" i="19" s="1"/>
  <c r="R177" i="19"/>
  <c r="R176" i="19"/>
  <c r="O176" i="19" s="1"/>
  <c r="Q176" i="19" s="1"/>
  <c r="R175" i="19"/>
  <c r="O175" i="19" s="1"/>
  <c r="Q175" i="19" s="1"/>
  <c r="R174" i="19"/>
  <c r="O174" i="19"/>
  <c r="P174" i="19" s="1"/>
  <c r="R173" i="19"/>
  <c r="R172" i="19"/>
  <c r="O172" i="19" s="1"/>
  <c r="Q172" i="19" s="1"/>
  <c r="R171" i="19"/>
  <c r="O171" i="19"/>
  <c r="Q171" i="19" s="1"/>
  <c r="R170" i="19"/>
  <c r="O170" i="19" s="1"/>
  <c r="Q170" i="19" s="1"/>
  <c r="R169" i="19"/>
  <c r="R168" i="19"/>
  <c r="O168" i="19"/>
  <c r="Q168" i="19" s="1"/>
  <c r="R167" i="19"/>
  <c r="O167" i="19" s="1"/>
  <c r="R166" i="19"/>
  <c r="R165" i="19"/>
  <c r="R164" i="19"/>
  <c r="R163" i="19"/>
  <c r="O163" i="19" s="1"/>
  <c r="Q163" i="19" s="1"/>
  <c r="R162" i="19"/>
  <c r="O162" i="19" s="1"/>
  <c r="Q162" i="19" s="1"/>
  <c r="R161" i="19"/>
  <c r="R160" i="19"/>
  <c r="O160" i="19" s="1"/>
  <c r="Q160" i="19" s="1"/>
  <c r="R159" i="19"/>
  <c r="O159" i="19" s="1"/>
  <c r="Q159" i="19" s="1"/>
  <c r="R158" i="19"/>
  <c r="O158" i="19" s="1"/>
  <c r="R157" i="19"/>
  <c r="O157" i="19" s="1"/>
  <c r="Q157" i="19"/>
  <c r="R156" i="19"/>
  <c r="O156" i="19" s="1"/>
  <c r="Q156" i="19" s="1"/>
  <c r="R155" i="19"/>
  <c r="R154" i="19"/>
  <c r="O154" i="19"/>
  <c r="P154" i="19" s="1"/>
  <c r="R153" i="19"/>
  <c r="O153" i="19" s="1"/>
  <c r="Q153" i="19" s="1"/>
  <c r="R152" i="19"/>
  <c r="O152" i="19" s="1"/>
  <c r="Q152" i="19" s="1"/>
  <c r="R151" i="19"/>
  <c r="R150" i="19"/>
  <c r="O150" i="19" s="1"/>
  <c r="P150" i="19" s="1"/>
  <c r="R149" i="19"/>
  <c r="O149" i="19" s="1"/>
  <c r="Q149" i="19" s="1"/>
  <c r="R148" i="19"/>
  <c r="O148" i="19"/>
  <c r="Q148" i="19" s="1"/>
  <c r="R147" i="19"/>
  <c r="R146" i="19"/>
  <c r="O146" i="19"/>
  <c r="P146" i="19" s="1"/>
  <c r="R145" i="19"/>
  <c r="O145" i="19" s="1"/>
  <c r="Q145" i="19"/>
  <c r="R144" i="19"/>
  <c r="O144" i="19" s="1"/>
  <c r="Q144" i="19" s="1"/>
  <c r="R143" i="19"/>
  <c r="R142" i="19"/>
  <c r="O142" i="19" s="1"/>
  <c r="P142" i="19" s="1"/>
  <c r="R141" i="19"/>
  <c r="O141" i="19" s="1"/>
  <c r="Q141" i="19"/>
  <c r="R140" i="19"/>
  <c r="O140" i="19" s="1"/>
  <c r="Q140" i="19" s="1"/>
  <c r="R139" i="19"/>
  <c r="R138" i="19"/>
  <c r="O138" i="19" s="1"/>
  <c r="P138" i="19" s="1"/>
  <c r="R137" i="19"/>
  <c r="O137" i="19" s="1"/>
  <c r="Q137" i="19" s="1"/>
  <c r="R136" i="19"/>
  <c r="O136" i="19"/>
  <c r="Q136" i="19" s="1"/>
  <c r="R135" i="19"/>
  <c r="O135" i="19" s="1"/>
  <c r="Q135" i="19"/>
  <c r="R134" i="19"/>
  <c r="R133" i="19"/>
  <c r="R132" i="19"/>
  <c r="O132" i="19" s="1"/>
  <c r="Q132" i="19" s="1"/>
  <c r="R131" i="19"/>
  <c r="O131" i="19" s="1"/>
  <c r="Q131" i="19" s="1"/>
  <c r="R130" i="19"/>
  <c r="R129" i="19"/>
  <c r="R128" i="19"/>
  <c r="O128" i="19" s="1"/>
  <c r="Q128" i="19" s="1"/>
  <c r="R127" i="19"/>
  <c r="O127" i="19" s="1"/>
  <c r="Q127" i="19"/>
  <c r="R126" i="19"/>
  <c r="R125" i="19"/>
  <c r="R124" i="19"/>
  <c r="O124" i="19"/>
  <c r="Q124" i="19" s="1"/>
  <c r="R123" i="19"/>
  <c r="O123" i="19" s="1"/>
  <c r="Q123" i="19" s="1"/>
  <c r="R122" i="19"/>
  <c r="R121" i="19"/>
  <c r="R120" i="19"/>
  <c r="O120" i="19"/>
  <c r="Q120" i="19" s="1"/>
  <c r="R119" i="19"/>
  <c r="O119" i="19" s="1"/>
  <c r="Q119" i="19" s="1"/>
  <c r="R118" i="19"/>
  <c r="R117" i="19"/>
  <c r="R116" i="19"/>
  <c r="O116" i="19" s="1"/>
  <c r="Q116" i="19" s="1"/>
  <c r="R115" i="19"/>
  <c r="O115" i="19" s="1"/>
  <c r="Q115" i="19" s="1"/>
  <c r="R114" i="19"/>
  <c r="R113" i="19"/>
  <c r="R112" i="19"/>
  <c r="O112" i="19" s="1"/>
  <c r="Q112" i="19" s="1"/>
  <c r="R111" i="19"/>
  <c r="O111" i="19" s="1"/>
  <c r="Q111" i="19" s="1"/>
  <c r="R110" i="19"/>
  <c r="R109" i="19"/>
  <c r="R108" i="19"/>
  <c r="O108" i="19"/>
  <c r="Q108" i="19" s="1"/>
  <c r="R107" i="19"/>
  <c r="O107" i="19" s="1"/>
  <c r="Q107" i="19" s="1"/>
  <c r="R106" i="19"/>
  <c r="R105" i="19"/>
  <c r="O105" i="19" s="1"/>
  <c r="Q105" i="19" s="1"/>
  <c r="P105" i="19"/>
  <c r="R104" i="19"/>
  <c r="O104" i="19" s="1"/>
  <c r="Q104" i="19" s="1"/>
  <c r="R103" i="19"/>
  <c r="O103" i="19" s="1"/>
  <c r="Q103" i="19" s="1"/>
  <c r="R102" i="19"/>
  <c r="R101" i="19"/>
  <c r="O101" i="19" s="1"/>
  <c r="R100" i="19"/>
  <c r="O100" i="19" s="1"/>
  <c r="Q100" i="19" s="1"/>
  <c r="R99" i="19"/>
  <c r="O99" i="19" s="1"/>
  <c r="Q99" i="19" s="1"/>
  <c r="R98" i="19"/>
  <c r="R97" i="19"/>
  <c r="O97" i="19" s="1"/>
  <c r="Q97" i="19" s="1"/>
  <c r="R96" i="19"/>
  <c r="O96" i="19" s="1"/>
  <c r="R95" i="19"/>
  <c r="O95" i="19" s="1"/>
  <c r="Q95" i="19" s="1"/>
  <c r="R94" i="19"/>
  <c r="R93" i="19"/>
  <c r="R92" i="19"/>
  <c r="O92" i="19" s="1"/>
  <c r="Q92" i="19" s="1"/>
  <c r="R91" i="19"/>
  <c r="O91" i="19" s="1"/>
  <c r="Q91" i="19" s="1"/>
  <c r="P91" i="19"/>
  <c r="R90" i="19"/>
  <c r="R89" i="19"/>
  <c r="O89" i="19" s="1"/>
  <c r="Q89" i="19" s="1"/>
  <c r="R88" i="19"/>
  <c r="O88" i="19" s="1"/>
  <c r="R87" i="19"/>
  <c r="O87" i="19" s="1"/>
  <c r="Q87" i="19" s="1"/>
  <c r="R86" i="19"/>
  <c r="R85" i="19"/>
  <c r="O85" i="19" s="1"/>
  <c r="Q85" i="19" s="1"/>
  <c r="P85" i="19"/>
  <c r="R84" i="19"/>
  <c r="O84" i="19" s="1"/>
  <c r="R83" i="19"/>
  <c r="O83" i="19" s="1"/>
  <c r="Q83" i="19" s="1"/>
  <c r="R82" i="19"/>
  <c r="O82" i="19"/>
  <c r="Q82" i="19" s="1"/>
  <c r="R81" i="19"/>
  <c r="R80" i="19"/>
  <c r="R79" i="19"/>
  <c r="O79" i="19" s="1"/>
  <c r="Q79" i="19" s="1"/>
  <c r="R78" i="19"/>
  <c r="O78" i="19" s="1"/>
  <c r="R77" i="19"/>
  <c r="R76" i="19"/>
  <c r="R75" i="19"/>
  <c r="O75" i="19" s="1"/>
  <c r="Q75" i="19" s="1"/>
  <c r="R74" i="19"/>
  <c r="O74" i="19" s="1"/>
  <c r="Q74" i="19" s="1"/>
  <c r="R73" i="19"/>
  <c r="O73" i="19" s="1"/>
  <c r="Q73" i="19" s="1"/>
  <c r="R72" i="19"/>
  <c r="R71" i="19"/>
  <c r="O71" i="19" s="1"/>
  <c r="Q71" i="19" s="1"/>
  <c r="R70" i="19"/>
  <c r="R69" i="19"/>
  <c r="O69" i="19" s="1"/>
  <c r="P69" i="19" s="1"/>
  <c r="R68" i="19"/>
  <c r="R67" i="19"/>
  <c r="R66" i="19"/>
  <c r="O66" i="19" s="1"/>
  <c r="Q66" i="19" s="1"/>
  <c r="R65" i="19"/>
  <c r="O65" i="19" s="1"/>
  <c r="Q65" i="19" s="1"/>
  <c r="R64" i="19"/>
  <c r="R63" i="19"/>
  <c r="O63" i="19" s="1"/>
  <c r="Q63" i="19" s="1"/>
  <c r="R62" i="19"/>
  <c r="O62" i="19" s="1"/>
  <c r="R61" i="19"/>
  <c r="O61" i="19" s="1"/>
  <c r="Q61" i="19" s="1"/>
  <c r="R60" i="19"/>
  <c r="R59" i="19"/>
  <c r="O59" i="19" s="1"/>
  <c r="Q59" i="19" s="1"/>
  <c r="R58" i="19"/>
  <c r="R57" i="19"/>
  <c r="O57" i="19"/>
  <c r="Q57" i="19" s="1"/>
  <c r="R56" i="19"/>
  <c r="R55" i="19"/>
  <c r="O55" i="19"/>
  <c r="Q55" i="19" s="1"/>
  <c r="R54" i="19"/>
  <c r="O54" i="19" s="1"/>
  <c r="Q54" i="19" s="1"/>
  <c r="R53" i="19"/>
  <c r="R52" i="19"/>
  <c r="R51" i="19"/>
  <c r="R50" i="19"/>
  <c r="O50" i="19" s="1"/>
  <c r="R49" i="19"/>
  <c r="O49" i="19" s="1"/>
  <c r="R48" i="19"/>
  <c r="R47" i="19"/>
  <c r="R46" i="19"/>
  <c r="O46" i="19"/>
  <c r="R45" i="19"/>
  <c r="O45" i="19" s="1"/>
  <c r="R44" i="19"/>
  <c r="R43" i="19"/>
  <c r="R42" i="19"/>
  <c r="O42" i="19" s="1"/>
  <c r="R41" i="19"/>
  <c r="O41" i="19" s="1"/>
  <c r="R40" i="19"/>
  <c r="O40" i="19"/>
  <c r="R39" i="19"/>
  <c r="O39" i="19" s="1"/>
  <c r="Q39" i="19" s="1"/>
  <c r="P39" i="19"/>
  <c r="R38" i="19"/>
  <c r="R37" i="19"/>
  <c r="R36" i="19"/>
  <c r="O36" i="19" s="1"/>
  <c r="R35" i="19"/>
  <c r="O35" i="19" s="1"/>
  <c r="Q35" i="19" s="1"/>
  <c r="P35" i="19"/>
  <c r="R34" i="19"/>
  <c r="R33" i="19"/>
  <c r="O33" i="19" s="1"/>
  <c r="R32" i="19"/>
  <c r="O32" i="19" s="1"/>
  <c r="R31" i="19"/>
  <c r="O31" i="19" s="1"/>
  <c r="R30" i="19"/>
  <c r="O30" i="19" s="1"/>
  <c r="Q30" i="19" s="1"/>
  <c r="R29" i="19"/>
  <c r="O29" i="19" s="1"/>
  <c r="Q29" i="19" s="1"/>
  <c r="H29" i="19"/>
  <c r="R28" i="19"/>
  <c r="O28" i="19"/>
  <c r="Q28" i="19" s="1"/>
  <c r="R27" i="19"/>
  <c r="O27" i="19" s="1"/>
  <c r="Q27" i="19" s="1"/>
  <c r="R26" i="19"/>
  <c r="O26" i="19" s="1"/>
  <c r="Q26" i="19" s="1"/>
  <c r="R25" i="19"/>
  <c r="O25" i="19" s="1"/>
  <c r="R24" i="19"/>
  <c r="R23" i="19"/>
  <c r="O23" i="19" s="1"/>
  <c r="Q23" i="19"/>
  <c r="R22" i="19"/>
  <c r="O22" i="19" s="1"/>
  <c r="Q22" i="19" s="1"/>
  <c r="R21" i="19"/>
  <c r="O21" i="19" s="1"/>
  <c r="P21" i="19" s="1"/>
  <c r="R20" i="19"/>
  <c r="V19" i="19"/>
  <c r="Z19" i="19" s="1"/>
  <c r="R19" i="19"/>
  <c r="C4" i="19"/>
  <c r="C3" i="19"/>
  <c r="D6" i="19" s="1"/>
  <c r="C2" i="19"/>
  <c r="C1" i="19"/>
  <c r="D11" i="19" s="1"/>
  <c r="E11" i="19" s="1"/>
  <c r="R200" i="18"/>
  <c r="R199" i="18"/>
  <c r="R198" i="18"/>
  <c r="R197" i="18"/>
  <c r="R196" i="18"/>
  <c r="Z195" i="18"/>
  <c r="R195" i="18"/>
  <c r="Z194" i="18"/>
  <c r="R194" i="18"/>
  <c r="Z193" i="18"/>
  <c r="R193" i="18"/>
  <c r="Z192" i="18"/>
  <c r="R192" i="18"/>
  <c r="Z191" i="18"/>
  <c r="R191" i="18"/>
  <c r="Z190" i="18"/>
  <c r="R190" i="18"/>
  <c r="Z189" i="18"/>
  <c r="R189" i="18"/>
  <c r="Z188" i="18"/>
  <c r="R188" i="18"/>
  <c r="Z187" i="18"/>
  <c r="R187" i="18"/>
  <c r="Z186" i="18"/>
  <c r="R186" i="18"/>
  <c r="Z185" i="18"/>
  <c r="R185" i="18"/>
  <c r="Z184" i="18"/>
  <c r="R184" i="18"/>
  <c r="Z183" i="18"/>
  <c r="R183" i="18"/>
  <c r="Z182" i="18"/>
  <c r="R182" i="18"/>
  <c r="Z181" i="18"/>
  <c r="R181" i="18"/>
  <c r="Z180" i="18"/>
  <c r="R180" i="18"/>
  <c r="Z179" i="18"/>
  <c r="R179" i="18"/>
  <c r="Z178" i="18"/>
  <c r="R178" i="18"/>
  <c r="Z177" i="18"/>
  <c r="R177" i="18"/>
  <c r="Z176" i="18"/>
  <c r="R176" i="18"/>
  <c r="Z175" i="18"/>
  <c r="R175" i="18"/>
  <c r="Z174" i="18"/>
  <c r="R174" i="18"/>
  <c r="Z173" i="18"/>
  <c r="R173" i="18"/>
  <c r="Z172" i="18"/>
  <c r="R172" i="18"/>
  <c r="Z171" i="18"/>
  <c r="R171" i="18"/>
  <c r="Z170" i="18"/>
  <c r="R170" i="18"/>
  <c r="Z169" i="18"/>
  <c r="R169" i="18"/>
  <c r="Z168" i="18"/>
  <c r="R168" i="18"/>
  <c r="Z167" i="18"/>
  <c r="R167" i="18"/>
  <c r="Z166" i="18"/>
  <c r="R166" i="18"/>
  <c r="Z165" i="18"/>
  <c r="R165" i="18"/>
  <c r="Z164" i="18"/>
  <c r="R164" i="18"/>
  <c r="Z163" i="18"/>
  <c r="R163" i="18"/>
  <c r="Z162" i="18"/>
  <c r="R162" i="18"/>
  <c r="Z161" i="18"/>
  <c r="R161" i="18"/>
  <c r="Z160" i="18"/>
  <c r="R160" i="18"/>
  <c r="Z159" i="18"/>
  <c r="R159" i="18"/>
  <c r="Z158" i="18"/>
  <c r="R158" i="18"/>
  <c r="Z157" i="18"/>
  <c r="R157" i="18"/>
  <c r="Z156" i="18"/>
  <c r="R156" i="18"/>
  <c r="Z155" i="18"/>
  <c r="R155" i="18"/>
  <c r="Z154" i="18"/>
  <c r="R154" i="18"/>
  <c r="Z153" i="18"/>
  <c r="R153" i="18"/>
  <c r="Z152" i="18"/>
  <c r="R152" i="18"/>
  <c r="Z151" i="18"/>
  <c r="R151" i="18"/>
  <c r="Z150" i="18"/>
  <c r="R150" i="18"/>
  <c r="Z149" i="18"/>
  <c r="R149" i="18"/>
  <c r="Z148" i="18"/>
  <c r="R148" i="18"/>
  <c r="Z147" i="18"/>
  <c r="R147" i="18"/>
  <c r="Z146" i="18"/>
  <c r="R146" i="18"/>
  <c r="Z145" i="18"/>
  <c r="R145" i="18"/>
  <c r="Z144" i="18"/>
  <c r="R144" i="18"/>
  <c r="Z143" i="18"/>
  <c r="R143" i="18"/>
  <c r="Z142" i="18"/>
  <c r="R142" i="18"/>
  <c r="Z141" i="18"/>
  <c r="R141" i="18"/>
  <c r="Z140" i="18"/>
  <c r="R140" i="18"/>
  <c r="Z139" i="18"/>
  <c r="R139" i="18"/>
  <c r="Z138" i="18"/>
  <c r="R138" i="18"/>
  <c r="Z137" i="18"/>
  <c r="R137" i="18"/>
  <c r="Z136" i="18"/>
  <c r="R136" i="18"/>
  <c r="Z135" i="18"/>
  <c r="R135" i="18"/>
  <c r="Z134" i="18"/>
  <c r="R134" i="18"/>
  <c r="Z133" i="18"/>
  <c r="R133" i="18"/>
  <c r="Z132" i="18"/>
  <c r="R132" i="18"/>
  <c r="Z131" i="18"/>
  <c r="R131" i="18"/>
  <c r="Z130" i="18"/>
  <c r="R130" i="18"/>
  <c r="Z129" i="18"/>
  <c r="R129" i="18"/>
  <c r="Z128" i="18"/>
  <c r="R128" i="18"/>
  <c r="Z127" i="18"/>
  <c r="R127" i="18"/>
  <c r="Z126" i="18"/>
  <c r="R126" i="18"/>
  <c r="Z125" i="18"/>
  <c r="R125" i="18"/>
  <c r="Z124" i="18"/>
  <c r="R124" i="18"/>
  <c r="Z123" i="18"/>
  <c r="R123" i="18"/>
  <c r="Z122" i="18"/>
  <c r="R122" i="18"/>
  <c r="Z121" i="18"/>
  <c r="R121" i="18"/>
  <c r="Z120" i="18"/>
  <c r="R120" i="18"/>
  <c r="Z119" i="18"/>
  <c r="R119" i="18"/>
  <c r="Z118" i="18"/>
  <c r="R118" i="18"/>
  <c r="Z117" i="18"/>
  <c r="R117" i="18"/>
  <c r="Z116" i="18"/>
  <c r="R116" i="18"/>
  <c r="Z115" i="18"/>
  <c r="R115" i="18"/>
  <c r="Z114" i="18"/>
  <c r="R114" i="18"/>
  <c r="Z113" i="18"/>
  <c r="R113" i="18"/>
  <c r="Z112" i="18"/>
  <c r="R112" i="18"/>
  <c r="Z111" i="18"/>
  <c r="R111" i="18"/>
  <c r="Z110" i="18"/>
  <c r="R110" i="18"/>
  <c r="Z109" i="18"/>
  <c r="R109" i="18"/>
  <c r="Z108" i="18"/>
  <c r="R108" i="18"/>
  <c r="Z107" i="18"/>
  <c r="R107" i="18"/>
  <c r="Z106" i="18"/>
  <c r="R106" i="18"/>
  <c r="Z105" i="18"/>
  <c r="R105" i="18"/>
  <c r="Z104" i="18"/>
  <c r="R104" i="18"/>
  <c r="Z103" i="18"/>
  <c r="R103" i="18"/>
  <c r="Z102" i="18"/>
  <c r="R102" i="18"/>
  <c r="Z101" i="18"/>
  <c r="R101" i="18"/>
  <c r="Z100" i="18"/>
  <c r="R100" i="18"/>
  <c r="Z99" i="18"/>
  <c r="R99" i="18"/>
  <c r="Z98" i="18"/>
  <c r="R98" i="18"/>
  <c r="Z97" i="18"/>
  <c r="R97" i="18"/>
  <c r="Z96" i="18"/>
  <c r="R96" i="18"/>
  <c r="Z95" i="18"/>
  <c r="R95" i="18"/>
  <c r="Z94" i="18"/>
  <c r="R94" i="18"/>
  <c r="Z93" i="18"/>
  <c r="R93" i="18"/>
  <c r="Z92" i="18"/>
  <c r="R92" i="18"/>
  <c r="Z91" i="18"/>
  <c r="R91" i="18"/>
  <c r="Z90" i="18"/>
  <c r="R90" i="18"/>
  <c r="Z89" i="18"/>
  <c r="R89" i="18"/>
  <c r="Z88" i="18"/>
  <c r="R88" i="18"/>
  <c r="Z87" i="18"/>
  <c r="R87" i="18"/>
  <c r="Z86" i="18"/>
  <c r="R86" i="18"/>
  <c r="Z85" i="18"/>
  <c r="R85" i="18"/>
  <c r="Z84" i="18"/>
  <c r="R84" i="18"/>
  <c r="Z83" i="18"/>
  <c r="R83" i="18"/>
  <c r="Z82" i="18"/>
  <c r="R82" i="18"/>
  <c r="Z81" i="18"/>
  <c r="R81" i="18"/>
  <c r="Z80" i="18"/>
  <c r="R80" i="18"/>
  <c r="Z79" i="18"/>
  <c r="R79" i="18"/>
  <c r="Z78" i="18"/>
  <c r="R78" i="18"/>
  <c r="Z77" i="18"/>
  <c r="R77" i="18"/>
  <c r="Z76" i="18"/>
  <c r="R76" i="18"/>
  <c r="Z75" i="18"/>
  <c r="R75" i="18"/>
  <c r="Z74" i="18"/>
  <c r="R74" i="18"/>
  <c r="Z73" i="18"/>
  <c r="R73" i="18"/>
  <c r="Z72" i="18"/>
  <c r="R72" i="18"/>
  <c r="Z71" i="18"/>
  <c r="R71" i="18"/>
  <c r="Z70" i="18"/>
  <c r="R70" i="18"/>
  <c r="Z69" i="18"/>
  <c r="R69" i="18"/>
  <c r="Z68" i="18"/>
  <c r="R68" i="18"/>
  <c r="Z67" i="18"/>
  <c r="R67" i="18"/>
  <c r="Z66" i="18"/>
  <c r="R66" i="18"/>
  <c r="Z65" i="18"/>
  <c r="R65" i="18"/>
  <c r="Z64" i="18"/>
  <c r="R64" i="18"/>
  <c r="Z63" i="18"/>
  <c r="R63" i="18"/>
  <c r="Z62" i="18"/>
  <c r="R62" i="18"/>
  <c r="Z61" i="18"/>
  <c r="R61" i="18"/>
  <c r="Z60" i="18"/>
  <c r="R60" i="18"/>
  <c r="Z59" i="18"/>
  <c r="R59" i="18"/>
  <c r="Z58" i="18"/>
  <c r="R58" i="18"/>
  <c r="Z57" i="18"/>
  <c r="R57" i="18"/>
  <c r="Z56" i="18"/>
  <c r="R56" i="18"/>
  <c r="Z55" i="18"/>
  <c r="R55" i="18"/>
  <c r="Z54" i="18"/>
  <c r="R54" i="18"/>
  <c r="Z53" i="18"/>
  <c r="R53" i="18"/>
  <c r="Z52" i="18"/>
  <c r="R52" i="18"/>
  <c r="Z51" i="18"/>
  <c r="R51" i="18"/>
  <c r="Z50" i="18"/>
  <c r="R50" i="18"/>
  <c r="Z49" i="18"/>
  <c r="R49" i="18"/>
  <c r="Z48" i="18"/>
  <c r="R48" i="18"/>
  <c r="Z47" i="18"/>
  <c r="R47" i="18"/>
  <c r="Z46" i="18"/>
  <c r="R46" i="18"/>
  <c r="Z45" i="18"/>
  <c r="R45" i="18"/>
  <c r="Z44" i="18"/>
  <c r="R44" i="18"/>
  <c r="Z43" i="18"/>
  <c r="R43" i="18"/>
  <c r="Z42" i="18"/>
  <c r="R42" i="18"/>
  <c r="Z41" i="18"/>
  <c r="R41" i="18"/>
  <c r="Z40" i="18"/>
  <c r="R40" i="18"/>
  <c r="Z39" i="18"/>
  <c r="R39" i="18"/>
  <c r="Z38" i="18"/>
  <c r="R38" i="18"/>
  <c r="Z37" i="18"/>
  <c r="W37" i="18" s="1"/>
  <c r="Y37" i="18" s="1"/>
  <c r="R37" i="18"/>
  <c r="O37" i="18" s="1"/>
  <c r="Q37" i="18" s="1"/>
  <c r="Z36" i="18"/>
  <c r="W36" i="18" s="1"/>
  <c r="Y36" i="18" s="1"/>
  <c r="R36" i="18"/>
  <c r="O36" i="18" s="1"/>
  <c r="Q36" i="18" s="1"/>
  <c r="Z35" i="18"/>
  <c r="R35" i="18"/>
  <c r="Z34" i="18"/>
  <c r="W34" i="18" s="1"/>
  <c r="Y34" i="18" s="1"/>
  <c r="R34" i="18"/>
  <c r="O34" i="18" s="1"/>
  <c r="Q34" i="18" s="1"/>
  <c r="Z33" i="18"/>
  <c r="R33" i="18"/>
  <c r="Z32" i="18"/>
  <c r="W32" i="18"/>
  <c r="Y32" i="18" s="1"/>
  <c r="R32" i="18"/>
  <c r="Z31" i="18"/>
  <c r="R31" i="18"/>
  <c r="Z30" i="18"/>
  <c r="R30" i="18"/>
  <c r="O30" i="18" s="1"/>
  <c r="Q30" i="18" s="1"/>
  <c r="Z29" i="18"/>
  <c r="W29" i="18"/>
  <c r="Y29" i="18" s="1"/>
  <c r="R29" i="18"/>
  <c r="O29" i="18" s="1"/>
  <c r="Q29" i="18" s="1"/>
  <c r="Z28" i="18"/>
  <c r="W28" i="18" s="1"/>
  <c r="R28" i="18"/>
  <c r="O28" i="18" s="1"/>
  <c r="Z27" i="18"/>
  <c r="W27" i="18" s="1"/>
  <c r="R27" i="18"/>
  <c r="O27" i="18" s="1"/>
  <c r="Z26" i="18"/>
  <c r="W26" i="18" s="1"/>
  <c r="R26" i="18"/>
  <c r="Z25" i="18"/>
  <c r="W25" i="18" s="1"/>
  <c r="Y25" i="18" s="1"/>
  <c r="R25" i="18"/>
  <c r="O25" i="18" s="1"/>
  <c r="Q25" i="18" s="1"/>
  <c r="Z24" i="18"/>
  <c r="W24" i="18" s="1"/>
  <c r="Y24" i="18" s="1"/>
  <c r="R24" i="18"/>
  <c r="Z23" i="18"/>
  <c r="R23" i="18"/>
  <c r="O23" i="18" s="1"/>
  <c r="Q23" i="18" s="1"/>
  <c r="Z22" i="18"/>
  <c r="W22" i="18"/>
  <c r="Y22" i="18" s="1"/>
  <c r="R22" i="18"/>
  <c r="O22" i="18"/>
  <c r="Q22" i="18" s="1"/>
  <c r="C5" i="18"/>
  <c r="C4" i="18"/>
  <c r="D10" i="18" s="1"/>
  <c r="C2" i="18"/>
  <c r="E29" i="18" s="1"/>
  <c r="E88" i="17"/>
  <c r="E78" i="17"/>
  <c r="E69" i="17"/>
  <c r="G69" i="17" s="1"/>
  <c r="B63" i="17"/>
  <c r="E53" i="17"/>
  <c r="H73" i="17" s="1"/>
  <c r="E52" i="17"/>
  <c r="B64" i="17" s="1"/>
  <c r="D33" i="17"/>
  <c r="F30" i="17"/>
  <c r="E30" i="17"/>
  <c r="C13" i="17"/>
  <c r="H8" i="17"/>
  <c r="C12" i="17" s="1"/>
  <c r="B8" i="17"/>
  <c r="B13" i="17" s="1"/>
  <c r="F7" i="17"/>
  <c r="I8" i="17" s="1"/>
  <c r="I18" i="16"/>
  <c r="J18" i="16" s="1"/>
  <c r="O17" i="16"/>
  <c r="J17" i="16"/>
  <c r="I13" i="16"/>
  <c r="J13" i="16" s="1"/>
  <c r="J14" i="16" s="1"/>
  <c r="I2" i="16"/>
  <c r="N18" i="16" s="1"/>
  <c r="O18" i="16" s="1"/>
  <c r="I1" i="16"/>
  <c r="F5" i="15"/>
  <c r="F4" i="15"/>
  <c r="F3" i="15"/>
  <c r="A1" i="15"/>
  <c r="E5" i="15" s="1"/>
  <c r="N20" i="16"/>
  <c r="J10" i="13"/>
  <c r="F13" i="13"/>
  <c r="F14" i="13"/>
  <c r="F15" i="13"/>
  <c r="F16" i="13"/>
  <c r="F10" i="13"/>
  <c r="F6" i="13"/>
  <c r="A3" i="13"/>
  <c r="J16" i="13"/>
  <c r="J15" i="13"/>
  <c r="D15" i="13"/>
  <c r="D16" i="13" s="1"/>
  <c r="J14" i="13"/>
  <c r="J13" i="13"/>
  <c r="J11" i="13"/>
  <c r="D11" i="13"/>
  <c r="D10" i="13" s="1"/>
  <c r="I15" i="13"/>
  <c r="C14" i="10"/>
  <c r="C15" i="10"/>
  <c r="C16" i="10"/>
  <c r="C17" i="10"/>
  <c r="C18" i="10"/>
  <c r="C55" i="10"/>
  <c r="E55" i="10" s="1"/>
  <c r="C54" i="10"/>
  <c r="E54" i="10" s="1"/>
  <c r="C53" i="10"/>
  <c r="E53" i="10" s="1"/>
  <c r="C52" i="10"/>
  <c r="E52" i="10" s="1"/>
  <c r="C51" i="10"/>
  <c r="E51" i="10" s="1"/>
  <c r="C50" i="10"/>
  <c r="E50" i="10" s="1"/>
  <c r="C49" i="10"/>
  <c r="E49" i="10" s="1"/>
  <c r="E48" i="10"/>
  <c r="C42" i="10"/>
  <c r="E41" i="10"/>
  <c r="C35" i="10"/>
  <c r="E35" i="10" s="1"/>
  <c r="E34" i="10"/>
  <c r="E28" i="10"/>
  <c r="E27" i="10"/>
  <c r="C27" i="10"/>
  <c r="C67" i="10" s="1"/>
  <c r="F67" i="10" s="1"/>
  <c r="AS22" i="1"/>
  <c r="AS23" i="1" s="1"/>
  <c r="AS24" i="1" s="1"/>
  <c r="AS25" i="1" s="1"/>
  <c r="C9" i="2" s="1"/>
  <c r="L17" i="9"/>
  <c r="L12" i="9"/>
  <c r="P115" i="19" l="1"/>
  <c r="P23" i="19"/>
  <c r="P30" i="19"/>
  <c r="P145" i="19"/>
  <c r="P83" i="19"/>
  <c r="P153" i="19"/>
  <c r="P97" i="19"/>
  <c r="J19" i="16"/>
  <c r="P29" i="19"/>
  <c r="P157" i="19"/>
  <c r="Q84" i="19"/>
  <c r="P84" i="19"/>
  <c r="P23" i="18"/>
  <c r="P107" i="19"/>
  <c r="P171" i="19"/>
  <c r="P73" i="19"/>
  <c r="P108" i="19"/>
  <c r="O77" i="19"/>
  <c r="Q77" i="19" s="1"/>
  <c r="P131" i="19"/>
  <c r="P141" i="19"/>
  <c r="P191" i="19"/>
  <c r="P163" i="19"/>
  <c r="P65" i="19"/>
  <c r="P187" i="19"/>
  <c r="P170" i="19"/>
  <c r="P179" i="19"/>
  <c r="O190" i="19"/>
  <c r="Q190" i="19" s="1"/>
  <c r="O70" i="19"/>
  <c r="Q70" i="19" s="1"/>
  <c r="P123" i="19"/>
  <c r="D13" i="17"/>
  <c r="P96" i="19"/>
  <c r="Q96" i="19"/>
  <c r="P194" i="19"/>
  <c r="Q194" i="19"/>
  <c r="P158" i="19"/>
  <c r="Q158" i="19"/>
  <c r="Q178" i="19"/>
  <c r="P178" i="19"/>
  <c r="Q183" i="19"/>
  <c r="P183" i="19"/>
  <c r="P88" i="19"/>
  <c r="Q88" i="19"/>
  <c r="Q138" i="19"/>
  <c r="Q174" i="19"/>
  <c r="P99" i="19"/>
  <c r="Q154" i="19"/>
  <c r="P36" i="18"/>
  <c r="P74" i="19"/>
  <c r="P104" i="19"/>
  <c r="X32" i="18"/>
  <c r="P22" i="18"/>
  <c r="P25" i="18"/>
  <c r="P92" i="19"/>
  <c r="W30" i="18"/>
  <c r="Y30" i="18" s="1"/>
  <c r="X34" i="18"/>
  <c r="P57" i="19"/>
  <c r="P100" i="19"/>
  <c r="P135" i="19"/>
  <c r="P149" i="19"/>
  <c r="P61" i="19"/>
  <c r="X36" i="18"/>
  <c r="Q69" i="19"/>
  <c r="O35" i="18"/>
  <c r="Q35" i="18" s="1"/>
  <c r="Q182" i="19"/>
  <c r="P34" i="18"/>
  <c r="E63" i="17"/>
  <c r="J69" i="17" s="1"/>
  <c r="G71" i="17" s="1"/>
  <c r="W23" i="18"/>
  <c r="Y23" i="18" s="1"/>
  <c r="O24" i="19"/>
  <c r="Q24" i="19" s="1"/>
  <c r="P127" i="19"/>
  <c r="Q142" i="19"/>
  <c r="P19" i="19"/>
  <c r="P37" i="18"/>
  <c r="O58" i="19"/>
  <c r="Q58" i="19" s="1"/>
  <c r="P54" i="19"/>
  <c r="X25" i="18"/>
  <c r="O19" i="16"/>
  <c r="O20" i="16" s="1"/>
  <c r="W35" i="18"/>
  <c r="Y35" i="18" s="1"/>
  <c r="P87" i="19"/>
  <c r="P95" i="19"/>
  <c r="P119" i="19"/>
  <c r="Q150" i="19"/>
  <c r="O166" i="19"/>
  <c r="Q166" i="19" s="1"/>
  <c r="P186" i="19"/>
  <c r="P27" i="19"/>
  <c r="Q146" i="19"/>
  <c r="P30" i="18"/>
  <c r="O24" i="18"/>
  <c r="Q24" i="18" s="1"/>
  <c r="O32" i="18"/>
  <c r="Q32" i="18" s="1"/>
  <c r="O53" i="19"/>
  <c r="Q53" i="19" s="1"/>
  <c r="O81" i="19"/>
  <c r="Q81" i="19" s="1"/>
  <c r="P103" i="19"/>
  <c r="P137" i="19"/>
  <c r="BC19" i="1"/>
  <c r="D5" i="25"/>
  <c r="N17" i="25" s="1"/>
  <c r="P29" i="18"/>
  <c r="X24" i="18"/>
  <c r="X29" i="18"/>
  <c r="Q21" i="19"/>
  <c r="X22" i="18"/>
  <c r="O19" i="19"/>
  <c r="Q19" i="19" s="1"/>
  <c r="P111" i="19"/>
  <c r="E19" i="1"/>
  <c r="E6" i="13"/>
  <c r="E4" i="13"/>
  <c r="F4" i="13" s="1"/>
  <c r="B25" i="17"/>
  <c r="E31" i="17" s="1"/>
  <c r="H30" i="17" s="1"/>
  <c r="C14" i="17"/>
  <c r="E26" i="19"/>
  <c r="F28" i="19" s="1"/>
  <c r="E3" i="15"/>
  <c r="G3" i="15" s="1"/>
  <c r="N14" i="16"/>
  <c r="O14" i="16" s="1"/>
  <c r="O15" i="16" s="1"/>
  <c r="E4" i="15"/>
  <c r="G4" i="15" s="1"/>
  <c r="D11" i="18"/>
  <c r="H22" i="18" s="1"/>
  <c r="D13" i="18"/>
  <c r="E13" i="18" s="1"/>
  <c r="N15" i="16"/>
  <c r="G8" i="17"/>
  <c r="B12" i="17" s="1"/>
  <c r="D12" i="17" s="1"/>
  <c r="J8" i="17"/>
  <c r="D34" i="17" s="1"/>
  <c r="F33" i="17" s="1"/>
  <c r="D36" i="17" s="1"/>
  <c r="G5" i="15"/>
  <c r="P27" i="18"/>
  <c r="Q27" i="18"/>
  <c r="X27" i="18"/>
  <c r="Y27" i="18"/>
  <c r="F33" i="18"/>
  <c r="H33" i="18" s="1"/>
  <c r="F31" i="18"/>
  <c r="F34" i="18"/>
  <c r="F35" i="18"/>
  <c r="E10" i="18"/>
  <c r="F22" i="18"/>
  <c r="P28" i="18"/>
  <c r="Q28" i="18"/>
  <c r="E87" i="17"/>
  <c r="G87" i="17" s="1"/>
  <c r="E77" i="17"/>
  <c r="G77" i="17" s="1"/>
  <c r="E82" i="17" s="1"/>
  <c r="X26" i="18"/>
  <c r="Y26" i="18"/>
  <c r="X28" i="18"/>
  <c r="Y28" i="18"/>
  <c r="O138" i="18"/>
  <c r="Q138" i="18" s="1"/>
  <c r="O141" i="18"/>
  <c r="Q141" i="18" s="1"/>
  <c r="O143" i="18"/>
  <c r="Q143" i="18" s="1"/>
  <c r="O145" i="18"/>
  <c r="Q145" i="18" s="1"/>
  <c r="O147" i="18"/>
  <c r="Q147" i="18" s="1"/>
  <c r="O150" i="18"/>
  <c r="Q150" i="18" s="1"/>
  <c r="O152" i="18"/>
  <c r="Q152" i="18" s="1"/>
  <c r="W154" i="18"/>
  <c r="Y154" i="18" s="1"/>
  <c r="W158" i="18"/>
  <c r="Y158" i="18" s="1"/>
  <c r="W162" i="18"/>
  <c r="Y162" i="18" s="1"/>
  <c r="W166" i="18"/>
  <c r="Y166" i="18" s="1"/>
  <c r="W170" i="18"/>
  <c r="Y170" i="18" s="1"/>
  <c r="W174" i="18"/>
  <c r="Y174" i="18" s="1"/>
  <c r="W178" i="18"/>
  <c r="Y178" i="18" s="1"/>
  <c r="W180" i="18"/>
  <c r="Y180" i="18" s="1"/>
  <c r="W182" i="18"/>
  <c r="Y182" i="18" s="1"/>
  <c r="W184" i="18"/>
  <c r="Y184" i="18" s="1"/>
  <c r="W186" i="18"/>
  <c r="Y186" i="18" s="1"/>
  <c r="W190" i="18"/>
  <c r="Y190" i="18" s="1"/>
  <c r="W192" i="18"/>
  <c r="Y192" i="18" s="1"/>
  <c r="W194" i="18"/>
  <c r="Y194" i="18" s="1"/>
  <c r="O197" i="18"/>
  <c r="Q197" i="18" s="1"/>
  <c r="Q31" i="19"/>
  <c r="P31" i="19"/>
  <c r="D11" i="16"/>
  <c r="E11" i="16" s="1"/>
  <c r="D13" i="16"/>
  <c r="E13" i="16" s="1"/>
  <c r="D14" i="16"/>
  <c r="E14" i="16" s="1"/>
  <c r="I20" i="16"/>
  <c r="E73" i="17"/>
  <c r="O31" i="18"/>
  <c r="Q31" i="18" s="1"/>
  <c r="W31" i="18"/>
  <c r="Y31" i="18" s="1"/>
  <c r="O33" i="18"/>
  <c r="Q33" i="18" s="1"/>
  <c r="W33" i="18"/>
  <c r="Y33" i="18" s="1"/>
  <c r="X37" i="18"/>
  <c r="O38" i="18"/>
  <c r="Q38" i="18" s="1"/>
  <c r="W38" i="18"/>
  <c r="Y38" i="18" s="1"/>
  <c r="O39" i="18"/>
  <c r="Q39" i="18" s="1"/>
  <c r="W39" i="18"/>
  <c r="Y39" i="18" s="1"/>
  <c r="O40" i="18"/>
  <c r="Q40" i="18" s="1"/>
  <c r="W40" i="18"/>
  <c r="Y40" i="18" s="1"/>
  <c r="O41" i="18"/>
  <c r="Q41" i="18" s="1"/>
  <c r="W41" i="18"/>
  <c r="Y41" i="18" s="1"/>
  <c r="O42" i="18"/>
  <c r="Q42" i="18" s="1"/>
  <c r="W42" i="18"/>
  <c r="Y42" i="18" s="1"/>
  <c r="O43" i="18"/>
  <c r="Q43" i="18" s="1"/>
  <c r="W43" i="18"/>
  <c r="Y43" i="18" s="1"/>
  <c r="O44" i="18"/>
  <c r="Q44" i="18" s="1"/>
  <c r="W44" i="18"/>
  <c r="Y44" i="18" s="1"/>
  <c r="O45" i="18"/>
  <c r="Q45" i="18" s="1"/>
  <c r="W45" i="18"/>
  <c r="Y45" i="18" s="1"/>
  <c r="O46" i="18"/>
  <c r="Q46" i="18" s="1"/>
  <c r="W46" i="18"/>
  <c r="Y46" i="18" s="1"/>
  <c r="O47" i="18"/>
  <c r="Q47" i="18" s="1"/>
  <c r="W47" i="18"/>
  <c r="Y47" i="18" s="1"/>
  <c r="O48" i="18"/>
  <c r="Q48" i="18" s="1"/>
  <c r="W48" i="18"/>
  <c r="Y48" i="18" s="1"/>
  <c r="O49" i="18"/>
  <c r="Q49" i="18" s="1"/>
  <c r="W49" i="18"/>
  <c r="Y49" i="18" s="1"/>
  <c r="O50" i="18"/>
  <c r="Q50" i="18" s="1"/>
  <c r="W50" i="18"/>
  <c r="Y50" i="18" s="1"/>
  <c r="O51" i="18"/>
  <c r="Q51" i="18" s="1"/>
  <c r="W51" i="18"/>
  <c r="Y51" i="18" s="1"/>
  <c r="O52" i="18"/>
  <c r="Q52" i="18" s="1"/>
  <c r="W52" i="18"/>
  <c r="Y52" i="18" s="1"/>
  <c r="O53" i="18"/>
  <c r="Q53" i="18" s="1"/>
  <c r="W53" i="18"/>
  <c r="Y53" i="18" s="1"/>
  <c r="O54" i="18"/>
  <c r="Q54" i="18" s="1"/>
  <c r="W54" i="18"/>
  <c r="Y54" i="18" s="1"/>
  <c r="O55" i="18"/>
  <c r="Q55" i="18" s="1"/>
  <c r="W55" i="18"/>
  <c r="Y55" i="18" s="1"/>
  <c r="O56" i="18"/>
  <c r="Q56" i="18" s="1"/>
  <c r="W56" i="18"/>
  <c r="Y56" i="18" s="1"/>
  <c r="O57" i="18"/>
  <c r="Q57" i="18" s="1"/>
  <c r="W57" i="18"/>
  <c r="Y57" i="18" s="1"/>
  <c r="O58" i="18"/>
  <c r="Q58" i="18" s="1"/>
  <c r="W58" i="18"/>
  <c r="Y58" i="18" s="1"/>
  <c r="O59" i="18"/>
  <c r="Q59" i="18" s="1"/>
  <c r="W59" i="18"/>
  <c r="Y59" i="18" s="1"/>
  <c r="O60" i="18"/>
  <c r="Q60" i="18" s="1"/>
  <c r="W60" i="18"/>
  <c r="Y60" i="18" s="1"/>
  <c r="O61" i="18"/>
  <c r="Q61" i="18" s="1"/>
  <c r="W61" i="18"/>
  <c r="Y61" i="18" s="1"/>
  <c r="O62" i="18"/>
  <c r="Q62" i="18" s="1"/>
  <c r="W62" i="18"/>
  <c r="Y62" i="18" s="1"/>
  <c r="O63" i="18"/>
  <c r="Q63" i="18" s="1"/>
  <c r="W63" i="18"/>
  <c r="Y63" i="18" s="1"/>
  <c r="O64" i="18"/>
  <c r="Q64" i="18" s="1"/>
  <c r="W64" i="18"/>
  <c r="Y64" i="18" s="1"/>
  <c r="O65" i="18"/>
  <c r="Q65" i="18" s="1"/>
  <c r="W65" i="18"/>
  <c r="Y65" i="18" s="1"/>
  <c r="O66" i="18"/>
  <c r="Q66" i="18" s="1"/>
  <c r="W66" i="18"/>
  <c r="Y66" i="18" s="1"/>
  <c r="O67" i="18"/>
  <c r="Q67" i="18" s="1"/>
  <c r="W67" i="18"/>
  <c r="Y67" i="18" s="1"/>
  <c r="O68" i="18"/>
  <c r="Q68" i="18" s="1"/>
  <c r="W68" i="18"/>
  <c r="Y68" i="18" s="1"/>
  <c r="O69" i="18"/>
  <c r="Q69" i="18" s="1"/>
  <c r="W69" i="18"/>
  <c r="Y69" i="18" s="1"/>
  <c r="O70" i="18"/>
  <c r="Q70" i="18" s="1"/>
  <c r="W70" i="18"/>
  <c r="Y70" i="18" s="1"/>
  <c r="O71" i="18"/>
  <c r="Q71" i="18" s="1"/>
  <c r="W71" i="18"/>
  <c r="Y71" i="18" s="1"/>
  <c r="O72" i="18"/>
  <c r="Q72" i="18" s="1"/>
  <c r="W72" i="18"/>
  <c r="Y72" i="18" s="1"/>
  <c r="O73" i="18"/>
  <c r="Q73" i="18" s="1"/>
  <c r="W73" i="18"/>
  <c r="Y73" i="18" s="1"/>
  <c r="O74" i="18"/>
  <c r="Q74" i="18" s="1"/>
  <c r="W74" i="18"/>
  <c r="Y74" i="18" s="1"/>
  <c r="O75" i="18"/>
  <c r="Q75" i="18" s="1"/>
  <c r="W75" i="18"/>
  <c r="Y75" i="18" s="1"/>
  <c r="O76" i="18"/>
  <c r="Q76" i="18" s="1"/>
  <c r="W76" i="18"/>
  <c r="Y76" i="18" s="1"/>
  <c r="O77" i="18"/>
  <c r="Q77" i="18" s="1"/>
  <c r="W77" i="18"/>
  <c r="Y77" i="18" s="1"/>
  <c r="O78" i="18"/>
  <c r="Q78" i="18" s="1"/>
  <c r="W78" i="18"/>
  <c r="Y78" i="18" s="1"/>
  <c r="O79" i="18"/>
  <c r="Q79" i="18" s="1"/>
  <c r="W79" i="18"/>
  <c r="Y79" i="18" s="1"/>
  <c r="O80" i="18"/>
  <c r="Q80" i="18" s="1"/>
  <c r="W80" i="18"/>
  <c r="Y80" i="18" s="1"/>
  <c r="O81" i="18"/>
  <c r="Q81" i="18" s="1"/>
  <c r="W81" i="18"/>
  <c r="Y81" i="18" s="1"/>
  <c r="O82" i="18"/>
  <c r="Q82" i="18" s="1"/>
  <c r="W82" i="18"/>
  <c r="Y82" i="18" s="1"/>
  <c r="O83" i="18"/>
  <c r="Q83" i="18" s="1"/>
  <c r="W83" i="18"/>
  <c r="Y83" i="18" s="1"/>
  <c r="O84" i="18"/>
  <c r="Q84" i="18" s="1"/>
  <c r="W84" i="18"/>
  <c r="Y84" i="18" s="1"/>
  <c r="O85" i="18"/>
  <c r="Q85" i="18" s="1"/>
  <c r="W85" i="18"/>
  <c r="Y85" i="18" s="1"/>
  <c r="O86" i="18"/>
  <c r="Q86" i="18" s="1"/>
  <c r="W86" i="18"/>
  <c r="Y86" i="18" s="1"/>
  <c r="O87" i="18"/>
  <c r="Q87" i="18" s="1"/>
  <c r="W87" i="18"/>
  <c r="Y87" i="18" s="1"/>
  <c r="O88" i="18"/>
  <c r="Q88" i="18" s="1"/>
  <c r="W88" i="18"/>
  <c r="Y88" i="18" s="1"/>
  <c r="O89" i="18"/>
  <c r="Q89" i="18" s="1"/>
  <c r="W89" i="18"/>
  <c r="Y89" i="18" s="1"/>
  <c r="O90" i="18"/>
  <c r="Q90" i="18" s="1"/>
  <c r="W90" i="18"/>
  <c r="Y90" i="18" s="1"/>
  <c r="O91" i="18"/>
  <c r="Q91" i="18" s="1"/>
  <c r="W91" i="18"/>
  <c r="Y91" i="18" s="1"/>
  <c r="O92" i="18"/>
  <c r="Q92" i="18" s="1"/>
  <c r="W92" i="18"/>
  <c r="Y92" i="18" s="1"/>
  <c r="O93" i="18"/>
  <c r="Q93" i="18" s="1"/>
  <c r="W93" i="18"/>
  <c r="Y93" i="18" s="1"/>
  <c r="O94" i="18"/>
  <c r="Q94" i="18" s="1"/>
  <c r="W94" i="18"/>
  <c r="Y94" i="18" s="1"/>
  <c r="O95" i="18"/>
  <c r="Q95" i="18" s="1"/>
  <c r="W95" i="18"/>
  <c r="Y95" i="18" s="1"/>
  <c r="O96" i="18"/>
  <c r="Q96" i="18" s="1"/>
  <c r="W96" i="18"/>
  <c r="Y96" i="18" s="1"/>
  <c r="O97" i="18"/>
  <c r="Q97" i="18" s="1"/>
  <c r="W97" i="18"/>
  <c r="Y97" i="18" s="1"/>
  <c r="O98" i="18"/>
  <c r="Q98" i="18" s="1"/>
  <c r="W98" i="18"/>
  <c r="Y98" i="18" s="1"/>
  <c r="O99" i="18"/>
  <c r="Q99" i="18" s="1"/>
  <c r="W99" i="18"/>
  <c r="Y99" i="18" s="1"/>
  <c r="O100" i="18"/>
  <c r="Q100" i="18" s="1"/>
  <c r="W100" i="18"/>
  <c r="Y100" i="18" s="1"/>
  <c r="O101" i="18"/>
  <c r="Q101" i="18" s="1"/>
  <c r="W101" i="18"/>
  <c r="Y101" i="18" s="1"/>
  <c r="O102" i="18"/>
  <c r="Q102" i="18" s="1"/>
  <c r="W102" i="18"/>
  <c r="Y102" i="18" s="1"/>
  <c r="O103" i="18"/>
  <c r="Q103" i="18" s="1"/>
  <c r="W103" i="18"/>
  <c r="Y103" i="18" s="1"/>
  <c r="O104" i="18"/>
  <c r="Q104" i="18" s="1"/>
  <c r="W104" i="18"/>
  <c r="Y104" i="18" s="1"/>
  <c r="O105" i="18"/>
  <c r="Q105" i="18" s="1"/>
  <c r="W105" i="18"/>
  <c r="Y105" i="18" s="1"/>
  <c r="O106" i="18"/>
  <c r="Q106" i="18" s="1"/>
  <c r="W106" i="18"/>
  <c r="Y106" i="18" s="1"/>
  <c r="O107" i="18"/>
  <c r="Q107" i="18" s="1"/>
  <c r="W107" i="18"/>
  <c r="Y107" i="18" s="1"/>
  <c r="O108" i="18"/>
  <c r="Q108" i="18" s="1"/>
  <c r="W108" i="18"/>
  <c r="Y108" i="18" s="1"/>
  <c r="O109" i="18"/>
  <c r="Q109" i="18" s="1"/>
  <c r="W109" i="18"/>
  <c r="Y109" i="18" s="1"/>
  <c r="O110" i="18"/>
  <c r="Q110" i="18" s="1"/>
  <c r="W110" i="18"/>
  <c r="Y110" i="18" s="1"/>
  <c r="O111" i="18"/>
  <c r="Q111" i="18" s="1"/>
  <c r="W111" i="18"/>
  <c r="Y111" i="18" s="1"/>
  <c r="O112" i="18"/>
  <c r="Q112" i="18" s="1"/>
  <c r="W112" i="18"/>
  <c r="Y112" i="18" s="1"/>
  <c r="O113" i="18"/>
  <c r="Q113" i="18" s="1"/>
  <c r="W113" i="18"/>
  <c r="Y113" i="18" s="1"/>
  <c r="O114" i="18"/>
  <c r="Q114" i="18" s="1"/>
  <c r="W114" i="18"/>
  <c r="Y114" i="18" s="1"/>
  <c r="O115" i="18"/>
  <c r="Q115" i="18" s="1"/>
  <c r="W115" i="18"/>
  <c r="Y115" i="18" s="1"/>
  <c r="O116" i="18"/>
  <c r="Q116" i="18" s="1"/>
  <c r="W116" i="18"/>
  <c r="Y116" i="18" s="1"/>
  <c r="O117" i="18"/>
  <c r="Q117" i="18" s="1"/>
  <c r="W117" i="18"/>
  <c r="Y117" i="18" s="1"/>
  <c r="O118" i="18"/>
  <c r="Q118" i="18" s="1"/>
  <c r="W118" i="18"/>
  <c r="Y118" i="18" s="1"/>
  <c r="O119" i="18"/>
  <c r="Q119" i="18" s="1"/>
  <c r="W119" i="18"/>
  <c r="Y119" i="18" s="1"/>
  <c r="O120" i="18"/>
  <c r="Q120" i="18" s="1"/>
  <c r="W120" i="18"/>
  <c r="Y120" i="18" s="1"/>
  <c r="O121" i="18"/>
  <c r="Q121" i="18" s="1"/>
  <c r="W121" i="18"/>
  <c r="Y121" i="18" s="1"/>
  <c r="O122" i="18"/>
  <c r="Q122" i="18" s="1"/>
  <c r="W122" i="18"/>
  <c r="Y122" i="18" s="1"/>
  <c r="O123" i="18"/>
  <c r="Q123" i="18" s="1"/>
  <c r="W123" i="18"/>
  <c r="Y123" i="18" s="1"/>
  <c r="O124" i="18"/>
  <c r="Q124" i="18" s="1"/>
  <c r="W124" i="18"/>
  <c r="Y124" i="18" s="1"/>
  <c r="O125" i="18"/>
  <c r="Q125" i="18" s="1"/>
  <c r="W125" i="18"/>
  <c r="Y125" i="18" s="1"/>
  <c r="O126" i="18"/>
  <c r="Q126" i="18" s="1"/>
  <c r="W126" i="18"/>
  <c r="Y126" i="18" s="1"/>
  <c r="O127" i="18"/>
  <c r="Q127" i="18" s="1"/>
  <c r="W127" i="18"/>
  <c r="Y127" i="18" s="1"/>
  <c r="O128" i="18"/>
  <c r="Q128" i="18" s="1"/>
  <c r="W128" i="18"/>
  <c r="Y128" i="18" s="1"/>
  <c r="O129" i="18"/>
  <c r="Q129" i="18" s="1"/>
  <c r="W129" i="18"/>
  <c r="Y129" i="18" s="1"/>
  <c r="O130" i="18"/>
  <c r="Q130" i="18" s="1"/>
  <c r="W130" i="18"/>
  <c r="Y130" i="18" s="1"/>
  <c r="O131" i="18"/>
  <c r="Q131" i="18" s="1"/>
  <c r="W131" i="18"/>
  <c r="Y131" i="18" s="1"/>
  <c r="O132" i="18"/>
  <c r="Q132" i="18" s="1"/>
  <c r="W132" i="18"/>
  <c r="Y132" i="18" s="1"/>
  <c r="O133" i="18"/>
  <c r="Q133" i="18" s="1"/>
  <c r="W133" i="18"/>
  <c r="Y133" i="18" s="1"/>
  <c r="O134" i="18"/>
  <c r="Q134" i="18" s="1"/>
  <c r="W134" i="18"/>
  <c r="Y134" i="18" s="1"/>
  <c r="O135" i="18"/>
  <c r="Q135" i="18" s="1"/>
  <c r="O155" i="18"/>
  <c r="Q155" i="18" s="1"/>
  <c r="O157" i="18"/>
  <c r="Q157" i="18" s="1"/>
  <c r="O159" i="18"/>
  <c r="Q159" i="18" s="1"/>
  <c r="O161" i="18"/>
  <c r="Q161" i="18" s="1"/>
  <c r="O163" i="18"/>
  <c r="Q163" i="18" s="1"/>
  <c r="O165" i="18"/>
  <c r="Q165" i="18" s="1"/>
  <c r="O167" i="18"/>
  <c r="Q167" i="18" s="1"/>
  <c r="O169" i="18"/>
  <c r="Q169" i="18" s="1"/>
  <c r="O171" i="18"/>
  <c r="Q171" i="18" s="1"/>
  <c r="O173" i="18"/>
  <c r="Q173" i="18" s="1"/>
  <c r="O175" i="18"/>
  <c r="Q175" i="18" s="1"/>
  <c r="O177" i="18"/>
  <c r="Q177" i="18" s="1"/>
  <c r="O179" i="18"/>
  <c r="Q179" i="18" s="1"/>
  <c r="O181" i="18"/>
  <c r="Q181" i="18" s="1"/>
  <c r="O183" i="18"/>
  <c r="Q183" i="18" s="1"/>
  <c r="O185" i="18"/>
  <c r="Q185" i="18" s="1"/>
  <c r="O187" i="18"/>
  <c r="Q187" i="18" s="1"/>
  <c r="O189" i="18"/>
  <c r="Q189" i="18" s="1"/>
  <c r="O191" i="18"/>
  <c r="Q191" i="18" s="1"/>
  <c r="O193" i="18"/>
  <c r="Q193" i="18" s="1"/>
  <c r="O195" i="18"/>
  <c r="Q195" i="18" s="1"/>
  <c r="O198" i="18"/>
  <c r="Q198" i="18" s="1"/>
  <c r="V20" i="19"/>
  <c r="W19" i="19"/>
  <c r="Y19" i="19" s="1"/>
  <c r="P22" i="19"/>
  <c r="Q49" i="19"/>
  <c r="P49" i="19"/>
  <c r="Q62" i="19"/>
  <c r="P62" i="19"/>
  <c r="O137" i="18"/>
  <c r="Q137" i="18" s="1"/>
  <c r="O140" i="18"/>
  <c r="Q140" i="18" s="1"/>
  <c r="O142" i="18"/>
  <c r="Q142" i="18" s="1"/>
  <c r="O144" i="18"/>
  <c r="Q144" i="18" s="1"/>
  <c r="O146" i="18"/>
  <c r="Q146" i="18" s="1"/>
  <c r="O149" i="18"/>
  <c r="Q149" i="18" s="1"/>
  <c r="O151" i="18"/>
  <c r="Q151" i="18" s="1"/>
  <c r="O153" i="18"/>
  <c r="Q153" i="18" s="1"/>
  <c r="W156" i="18"/>
  <c r="Y156" i="18" s="1"/>
  <c r="W160" i="18"/>
  <c r="Y160" i="18" s="1"/>
  <c r="W164" i="18"/>
  <c r="Y164" i="18" s="1"/>
  <c r="W168" i="18"/>
  <c r="Y168" i="18" s="1"/>
  <c r="W172" i="18"/>
  <c r="Y172" i="18" s="1"/>
  <c r="W176" i="18"/>
  <c r="Y176" i="18" s="1"/>
  <c r="W188" i="18"/>
  <c r="Y188" i="18" s="1"/>
  <c r="I15" i="16"/>
  <c r="D12" i="18"/>
  <c r="D14" i="18"/>
  <c r="E14" i="18" s="1"/>
  <c r="O26" i="18"/>
  <c r="Q26" i="18" s="1"/>
  <c r="K35" i="18"/>
  <c r="W135" i="18"/>
  <c r="Y135" i="18" s="1"/>
  <c r="W136" i="18"/>
  <c r="Y136" i="18" s="1"/>
  <c r="W137" i="18"/>
  <c r="Y137" i="18" s="1"/>
  <c r="W138" i="18"/>
  <c r="Y138" i="18" s="1"/>
  <c r="W139" i="18"/>
  <c r="Y139" i="18" s="1"/>
  <c r="W140" i="18"/>
  <c r="Y140" i="18" s="1"/>
  <c r="W141" i="18"/>
  <c r="Y141" i="18" s="1"/>
  <c r="W142" i="18"/>
  <c r="Y142" i="18" s="1"/>
  <c r="W143" i="18"/>
  <c r="Y143" i="18" s="1"/>
  <c r="W144" i="18"/>
  <c r="Y144" i="18" s="1"/>
  <c r="W145" i="18"/>
  <c r="Y145" i="18" s="1"/>
  <c r="K34" i="18" s="1"/>
  <c r="W146" i="18"/>
  <c r="Y146" i="18" s="1"/>
  <c r="W147" i="18"/>
  <c r="Y147" i="18" s="1"/>
  <c r="W148" i="18"/>
  <c r="Y148" i="18" s="1"/>
  <c r="W149" i="18"/>
  <c r="Y149" i="18" s="1"/>
  <c r="W150" i="18"/>
  <c r="Y150" i="18" s="1"/>
  <c r="W151" i="18"/>
  <c r="Y151" i="18" s="1"/>
  <c r="W152" i="18"/>
  <c r="Y152" i="18" s="1"/>
  <c r="W153" i="18"/>
  <c r="Y153" i="18" s="1"/>
  <c r="W155" i="18"/>
  <c r="Y155" i="18" s="1"/>
  <c r="W157" i="18"/>
  <c r="Y157" i="18" s="1"/>
  <c r="W159" i="18"/>
  <c r="Y159" i="18" s="1"/>
  <c r="W161" i="18"/>
  <c r="Y161" i="18" s="1"/>
  <c r="W163" i="18"/>
  <c r="Y163" i="18" s="1"/>
  <c r="W165" i="18"/>
  <c r="Y165" i="18" s="1"/>
  <c r="W167" i="18"/>
  <c r="Y167" i="18" s="1"/>
  <c r="W169" i="18"/>
  <c r="Y169" i="18" s="1"/>
  <c r="W171" i="18"/>
  <c r="Y171" i="18" s="1"/>
  <c r="W173" i="18"/>
  <c r="Y173" i="18" s="1"/>
  <c r="W175" i="18"/>
  <c r="Y175" i="18" s="1"/>
  <c r="W177" i="18"/>
  <c r="Y177" i="18" s="1"/>
  <c r="W179" i="18"/>
  <c r="Y179" i="18" s="1"/>
  <c r="W181" i="18"/>
  <c r="Y181" i="18" s="1"/>
  <c r="W183" i="18"/>
  <c r="Y183" i="18" s="1"/>
  <c r="W185" i="18"/>
  <c r="Y185" i="18" s="1"/>
  <c r="W187" i="18"/>
  <c r="Y187" i="18" s="1"/>
  <c r="W189" i="18"/>
  <c r="Y189" i="18" s="1"/>
  <c r="W191" i="18"/>
  <c r="Y191" i="18" s="1"/>
  <c r="W193" i="18"/>
  <c r="Y193" i="18" s="1"/>
  <c r="W195" i="18"/>
  <c r="Y195" i="18" s="1"/>
  <c r="O199" i="18"/>
  <c r="Q199" i="18" s="1"/>
  <c r="E6" i="19"/>
  <c r="F19" i="19"/>
  <c r="Q25" i="19"/>
  <c r="P25" i="19"/>
  <c r="Q41" i="19"/>
  <c r="P41" i="19"/>
  <c r="O80" i="19"/>
  <c r="Q80" i="19" s="1"/>
  <c r="O136" i="18"/>
  <c r="Q136" i="18" s="1"/>
  <c r="O139" i="18"/>
  <c r="Q139" i="18" s="1"/>
  <c r="O148" i="18"/>
  <c r="Q148" i="18" s="1"/>
  <c r="O154" i="18"/>
  <c r="Q154" i="18" s="1"/>
  <c r="O156" i="18"/>
  <c r="Q156" i="18" s="1"/>
  <c r="O158" i="18"/>
  <c r="Q158" i="18" s="1"/>
  <c r="O160" i="18"/>
  <c r="Q160" i="18" s="1"/>
  <c r="O162" i="18"/>
  <c r="Q162" i="18" s="1"/>
  <c r="O164" i="18"/>
  <c r="Q164" i="18" s="1"/>
  <c r="O166" i="18"/>
  <c r="Q166" i="18" s="1"/>
  <c r="O168" i="18"/>
  <c r="Q168" i="18" s="1"/>
  <c r="O170" i="18"/>
  <c r="Q170" i="18" s="1"/>
  <c r="O172" i="18"/>
  <c r="Q172" i="18" s="1"/>
  <c r="O174" i="18"/>
  <c r="Q174" i="18" s="1"/>
  <c r="O176" i="18"/>
  <c r="Q176" i="18" s="1"/>
  <c r="O178" i="18"/>
  <c r="Q178" i="18" s="1"/>
  <c r="O180" i="18"/>
  <c r="Q180" i="18" s="1"/>
  <c r="O182" i="18"/>
  <c r="Q182" i="18" s="1"/>
  <c r="O184" i="18"/>
  <c r="Q184" i="18" s="1"/>
  <c r="O186" i="18"/>
  <c r="Q186" i="18" s="1"/>
  <c r="O188" i="18"/>
  <c r="Q188" i="18" s="1"/>
  <c r="O190" i="18"/>
  <c r="Q190" i="18" s="1"/>
  <c r="O192" i="18"/>
  <c r="Q192" i="18" s="1"/>
  <c r="O194" i="18"/>
  <c r="Q194" i="18" s="1"/>
  <c r="O196" i="18"/>
  <c r="Q196" i="18" s="1"/>
  <c r="O200" i="18"/>
  <c r="Q200" i="18" s="1"/>
  <c r="O20" i="19"/>
  <c r="Q20" i="19" s="1"/>
  <c r="Q33" i="19"/>
  <c r="P33" i="19"/>
  <c r="D8" i="19"/>
  <c r="D10" i="19"/>
  <c r="E10" i="19" s="1"/>
  <c r="P26" i="19"/>
  <c r="Q36" i="19"/>
  <c r="P36" i="19"/>
  <c r="O37" i="19"/>
  <c r="Q37" i="19" s="1"/>
  <c r="Q40" i="19"/>
  <c r="P40" i="19"/>
  <c r="O44" i="19"/>
  <c r="Q44" i="19" s="1"/>
  <c r="Q46" i="19"/>
  <c r="P46" i="19"/>
  <c r="O52" i="19"/>
  <c r="Q52" i="19" s="1"/>
  <c r="O64" i="19"/>
  <c r="Q64" i="19" s="1"/>
  <c r="Q101" i="19"/>
  <c r="P101" i="19"/>
  <c r="Q45" i="19"/>
  <c r="P45" i="19"/>
  <c r="O67" i="19"/>
  <c r="Q67" i="19" s="1"/>
  <c r="O93" i="19"/>
  <c r="Q93" i="19" s="1"/>
  <c r="O98" i="19"/>
  <c r="Q98" i="19" s="1"/>
  <c r="D7" i="19"/>
  <c r="D9" i="19"/>
  <c r="E9" i="19" s="1"/>
  <c r="P28" i="19"/>
  <c r="Q32" i="19"/>
  <c r="P32" i="19"/>
  <c r="Q42" i="19"/>
  <c r="P42" i="19"/>
  <c r="O48" i="19"/>
  <c r="Q48" i="19" s="1"/>
  <c r="P48" i="19"/>
  <c r="Q50" i="19"/>
  <c r="P50" i="19"/>
  <c r="Q78" i="19"/>
  <c r="P78" i="19"/>
  <c r="P55" i="19"/>
  <c r="O68" i="19"/>
  <c r="Q68" i="19" s="1"/>
  <c r="P71" i="19"/>
  <c r="O86" i="19"/>
  <c r="Q86" i="19" s="1"/>
  <c r="O109" i="19"/>
  <c r="Q109" i="19" s="1"/>
  <c r="O117" i="19"/>
  <c r="Q117" i="19" s="1"/>
  <c r="O125" i="19"/>
  <c r="Q125" i="19" s="1"/>
  <c r="O133" i="19"/>
  <c r="Q133" i="19" s="1"/>
  <c r="O139" i="19"/>
  <c r="Q139" i="19" s="1"/>
  <c r="O155" i="19"/>
  <c r="Q155" i="19" s="1"/>
  <c r="O34" i="19"/>
  <c r="Q34" i="19" s="1"/>
  <c r="O38" i="19"/>
  <c r="Q38" i="19" s="1"/>
  <c r="O56" i="19"/>
  <c r="Q56" i="19" s="1"/>
  <c r="P59" i="19"/>
  <c r="P66" i="19"/>
  <c r="O72" i="19"/>
  <c r="Q72" i="19" s="1"/>
  <c r="P75" i="19"/>
  <c r="P82" i="19"/>
  <c r="P89" i="19"/>
  <c r="O90" i="19"/>
  <c r="Q90" i="19" s="1"/>
  <c r="O102" i="19"/>
  <c r="Q102" i="19" s="1"/>
  <c r="O43" i="19"/>
  <c r="Q43" i="19" s="1"/>
  <c r="O47" i="19"/>
  <c r="Q47" i="19" s="1"/>
  <c r="O51" i="19"/>
  <c r="Q51" i="19" s="1"/>
  <c r="O60" i="19"/>
  <c r="Q60" i="19" s="1"/>
  <c r="P63" i="19"/>
  <c r="O76" i="19"/>
  <c r="Q76" i="19" s="1"/>
  <c r="P79" i="19"/>
  <c r="O94" i="19"/>
  <c r="Q94" i="19" s="1"/>
  <c r="O106" i="19"/>
  <c r="Q106" i="19" s="1"/>
  <c r="O113" i="19"/>
  <c r="Q113" i="19" s="1"/>
  <c r="O121" i="19"/>
  <c r="Q121" i="19" s="1"/>
  <c r="O129" i="19"/>
  <c r="Q129" i="19" s="1"/>
  <c r="O110" i="19"/>
  <c r="Q110" i="19" s="1"/>
  <c r="O114" i="19"/>
  <c r="Q114" i="19" s="1"/>
  <c r="O118" i="19"/>
  <c r="Q118" i="19" s="1"/>
  <c r="O122" i="19"/>
  <c r="Q122" i="19" s="1"/>
  <c r="O126" i="19"/>
  <c r="Q126" i="19" s="1"/>
  <c r="O130" i="19"/>
  <c r="Q130" i="19" s="1"/>
  <c r="O134" i="19"/>
  <c r="Q134" i="19" s="1"/>
  <c r="O143" i="19"/>
  <c r="Q143" i="19" s="1"/>
  <c r="P172" i="19"/>
  <c r="P112" i="19"/>
  <c r="P116" i="19"/>
  <c r="P120" i="19"/>
  <c r="P124" i="19"/>
  <c r="P128" i="19"/>
  <c r="P132" i="19"/>
  <c r="P136" i="19"/>
  <c r="O147" i="19"/>
  <c r="Q147" i="19" s="1"/>
  <c r="O151" i="19"/>
  <c r="Q151" i="19" s="1"/>
  <c r="O180" i="19"/>
  <c r="Q180" i="19" s="1"/>
  <c r="O181" i="19"/>
  <c r="Q181" i="19" s="1"/>
  <c r="O197" i="19"/>
  <c r="Q197" i="19" s="1"/>
  <c r="P160" i="19"/>
  <c r="O164" i="19"/>
  <c r="Q164" i="19" s="1"/>
  <c r="O165" i="19"/>
  <c r="Q165" i="19" s="1"/>
  <c r="Q167" i="19"/>
  <c r="P167" i="19"/>
  <c r="P175" i="19"/>
  <c r="P184" i="19"/>
  <c r="Q195" i="19"/>
  <c r="P195" i="19"/>
  <c r="O196" i="19"/>
  <c r="Q196" i="19" s="1"/>
  <c r="P140" i="19"/>
  <c r="P144" i="19"/>
  <c r="P148" i="19"/>
  <c r="P152" i="19"/>
  <c r="P156" i="19"/>
  <c r="P159" i="19"/>
  <c r="O161" i="19"/>
  <c r="Q161" i="19" s="1"/>
  <c r="P161" i="19"/>
  <c r="P162" i="19"/>
  <c r="P168" i="19"/>
  <c r="O169" i="19"/>
  <c r="Q169" i="19" s="1"/>
  <c r="O177" i="19"/>
  <c r="Q177" i="19" s="1"/>
  <c r="O193" i="19"/>
  <c r="Q193" i="19" s="1"/>
  <c r="O185" i="19"/>
  <c r="Q185" i="19" s="1"/>
  <c r="P188" i="19"/>
  <c r="O173" i="19"/>
  <c r="Q173" i="19" s="1"/>
  <c r="P176" i="19"/>
  <c r="O189" i="19"/>
  <c r="Q189" i="19" s="1"/>
  <c r="P192" i="19"/>
  <c r="I16" i="13"/>
  <c r="I10" i="13"/>
  <c r="I13" i="13"/>
  <c r="E3" i="13"/>
  <c r="F3" i="13" s="1"/>
  <c r="E7" i="13"/>
  <c r="F7" i="13" s="1"/>
  <c r="B11" i="13"/>
  <c r="I11" i="13"/>
  <c r="I12" i="13"/>
  <c r="J12" i="13" s="1"/>
  <c r="J17" i="13" s="1"/>
  <c r="L17" i="13" s="1"/>
  <c r="I14" i="13"/>
  <c r="E5" i="13"/>
  <c r="BA19" i="1"/>
  <c r="BB19" i="1" s="1"/>
  <c r="BD19" i="1" s="1"/>
  <c r="P141" i="18" l="1"/>
  <c r="X30" i="18"/>
  <c r="X153" i="18"/>
  <c r="P77" i="19"/>
  <c r="X149" i="18"/>
  <c r="I69" i="17"/>
  <c r="P186" i="18"/>
  <c r="X187" i="18"/>
  <c r="X165" i="18"/>
  <c r="P160" i="18"/>
  <c r="X143" i="18"/>
  <c r="P199" i="18"/>
  <c r="X152" i="18"/>
  <c r="X171" i="18"/>
  <c r="P32" i="18"/>
  <c r="P156" i="18"/>
  <c r="X151" i="18"/>
  <c r="X141" i="18"/>
  <c r="P53" i="19"/>
  <c r="X188" i="18"/>
  <c r="P176" i="18"/>
  <c r="P154" i="18"/>
  <c r="X167" i="18"/>
  <c r="X138" i="18"/>
  <c r="P172" i="18"/>
  <c r="P138" i="18"/>
  <c r="P133" i="19"/>
  <c r="X137" i="18"/>
  <c r="P192" i="18"/>
  <c r="P170" i="18"/>
  <c r="X183" i="18"/>
  <c r="X146" i="18"/>
  <c r="P118" i="19"/>
  <c r="P125" i="19"/>
  <c r="X136" i="18"/>
  <c r="P58" i="19"/>
  <c r="X181" i="18"/>
  <c r="X145" i="18"/>
  <c r="P153" i="18"/>
  <c r="P24" i="18"/>
  <c r="P114" i="19"/>
  <c r="P188" i="18"/>
  <c r="X155" i="18"/>
  <c r="X135" i="18"/>
  <c r="P24" i="19"/>
  <c r="P70" i="19"/>
  <c r="P173" i="19"/>
  <c r="X144" i="18"/>
  <c r="P151" i="18"/>
  <c r="B20" i="17"/>
  <c r="P190" i="19"/>
  <c r="P151" i="19"/>
  <c r="P130" i="19"/>
  <c r="P113" i="19"/>
  <c r="X164" i="18"/>
  <c r="P142" i="18"/>
  <c r="P106" i="19"/>
  <c r="X160" i="18"/>
  <c r="P94" i="19"/>
  <c r="X156" i="18"/>
  <c r="P137" i="18"/>
  <c r="N18" i="25"/>
  <c r="D17" i="25"/>
  <c r="L32" i="25"/>
  <c r="P20" i="19"/>
  <c r="P122" i="19"/>
  <c r="P109" i="19"/>
  <c r="P200" i="18"/>
  <c r="P182" i="18"/>
  <c r="P166" i="18"/>
  <c r="P139" i="18"/>
  <c r="X193" i="18"/>
  <c r="X177" i="18"/>
  <c r="X161" i="18"/>
  <c r="P72" i="19"/>
  <c r="X163" i="18"/>
  <c r="P64" i="19"/>
  <c r="X150" i="18"/>
  <c r="P56" i="19"/>
  <c r="P86" i="19"/>
  <c r="P196" i="18"/>
  <c r="P180" i="18"/>
  <c r="P164" i="18"/>
  <c r="P136" i="18"/>
  <c r="X191" i="18"/>
  <c r="X175" i="18"/>
  <c r="X159" i="18"/>
  <c r="X148" i="18"/>
  <c r="X140" i="18"/>
  <c r="P126" i="19"/>
  <c r="P81" i="19"/>
  <c r="P98" i="19"/>
  <c r="P194" i="18"/>
  <c r="P178" i="18"/>
  <c r="P162" i="18"/>
  <c r="P80" i="19"/>
  <c r="X189" i="18"/>
  <c r="X173" i="18"/>
  <c r="X157" i="18"/>
  <c r="X147" i="18"/>
  <c r="X139" i="18"/>
  <c r="P147" i="19"/>
  <c r="P148" i="18"/>
  <c r="X142" i="18"/>
  <c r="P60" i="19"/>
  <c r="P37" i="19"/>
  <c r="X176" i="18"/>
  <c r="P149" i="18"/>
  <c r="P184" i="18"/>
  <c r="P155" i="19"/>
  <c r="X195" i="18"/>
  <c r="P129" i="19"/>
  <c r="X172" i="18"/>
  <c r="P146" i="18"/>
  <c r="P35" i="18"/>
  <c r="X35" i="18"/>
  <c r="P140" i="18"/>
  <c r="P117" i="19"/>
  <c r="P139" i="19"/>
  <c r="P190" i="18"/>
  <c r="P174" i="18"/>
  <c r="P158" i="18"/>
  <c r="X185" i="18"/>
  <c r="X169" i="18"/>
  <c r="X23" i="18"/>
  <c r="P168" i="18"/>
  <c r="X179" i="18"/>
  <c r="P197" i="19"/>
  <c r="P110" i="19"/>
  <c r="P181" i="19"/>
  <c r="P143" i="19"/>
  <c r="P67" i="19"/>
  <c r="P180" i="19"/>
  <c r="P134" i="19"/>
  <c r="P121" i="19"/>
  <c r="X168" i="18"/>
  <c r="P144" i="18"/>
  <c r="P166" i="19"/>
  <c r="B26" i="17"/>
  <c r="I23" i="16"/>
  <c r="F31" i="19"/>
  <c r="K28" i="19"/>
  <c r="B14" i="17"/>
  <c r="D14" i="17" s="1"/>
  <c r="D19" i="17" s="1"/>
  <c r="E11" i="18"/>
  <c r="F30" i="19"/>
  <c r="N23" i="16"/>
  <c r="A2" i="15"/>
  <c r="J22" i="18"/>
  <c r="F26" i="18" s="1"/>
  <c r="P47" i="19"/>
  <c r="X130" i="18"/>
  <c r="X122" i="18"/>
  <c r="X114" i="18"/>
  <c r="X106" i="18"/>
  <c r="X98" i="18"/>
  <c r="X90" i="18"/>
  <c r="X82" i="18"/>
  <c r="X74" i="18"/>
  <c r="X66" i="18"/>
  <c r="X58" i="18"/>
  <c r="X50" i="18"/>
  <c r="X42" i="18"/>
  <c r="P130" i="18"/>
  <c r="P122" i="18"/>
  <c r="P114" i="18"/>
  <c r="P106" i="18"/>
  <c r="P98" i="18"/>
  <c r="P90" i="18"/>
  <c r="P82" i="18"/>
  <c r="P74" i="18"/>
  <c r="P66" i="18"/>
  <c r="P58" i="18"/>
  <c r="P50" i="18"/>
  <c r="P42" i="18"/>
  <c r="X127" i="18"/>
  <c r="X119" i="18"/>
  <c r="X111" i="18"/>
  <c r="X103" i="18"/>
  <c r="X95" i="18"/>
  <c r="X87" i="18"/>
  <c r="X79" i="18"/>
  <c r="X71" i="18"/>
  <c r="X63" i="18"/>
  <c r="X55" i="18"/>
  <c r="X47" i="18"/>
  <c r="X39" i="18"/>
  <c r="P133" i="18"/>
  <c r="P125" i="18"/>
  <c r="P117" i="18"/>
  <c r="P109" i="18"/>
  <c r="P101" i="18"/>
  <c r="P93" i="18"/>
  <c r="P85" i="18"/>
  <c r="P77" i="18"/>
  <c r="P69" i="18"/>
  <c r="P61" i="18"/>
  <c r="P53" i="18"/>
  <c r="P45" i="18"/>
  <c r="P33" i="18"/>
  <c r="P189" i="19"/>
  <c r="P193" i="19"/>
  <c r="P169" i="19"/>
  <c r="P196" i="19"/>
  <c r="P165" i="19"/>
  <c r="P90" i="19"/>
  <c r="P68" i="19"/>
  <c r="P43" i="19"/>
  <c r="P93" i="19"/>
  <c r="P52" i="19"/>
  <c r="P44" i="19"/>
  <c r="V21" i="19"/>
  <c r="Z20" i="19"/>
  <c r="W20" i="19" s="1"/>
  <c r="P198" i="18"/>
  <c r="P193" i="18"/>
  <c r="P189" i="18"/>
  <c r="P185" i="18"/>
  <c r="P181" i="18"/>
  <c r="P177" i="18"/>
  <c r="P173" i="18"/>
  <c r="P169" i="18"/>
  <c r="P165" i="18"/>
  <c r="P161" i="18"/>
  <c r="P157" i="18"/>
  <c r="F23" i="19"/>
  <c r="X194" i="18"/>
  <c r="X190" i="18"/>
  <c r="X184" i="18"/>
  <c r="X180" i="18"/>
  <c r="X174" i="18"/>
  <c r="X166" i="18"/>
  <c r="X158" i="18"/>
  <c r="P152" i="18"/>
  <c r="P147" i="18"/>
  <c r="P143" i="18"/>
  <c r="X128" i="18"/>
  <c r="X120" i="18"/>
  <c r="X112" i="18"/>
  <c r="X104" i="18"/>
  <c r="X96" i="18"/>
  <c r="X88" i="18"/>
  <c r="X80" i="18"/>
  <c r="X72" i="18"/>
  <c r="X64" i="18"/>
  <c r="X56" i="18"/>
  <c r="X48" i="18"/>
  <c r="X40" i="18"/>
  <c r="P128" i="18"/>
  <c r="P120" i="18"/>
  <c r="P112" i="18"/>
  <c r="P104" i="18"/>
  <c r="P96" i="18"/>
  <c r="P88" i="18"/>
  <c r="P80" i="18"/>
  <c r="P72" i="18"/>
  <c r="P64" i="18"/>
  <c r="P56" i="18"/>
  <c r="P48" i="18"/>
  <c r="P40" i="18"/>
  <c r="P26" i="18"/>
  <c r="X133" i="18"/>
  <c r="X125" i="18"/>
  <c r="X117" i="18"/>
  <c r="X109" i="18"/>
  <c r="X101" i="18"/>
  <c r="X93" i="18"/>
  <c r="X85" i="18"/>
  <c r="X77" i="18"/>
  <c r="X69" i="18"/>
  <c r="X61" i="18"/>
  <c r="X53" i="18"/>
  <c r="X45" i="18"/>
  <c r="X33" i="18"/>
  <c r="P131" i="18"/>
  <c r="P123" i="18"/>
  <c r="P115" i="18"/>
  <c r="P107" i="18"/>
  <c r="P99" i="18"/>
  <c r="P91" i="18"/>
  <c r="P83" i="18"/>
  <c r="P75" i="18"/>
  <c r="P67" i="18"/>
  <c r="P59" i="18"/>
  <c r="P51" i="18"/>
  <c r="P43" i="18"/>
  <c r="P31" i="18"/>
  <c r="P38" i="19"/>
  <c r="X134" i="18"/>
  <c r="X126" i="18"/>
  <c r="X118" i="18"/>
  <c r="X110" i="18"/>
  <c r="X102" i="18"/>
  <c r="X94" i="18"/>
  <c r="X86" i="18"/>
  <c r="X78" i="18"/>
  <c r="X70" i="18"/>
  <c r="X62" i="18"/>
  <c r="X54" i="18"/>
  <c r="X46" i="18"/>
  <c r="X38" i="18"/>
  <c r="P134" i="18"/>
  <c r="P126" i="18"/>
  <c r="P118" i="18"/>
  <c r="P110" i="18"/>
  <c r="P102" i="18"/>
  <c r="P94" i="18"/>
  <c r="P86" i="18"/>
  <c r="P78" i="18"/>
  <c r="P70" i="18"/>
  <c r="P62" i="18"/>
  <c r="P54" i="18"/>
  <c r="P46" i="18"/>
  <c r="P38" i="18"/>
  <c r="X131" i="18"/>
  <c r="X123" i="18"/>
  <c r="X115" i="18"/>
  <c r="X107" i="18"/>
  <c r="X99" i="18"/>
  <c r="X91" i="18"/>
  <c r="X83" i="18"/>
  <c r="X75" i="18"/>
  <c r="X67" i="18"/>
  <c r="X59" i="18"/>
  <c r="X51" i="18"/>
  <c r="X43" i="18"/>
  <c r="X31" i="18"/>
  <c r="D37" i="17"/>
  <c r="F36" i="17" s="1"/>
  <c r="D40" i="17"/>
  <c r="P129" i="18"/>
  <c r="P121" i="18"/>
  <c r="P113" i="18"/>
  <c r="P105" i="18"/>
  <c r="P97" i="18"/>
  <c r="P89" i="18"/>
  <c r="P81" i="18"/>
  <c r="P73" i="18"/>
  <c r="P65" i="18"/>
  <c r="P57" i="18"/>
  <c r="P49" i="18"/>
  <c r="P41" i="18"/>
  <c r="H19" i="19"/>
  <c r="J19" i="19" s="1"/>
  <c r="E7" i="19"/>
  <c r="E12" i="18"/>
  <c r="H26" i="18"/>
  <c r="X19" i="19"/>
  <c r="P185" i="19"/>
  <c r="P177" i="19"/>
  <c r="P164" i="19"/>
  <c r="P76" i="19"/>
  <c r="P102" i="19"/>
  <c r="P51" i="19"/>
  <c r="E8" i="19"/>
  <c r="H23" i="19"/>
  <c r="P195" i="18"/>
  <c r="P191" i="18"/>
  <c r="P187" i="18"/>
  <c r="P183" i="18"/>
  <c r="P179" i="18"/>
  <c r="P175" i="18"/>
  <c r="P171" i="18"/>
  <c r="P167" i="18"/>
  <c r="P163" i="18"/>
  <c r="P159" i="18"/>
  <c r="P155" i="18"/>
  <c r="P34" i="19"/>
  <c r="M28" i="19"/>
  <c r="H28" i="19"/>
  <c r="P197" i="18"/>
  <c r="X192" i="18"/>
  <c r="X186" i="18"/>
  <c r="X182" i="18"/>
  <c r="X178" i="18"/>
  <c r="X170" i="18"/>
  <c r="X162" i="18"/>
  <c r="X154" i="18"/>
  <c r="P150" i="18"/>
  <c r="P145" i="18"/>
  <c r="X132" i="18"/>
  <c r="X124" i="18"/>
  <c r="X116" i="18"/>
  <c r="X108" i="18"/>
  <c r="X100" i="18"/>
  <c r="X92" i="18"/>
  <c r="X84" i="18"/>
  <c r="X76" i="18"/>
  <c r="X68" i="18"/>
  <c r="X60" i="18"/>
  <c r="X52" i="18"/>
  <c r="X44" i="18"/>
  <c r="P132" i="18"/>
  <c r="P124" i="18"/>
  <c r="P116" i="18"/>
  <c r="P108" i="18"/>
  <c r="P100" i="18"/>
  <c r="P92" i="18"/>
  <c r="P84" i="18"/>
  <c r="P76" i="18"/>
  <c r="P68" i="18"/>
  <c r="P60" i="18"/>
  <c r="P52" i="18"/>
  <c r="P44" i="18"/>
  <c r="F32" i="18"/>
  <c r="H32" i="18" s="1"/>
  <c r="H31" i="18"/>
  <c r="X129" i="18"/>
  <c r="X121" i="18"/>
  <c r="X113" i="18"/>
  <c r="X105" i="18"/>
  <c r="X97" i="18"/>
  <c r="X89" i="18"/>
  <c r="X81" i="18"/>
  <c r="X73" i="18"/>
  <c r="X65" i="18"/>
  <c r="X57" i="18"/>
  <c r="X49" i="18"/>
  <c r="X41" i="18"/>
  <c r="P135" i="18"/>
  <c r="P127" i="18"/>
  <c r="P119" i="18"/>
  <c r="P111" i="18"/>
  <c r="P103" i="18"/>
  <c r="P95" i="18"/>
  <c r="P87" i="18"/>
  <c r="P79" i="18"/>
  <c r="P71" i="18"/>
  <c r="P63" i="18"/>
  <c r="P55" i="18"/>
  <c r="P47" i="18"/>
  <c r="P39" i="18"/>
  <c r="F5" i="13"/>
  <c r="H5" i="13" s="1"/>
  <c r="G22" i="13" s="1"/>
  <c r="E16" i="13"/>
  <c r="E13" i="13"/>
  <c r="E15" i="13"/>
  <c r="E10" i="13"/>
  <c r="E14" i="13"/>
  <c r="E12" i="13"/>
  <c r="E11" i="13"/>
  <c r="F11" i="13" s="1"/>
  <c r="B39" i="7"/>
  <c r="E39" i="7" s="1"/>
  <c r="F39" i="7" s="1"/>
  <c r="E37" i="7"/>
  <c r="F37" i="7" s="1"/>
  <c r="E36" i="7"/>
  <c r="F36" i="7" s="1"/>
  <c r="G30" i="7"/>
  <c r="I30" i="7" s="1"/>
  <c r="G29" i="7"/>
  <c r="G28" i="7"/>
  <c r="G27" i="7"/>
  <c r="G26" i="7"/>
  <c r="I26" i="7" s="1"/>
  <c r="E20" i="7"/>
  <c r="G20" i="7" s="1"/>
  <c r="E19" i="7"/>
  <c r="G19" i="7" s="1"/>
  <c r="L11" i="7"/>
  <c r="L10" i="7"/>
  <c r="L9" i="7"/>
  <c r="L8" i="7"/>
  <c r="L7" i="7"/>
  <c r="L6" i="7"/>
  <c r="L5" i="7"/>
  <c r="L4" i="7"/>
  <c r="L3" i="7"/>
  <c r="B5" i="6"/>
  <c r="B4" i="6"/>
  <c r="B2" i="6"/>
  <c r="B10" i="6" s="1"/>
  <c r="E7" i="5"/>
  <c r="E6" i="5"/>
  <c r="E5" i="5"/>
  <c r="E4" i="5"/>
  <c r="E2" i="5"/>
  <c r="A1" i="5"/>
  <c r="E3" i="5" s="1"/>
  <c r="N13" i="4"/>
  <c r="F8" i="4"/>
  <c r="F9" i="4" s="1"/>
  <c r="D7" i="4"/>
  <c r="N12" i="4" s="1"/>
  <c r="D3" i="4"/>
  <c r="T59" i="4" s="1"/>
  <c r="M69" i="4" s="1" a="1"/>
  <c r="M69" i="4" s="1"/>
  <c r="H13" i="1" s="1"/>
  <c r="D2" i="4"/>
  <c r="N14" i="4" s="1"/>
  <c r="R197" i="3"/>
  <c r="O197" i="3" s="1"/>
  <c r="Q197" i="3" s="1"/>
  <c r="R196" i="3"/>
  <c r="R195" i="3"/>
  <c r="O195" i="3" s="1"/>
  <c r="Q195" i="3" s="1"/>
  <c r="R194" i="3"/>
  <c r="R193" i="3"/>
  <c r="O193" i="3" s="1"/>
  <c r="P193" i="3" s="1"/>
  <c r="R192" i="3"/>
  <c r="R191" i="3"/>
  <c r="O191" i="3" s="1"/>
  <c r="Q191" i="3" s="1"/>
  <c r="R190" i="3"/>
  <c r="O190" i="3"/>
  <c r="Q190" i="3" s="1"/>
  <c r="R189" i="3"/>
  <c r="O189" i="3" s="1"/>
  <c r="Q189" i="3" s="1"/>
  <c r="R188" i="3"/>
  <c r="R187" i="3"/>
  <c r="O187" i="3" s="1"/>
  <c r="Q187" i="3" s="1"/>
  <c r="R186" i="3"/>
  <c r="O186" i="3" s="1"/>
  <c r="Q186" i="3" s="1"/>
  <c r="R185" i="3"/>
  <c r="O185" i="3" s="1"/>
  <c r="Q185" i="3" s="1"/>
  <c r="P185" i="3"/>
  <c r="R184" i="3"/>
  <c r="R183" i="3"/>
  <c r="O183" i="3" s="1"/>
  <c r="Q183" i="3" s="1"/>
  <c r="R182" i="3"/>
  <c r="O182" i="3" s="1"/>
  <c r="Q182" i="3" s="1"/>
  <c r="R181" i="3"/>
  <c r="R180" i="3"/>
  <c r="R179" i="3"/>
  <c r="R178" i="3"/>
  <c r="R177" i="3"/>
  <c r="R176" i="3"/>
  <c r="R175" i="3"/>
  <c r="O175" i="3" s="1"/>
  <c r="Q175" i="3" s="1"/>
  <c r="R174" i="3"/>
  <c r="O174" i="3" s="1"/>
  <c r="R173" i="3"/>
  <c r="R172" i="3"/>
  <c r="O172" i="3" s="1"/>
  <c r="Q172" i="3"/>
  <c r="R171" i="3"/>
  <c r="R170" i="3"/>
  <c r="R169" i="3"/>
  <c r="O169" i="3" s="1"/>
  <c r="R168" i="3"/>
  <c r="O168" i="3" s="1"/>
  <c r="R167" i="3"/>
  <c r="O167" i="3" s="1"/>
  <c r="Q167" i="3" s="1"/>
  <c r="R166" i="3"/>
  <c r="R165" i="3"/>
  <c r="O165" i="3" s="1"/>
  <c r="R164" i="3"/>
  <c r="O164" i="3" s="1"/>
  <c r="Q164" i="3" s="1"/>
  <c r="R163" i="3"/>
  <c r="O163" i="3" s="1"/>
  <c r="Q163" i="3" s="1"/>
  <c r="R162" i="3"/>
  <c r="R161" i="3"/>
  <c r="O161" i="3" s="1"/>
  <c r="P161" i="3" s="1"/>
  <c r="R160" i="3"/>
  <c r="O160" i="3" s="1"/>
  <c r="Q160" i="3" s="1"/>
  <c r="R159" i="3"/>
  <c r="O159" i="3" s="1"/>
  <c r="Q159" i="3" s="1"/>
  <c r="R158" i="3"/>
  <c r="R157" i="3"/>
  <c r="O157" i="3" s="1"/>
  <c r="R156" i="3"/>
  <c r="O156" i="3" s="1"/>
  <c r="Q156" i="3" s="1"/>
  <c r="P156" i="3"/>
  <c r="R155" i="3"/>
  <c r="O155" i="3" s="1"/>
  <c r="Q155" i="3" s="1"/>
  <c r="R154" i="3"/>
  <c r="R153" i="3"/>
  <c r="O153" i="3"/>
  <c r="P153" i="3" s="1"/>
  <c r="R152" i="3"/>
  <c r="O152" i="3" s="1"/>
  <c r="Q152" i="3" s="1"/>
  <c r="R151" i="3"/>
  <c r="O151" i="3" s="1"/>
  <c r="Q151" i="3" s="1"/>
  <c r="R150" i="3"/>
  <c r="R149" i="3"/>
  <c r="R148" i="3"/>
  <c r="O148" i="3" s="1"/>
  <c r="Q148" i="3" s="1"/>
  <c r="R147" i="3"/>
  <c r="O147" i="3" s="1"/>
  <c r="Q147" i="3" s="1"/>
  <c r="R146" i="3"/>
  <c r="R145" i="3"/>
  <c r="O145" i="3" s="1"/>
  <c r="R144" i="3"/>
  <c r="O144" i="3" s="1"/>
  <c r="Q144" i="3" s="1"/>
  <c r="R143" i="3"/>
  <c r="O143" i="3" s="1"/>
  <c r="P143" i="3" s="1"/>
  <c r="R142" i="3"/>
  <c r="R141" i="3"/>
  <c r="O141" i="3"/>
  <c r="Q141" i="3" s="1"/>
  <c r="R140" i="3"/>
  <c r="R139" i="3"/>
  <c r="O139" i="3" s="1"/>
  <c r="R138" i="3"/>
  <c r="R137" i="3"/>
  <c r="O137" i="3" s="1"/>
  <c r="Q137" i="3" s="1"/>
  <c r="R136" i="3"/>
  <c r="O136" i="3" s="1"/>
  <c r="Q136" i="3" s="1"/>
  <c r="P136" i="3"/>
  <c r="R135" i="3"/>
  <c r="O135" i="3" s="1"/>
  <c r="P135" i="3" s="1"/>
  <c r="R134" i="3"/>
  <c r="R133" i="3"/>
  <c r="O133" i="3" s="1"/>
  <c r="Q133" i="3" s="1"/>
  <c r="R132" i="3"/>
  <c r="O132" i="3" s="1"/>
  <c r="Q132" i="3" s="1"/>
  <c r="R131" i="3"/>
  <c r="O131" i="3" s="1"/>
  <c r="R130" i="3"/>
  <c r="O130" i="3" s="1"/>
  <c r="Q130" i="3" s="1"/>
  <c r="R129" i="3"/>
  <c r="O129" i="3" s="1"/>
  <c r="Q129" i="3" s="1"/>
  <c r="R128" i="3"/>
  <c r="O128" i="3" s="1"/>
  <c r="Q128" i="3" s="1"/>
  <c r="P128" i="3"/>
  <c r="R127" i="3"/>
  <c r="R126" i="3"/>
  <c r="O126" i="3" s="1"/>
  <c r="Q126" i="3" s="1"/>
  <c r="R125" i="3"/>
  <c r="R124" i="3"/>
  <c r="O124" i="3" s="1"/>
  <c r="Q124" i="3" s="1"/>
  <c r="R123" i="3"/>
  <c r="R122" i="3"/>
  <c r="O122" i="3" s="1"/>
  <c r="Q122" i="3" s="1"/>
  <c r="R121" i="3"/>
  <c r="R120" i="3"/>
  <c r="R119" i="3"/>
  <c r="R118" i="3"/>
  <c r="O118" i="3" s="1"/>
  <c r="R117" i="3"/>
  <c r="R116" i="3"/>
  <c r="R115" i="3"/>
  <c r="O115" i="3" s="1"/>
  <c r="Q115" i="3" s="1"/>
  <c r="R114" i="3"/>
  <c r="O114" i="3" s="1"/>
  <c r="R113" i="3"/>
  <c r="R112" i="3"/>
  <c r="R111" i="3"/>
  <c r="O111" i="3" s="1"/>
  <c r="Q111" i="3" s="1"/>
  <c r="R110" i="3"/>
  <c r="O110" i="3" s="1"/>
  <c r="Q110" i="3" s="1"/>
  <c r="R109" i="3"/>
  <c r="R108" i="3"/>
  <c r="R107" i="3"/>
  <c r="R106" i="3"/>
  <c r="O106" i="3" s="1"/>
  <c r="R105" i="3"/>
  <c r="O105" i="3" s="1"/>
  <c r="Q105" i="3" s="1"/>
  <c r="R104" i="3"/>
  <c r="R103" i="3"/>
  <c r="O103" i="3" s="1"/>
  <c r="Q103" i="3" s="1"/>
  <c r="R102" i="3"/>
  <c r="R101" i="3"/>
  <c r="O101" i="3" s="1"/>
  <c r="Q101" i="3" s="1"/>
  <c r="R100" i="3"/>
  <c r="R99" i="3"/>
  <c r="O99" i="3" s="1"/>
  <c r="Q99" i="3" s="1"/>
  <c r="R98" i="3"/>
  <c r="O98" i="3" s="1"/>
  <c r="Q98" i="3" s="1"/>
  <c r="R97" i="3"/>
  <c r="R96" i="3"/>
  <c r="R95" i="3"/>
  <c r="R94" i="3"/>
  <c r="O94" i="3" s="1"/>
  <c r="Q94" i="3" s="1"/>
  <c r="R93" i="3"/>
  <c r="O93" i="3" s="1"/>
  <c r="Q93" i="3" s="1"/>
  <c r="R92" i="3"/>
  <c r="O92" i="3" s="1"/>
  <c r="Q92" i="3" s="1"/>
  <c r="R91" i="3"/>
  <c r="R90" i="3"/>
  <c r="O90" i="3" s="1"/>
  <c r="Q90" i="3" s="1"/>
  <c r="R89" i="3"/>
  <c r="R88" i="3"/>
  <c r="O88" i="3" s="1"/>
  <c r="Q88" i="3" s="1"/>
  <c r="R87" i="3"/>
  <c r="R86" i="3"/>
  <c r="R85" i="3"/>
  <c r="O85" i="3" s="1"/>
  <c r="R84" i="3"/>
  <c r="O84" i="3" s="1"/>
  <c r="Q84" i="3" s="1"/>
  <c r="R83" i="3"/>
  <c r="R82" i="3"/>
  <c r="O82" i="3" s="1"/>
  <c r="Q82" i="3" s="1"/>
  <c r="R81" i="3"/>
  <c r="R80" i="3"/>
  <c r="O80" i="3" s="1"/>
  <c r="Q80" i="3" s="1"/>
  <c r="R79" i="3"/>
  <c r="R78" i="3"/>
  <c r="O78" i="3" s="1"/>
  <c r="Q78" i="3" s="1"/>
  <c r="P78" i="3"/>
  <c r="R77" i="3"/>
  <c r="R76" i="3"/>
  <c r="O76" i="3" s="1"/>
  <c r="Q76" i="3" s="1"/>
  <c r="R75" i="3"/>
  <c r="R74" i="3"/>
  <c r="O74" i="3" s="1"/>
  <c r="Q74" i="3" s="1"/>
  <c r="R73" i="3"/>
  <c r="R72" i="3"/>
  <c r="O72" i="3" s="1"/>
  <c r="Q72" i="3" s="1"/>
  <c r="R71" i="3"/>
  <c r="R70" i="3"/>
  <c r="R69" i="3"/>
  <c r="R68" i="3"/>
  <c r="O68" i="3" s="1"/>
  <c r="Q68" i="3" s="1"/>
  <c r="R67" i="3"/>
  <c r="R66" i="3"/>
  <c r="O66" i="3" s="1"/>
  <c r="Q66" i="3" s="1"/>
  <c r="R65" i="3"/>
  <c r="R64" i="3"/>
  <c r="O64" i="3" s="1"/>
  <c r="Q64" i="3" s="1"/>
  <c r="R63" i="3"/>
  <c r="R62" i="3"/>
  <c r="O62" i="3" s="1"/>
  <c r="Q62" i="3" s="1"/>
  <c r="P62" i="3"/>
  <c r="R61" i="3"/>
  <c r="O61" i="3" s="1"/>
  <c r="Q61" i="3" s="1"/>
  <c r="R60" i="3"/>
  <c r="O60" i="3" s="1"/>
  <c r="Q60" i="3" s="1"/>
  <c r="R59" i="3"/>
  <c r="R58" i="3"/>
  <c r="O58" i="3" s="1"/>
  <c r="Q58" i="3" s="1"/>
  <c r="R57" i="3"/>
  <c r="R56" i="3"/>
  <c r="O56" i="3" s="1"/>
  <c r="Q56" i="3" s="1"/>
  <c r="R55" i="3"/>
  <c r="R54" i="3"/>
  <c r="R53" i="3"/>
  <c r="O53" i="3" s="1"/>
  <c r="Q53" i="3" s="1"/>
  <c r="R52" i="3"/>
  <c r="O52" i="3" s="1"/>
  <c r="Q52" i="3" s="1"/>
  <c r="R51" i="3"/>
  <c r="R50" i="3"/>
  <c r="O50" i="3" s="1"/>
  <c r="Q50" i="3" s="1"/>
  <c r="R49" i="3"/>
  <c r="R48" i="3"/>
  <c r="O48" i="3" s="1"/>
  <c r="Q48" i="3" s="1"/>
  <c r="R47" i="3"/>
  <c r="O47" i="3" s="1"/>
  <c r="Q47" i="3" s="1"/>
  <c r="R46" i="3"/>
  <c r="R45" i="3"/>
  <c r="O45" i="3" s="1"/>
  <c r="Q45" i="3" s="1"/>
  <c r="R44" i="3"/>
  <c r="R43" i="3"/>
  <c r="O43" i="3" s="1"/>
  <c r="Q43" i="3" s="1"/>
  <c r="R42" i="3"/>
  <c r="R41" i="3"/>
  <c r="R40" i="3"/>
  <c r="O40" i="3" s="1"/>
  <c r="Q40" i="3" s="1"/>
  <c r="R39" i="3"/>
  <c r="O39" i="3"/>
  <c r="Q39" i="3" s="1"/>
  <c r="R38" i="3"/>
  <c r="R37" i="3"/>
  <c r="O37" i="3" s="1"/>
  <c r="Q37" i="3" s="1"/>
  <c r="R36" i="3"/>
  <c r="O36" i="3" s="1"/>
  <c r="R35" i="3"/>
  <c r="O35" i="3" s="1"/>
  <c r="Q35" i="3" s="1"/>
  <c r="R34" i="3"/>
  <c r="R33" i="3"/>
  <c r="R32" i="3"/>
  <c r="O32" i="3" s="1"/>
  <c r="Q32" i="3" s="1"/>
  <c r="R31" i="3"/>
  <c r="O31" i="3" s="1"/>
  <c r="R30" i="3"/>
  <c r="O30" i="3"/>
  <c r="Q30" i="3" s="1"/>
  <c r="R29" i="3"/>
  <c r="H29" i="3"/>
  <c r="R28" i="3"/>
  <c r="R27" i="3"/>
  <c r="R26" i="3"/>
  <c r="R25" i="3"/>
  <c r="O25" i="3" s="1"/>
  <c r="Q25" i="3" s="1"/>
  <c r="R24" i="3"/>
  <c r="O24" i="3" s="1"/>
  <c r="Q24" i="3" s="1"/>
  <c r="R23" i="3"/>
  <c r="O23" i="3" s="1"/>
  <c r="Q23" i="3" s="1"/>
  <c r="R22" i="3"/>
  <c r="R21" i="3"/>
  <c r="R20" i="3"/>
  <c r="V19" i="3"/>
  <c r="R19" i="3"/>
  <c r="O19" i="3"/>
  <c r="Q19" i="3" s="1"/>
  <c r="C4" i="3"/>
  <c r="C2" i="3"/>
  <c r="C1" i="3"/>
  <c r="D10" i="3" s="1"/>
  <c r="E10" i="3" s="1"/>
  <c r="AJ264" i="2"/>
  <c r="Z264" i="2"/>
  <c r="W264" i="2" s="1"/>
  <c r="Y264" i="2" s="1"/>
  <c r="AJ263" i="2"/>
  <c r="Z263" i="2"/>
  <c r="AJ262" i="2"/>
  <c r="Z262" i="2"/>
  <c r="AJ261" i="2"/>
  <c r="Z261" i="2"/>
  <c r="W261" i="2" s="1"/>
  <c r="Y261" i="2" s="1"/>
  <c r="AJ260" i="2"/>
  <c r="Z260" i="2"/>
  <c r="W260" i="2"/>
  <c r="AJ259" i="2"/>
  <c r="Z259" i="2"/>
  <c r="W259" i="2"/>
  <c r="Y259" i="2" s="1"/>
  <c r="AJ258" i="2"/>
  <c r="Z258" i="2"/>
  <c r="AJ257" i="2"/>
  <c r="Z257" i="2"/>
  <c r="W257" i="2" s="1"/>
  <c r="Y257" i="2" s="1"/>
  <c r="AJ256" i="2"/>
  <c r="Z256" i="2"/>
  <c r="W256" i="2"/>
  <c r="Y256" i="2" s="1"/>
  <c r="AJ255" i="2"/>
  <c r="Z255" i="2"/>
  <c r="W255" i="2" s="1"/>
  <c r="AJ254" i="2"/>
  <c r="Z254" i="2"/>
  <c r="W254" i="2" s="1"/>
  <c r="Y254" i="2"/>
  <c r="AJ253" i="2"/>
  <c r="Z253" i="2"/>
  <c r="W253" i="2" s="1"/>
  <c r="Y253" i="2" s="1"/>
  <c r="AJ252" i="2"/>
  <c r="Z252" i="2"/>
  <c r="W252" i="2" s="1"/>
  <c r="AJ251" i="2"/>
  <c r="Z251" i="2"/>
  <c r="W251" i="2" s="1"/>
  <c r="Y251" i="2" s="1"/>
  <c r="AJ250" i="2"/>
  <c r="Z250" i="2"/>
  <c r="W250" i="2" s="1"/>
  <c r="Y250" i="2" s="1"/>
  <c r="AJ249" i="2"/>
  <c r="Z249" i="2"/>
  <c r="AJ248" i="2"/>
  <c r="Z248" i="2"/>
  <c r="W248" i="2" s="1"/>
  <c r="Y248" i="2" s="1"/>
  <c r="AJ247" i="2"/>
  <c r="Z247" i="2"/>
  <c r="W247" i="2"/>
  <c r="Y247" i="2" s="1"/>
  <c r="AJ246" i="2"/>
  <c r="Z246" i="2"/>
  <c r="AJ245" i="2"/>
  <c r="Z245" i="2"/>
  <c r="AJ244" i="2"/>
  <c r="Z244" i="2"/>
  <c r="AJ243" i="2"/>
  <c r="Z243" i="2"/>
  <c r="W243" i="2" s="1"/>
  <c r="Y243" i="2" s="1"/>
  <c r="AJ242" i="2"/>
  <c r="Z242" i="2"/>
  <c r="W242" i="2" s="1"/>
  <c r="Y242" i="2" s="1"/>
  <c r="AJ241" i="2"/>
  <c r="Z241" i="2"/>
  <c r="W241" i="2" s="1"/>
  <c r="Y241" i="2" s="1"/>
  <c r="AJ240" i="2"/>
  <c r="Z240" i="2"/>
  <c r="AJ239" i="2"/>
  <c r="Z239" i="2"/>
  <c r="W239" i="2"/>
  <c r="AJ238" i="2"/>
  <c r="Z238" i="2"/>
  <c r="W238" i="2" s="1"/>
  <c r="Y238" i="2" s="1"/>
  <c r="AJ237" i="2"/>
  <c r="Z237" i="2"/>
  <c r="W237" i="2" s="1"/>
  <c r="Y237" i="2" s="1"/>
  <c r="AJ236" i="2"/>
  <c r="Z236" i="2"/>
  <c r="W236" i="2" s="1"/>
  <c r="AJ235" i="2"/>
  <c r="Z235" i="2"/>
  <c r="AJ234" i="2"/>
  <c r="Z234" i="2"/>
  <c r="W234" i="2" s="1"/>
  <c r="Y234" i="2" s="1"/>
  <c r="AJ233" i="2"/>
  <c r="Z233" i="2"/>
  <c r="AJ232" i="2"/>
  <c r="Z232" i="2"/>
  <c r="W232" i="2" s="1"/>
  <c r="Y232" i="2" s="1"/>
  <c r="AJ231" i="2"/>
  <c r="Z231" i="2"/>
  <c r="W231" i="2" s="1"/>
  <c r="Y231" i="2" s="1"/>
  <c r="AJ230" i="2"/>
  <c r="Z230" i="2"/>
  <c r="AJ229" i="2"/>
  <c r="Z229" i="2"/>
  <c r="R229" i="2"/>
  <c r="AJ228" i="2"/>
  <c r="Z228" i="2"/>
  <c r="W228" i="2" s="1"/>
  <c r="Y228" i="2" s="1"/>
  <c r="R228" i="2"/>
  <c r="O228" i="2" s="1"/>
  <c r="AJ227" i="2"/>
  <c r="Z227" i="2"/>
  <c r="R227" i="2"/>
  <c r="O227" i="2" s="1"/>
  <c r="Q227" i="2" s="1"/>
  <c r="AJ226" i="2"/>
  <c r="Z226" i="2"/>
  <c r="W226" i="2" s="1"/>
  <c r="Y226" i="2"/>
  <c r="R226" i="2"/>
  <c r="O226" i="2" s="1"/>
  <c r="Q226" i="2" s="1"/>
  <c r="P226" i="2"/>
  <c r="AJ225" i="2"/>
  <c r="Z225" i="2"/>
  <c r="W225" i="2"/>
  <c r="Y225" i="2" s="1"/>
  <c r="R225" i="2"/>
  <c r="O225" i="2" s="1"/>
  <c r="Q225" i="2" s="1"/>
  <c r="AJ224" i="2"/>
  <c r="Z224" i="2"/>
  <c r="W224" i="2" s="1"/>
  <c r="Y224" i="2" s="1"/>
  <c r="R224" i="2"/>
  <c r="AJ223" i="2"/>
  <c r="Z223" i="2"/>
  <c r="W223" i="2" s="1"/>
  <c r="Y223" i="2" s="1"/>
  <c r="R223" i="2"/>
  <c r="O223" i="2" s="1"/>
  <c r="Q223" i="2" s="1"/>
  <c r="AJ222" i="2"/>
  <c r="Z222" i="2"/>
  <c r="W222" i="2" s="1"/>
  <c r="Y222" i="2" s="1"/>
  <c r="R222" i="2"/>
  <c r="AJ221" i="2"/>
  <c r="Z221" i="2"/>
  <c r="R221" i="2"/>
  <c r="AJ220" i="2"/>
  <c r="Z220" i="2"/>
  <c r="W220" i="2" s="1"/>
  <c r="Y220" i="2" s="1"/>
  <c r="R220" i="2"/>
  <c r="O220" i="2" s="1"/>
  <c r="AJ219" i="2"/>
  <c r="Z219" i="2"/>
  <c r="W219" i="2" s="1"/>
  <c r="R219" i="2"/>
  <c r="O219" i="2" s="1"/>
  <c r="Q219" i="2" s="1"/>
  <c r="AJ218" i="2"/>
  <c r="Z218" i="2"/>
  <c r="W218" i="2" s="1"/>
  <c r="Y218" i="2" s="1"/>
  <c r="R218" i="2"/>
  <c r="O218" i="2" s="1"/>
  <c r="Q218" i="2" s="1"/>
  <c r="AJ217" i="2"/>
  <c r="Z217" i="2"/>
  <c r="W217" i="2" s="1"/>
  <c r="Y217" i="2" s="1"/>
  <c r="R217" i="2"/>
  <c r="O217" i="2" s="1"/>
  <c r="Q217" i="2" s="1"/>
  <c r="AJ216" i="2"/>
  <c r="Z216" i="2"/>
  <c r="W216" i="2" s="1"/>
  <c r="Y216" i="2" s="1"/>
  <c r="R216" i="2"/>
  <c r="AJ215" i="2"/>
  <c r="Z215" i="2"/>
  <c r="W215" i="2" s="1"/>
  <c r="Y215" i="2" s="1"/>
  <c r="R215" i="2"/>
  <c r="O215" i="2" s="1"/>
  <c r="Q215" i="2" s="1"/>
  <c r="AJ214" i="2"/>
  <c r="Z214" i="2"/>
  <c r="W214" i="2" s="1"/>
  <c r="Y214" i="2" s="1"/>
  <c r="R214" i="2"/>
  <c r="AJ213" i="2"/>
  <c r="Z213" i="2"/>
  <c r="R213" i="2"/>
  <c r="AJ212" i="2"/>
  <c r="Z212" i="2"/>
  <c r="W212" i="2" s="1"/>
  <c r="Y212" i="2" s="1"/>
  <c r="R212" i="2"/>
  <c r="O212" i="2" s="1"/>
  <c r="AJ211" i="2"/>
  <c r="Z211" i="2"/>
  <c r="R211" i="2"/>
  <c r="O211" i="2" s="1"/>
  <c r="Q211" i="2" s="1"/>
  <c r="AJ210" i="2"/>
  <c r="Z210" i="2"/>
  <c r="W210" i="2" s="1"/>
  <c r="Y210" i="2" s="1"/>
  <c r="R210" i="2"/>
  <c r="O210" i="2" s="1"/>
  <c r="Q210" i="2" s="1"/>
  <c r="P210" i="2"/>
  <c r="AJ209" i="2"/>
  <c r="Z209" i="2"/>
  <c r="W209" i="2" s="1"/>
  <c r="Y209" i="2" s="1"/>
  <c r="R209" i="2"/>
  <c r="O209" i="2"/>
  <c r="Q209" i="2" s="1"/>
  <c r="AJ208" i="2"/>
  <c r="Z208" i="2"/>
  <c r="W208" i="2" s="1"/>
  <c r="Y208" i="2" s="1"/>
  <c r="R208" i="2"/>
  <c r="AJ207" i="2"/>
  <c r="Z207" i="2"/>
  <c r="W207" i="2" s="1"/>
  <c r="Y207" i="2" s="1"/>
  <c r="R207" i="2"/>
  <c r="O207" i="2" s="1"/>
  <c r="Q207" i="2" s="1"/>
  <c r="AJ206" i="2"/>
  <c r="Z206" i="2"/>
  <c r="W206" i="2" s="1"/>
  <c r="Y206" i="2" s="1"/>
  <c r="R206" i="2"/>
  <c r="AJ205" i="2"/>
  <c r="Z205" i="2"/>
  <c r="R205" i="2"/>
  <c r="AJ204" i="2"/>
  <c r="Z204" i="2"/>
  <c r="W204" i="2" s="1"/>
  <c r="Y204" i="2" s="1"/>
  <c r="R204" i="2"/>
  <c r="O204" i="2" s="1"/>
  <c r="AJ203" i="2"/>
  <c r="Z203" i="2"/>
  <c r="W203" i="2" s="1"/>
  <c r="R203" i="2"/>
  <c r="O203" i="2" s="1"/>
  <c r="Q203" i="2" s="1"/>
  <c r="AJ202" i="2"/>
  <c r="Z202" i="2"/>
  <c r="W202" i="2" s="1"/>
  <c r="Y202" i="2"/>
  <c r="R202" i="2"/>
  <c r="O202" i="2" s="1"/>
  <c r="Q202" i="2"/>
  <c r="P202" i="2"/>
  <c r="AJ201" i="2"/>
  <c r="Z201" i="2"/>
  <c r="W201" i="2" s="1"/>
  <c r="Y201" i="2" s="1"/>
  <c r="R201" i="2"/>
  <c r="O201" i="2"/>
  <c r="Q201" i="2" s="1"/>
  <c r="AJ200" i="2"/>
  <c r="Z200" i="2"/>
  <c r="W200" i="2"/>
  <c r="Y200" i="2" s="1"/>
  <c r="R200" i="2"/>
  <c r="AJ199" i="2"/>
  <c r="Z199" i="2"/>
  <c r="W199" i="2" s="1"/>
  <c r="Y199" i="2" s="1"/>
  <c r="R199" i="2"/>
  <c r="O199" i="2" s="1"/>
  <c r="Q199" i="2" s="1"/>
  <c r="AJ198" i="2"/>
  <c r="Z198" i="2"/>
  <c r="W198" i="2" s="1"/>
  <c r="Y198" i="2" s="1"/>
  <c r="R198" i="2"/>
  <c r="AJ197" i="2"/>
  <c r="Z197" i="2"/>
  <c r="R197" i="2"/>
  <c r="AJ196" i="2"/>
  <c r="Z196" i="2"/>
  <c r="W196" i="2" s="1"/>
  <c r="Y196" i="2" s="1"/>
  <c r="R196" i="2"/>
  <c r="O196" i="2" s="1"/>
  <c r="AJ195" i="2"/>
  <c r="Z195" i="2"/>
  <c r="R195" i="2"/>
  <c r="O195" i="2" s="1"/>
  <c r="Q195" i="2" s="1"/>
  <c r="AJ194" i="2"/>
  <c r="Z194" i="2"/>
  <c r="W194" i="2" s="1"/>
  <c r="Y194" i="2" s="1"/>
  <c r="R194" i="2"/>
  <c r="O194" i="2" s="1"/>
  <c r="Q194" i="2" s="1"/>
  <c r="AJ193" i="2"/>
  <c r="Z193" i="2"/>
  <c r="W193" i="2" s="1"/>
  <c r="Y193" i="2" s="1"/>
  <c r="R193" i="2"/>
  <c r="O193" i="2" s="1"/>
  <c r="Q193" i="2" s="1"/>
  <c r="AJ192" i="2"/>
  <c r="Z192" i="2"/>
  <c r="R192" i="2"/>
  <c r="AJ191" i="2"/>
  <c r="Z191" i="2"/>
  <c r="W191" i="2" s="1"/>
  <c r="R191" i="2"/>
  <c r="O191" i="2" s="1"/>
  <c r="AJ190" i="2"/>
  <c r="Z190" i="2"/>
  <c r="W190" i="2" s="1"/>
  <c r="Y190" i="2" s="1"/>
  <c r="R190" i="2"/>
  <c r="AJ189" i="2"/>
  <c r="Z189" i="2"/>
  <c r="R189" i="2"/>
  <c r="O189" i="2"/>
  <c r="Q189" i="2" s="1"/>
  <c r="AJ188" i="2"/>
  <c r="Z188" i="2"/>
  <c r="W188" i="2" s="1"/>
  <c r="Y188" i="2" s="1"/>
  <c r="R188" i="2"/>
  <c r="O188" i="2" s="1"/>
  <c r="AJ187" i="2"/>
  <c r="Z187" i="2"/>
  <c r="W187" i="2"/>
  <c r="Y187" i="2" s="1"/>
  <c r="R187" i="2"/>
  <c r="O187" i="2" s="1"/>
  <c r="Q187" i="2" s="1"/>
  <c r="AJ186" i="2"/>
  <c r="Z186" i="2"/>
  <c r="W186" i="2" s="1"/>
  <c r="Y186" i="2" s="1"/>
  <c r="R186" i="2"/>
  <c r="O186" i="2" s="1"/>
  <c r="Q186" i="2" s="1"/>
  <c r="AJ185" i="2"/>
  <c r="Z185" i="2"/>
  <c r="W185" i="2" s="1"/>
  <c r="Y185" i="2" s="1"/>
  <c r="R185" i="2"/>
  <c r="O185" i="2" s="1"/>
  <c r="Q185" i="2" s="1"/>
  <c r="AJ184" i="2"/>
  <c r="Z184" i="2"/>
  <c r="R184" i="2"/>
  <c r="AJ183" i="2"/>
  <c r="Z183" i="2"/>
  <c r="W183" i="2" s="1"/>
  <c r="R183" i="2"/>
  <c r="O183" i="2" s="1"/>
  <c r="P183" i="2" s="1"/>
  <c r="AJ182" i="2"/>
  <c r="Z182" i="2"/>
  <c r="W182" i="2" s="1"/>
  <c r="Y182" i="2" s="1"/>
  <c r="R182" i="2"/>
  <c r="AJ181" i="2"/>
  <c r="Z181" i="2"/>
  <c r="R181" i="2"/>
  <c r="O181" i="2" s="1"/>
  <c r="Q181" i="2" s="1"/>
  <c r="AJ180" i="2"/>
  <c r="Z180" i="2"/>
  <c r="W180" i="2" s="1"/>
  <c r="R180" i="2"/>
  <c r="O180" i="2" s="1"/>
  <c r="AJ179" i="2"/>
  <c r="Z179" i="2"/>
  <c r="W179" i="2" s="1"/>
  <c r="Y179" i="2" s="1"/>
  <c r="R179" i="2"/>
  <c r="O179" i="2"/>
  <c r="Q179" i="2" s="1"/>
  <c r="AJ178" i="2"/>
  <c r="Z178" i="2"/>
  <c r="W178" i="2" s="1"/>
  <c r="Y178" i="2"/>
  <c r="R178" i="2"/>
  <c r="O178" i="2" s="1"/>
  <c r="Q178" i="2" s="1"/>
  <c r="AJ177" i="2"/>
  <c r="Z177" i="2"/>
  <c r="W177" i="2" s="1"/>
  <c r="Y177" i="2" s="1"/>
  <c r="R177" i="2"/>
  <c r="O177" i="2" s="1"/>
  <c r="Q177" i="2" s="1"/>
  <c r="AJ176" i="2"/>
  <c r="Z176" i="2"/>
  <c r="R176" i="2"/>
  <c r="AJ175" i="2"/>
  <c r="Z175" i="2"/>
  <c r="W175" i="2" s="1"/>
  <c r="R175" i="2"/>
  <c r="O175" i="2"/>
  <c r="P175" i="2" s="1"/>
  <c r="AJ174" i="2"/>
  <c r="Z174" i="2"/>
  <c r="W174" i="2" s="1"/>
  <c r="Y174" i="2" s="1"/>
  <c r="R174" i="2"/>
  <c r="AJ173" i="2"/>
  <c r="Z173" i="2"/>
  <c r="R173" i="2"/>
  <c r="O173" i="2" s="1"/>
  <c r="Q173" i="2" s="1"/>
  <c r="AJ172" i="2"/>
  <c r="Z172" i="2"/>
  <c r="W172" i="2"/>
  <c r="Y172" i="2" s="1"/>
  <c r="R172" i="2"/>
  <c r="O172" i="2"/>
  <c r="AJ171" i="2"/>
  <c r="Z171" i="2"/>
  <c r="W171" i="2" s="1"/>
  <c r="R171" i="2"/>
  <c r="O171" i="2"/>
  <c r="Q171" i="2" s="1"/>
  <c r="AJ170" i="2"/>
  <c r="Z170" i="2"/>
  <c r="W170" i="2" s="1"/>
  <c r="Y170" i="2" s="1"/>
  <c r="R170" i="2"/>
  <c r="O170" i="2" s="1"/>
  <c r="Q170" i="2" s="1"/>
  <c r="AJ169" i="2"/>
  <c r="Z169" i="2"/>
  <c r="W169" i="2" s="1"/>
  <c r="Y169" i="2" s="1"/>
  <c r="R169" i="2"/>
  <c r="O169" i="2" s="1"/>
  <c r="Q169" i="2" s="1"/>
  <c r="AJ168" i="2"/>
  <c r="Z168" i="2"/>
  <c r="R168" i="2"/>
  <c r="AJ167" i="2"/>
  <c r="Z167" i="2"/>
  <c r="W167" i="2" s="1"/>
  <c r="R167" i="2"/>
  <c r="O167" i="2"/>
  <c r="P167" i="2" s="1"/>
  <c r="AJ166" i="2"/>
  <c r="Z166" i="2"/>
  <c r="W166" i="2" s="1"/>
  <c r="Y166" i="2" s="1"/>
  <c r="R166" i="2"/>
  <c r="AJ165" i="2"/>
  <c r="Z165" i="2"/>
  <c r="R165" i="2"/>
  <c r="O165" i="2" s="1"/>
  <c r="Q165" i="2" s="1"/>
  <c r="AJ164" i="2"/>
  <c r="Z164" i="2"/>
  <c r="W164" i="2"/>
  <c r="Y164" i="2" s="1"/>
  <c r="R164" i="2"/>
  <c r="O164" i="2" s="1"/>
  <c r="I164" i="2"/>
  <c r="AJ163" i="2"/>
  <c r="Z163" i="2"/>
  <c r="R163" i="2"/>
  <c r="AJ162" i="2"/>
  <c r="Z162" i="2"/>
  <c r="W162" i="2" s="1"/>
  <c r="X162" i="2" s="1"/>
  <c r="R162" i="2"/>
  <c r="O162" i="2" s="1"/>
  <c r="AJ161" i="2"/>
  <c r="Z161" i="2"/>
  <c r="W161" i="2" s="1"/>
  <c r="Y161" i="2" s="1"/>
  <c r="R161" i="2"/>
  <c r="AJ160" i="2"/>
  <c r="Z160" i="2"/>
  <c r="R160" i="2"/>
  <c r="O160" i="2" s="1"/>
  <c r="Q160" i="2" s="1"/>
  <c r="AJ159" i="2"/>
  <c r="Z159" i="2"/>
  <c r="W159" i="2" s="1"/>
  <c r="Y159" i="2" s="1"/>
  <c r="R159" i="2"/>
  <c r="AJ158" i="2"/>
  <c r="Z158" i="2"/>
  <c r="R158" i="2"/>
  <c r="AJ157" i="2"/>
  <c r="Z157" i="2"/>
  <c r="W157" i="2" s="1"/>
  <c r="Y157" i="2" s="1"/>
  <c r="R157" i="2"/>
  <c r="O157" i="2" s="1"/>
  <c r="AJ156" i="2"/>
  <c r="Z156" i="2"/>
  <c r="R156" i="2"/>
  <c r="O156" i="2" s="1"/>
  <c r="Q156" i="2"/>
  <c r="AJ155" i="2"/>
  <c r="Z155" i="2"/>
  <c r="W155" i="2" s="1"/>
  <c r="Y155" i="2" s="1"/>
  <c r="R155" i="2"/>
  <c r="O155" i="2" s="1"/>
  <c r="Q155" i="2" s="1"/>
  <c r="AJ154" i="2"/>
  <c r="Z154" i="2"/>
  <c r="W154" i="2" s="1"/>
  <c r="Y154" i="2" s="1"/>
  <c r="R154" i="2"/>
  <c r="AJ153" i="2"/>
  <c r="Z153" i="2"/>
  <c r="R153" i="2"/>
  <c r="O153" i="2"/>
  <c r="Q153" i="2" s="1"/>
  <c r="AJ152" i="2"/>
  <c r="Z152" i="2"/>
  <c r="R152" i="2"/>
  <c r="O152" i="2" s="1"/>
  <c r="AJ151" i="2"/>
  <c r="Z151" i="2"/>
  <c r="R151" i="2"/>
  <c r="O151" i="2"/>
  <c r="Q151" i="2" s="1"/>
  <c r="AJ150" i="2"/>
  <c r="Z150" i="2"/>
  <c r="W150" i="2" s="1"/>
  <c r="X150" i="2" s="1"/>
  <c r="R150" i="2"/>
  <c r="O150" i="2" s="1"/>
  <c r="AJ149" i="2"/>
  <c r="Z149" i="2"/>
  <c r="R149" i="2"/>
  <c r="AJ148" i="2"/>
  <c r="Z148" i="2"/>
  <c r="W148" i="2" s="1"/>
  <c r="R148" i="2"/>
  <c r="O148" i="2" s="1"/>
  <c r="AJ147" i="2"/>
  <c r="Z147" i="2"/>
  <c r="W147" i="2" s="1"/>
  <c r="Y147" i="2" s="1"/>
  <c r="R147" i="2"/>
  <c r="AJ146" i="2"/>
  <c r="Z146" i="2"/>
  <c r="R146" i="2"/>
  <c r="O146" i="2" s="1"/>
  <c r="Q146" i="2" s="1"/>
  <c r="AJ145" i="2"/>
  <c r="Z145" i="2"/>
  <c r="W145" i="2" s="1"/>
  <c r="X145" i="2" s="1"/>
  <c r="R145" i="2"/>
  <c r="O145" i="2" s="1"/>
  <c r="P145" i="2" s="1"/>
  <c r="AJ144" i="2"/>
  <c r="Z144" i="2"/>
  <c r="R144" i="2"/>
  <c r="AJ143" i="2"/>
  <c r="Z143" i="2"/>
  <c r="R143" i="2"/>
  <c r="O143" i="2" s="1"/>
  <c r="Q143" i="2" s="1"/>
  <c r="AJ142" i="2"/>
  <c r="Z142" i="2"/>
  <c r="W142" i="2" s="1"/>
  <c r="Y142" i="2" s="1"/>
  <c r="R142" i="2"/>
  <c r="O142" i="2" s="1"/>
  <c r="AJ141" i="2"/>
  <c r="Z141" i="2"/>
  <c r="W141" i="2" s="1"/>
  <c r="Y141" i="2" s="1"/>
  <c r="R141" i="2"/>
  <c r="O141" i="2" s="1"/>
  <c r="Q141" i="2" s="1"/>
  <c r="AJ140" i="2"/>
  <c r="Z140" i="2"/>
  <c r="W140" i="2" s="1"/>
  <c r="Y140" i="2"/>
  <c r="R140" i="2"/>
  <c r="O140" i="2" s="1"/>
  <c r="Q140" i="2" s="1"/>
  <c r="AJ139" i="2"/>
  <c r="Z139" i="2"/>
  <c r="W139" i="2" s="1"/>
  <c r="Y139" i="2" s="1"/>
  <c r="R139" i="2"/>
  <c r="AJ138" i="2"/>
  <c r="Z138" i="2"/>
  <c r="R138" i="2"/>
  <c r="O138" i="2" s="1"/>
  <c r="Q138" i="2" s="1"/>
  <c r="AJ137" i="2"/>
  <c r="Z137" i="2"/>
  <c r="W137" i="2" s="1"/>
  <c r="X137" i="2" s="1"/>
  <c r="R137" i="2"/>
  <c r="O137" i="2"/>
  <c r="P137" i="2" s="1"/>
  <c r="AJ136" i="2"/>
  <c r="Z136" i="2"/>
  <c r="R136" i="2"/>
  <c r="AJ135" i="2"/>
  <c r="Z135" i="2"/>
  <c r="W135" i="2" s="1"/>
  <c r="Y135" i="2" s="1"/>
  <c r="R135" i="2"/>
  <c r="O135" i="2" s="1"/>
  <c r="Q135" i="2" s="1"/>
  <c r="AJ134" i="2"/>
  <c r="Z134" i="2"/>
  <c r="W134" i="2" s="1"/>
  <c r="Y134" i="2" s="1"/>
  <c r="R134" i="2"/>
  <c r="O134" i="2" s="1"/>
  <c r="AJ133" i="2"/>
  <c r="Z133" i="2"/>
  <c r="W133" i="2" s="1"/>
  <c r="Y133" i="2" s="1"/>
  <c r="R133" i="2"/>
  <c r="O133" i="2" s="1"/>
  <c r="Q133" i="2" s="1"/>
  <c r="AJ132" i="2"/>
  <c r="Z132" i="2"/>
  <c r="R132" i="2"/>
  <c r="AJ131" i="2"/>
  <c r="Z131" i="2"/>
  <c r="W131" i="2" s="1"/>
  <c r="Y131" i="2" s="1"/>
  <c r="R131" i="2"/>
  <c r="O131" i="2" s="1"/>
  <c r="Q131" i="2" s="1"/>
  <c r="AJ130" i="2"/>
  <c r="Z130" i="2"/>
  <c r="W130" i="2" s="1"/>
  <c r="Y130" i="2" s="1"/>
  <c r="R130" i="2"/>
  <c r="O130" i="2" s="1"/>
  <c r="AJ129" i="2"/>
  <c r="Z129" i="2"/>
  <c r="W129" i="2" s="1"/>
  <c r="Y129" i="2" s="1"/>
  <c r="X129" i="2"/>
  <c r="R129" i="2"/>
  <c r="O129" i="2" s="1"/>
  <c r="Q129" i="2" s="1"/>
  <c r="AJ128" i="2"/>
  <c r="Z128" i="2"/>
  <c r="R128" i="2"/>
  <c r="AJ127" i="2"/>
  <c r="Z127" i="2"/>
  <c r="W127" i="2" s="1"/>
  <c r="Y127" i="2" s="1"/>
  <c r="R127" i="2"/>
  <c r="O127" i="2" s="1"/>
  <c r="Q127" i="2" s="1"/>
  <c r="AJ126" i="2"/>
  <c r="Z126" i="2"/>
  <c r="W126" i="2" s="1"/>
  <c r="Y126" i="2" s="1"/>
  <c r="R126" i="2"/>
  <c r="O126" i="2" s="1"/>
  <c r="Q126" i="2" s="1"/>
  <c r="AJ125" i="2"/>
  <c r="Z125" i="2"/>
  <c r="W125" i="2" s="1"/>
  <c r="Y125" i="2" s="1"/>
  <c r="R125" i="2"/>
  <c r="O125" i="2" s="1"/>
  <c r="Q125" i="2" s="1"/>
  <c r="AJ124" i="2"/>
  <c r="Z124" i="2"/>
  <c r="R124" i="2"/>
  <c r="AJ123" i="2"/>
  <c r="Z123" i="2"/>
  <c r="W123" i="2" s="1"/>
  <c r="Y123" i="2" s="1"/>
  <c r="R123" i="2"/>
  <c r="O123" i="2" s="1"/>
  <c r="Q123" i="2" s="1"/>
  <c r="AJ122" i="2"/>
  <c r="Z122" i="2"/>
  <c r="W122" i="2"/>
  <c r="Y122" i="2" s="1"/>
  <c r="R122" i="2"/>
  <c r="O122" i="2" s="1"/>
  <c r="Q122" i="2" s="1"/>
  <c r="AJ121" i="2"/>
  <c r="Z121" i="2"/>
  <c r="W121" i="2" s="1"/>
  <c r="Y121" i="2" s="1"/>
  <c r="R121" i="2"/>
  <c r="O121" i="2" s="1"/>
  <c r="Q121" i="2" s="1"/>
  <c r="AJ120" i="2"/>
  <c r="Z120" i="2"/>
  <c r="R120" i="2"/>
  <c r="AJ119" i="2"/>
  <c r="Z119" i="2"/>
  <c r="W119" i="2" s="1"/>
  <c r="Y119" i="2" s="1"/>
  <c r="R119" i="2"/>
  <c r="O119" i="2"/>
  <c r="Q119" i="2" s="1"/>
  <c r="AJ118" i="2"/>
  <c r="Z118" i="2"/>
  <c r="W118" i="2" s="1"/>
  <c r="Y118" i="2" s="1"/>
  <c r="R118" i="2"/>
  <c r="O118" i="2" s="1"/>
  <c r="Q118" i="2" s="1"/>
  <c r="AJ117" i="2"/>
  <c r="Z117" i="2"/>
  <c r="W117" i="2" s="1"/>
  <c r="Y117" i="2"/>
  <c r="R117" i="2"/>
  <c r="O117" i="2" s="1"/>
  <c r="Q117" i="2" s="1"/>
  <c r="AJ116" i="2"/>
  <c r="Z116" i="2"/>
  <c r="R116" i="2"/>
  <c r="AJ115" i="2"/>
  <c r="Z115" i="2"/>
  <c r="W115" i="2" s="1"/>
  <c r="R115" i="2"/>
  <c r="AJ114" i="2"/>
  <c r="Z114" i="2"/>
  <c r="W114" i="2" s="1"/>
  <c r="Y114" i="2"/>
  <c r="R114" i="2"/>
  <c r="O114" i="2" s="1"/>
  <c r="Q114" i="2" s="1"/>
  <c r="AJ113" i="2"/>
  <c r="Z113" i="2"/>
  <c r="W113" i="2" s="1"/>
  <c r="Y113" i="2" s="1"/>
  <c r="R113" i="2"/>
  <c r="AJ112" i="2"/>
  <c r="Z112" i="2"/>
  <c r="W112" i="2" s="1"/>
  <c r="Y112" i="2" s="1"/>
  <c r="R112" i="2"/>
  <c r="O112" i="2" s="1"/>
  <c r="Q112" i="2" s="1"/>
  <c r="AJ111" i="2"/>
  <c r="Z111" i="2"/>
  <c r="W111" i="2"/>
  <c r="Y111" i="2" s="1"/>
  <c r="R111" i="2"/>
  <c r="AJ110" i="2"/>
  <c r="Z110" i="2"/>
  <c r="W110" i="2"/>
  <c r="Y110" i="2" s="1"/>
  <c r="R110" i="2"/>
  <c r="AJ109" i="2"/>
  <c r="Z109" i="2"/>
  <c r="W109" i="2" s="1"/>
  <c r="Y109" i="2" s="1"/>
  <c r="R109" i="2"/>
  <c r="O109" i="2" s="1"/>
  <c r="Q109" i="2" s="1"/>
  <c r="AJ108" i="2"/>
  <c r="Z108" i="2"/>
  <c r="R108" i="2"/>
  <c r="AJ107" i="2"/>
  <c r="Z107" i="2"/>
  <c r="W107" i="2" s="1"/>
  <c r="R107" i="2"/>
  <c r="O107" i="2" s="1"/>
  <c r="Q107" i="2" s="1"/>
  <c r="AJ106" i="2"/>
  <c r="Z106" i="2"/>
  <c r="W106" i="2" s="1"/>
  <c r="Y106" i="2" s="1"/>
  <c r="R106" i="2"/>
  <c r="O106" i="2" s="1"/>
  <c r="Q106" i="2" s="1"/>
  <c r="P106" i="2"/>
  <c r="AJ105" i="2"/>
  <c r="Z105" i="2"/>
  <c r="W105" i="2" s="1"/>
  <c r="R105" i="2"/>
  <c r="AJ104" i="2"/>
  <c r="Z104" i="2"/>
  <c r="W104" i="2" s="1"/>
  <c r="Y104" i="2" s="1"/>
  <c r="R104" i="2"/>
  <c r="O104" i="2" s="1"/>
  <c r="Q104" i="2" s="1"/>
  <c r="AJ103" i="2"/>
  <c r="Z103" i="2"/>
  <c r="W103" i="2" s="1"/>
  <c r="R103" i="2"/>
  <c r="O103" i="2" s="1"/>
  <c r="Q103" i="2" s="1"/>
  <c r="AJ102" i="2"/>
  <c r="Z102" i="2"/>
  <c r="W102" i="2"/>
  <c r="X102" i="2" s="1"/>
  <c r="R102" i="2"/>
  <c r="AJ101" i="2"/>
  <c r="Z101" i="2"/>
  <c r="W101" i="2" s="1"/>
  <c r="Y101" i="2" s="1"/>
  <c r="R101" i="2"/>
  <c r="O101" i="2" s="1"/>
  <c r="Q101" i="2" s="1"/>
  <c r="AJ100" i="2"/>
  <c r="Z100" i="2"/>
  <c r="W100" i="2" s="1"/>
  <c r="Y100" i="2" s="1"/>
  <c r="R100" i="2"/>
  <c r="O100" i="2" s="1"/>
  <c r="Q100" i="2" s="1"/>
  <c r="AJ99" i="2"/>
  <c r="Z99" i="2"/>
  <c r="R99" i="2"/>
  <c r="AJ98" i="2"/>
  <c r="Z98" i="2"/>
  <c r="W98" i="2" s="1"/>
  <c r="Y98" i="2" s="1"/>
  <c r="R98" i="2"/>
  <c r="O98" i="2" s="1"/>
  <c r="Q98" i="2" s="1"/>
  <c r="AJ97" i="2"/>
  <c r="Z97" i="2"/>
  <c r="R97" i="2"/>
  <c r="AJ96" i="2"/>
  <c r="Z96" i="2"/>
  <c r="W96" i="2" s="1"/>
  <c r="Y96" i="2" s="1"/>
  <c r="R96" i="2"/>
  <c r="O96" i="2" s="1"/>
  <c r="Q96" i="2" s="1"/>
  <c r="AJ95" i="2"/>
  <c r="Z95" i="2"/>
  <c r="R95" i="2"/>
  <c r="AJ94" i="2"/>
  <c r="Z94" i="2"/>
  <c r="W94" i="2" s="1"/>
  <c r="R94" i="2"/>
  <c r="O94" i="2" s="1"/>
  <c r="Q94" i="2" s="1"/>
  <c r="AJ93" i="2"/>
  <c r="Z93" i="2"/>
  <c r="W93" i="2" s="1"/>
  <c r="Y93" i="2" s="1"/>
  <c r="R93" i="2"/>
  <c r="O93" i="2" s="1"/>
  <c r="Q93" i="2" s="1"/>
  <c r="AJ92" i="2"/>
  <c r="Z92" i="2"/>
  <c r="R92" i="2"/>
  <c r="AJ91" i="2"/>
  <c r="Z91" i="2"/>
  <c r="W91" i="2" s="1"/>
  <c r="R91" i="2"/>
  <c r="O91" i="2"/>
  <c r="Q91" i="2" s="1"/>
  <c r="AJ90" i="2"/>
  <c r="Z90" i="2"/>
  <c r="W90" i="2" s="1"/>
  <c r="Y90" i="2" s="1"/>
  <c r="R90" i="2"/>
  <c r="O90" i="2" s="1"/>
  <c r="Q90" i="2" s="1"/>
  <c r="P90" i="2"/>
  <c r="AJ89" i="2"/>
  <c r="Z89" i="2"/>
  <c r="W89" i="2" s="1"/>
  <c r="Y89" i="2" s="1"/>
  <c r="R89" i="2"/>
  <c r="O89" i="2" s="1"/>
  <c r="Q89" i="2" s="1"/>
  <c r="AJ88" i="2"/>
  <c r="Z88" i="2"/>
  <c r="W88" i="2" s="1"/>
  <c r="Y88" i="2" s="1"/>
  <c r="R88" i="2"/>
  <c r="O88" i="2" s="1"/>
  <c r="Q88" i="2" s="1"/>
  <c r="AJ87" i="2"/>
  <c r="Z87" i="2"/>
  <c r="W87" i="2" s="1"/>
  <c r="Y87" i="2" s="1"/>
  <c r="R87" i="2"/>
  <c r="O87" i="2" s="1"/>
  <c r="Q87" i="2" s="1"/>
  <c r="AJ86" i="2"/>
  <c r="Z86" i="2"/>
  <c r="R86" i="2"/>
  <c r="O86" i="2" s="1"/>
  <c r="AJ85" i="2"/>
  <c r="Z85" i="2"/>
  <c r="W85" i="2" s="1"/>
  <c r="Y85" i="2"/>
  <c r="R85" i="2"/>
  <c r="O85" i="2" s="1"/>
  <c r="Q85" i="2" s="1"/>
  <c r="AJ84" i="2"/>
  <c r="Z84" i="2"/>
  <c r="W84" i="2" s="1"/>
  <c r="Y84" i="2" s="1"/>
  <c r="R84" i="2"/>
  <c r="O84" i="2" s="1"/>
  <c r="Q84" i="2" s="1"/>
  <c r="AJ83" i="2"/>
  <c r="Z83" i="2"/>
  <c r="W83" i="2" s="1"/>
  <c r="Y83" i="2" s="1"/>
  <c r="R83" i="2"/>
  <c r="AJ82" i="2"/>
  <c r="Z82" i="2"/>
  <c r="W82" i="2" s="1"/>
  <c r="Y82" i="2" s="1"/>
  <c r="R82" i="2"/>
  <c r="AJ81" i="2"/>
  <c r="Z81" i="2"/>
  <c r="W81" i="2" s="1"/>
  <c r="Y81" i="2" s="1"/>
  <c r="R81" i="2"/>
  <c r="AJ80" i="2"/>
  <c r="Z80" i="2"/>
  <c r="W80" i="2" s="1"/>
  <c r="Y80" i="2" s="1"/>
  <c r="R80" i="2"/>
  <c r="AJ79" i="2"/>
  <c r="Z79" i="2"/>
  <c r="W79" i="2"/>
  <c r="Y79" i="2" s="1"/>
  <c r="R79" i="2"/>
  <c r="AJ78" i="2"/>
  <c r="Z78" i="2"/>
  <c r="W78" i="2" s="1"/>
  <c r="Y78" i="2" s="1"/>
  <c r="R78" i="2"/>
  <c r="O78" i="2" s="1"/>
  <c r="Q78" i="2" s="1"/>
  <c r="AJ77" i="2"/>
  <c r="Z77" i="2"/>
  <c r="W77" i="2" s="1"/>
  <c r="Y77" i="2" s="1"/>
  <c r="R77" i="2"/>
  <c r="AJ76" i="2"/>
  <c r="Z76" i="2"/>
  <c r="R76" i="2"/>
  <c r="AJ75" i="2"/>
  <c r="Z75" i="2"/>
  <c r="W75" i="2" s="1"/>
  <c r="Y75" i="2" s="1"/>
  <c r="R75" i="2"/>
  <c r="O75" i="2" s="1"/>
  <c r="Q75" i="2" s="1"/>
  <c r="AJ74" i="2"/>
  <c r="Z74" i="2"/>
  <c r="W74" i="2" s="1"/>
  <c r="Y74" i="2" s="1"/>
  <c r="R74" i="2"/>
  <c r="O74" i="2" s="1"/>
  <c r="Q74" i="2" s="1"/>
  <c r="AJ73" i="2"/>
  <c r="Z73" i="2"/>
  <c r="W73" i="2" s="1"/>
  <c r="Y73" i="2" s="1"/>
  <c r="R73" i="2"/>
  <c r="O73" i="2" s="1"/>
  <c r="Q73" i="2" s="1"/>
  <c r="AJ72" i="2"/>
  <c r="Z72" i="2"/>
  <c r="W72" i="2" s="1"/>
  <c r="Y72" i="2" s="1"/>
  <c r="R72" i="2"/>
  <c r="O72" i="2" s="1"/>
  <c r="Q72" i="2" s="1"/>
  <c r="AJ71" i="2"/>
  <c r="Z71" i="2"/>
  <c r="W71" i="2" s="1"/>
  <c r="Y71" i="2" s="1"/>
  <c r="X71" i="2"/>
  <c r="R71" i="2"/>
  <c r="AJ70" i="2"/>
  <c r="Z70" i="2"/>
  <c r="W70" i="2" s="1"/>
  <c r="R70" i="2"/>
  <c r="O70" i="2" s="1"/>
  <c r="P70" i="2" s="1"/>
  <c r="AJ69" i="2"/>
  <c r="Z69" i="2"/>
  <c r="W69" i="2" s="1"/>
  <c r="Y69" i="2" s="1"/>
  <c r="R69" i="2"/>
  <c r="O69" i="2" s="1"/>
  <c r="Q69" i="2" s="1"/>
  <c r="AJ68" i="2"/>
  <c r="Z68" i="2"/>
  <c r="W68" i="2" s="1"/>
  <c r="Y68" i="2" s="1"/>
  <c r="R68" i="2"/>
  <c r="O68" i="2"/>
  <c r="Q68" i="2" s="1"/>
  <c r="AJ67" i="2"/>
  <c r="Z67" i="2"/>
  <c r="W67" i="2" s="1"/>
  <c r="Y67" i="2" s="1"/>
  <c r="R67" i="2"/>
  <c r="AJ66" i="2"/>
  <c r="Z66" i="2"/>
  <c r="W66" i="2" s="1"/>
  <c r="Y66" i="2" s="1"/>
  <c r="R66" i="2"/>
  <c r="AJ65" i="2"/>
  <c r="Z65" i="2"/>
  <c r="W65" i="2" s="1"/>
  <c r="Y65" i="2" s="1"/>
  <c r="R65" i="2"/>
  <c r="O65" i="2" s="1"/>
  <c r="AJ64" i="2"/>
  <c r="Z64" i="2"/>
  <c r="W64" i="2" s="1"/>
  <c r="R64" i="2"/>
  <c r="O64" i="2"/>
  <c r="AJ63" i="2"/>
  <c r="Z63" i="2"/>
  <c r="W63" i="2" s="1"/>
  <c r="Y63" i="2" s="1"/>
  <c r="R63" i="2"/>
  <c r="O63" i="2"/>
  <c r="Q63" i="2" s="1"/>
  <c r="AJ62" i="2"/>
  <c r="Z62" i="2"/>
  <c r="W62" i="2" s="1"/>
  <c r="Y62" i="2" s="1"/>
  <c r="R62" i="2"/>
  <c r="O62" i="2" s="1"/>
  <c r="Q62" i="2" s="1"/>
  <c r="AJ61" i="2"/>
  <c r="Z61" i="2"/>
  <c r="W61" i="2" s="1"/>
  <c r="Y61" i="2" s="1"/>
  <c r="R61" i="2"/>
  <c r="O61" i="2" s="1"/>
  <c r="Q61" i="2" s="1"/>
  <c r="AJ60" i="2"/>
  <c r="Z60" i="2"/>
  <c r="W60" i="2" s="1"/>
  <c r="Y60" i="2" s="1"/>
  <c r="R60" i="2"/>
  <c r="O60" i="2" s="1"/>
  <c r="Q60" i="2" s="1"/>
  <c r="AJ59" i="2"/>
  <c r="Z59" i="2"/>
  <c r="W59" i="2" s="1"/>
  <c r="Y59" i="2" s="1"/>
  <c r="X59" i="2"/>
  <c r="R59" i="2"/>
  <c r="AJ58" i="2"/>
  <c r="Z58" i="2"/>
  <c r="W58" i="2" s="1"/>
  <c r="X58" i="2" s="1"/>
  <c r="R58" i="2"/>
  <c r="O58" i="2" s="1"/>
  <c r="AJ57" i="2"/>
  <c r="Z57" i="2"/>
  <c r="R57" i="2"/>
  <c r="O57" i="2" s="1"/>
  <c r="Q57" i="2" s="1"/>
  <c r="AJ56" i="2"/>
  <c r="Z56" i="2"/>
  <c r="W56" i="2" s="1"/>
  <c r="R56" i="2"/>
  <c r="O56" i="2" s="1"/>
  <c r="P56" i="2" s="1"/>
  <c r="AJ55" i="2"/>
  <c r="Z55" i="2"/>
  <c r="R55" i="2"/>
  <c r="AJ54" i="2"/>
  <c r="Z54" i="2"/>
  <c r="W54" i="2"/>
  <c r="Y54" i="2" s="1"/>
  <c r="R54" i="2"/>
  <c r="AJ53" i="2"/>
  <c r="Z53" i="2"/>
  <c r="R53" i="2"/>
  <c r="O53" i="2" s="1"/>
  <c r="Q53" i="2" s="1"/>
  <c r="AJ52" i="2"/>
  <c r="Z52" i="2"/>
  <c r="W52" i="2" s="1"/>
  <c r="X52" i="2" s="1"/>
  <c r="R52" i="2"/>
  <c r="O52" i="2" s="1"/>
  <c r="AJ51" i="2"/>
  <c r="Z51" i="2"/>
  <c r="R51" i="2"/>
  <c r="O51" i="2" s="1"/>
  <c r="Q51" i="2" s="1"/>
  <c r="C14" i="2"/>
  <c r="C13" i="2"/>
  <c r="C105" i="2" s="1"/>
  <c r="G10" i="2"/>
  <c r="C107" i="2" s="1"/>
  <c r="G9" i="2"/>
  <c r="C7" i="2"/>
  <c r="D5" i="4"/>
  <c r="N17" i="4" s="1"/>
  <c r="K7" i="1"/>
  <c r="K5" i="1"/>
  <c r="X80" i="2" l="1"/>
  <c r="P156" i="2"/>
  <c r="P218" i="2"/>
  <c r="X254" i="2"/>
  <c r="P76" i="3"/>
  <c r="X112" i="2"/>
  <c r="X125" i="2"/>
  <c r="P88" i="3"/>
  <c r="P90" i="3"/>
  <c r="P72" i="2"/>
  <c r="X75" i="2"/>
  <c r="X114" i="2"/>
  <c r="P170" i="2"/>
  <c r="P64" i="3"/>
  <c r="P57" i="2"/>
  <c r="X98" i="2"/>
  <c r="P68" i="3"/>
  <c r="P80" i="3"/>
  <c r="P53" i="2"/>
  <c r="P69" i="2"/>
  <c r="X77" i="2"/>
  <c r="P194" i="2"/>
  <c r="P122" i="3"/>
  <c r="P148" i="3"/>
  <c r="P172" i="3"/>
  <c r="P39" i="3"/>
  <c r="X66" i="2"/>
  <c r="X155" i="2"/>
  <c r="P72" i="3"/>
  <c r="P84" i="3"/>
  <c r="X121" i="2"/>
  <c r="X82" i="2"/>
  <c r="X186" i="2"/>
  <c r="P191" i="2"/>
  <c r="Q191" i="2"/>
  <c r="Q114" i="3"/>
  <c r="P114" i="3"/>
  <c r="P31" i="3"/>
  <c r="Q31" i="3"/>
  <c r="Q167" i="2"/>
  <c r="P179" i="2"/>
  <c r="X67" i="2"/>
  <c r="P23" i="3"/>
  <c r="X83" i="2"/>
  <c r="X110" i="2"/>
  <c r="P227" i="2"/>
  <c r="X259" i="2"/>
  <c r="P47" i="3"/>
  <c r="X247" i="2"/>
  <c r="P110" i="3"/>
  <c r="P219" i="2"/>
  <c r="P48" i="3"/>
  <c r="X111" i="2"/>
  <c r="P141" i="2"/>
  <c r="P153" i="2"/>
  <c r="P30" i="3"/>
  <c r="P63" i="2"/>
  <c r="Q161" i="3"/>
  <c r="X187" i="2"/>
  <c r="X251" i="2"/>
  <c r="P32" i="3"/>
  <c r="P43" i="3"/>
  <c r="P24" i="3"/>
  <c r="Q153" i="3"/>
  <c r="X79" i="2"/>
  <c r="X172" i="2"/>
  <c r="X231" i="2"/>
  <c r="X264" i="2"/>
  <c r="P118" i="2"/>
  <c r="P35" i="3"/>
  <c r="P144" i="3"/>
  <c r="P203" i="2"/>
  <c r="P101" i="3"/>
  <c r="P126" i="3"/>
  <c r="P52" i="2"/>
  <c r="Q52" i="2"/>
  <c r="X56" i="2"/>
  <c r="Y56" i="2"/>
  <c r="Q130" i="2"/>
  <c r="P130" i="2"/>
  <c r="Y180" i="2"/>
  <c r="X180" i="2"/>
  <c r="P131" i="3"/>
  <c r="Q131" i="3"/>
  <c r="Q65" i="2"/>
  <c r="P65" i="2"/>
  <c r="Q152" i="2"/>
  <c r="P152" i="2"/>
  <c r="Q85" i="3"/>
  <c r="P85" i="3"/>
  <c r="Q145" i="3"/>
  <c r="P145" i="3"/>
  <c r="Q157" i="3"/>
  <c r="P157" i="3"/>
  <c r="Q58" i="2"/>
  <c r="P58" i="2"/>
  <c r="P162" i="2"/>
  <c r="Q162" i="2"/>
  <c r="Y203" i="2"/>
  <c r="X203" i="2"/>
  <c r="Y115" i="2"/>
  <c r="X115" i="2"/>
  <c r="Q157" i="2"/>
  <c r="P157" i="2"/>
  <c r="Y94" i="2"/>
  <c r="X94" i="2"/>
  <c r="P150" i="2"/>
  <c r="Q150" i="2"/>
  <c r="X183" i="2"/>
  <c r="Y183" i="2"/>
  <c r="X191" i="2"/>
  <c r="Y191" i="2"/>
  <c r="Y219" i="2"/>
  <c r="X219" i="2"/>
  <c r="Y70" i="2"/>
  <c r="X70" i="2"/>
  <c r="Q134" i="2"/>
  <c r="P134" i="2"/>
  <c r="Y171" i="2"/>
  <c r="X171" i="2"/>
  <c r="X175" i="2"/>
  <c r="Y175" i="2"/>
  <c r="P86" i="2"/>
  <c r="Q86" i="2"/>
  <c r="X167" i="2"/>
  <c r="Y167" i="2"/>
  <c r="X63" i="2"/>
  <c r="P78" i="2"/>
  <c r="X109" i="2"/>
  <c r="P122" i="2"/>
  <c r="X157" i="2"/>
  <c r="X179" i="2"/>
  <c r="X188" i="2"/>
  <c r="P195" i="2"/>
  <c r="X198" i="2"/>
  <c r="P211" i="2"/>
  <c r="X214" i="2"/>
  <c r="O49" i="3"/>
  <c r="Q49" i="3" s="1"/>
  <c r="O57" i="3"/>
  <c r="Q57" i="3" s="1"/>
  <c r="O109" i="3"/>
  <c r="Q109" i="3" s="1"/>
  <c r="P152" i="3"/>
  <c r="P94" i="3"/>
  <c r="P167" i="3"/>
  <c r="X224" i="2"/>
  <c r="O26" i="3"/>
  <c r="Q26" i="3" s="1"/>
  <c r="O65" i="3"/>
  <c r="Q65" i="3" s="1"/>
  <c r="O73" i="3"/>
  <c r="Q73" i="3" s="1"/>
  <c r="O123" i="3"/>
  <c r="Q123" i="3" s="1"/>
  <c r="O177" i="3"/>
  <c r="Q177" i="3" s="1"/>
  <c r="O44" i="3"/>
  <c r="Q44" i="3" s="1"/>
  <c r="O102" i="3"/>
  <c r="Q102" i="3" s="1"/>
  <c r="P129" i="3"/>
  <c r="D14" i="25"/>
  <c r="D16" i="25" s="1"/>
  <c r="F16" i="25" s="1"/>
  <c r="F18" i="25" s="1"/>
  <c r="G18" i="25" s="1"/>
  <c r="R29" i="25"/>
  <c r="S32" i="25"/>
  <c r="S34" i="25" s="1"/>
  <c r="W263" i="2"/>
  <c r="Y263" i="2" s="1"/>
  <c r="P58" i="3"/>
  <c r="O81" i="3"/>
  <c r="Q81" i="3" s="1"/>
  <c r="O89" i="3"/>
  <c r="Q89" i="3" s="1"/>
  <c r="O117" i="3"/>
  <c r="Q117" i="3" s="1"/>
  <c r="P130" i="3"/>
  <c r="Q193" i="3"/>
  <c r="F17" i="25"/>
  <c r="Y145" i="2"/>
  <c r="Y52" i="2"/>
  <c r="Q56" i="2"/>
  <c r="Y58" i="2"/>
  <c r="P75" i="2"/>
  <c r="X78" i="2"/>
  <c r="P94" i="2"/>
  <c r="Y102" i="2"/>
  <c r="P126" i="2"/>
  <c r="P171" i="2"/>
  <c r="W195" i="2"/>
  <c r="Y195" i="2" s="1"/>
  <c r="W211" i="2"/>
  <c r="Y211" i="2" s="1"/>
  <c r="W227" i="2"/>
  <c r="Y227" i="2" s="1"/>
  <c r="P87" i="2"/>
  <c r="W97" i="2"/>
  <c r="Y97" i="2" s="1"/>
  <c r="O110" i="2"/>
  <c r="Q110" i="2" s="1"/>
  <c r="X133" i="2"/>
  <c r="W152" i="2"/>
  <c r="Y152" i="2" s="1"/>
  <c r="O158" i="2"/>
  <c r="Q158" i="2" s="1"/>
  <c r="P85" i="2"/>
  <c r="X87" i="2"/>
  <c r="P140" i="2"/>
  <c r="P178" i="2"/>
  <c r="X242" i="2"/>
  <c r="O22" i="3"/>
  <c r="Q22" i="3" s="1"/>
  <c r="O97" i="3"/>
  <c r="Q97" i="3" s="1"/>
  <c r="O27" i="3"/>
  <c r="Q27" i="3" s="1"/>
  <c r="P52" i="3"/>
  <c r="P74" i="3"/>
  <c r="P124" i="3"/>
  <c r="O140" i="3"/>
  <c r="Q140" i="3" s="1"/>
  <c r="O178" i="3"/>
  <c r="Q178" i="3" s="1"/>
  <c r="O194" i="3"/>
  <c r="Q194" i="3" s="1"/>
  <c r="P60" i="3"/>
  <c r="C56" i="2"/>
  <c r="C64" i="2"/>
  <c r="P103" i="2"/>
  <c r="Q137" i="2"/>
  <c r="P187" i="2"/>
  <c r="Q70" i="2"/>
  <c r="P88" i="2"/>
  <c r="P101" i="2"/>
  <c r="X117" i="2"/>
  <c r="X140" i="2"/>
  <c r="Y150" i="2"/>
  <c r="Y162" i="2"/>
  <c r="Q175" i="2"/>
  <c r="X178" i="2"/>
  <c r="X206" i="2"/>
  <c r="X222" i="2"/>
  <c r="X238" i="2"/>
  <c r="X81" i="2"/>
  <c r="P107" i="2"/>
  <c r="P53" i="3"/>
  <c r="P105" i="3"/>
  <c r="P91" i="2"/>
  <c r="W95" i="2"/>
  <c r="Y95" i="2" s="1"/>
  <c r="P104" i="2"/>
  <c r="Y137" i="2"/>
  <c r="X200" i="2"/>
  <c r="X216" i="2"/>
  <c r="O33" i="3"/>
  <c r="Q33" i="3" s="1"/>
  <c r="P61" i="3"/>
  <c r="O69" i="3"/>
  <c r="Q69" i="3" s="1"/>
  <c r="P98" i="3"/>
  <c r="O113" i="3"/>
  <c r="Q113" i="3" s="1"/>
  <c r="O119" i="3"/>
  <c r="Q119" i="3" s="1"/>
  <c r="P141" i="3"/>
  <c r="O149" i="3"/>
  <c r="Q149" i="3" s="1"/>
  <c r="P163" i="3"/>
  <c r="O173" i="3"/>
  <c r="Q173" i="3" s="1"/>
  <c r="P62" i="2"/>
  <c r="X113" i="2"/>
  <c r="P60" i="2"/>
  <c r="O29" i="3"/>
  <c r="Q29" i="3" s="1"/>
  <c r="O77" i="3"/>
  <c r="Q77" i="3" s="1"/>
  <c r="P92" i="3"/>
  <c r="O127" i="3"/>
  <c r="Q127" i="3" s="1"/>
  <c r="O181" i="3"/>
  <c r="Q181" i="3" s="1"/>
  <c r="P133" i="3"/>
  <c r="Q143" i="3"/>
  <c r="P189" i="3"/>
  <c r="X164" i="2"/>
  <c r="Q183" i="2"/>
  <c r="X65" i="2"/>
  <c r="P74" i="2"/>
  <c r="O102" i="2"/>
  <c r="Q102" i="2" s="1"/>
  <c r="P138" i="2"/>
  <c r="W235" i="2"/>
  <c r="Y235" i="2" s="1"/>
  <c r="P56" i="3"/>
  <c r="P93" i="3"/>
  <c r="X208" i="2"/>
  <c r="W86" i="2"/>
  <c r="Y86" i="2" s="1"/>
  <c r="X93" i="2"/>
  <c r="W99" i="2"/>
  <c r="Y99" i="2" s="1"/>
  <c r="X170" i="2"/>
  <c r="O71" i="2"/>
  <c r="Q71" i="2" s="1"/>
  <c r="X96" i="2"/>
  <c r="O105" i="2"/>
  <c r="Q105" i="2" s="1"/>
  <c r="Q145" i="2"/>
  <c r="P186" i="2"/>
  <c r="W240" i="2"/>
  <c r="Y240" i="2" s="1"/>
  <c r="E42" i="2"/>
  <c r="F42" i="2" s="1"/>
  <c r="J26" i="18"/>
  <c r="H35" i="18" s="1"/>
  <c r="H34" i="18"/>
  <c r="J23" i="19"/>
  <c r="F38" i="17"/>
  <c r="I38" i="17" s="1"/>
  <c r="G36" i="17"/>
  <c r="X20" i="19"/>
  <c r="Y20" i="19"/>
  <c r="H38" i="18"/>
  <c r="F4" i="16" s="1"/>
  <c r="J34" i="19"/>
  <c r="F3" i="16" s="1"/>
  <c r="V22" i="19"/>
  <c r="Z21" i="19"/>
  <c r="W21" i="19" s="1"/>
  <c r="F12" i="13"/>
  <c r="F17" i="13" s="1"/>
  <c r="H19" i="13" s="1"/>
  <c r="G21" i="13" s="1"/>
  <c r="P12" i="13"/>
  <c r="P13" i="13" s="1"/>
  <c r="B20" i="1"/>
  <c r="I31" i="7"/>
  <c r="E20" i="1" s="1"/>
  <c r="C59" i="2"/>
  <c r="K11" i="1"/>
  <c r="C29" i="7"/>
  <c r="Q6" i="1"/>
  <c r="AX19" i="1" s="1"/>
  <c r="E40" i="2"/>
  <c r="I156" i="2" s="1"/>
  <c r="G65" i="2"/>
  <c r="I65" i="2" s="1"/>
  <c r="C65" i="2"/>
  <c r="E41" i="2"/>
  <c r="F41" i="2" s="1"/>
  <c r="C66" i="2"/>
  <c r="D8" i="3"/>
  <c r="E8" i="3" s="1"/>
  <c r="D39" i="7"/>
  <c r="W51" i="2"/>
  <c r="Y51" i="2" s="1"/>
  <c r="W55" i="2"/>
  <c r="Y55" i="2" s="1"/>
  <c r="Q64" i="2"/>
  <c r="P64" i="2"/>
  <c r="O77" i="2"/>
  <c r="Q77" i="2" s="1"/>
  <c r="O79" i="2"/>
  <c r="Q79" i="2" s="1"/>
  <c r="O83" i="2"/>
  <c r="Q83" i="2" s="1"/>
  <c r="P89" i="2"/>
  <c r="Y105" i="2"/>
  <c r="X105" i="2"/>
  <c r="O54" i="2"/>
  <c r="Q54" i="2" s="1"/>
  <c r="X62" i="2"/>
  <c r="O66" i="2"/>
  <c r="Q66" i="2" s="1"/>
  <c r="O80" i="2"/>
  <c r="Q80" i="2" s="1"/>
  <c r="X89" i="2"/>
  <c r="Y107" i="2"/>
  <c r="X107" i="2"/>
  <c r="Y64" i="2"/>
  <c r="X64" i="2"/>
  <c r="O67" i="2"/>
  <c r="Q67" i="2" s="1"/>
  <c r="P73" i="2"/>
  <c r="W76" i="2"/>
  <c r="Y76" i="2" s="1"/>
  <c r="O81" i="2"/>
  <c r="Q81" i="2" s="1"/>
  <c r="D4" i="4"/>
  <c r="M68" i="4" s="1"/>
  <c r="M71" i="4" s="1"/>
  <c r="C13" i="7"/>
  <c r="D13" i="7" s="1"/>
  <c r="H18" i="1"/>
  <c r="B38" i="7" s="1"/>
  <c r="E38" i="7" s="1"/>
  <c r="F38" i="7" s="1"/>
  <c r="F40" i="7" s="1"/>
  <c r="H21" i="1" s="1"/>
  <c r="N5" i="1"/>
  <c r="W53" i="2"/>
  <c r="Y53" i="2" s="1"/>
  <c r="W57" i="2"/>
  <c r="Y57" i="2" s="1"/>
  <c r="O59" i="2"/>
  <c r="Q59" i="2" s="1"/>
  <c r="X73" i="2"/>
  <c r="O82" i="2"/>
  <c r="Q82" i="2" s="1"/>
  <c r="P82" i="2"/>
  <c r="Y91" i="2"/>
  <c r="X91" i="2"/>
  <c r="Y103" i="2"/>
  <c r="X103" i="2"/>
  <c r="W144" i="2"/>
  <c r="Y144" i="2" s="1"/>
  <c r="W156" i="2"/>
  <c r="Y156" i="2" s="1"/>
  <c r="O159" i="2"/>
  <c r="Q159" i="2" s="1"/>
  <c r="Q188" i="2"/>
  <c r="P188" i="2"/>
  <c r="O198" i="2"/>
  <c r="Q198" i="2" s="1"/>
  <c r="W205" i="2"/>
  <c r="Y205" i="2" s="1"/>
  <c r="O214" i="2"/>
  <c r="Q214" i="2" s="1"/>
  <c r="W221" i="2"/>
  <c r="Y221" i="2" s="1"/>
  <c r="O70" i="3"/>
  <c r="Q70" i="3" s="1"/>
  <c r="O75" i="3"/>
  <c r="Q75" i="3" s="1"/>
  <c r="C67" i="2"/>
  <c r="C80" i="2"/>
  <c r="C81" i="2"/>
  <c r="C82" i="2"/>
  <c r="C83" i="2"/>
  <c r="C96" i="2"/>
  <c r="C97" i="2"/>
  <c r="C98" i="2"/>
  <c r="C99" i="2"/>
  <c r="C112" i="2"/>
  <c r="C113" i="2"/>
  <c r="C114" i="2"/>
  <c r="C115" i="2"/>
  <c r="X118" i="2"/>
  <c r="P119" i="2"/>
  <c r="X122" i="2"/>
  <c r="P123" i="2"/>
  <c r="X126" i="2"/>
  <c r="P127" i="2"/>
  <c r="X130" i="2"/>
  <c r="P131" i="2"/>
  <c r="X134" i="2"/>
  <c r="P135" i="2"/>
  <c r="X142" i="2"/>
  <c r="P146" i="2"/>
  <c r="O147" i="2"/>
  <c r="Q147" i="2" s="1"/>
  <c r="Q148" i="2"/>
  <c r="P148" i="2"/>
  <c r="O166" i="2"/>
  <c r="Q166" i="2" s="1"/>
  <c r="P166" i="2"/>
  <c r="W173" i="2"/>
  <c r="Y173" i="2" s="1"/>
  <c r="O176" i="2"/>
  <c r="Q176" i="2" s="1"/>
  <c r="O182" i="2"/>
  <c r="Q182" i="2" s="1"/>
  <c r="P182" i="2"/>
  <c r="W189" i="2"/>
  <c r="Y189" i="2" s="1"/>
  <c r="O192" i="2"/>
  <c r="Q192" i="2" s="1"/>
  <c r="X196" i="2"/>
  <c r="O200" i="2"/>
  <c r="Q200" i="2" s="1"/>
  <c r="Q204" i="2"/>
  <c r="P204" i="2"/>
  <c r="X212" i="2"/>
  <c r="O216" i="2"/>
  <c r="Q216" i="2" s="1"/>
  <c r="Q220" i="2"/>
  <c r="P220" i="2"/>
  <c r="X228" i="2"/>
  <c r="Y236" i="2"/>
  <c r="X236" i="2"/>
  <c r="X248" i="2"/>
  <c r="Y255" i="2"/>
  <c r="X255" i="2"/>
  <c r="Q36" i="3"/>
  <c r="P36" i="3"/>
  <c r="O150" i="3"/>
  <c r="Q150" i="3" s="1"/>
  <c r="W116" i="2"/>
  <c r="Y116" i="2" s="1"/>
  <c r="W120" i="2"/>
  <c r="Y120" i="2" s="1"/>
  <c r="W124" i="2"/>
  <c r="Y124" i="2" s="1"/>
  <c r="W149" i="2"/>
  <c r="Y149" i="2" s="1"/>
  <c r="Q172" i="2"/>
  <c r="P172" i="2"/>
  <c r="W245" i="2"/>
  <c r="Y245" i="2" s="1"/>
  <c r="W92" i="2"/>
  <c r="Y92" i="2" s="1"/>
  <c r="P93" i="2"/>
  <c r="O95" i="2"/>
  <c r="Q95" i="2" s="1"/>
  <c r="P96" i="2"/>
  <c r="O97" i="2"/>
  <c r="Q97" i="2" s="1"/>
  <c r="P98" i="2"/>
  <c r="X100" i="2"/>
  <c r="W108" i="2"/>
  <c r="Y108" i="2" s="1"/>
  <c r="P109" i="2"/>
  <c r="P112" i="2"/>
  <c r="O113" i="2"/>
  <c r="Q113" i="2" s="1"/>
  <c r="P114" i="2"/>
  <c r="O116" i="2"/>
  <c r="Q116" i="2" s="1"/>
  <c r="P117" i="2"/>
  <c r="O124" i="2"/>
  <c r="Q124" i="2" s="1"/>
  <c r="P125" i="2"/>
  <c r="O132" i="2"/>
  <c r="Q132" i="2" s="1"/>
  <c r="W138" i="2"/>
  <c r="Y138" i="2" s="1"/>
  <c r="Q142" i="2"/>
  <c r="P142" i="2"/>
  <c r="W153" i="2"/>
  <c r="Y153" i="2" s="1"/>
  <c r="W158" i="2"/>
  <c r="Y158" i="2" s="1"/>
  <c r="W160" i="2"/>
  <c r="Y160" i="2" s="1"/>
  <c r="O163" i="2"/>
  <c r="Q163" i="2" s="1"/>
  <c r="Q164" i="2"/>
  <c r="P164" i="2"/>
  <c r="Q180" i="2"/>
  <c r="P180" i="2"/>
  <c r="W197" i="2"/>
  <c r="Y197" i="2" s="1"/>
  <c r="O206" i="2"/>
  <c r="Q206" i="2" s="1"/>
  <c r="W213" i="2"/>
  <c r="Y213" i="2" s="1"/>
  <c r="O222" i="2"/>
  <c r="Q222" i="2" s="1"/>
  <c r="W229" i="2"/>
  <c r="Y229" i="2" s="1"/>
  <c r="W244" i="2"/>
  <c r="Y244" i="2" s="1"/>
  <c r="W246" i="2"/>
  <c r="Y246" i="2" s="1"/>
  <c r="Y260" i="2"/>
  <c r="X260" i="2"/>
  <c r="Z19" i="3"/>
  <c r="W19" i="3" s="1"/>
  <c r="Y19" i="3" s="1"/>
  <c r="V20" i="3"/>
  <c r="O28" i="3"/>
  <c r="Q28" i="3" s="1"/>
  <c r="O38" i="3"/>
  <c r="Q38" i="3" s="1"/>
  <c r="O54" i="3"/>
  <c r="Q54" i="3" s="1"/>
  <c r="O59" i="3"/>
  <c r="Q59" i="3" s="1"/>
  <c r="O86" i="3"/>
  <c r="Q86" i="3" s="1"/>
  <c r="O91" i="3"/>
  <c r="Q91" i="3" s="1"/>
  <c r="W128" i="2"/>
  <c r="Y128" i="2" s="1"/>
  <c r="W132" i="2"/>
  <c r="Y132" i="2" s="1"/>
  <c r="O139" i="2"/>
  <c r="Q139" i="2" s="1"/>
  <c r="W143" i="2"/>
  <c r="Y143" i="2" s="1"/>
  <c r="W151" i="2"/>
  <c r="Y151" i="2" s="1"/>
  <c r="O154" i="2"/>
  <c r="Q154" i="2" s="1"/>
  <c r="O161" i="2"/>
  <c r="Q161" i="2" s="1"/>
  <c r="P161" i="2"/>
  <c r="W230" i="2"/>
  <c r="Y230" i="2" s="1"/>
  <c r="X230" i="2"/>
  <c r="W262" i="2"/>
  <c r="Y262" i="2" s="1"/>
  <c r="C58" i="2"/>
  <c r="X61" i="2"/>
  <c r="X68" i="2"/>
  <c r="X84" i="2"/>
  <c r="O99" i="2"/>
  <c r="Q99" i="2" s="1"/>
  <c r="O111" i="2"/>
  <c r="Q111" i="2" s="1"/>
  <c r="O115" i="2"/>
  <c r="Q115" i="2" s="1"/>
  <c r="O120" i="2"/>
  <c r="Q120" i="2" s="1"/>
  <c r="P121" i="2"/>
  <c r="O128" i="2"/>
  <c r="Q128" i="2" s="1"/>
  <c r="P129" i="2"/>
  <c r="P133" i="2"/>
  <c r="O136" i="2"/>
  <c r="Q136" i="2" s="1"/>
  <c r="C3" i="3"/>
  <c r="D6" i="3" s="1"/>
  <c r="C10" i="2"/>
  <c r="E39" i="2" s="1"/>
  <c r="N6" i="1"/>
  <c r="C14" i="7" s="1"/>
  <c r="F14" i="7" s="1"/>
  <c r="N10" i="1" s="1"/>
  <c r="B150" i="2"/>
  <c r="B148" i="2"/>
  <c r="B151" i="2"/>
  <c r="F58" i="2"/>
  <c r="B149" i="2"/>
  <c r="E43" i="2"/>
  <c r="F43" i="2" s="1"/>
  <c r="P51" i="2"/>
  <c r="X54" i="2"/>
  <c r="O55" i="2"/>
  <c r="Q55" i="2" s="1"/>
  <c r="X60" i="2"/>
  <c r="P61" i="2"/>
  <c r="P68" i="2"/>
  <c r="X69" i="2"/>
  <c r="C72" i="2"/>
  <c r="X72" i="2"/>
  <c r="C73" i="2"/>
  <c r="C74" i="2"/>
  <c r="X74" i="2"/>
  <c r="C75" i="2"/>
  <c r="O76" i="2"/>
  <c r="Q76" i="2" s="1"/>
  <c r="P84" i="2"/>
  <c r="X85" i="2"/>
  <c r="C88" i="2"/>
  <c r="X88" i="2"/>
  <c r="C89" i="2"/>
  <c r="C90" i="2"/>
  <c r="X90" i="2"/>
  <c r="C91" i="2"/>
  <c r="O92" i="2"/>
  <c r="Q92" i="2" s="1"/>
  <c r="P100" i="2"/>
  <c r="X101" i="2"/>
  <c r="C104" i="2"/>
  <c r="X104" i="2"/>
  <c r="C106" i="2"/>
  <c r="X106" i="2"/>
  <c r="O108" i="2"/>
  <c r="Q108" i="2" s="1"/>
  <c r="X119" i="2"/>
  <c r="X123" i="2"/>
  <c r="X127" i="2"/>
  <c r="X131" i="2"/>
  <c r="X135" i="2"/>
  <c r="W136" i="2"/>
  <c r="Y136" i="2" s="1"/>
  <c r="X141" i="2"/>
  <c r="O144" i="2"/>
  <c r="Q144" i="2" s="1"/>
  <c r="P144" i="2"/>
  <c r="W146" i="2"/>
  <c r="Y146" i="2" s="1"/>
  <c r="Y148" i="2"/>
  <c r="X148" i="2"/>
  <c r="O149" i="2"/>
  <c r="Q149" i="2" s="1"/>
  <c r="W165" i="2"/>
  <c r="Y165" i="2" s="1"/>
  <c r="O168" i="2"/>
  <c r="Q168" i="2" s="1"/>
  <c r="O174" i="2"/>
  <c r="Q174" i="2" s="1"/>
  <c r="W181" i="2"/>
  <c r="Y181" i="2" s="1"/>
  <c r="O184" i="2"/>
  <c r="Q184" i="2" s="1"/>
  <c r="O190" i="2"/>
  <c r="Q190" i="2" s="1"/>
  <c r="Q196" i="2"/>
  <c r="P196" i="2"/>
  <c r="X204" i="2"/>
  <c r="O208" i="2"/>
  <c r="Q208" i="2" s="1"/>
  <c r="Q212" i="2"/>
  <c r="P212" i="2"/>
  <c r="X220" i="2"/>
  <c r="O224" i="2"/>
  <c r="Q224" i="2" s="1"/>
  <c r="Q228" i="2"/>
  <c r="P228" i="2"/>
  <c r="X232" i="2"/>
  <c r="Y239" i="2"/>
  <c r="X239" i="2"/>
  <c r="Y252" i="2"/>
  <c r="X252" i="2"/>
  <c r="O20" i="3"/>
  <c r="Q20" i="3" s="1"/>
  <c r="O41" i="3"/>
  <c r="Q41" i="3" s="1"/>
  <c r="P143" i="2"/>
  <c r="P151" i="2"/>
  <c r="P155" i="2"/>
  <c r="P160" i="2"/>
  <c r="X161" i="2"/>
  <c r="W163" i="2"/>
  <c r="Y163" i="2" s="1"/>
  <c r="P165" i="2"/>
  <c r="X166" i="2"/>
  <c r="W168" i="2"/>
  <c r="Y168" i="2" s="1"/>
  <c r="P173" i="2"/>
  <c r="X174" i="2"/>
  <c r="W176" i="2"/>
  <c r="Y176" i="2" s="1"/>
  <c r="P181" i="2"/>
  <c r="X182" i="2"/>
  <c r="W184" i="2"/>
  <c r="Y184" i="2" s="1"/>
  <c r="P189" i="2"/>
  <c r="X190" i="2"/>
  <c r="W192" i="2"/>
  <c r="Y192" i="2" s="1"/>
  <c r="W258" i="2"/>
  <c r="Y258" i="2" s="1"/>
  <c r="X261" i="2"/>
  <c r="O21" i="3"/>
  <c r="Q21" i="3" s="1"/>
  <c r="P25" i="3"/>
  <c r="O42" i="3"/>
  <c r="Q42" i="3" s="1"/>
  <c r="P45" i="3"/>
  <c r="O63" i="3"/>
  <c r="Q63" i="3" s="1"/>
  <c r="O79" i="3"/>
  <c r="Q79" i="3" s="1"/>
  <c r="O95" i="3"/>
  <c r="Q95" i="3" s="1"/>
  <c r="O108" i="3"/>
  <c r="Q108" i="3" s="1"/>
  <c r="P111" i="3"/>
  <c r="O120" i="3"/>
  <c r="Q120" i="3" s="1"/>
  <c r="O125" i="3"/>
  <c r="Q125" i="3" s="1"/>
  <c r="O134" i="3"/>
  <c r="Q134" i="3" s="1"/>
  <c r="Q168" i="3"/>
  <c r="P168" i="3"/>
  <c r="X139" i="2"/>
  <c r="X147" i="2"/>
  <c r="X169" i="2"/>
  <c r="X177" i="2"/>
  <c r="X185" i="2"/>
  <c r="X193" i="2"/>
  <c r="P199" i="2"/>
  <c r="X199" i="2"/>
  <c r="X201" i="2"/>
  <c r="P207" i="2"/>
  <c r="X207" i="2"/>
  <c r="X209" i="2"/>
  <c r="P215" i="2"/>
  <c r="X215" i="2"/>
  <c r="X217" i="2"/>
  <c r="P223" i="2"/>
  <c r="X223" i="2"/>
  <c r="X225" i="2"/>
  <c r="X237" i="2"/>
  <c r="X243" i="2"/>
  <c r="X253" i="2"/>
  <c r="X256" i="2"/>
  <c r="X257" i="2"/>
  <c r="P19" i="3"/>
  <c r="P40" i="3"/>
  <c r="O46" i="3"/>
  <c r="Q46" i="3" s="1"/>
  <c r="P50" i="3"/>
  <c r="O51" i="3"/>
  <c r="Q51" i="3" s="1"/>
  <c r="P66" i="3"/>
  <c r="O67" i="3"/>
  <c r="Q67" i="3" s="1"/>
  <c r="P82" i="3"/>
  <c r="O83" i="3"/>
  <c r="Q83" i="3" s="1"/>
  <c r="Q106" i="3"/>
  <c r="P106" i="3"/>
  <c r="O107" i="3"/>
  <c r="Q107" i="3" s="1"/>
  <c r="Q118" i="3"/>
  <c r="P118" i="3"/>
  <c r="O138" i="3"/>
  <c r="Q138" i="3" s="1"/>
  <c r="X154" i="2"/>
  <c r="X159" i="2"/>
  <c r="P169" i="2"/>
  <c r="P177" i="2"/>
  <c r="P185" i="2"/>
  <c r="P193" i="2"/>
  <c r="X194" i="2"/>
  <c r="O197" i="2"/>
  <c r="Q197" i="2" s="1"/>
  <c r="P201" i="2"/>
  <c r="X202" i="2"/>
  <c r="O205" i="2"/>
  <c r="Q205" i="2" s="1"/>
  <c r="P209" i="2"/>
  <c r="X210" i="2"/>
  <c r="O213" i="2"/>
  <c r="Q213" i="2" s="1"/>
  <c r="P217" i="2"/>
  <c r="X218" i="2"/>
  <c r="O221" i="2"/>
  <c r="Q221" i="2" s="1"/>
  <c r="P225" i="2"/>
  <c r="X226" i="2"/>
  <c r="O229" i="2"/>
  <c r="Q229" i="2" s="1"/>
  <c r="W233" i="2"/>
  <c r="Y233" i="2" s="1"/>
  <c r="X234" i="2"/>
  <c r="X241" i="2"/>
  <c r="W249" i="2"/>
  <c r="Y249" i="2" s="1"/>
  <c r="X250" i="2"/>
  <c r="D11" i="3"/>
  <c r="E11" i="3" s="1"/>
  <c r="D9" i="3"/>
  <c r="E9" i="3" s="1"/>
  <c r="D7" i="3"/>
  <c r="E26" i="3"/>
  <c r="O34" i="3"/>
  <c r="Q34" i="3" s="1"/>
  <c r="P37" i="3"/>
  <c r="O55" i="3"/>
  <c r="Q55" i="3" s="1"/>
  <c r="O71" i="3"/>
  <c r="Q71" i="3" s="1"/>
  <c r="O87" i="3"/>
  <c r="Q87" i="3" s="1"/>
  <c r="O104" i="3"/>
  <c r="Q104" i="3" s="1"/>
  <c r="P139" i="3"/>
  <c r="Q139" i="3"/>
  <c r="O146" i="3"/>
  <c r="Q146" i="3" s="1"/>
  <c r="O96" i="3"/>
  <c r="Q96" i="3" s="1"/>
  <c r="P99" i="3"/>
  <c r="O112" i="3"/>
  <c r="Q112" i="3" s="1"/>
  <c r="P115" i="3"/>
  <c r="Q135" i="3"/>
  <c r="O100" i="3"/>
  <c r="Q100" i="3" s="1"/>
  <c r="P103" i="3"/>
  <c r="O116" i="3"/>
  <c r="Q116" i="3" s="1"/>
  <c r="O121" i="3"/>
  <c r="Q121" i="3" s="1"/>
  <c r="O162" i="3"/>
  <c r="Q162" i="3" s="1"/>
  <c r="P132" i="3"/>
  <c r="P137" i="3"/>
  <c r="O142" i="3"/>
  <c r="Q142" i="3" s="1"/>
  <c r="O154" i="3"/>
  <c r="Q154" i="3" s="1"/>
  <c r="O171" i="3"/>
  <c r="Q171" i="3" s="1"/>
  <c r="Q174" i="3"/>
  <c r="P174" i="3"/>
  <c r="O158" i="3"/>
  <c r="Q158" i="3" s="1"/>
  <c r="O196" i="3"/>
  <c r="Q196" i="3" s="1"/>
  <c r="Q165" i="3"/>
  <c r="P165" i="3"/>
  <c r="O166" i="3"/>
  <c r="Q166" i="3" s="1"/>
  <c r="O176" i="3"/>
  <c r="Q176" i="3" s="1"/>
  <c r="P159" i="3"/>
  <c r="P160" i="3"/>
  <c r="P164" i="3"/>
  <c r="Q169" i="3"/>
  <c r="P169" i="3"/>
  <c r="O170" i="3"/>
  <c r="Q170" i="3" s="1"/>
  <c r="P147" i="3"/>
  <c r="P151" i="3"/>
  <c r="P155" i="3"/>
  <c r="O179" i="3"/>
  <c r="Q179" i="3" s="1"/>
  <c r="O180" i="3"/>
  <c r="Q180" i="3" s="1"/>
  <c r="P183" i="3"/>
  <c r="P187" i="3"/>
  <c r="P191" i="3"/>
  <c r="P195" i="3"/>
  <c r="O184" i="3"/>
  <c r="Q184" i="3" s="1"/>
  <c r="O188" i="3"/>
  <c r="Q188" i="3" s="1"/>
  <c r="O192" i="3"/>
  <c r="Q192" i="3" s="1"/>
  <c r="A2" i="5"/>
  <c r="P175" i="3"/>
  <c r="P182" i="3"/>
  <c r="P186" i="3"/>
  <c r="P190" i="3"/>
  <c r="N15" i="4"/>
  <c r="G21" i="7"/>
  <c r="P197" i="3"/>
  <c r="F9" i="6"/>
  <c r="F10" i="6"/>
  <c r="G9" i="6"/>
  <c r="G10" i="6"/>
  <c r="B9" i="6"/>
  <c r="P55" i="3" l="1"/>
  <c r="P222" i="2"/>
  <c r="P214" i="2"/>
  <c r="X195" i="2"/>
  <c r="P97" i="3"/>
  <c r="P27" i="3"/>
  <c r="P59" i="2"/>
  <c r="X143" i="2"/>
  <c r="P124" i="2"/>
  <c r="P22" i="3"/>
  <c r="X95" i="2"/>
  <c r="X235" i="2"/>
  <c r="P188" i="3"/>
  <c r="X181" i="2"/>
  <c r="P38" i="3"/>
  <c r="X221" i="2"/>
  <c r="P41" i="3"/>
  <c r="P147" i="2"/>
  <c r="X205" i="2"/>
  <c r="P95" i="3"/>
  <c r="P184" i="2"/>
  <c r="P120" i="2"/>
  <c r="P200" i="2"/>
  <c r="X57" i="2"/>
  <c r="P81" i="3"/>
  <c r="P138" i="3"/>
  <c r="X229" i="2"/>
  <c r="P117" i="3"/>
  <c r="P59" i="3"/>
  <c r="X213" i="2"/>
  <c r="P75" i="3"/>
  <c r="P79" i="2"/>
  <c r="X258" i="2"/>
  <c r="X262" i="2"/>
  <c r="P206" i="2"/>
  <c r="P77" i="2"/>
  <c r="R28" i="25"/>
  <c r="P71" i="2"/>
  <c r="P77" i="3"/>
  <c r="X263" i="2"/>
  <c r="P208" i="2"/>
  <c r="P91" i="3"/>
  <c r="P163" i="2"/>
  <c r="P173" i="3"/>
  <c r="P113" i="3"/>
  <c r="P73" i="3"/>
  <c r="P86" i="3"/>
  <c r="P44" i="3"/>
  <c r="X211" i="2"/>
  <c r="P119" i="3"/>
  <c r="P107" i="3"/>
  <c r="X240" i="2"/>
  <c r="P127" i="3"/>
  <c r="P110" i="2"/>
  <c r="X158" i="2"/>
  <c r="P198" i="2"/>
  <c r="X86" i="2"/>
  <c r="P102" i="2"/>
  <c r="P57" i="3"/>
  <c r="P63" i="3"/>
  <c r="P149" i="3"/>
  <c r="P181" i="3"/>
  <c r="X97" i="2"/>
  <c r="P54" i="3"/>
  <c r="P33" i="3"/>
  <c r="P102" i="3"/>
  <c r="P178" i="3"/>
  <c r="P170" i="3"/>
  <c r="D20" i="25"/>
  <c r="D19" i="25" s="1"/>
  <c r="P140" i="3"/>
  <c r="P65" i="3"/>
  <c r="P83" i="3"/>
  <c r="P104" i="3"/>
  <c r="P42" i="3"/>
  <c r="P154" i="2"/>
  <c r="P123" i="3"/>
  <c r="P158" i="2"/>
  <c r="P49" i="3"/>
  <c r="P87" i="3"/>
  <c r="P67" i="3"/>
  <c r="X197" i="2"/>
  <c r="P132" i="2"/>
  <c r="X144" i="2"/>
  <c r="P29" i="3"/>
  <c r="X227" i="2"/>
  <c r="P69" i="3"/>
  <c r="P224" i="2"/>
  <c r="P168" i="2"/>
  <c r="P70" i="3"/>
  <c r="X99" i="2"/>
  <c r="X152" i="2"/>
  <c r="P177" i="3"/>
  <c r="P71" i="3"/>
  <c r="P51" i="3"/>
  <c r="P125" i="3"/>
  <c r="X176" i="2"/>
  <c r="P105" i="2"/>
  <c r="P194" i="3"/>
  <c r="P109" i="3"/>
  <c r="P221" i="2"/>
  <c r="X165" i="2"/>
  <c r="X132" i="2"/>
  <c r="X76" i="2"/>
  <c r="P89" i="3"/>
  <c r="P26" i="3"/>
  <c r="G60" i="2"/>
  <c r="I60" i="2" s="1"/>
  <c r="H14" i="1"/>
  <c r="D18" i="4"/>
  <c r="B3" i="6"/>
  <c r="C10" i="6" s="1"/>
  <c r="J18" i="7"/>
  <c r="K18" i="7" s="1"/>
  <c r="K12" i="1" s="1"/>
  <c r="K73" i="1" s="1"/>
  <c r="H37" i="18"/>
  <c r="E4" i="16" s="1"/>
  <c r="Y21" i="19"/>
  <c r="X21" i="19"/>
  <c r="V23" i="19"/>
  <c r="Z22" i="19"/>
  <c r="F5" i="16"/>
  <c r="Q12" i="13"/>
  <c r="Q13" i="13" s="1"/>
  <c r="F40" i="2"/>
  <c r="C27" i="7"/>
  <c r="D27" i="7" s="1"/>
  <c r="F27" i="7" s="1"/>
  <c r="H27" i="7" s="1"/>
  <c r="C26" i="7"/>
  <c r="D26" i="7" s="1"/>
  <c r="F26" i="7" s="1"/>
  <c r="H26" i="7" s="1"/>
  <c r="I51" i="2"/>
  <c r="C28" i="7"/>
  <c r="D28" i="7" s="1"/>
  <c r="F28" i="7" s="1"/>
  <c r="H28" i="7" s="1"/>
  <c r="I55" i="2"/>
  <c r="C30" i="7"/>
  <c r="Q9" i="1"/>
  <c r="I160" i="2"/>
  <c r="H23" i="3"/>
  <c r="X124" i="2"/>
  <c r="X116" i="2"/>
  <c r="X189" i="2"/>
  <c r="P176" i="2"/>
  <c r="X156" i="2"/>
  <c r="X108" i="2"/>
  <c r="N16" i="4"/>
  <c r="X92" i="2"/>
  <c r="P80" i="2"/>
  <c r="P121" i="3"/>
  <c r="P96" i="3"/>
  <c r="P146" i="3"/>
  <c r="P100" i="3"/>
  <c r="P112" i="3"/>
  <c r="P34" i="3"/>
  <c r="P46" i="3"/>
  <c r="P134" i="3"/>
  <c r="P120" i="3"/>
  <c r="P108" i="3"/>
  <c r="P79" i="3"/>
  <c r="P21" i="3"/>
  <c r="X249" i="2"/>
  <c r="P213" i="2"/>
  <c r="P20" i="3"/>
  <c r="P174" i="2"/>
  <c r="P149" i="2"/>
  <c r="X146" i="2"/>
  <c r="X136" i="2"/>
  <c r="G62" i="2"/>
  <c r="G64" i="2"/>
  <c r="G61" i="2"/>
  <c r="I61" i="2" s="1"/>
  <c r="G63" i="2"/>
  <c r="P136" i="2"/>
  <c r="P128" i="2"/>
  <c r="X151" i="2"/>
  <c r="P139" i="2"/>
  <c r="X128" i="2"/>
  <c r="P28" i="3"/>
  <c r="X19" i="3"/>
  <c r="X192" i="2"/>
  <c r="P108" i="2"/>
  <c r="P55" i="2"/>
  <c r="P115" i="2"/>
  <c r="P180" i="3"/>
  <c r="P166" i="3"/>
  <c r="P196" i="3"/>
  <c r="P154" i="3"/>
  <c r="P192" i="3"/>
  <c r="P184" i="3"/>
  <c r="H12" i="1"/>
  <c r="P179" i="3"/>
  <c r="P176" i="3"/>
  <c r="P158" i="3"/>
  <c r="P171" i="3"/>
  <c r="P142" i="3"/>
  <c r="P162" i="3"/>
  <c r="P116" i="3"/>
  <c r="K28" i="3"/>
  <c r="F31" i="3"/>
  <c r="F30" i="3"/>
  <c r="F28" i="3"/>
  <c r="X233" i="2"/>
  <c r="P205" i="2"/>
  <c r="G160" i="2"/>
  <c r="K164" i="2"/>
  <c r="F39" i="2"/>
  <c r="G164" i="2"/>
  <c r="G156" i="2"/>
  <c r="G51" i="2"/>
  <c r="X184" i="2"/>
  <c r="X244" i="2"/>
  <c r="X160" i="2"/>
  <c r="X153" i="2"/>
  <c r="X138" i="2"/>
  <c r="P116" i="2"/>
  <c r="X245" i="2"/>
  <c r="X149" i="2"/>
  <c r="X120" i="2"/>
  <c r="P150" i="3"/>
  <c r="P216" i="2"/>
  <c r="P192" i="2"/>
  <c r="X173" i="2"/>
  <c r="P92" i="2"/>
  <c r="G12" i="6"/>
  <c r="G13" i="6" s="1"/>
  <c r="P111" i="2"/>
  <c r="P81" i="2"/>
  <c r="P66" i="2"/>
  <c r="P54" i="2"/>
  <c r="P99" i="2"/>
  <c r="P83" i="2"/>
  <c r="X55" i="2"/>
  <c r="H19" i="3"/>
  <c r="E7" i="3"/>
  <c r="P229" i="2"/>
  <c r="P197" i="2"/>
  <c r="P190" i="2"/>
  <c r="X163" i="2"/>
  <c r="E152" i="2"/>
  <c r="E6" i="3"/>
  <c r="F23" i="3"/>
  <c r="F19" i="3"/>
  <c r="X168" i="2"/>
  <c r="V21" i="3"/>
  <c r="Z20" i="3"/>
  <c r="X246" i="2"/>
  <c r="P76" i="2"/>
  <c r="P159" i="2"/>
  <c r="X53" i="2"/>
  <c r="F13" i="7"/>
  <c r="H13" i="7" s="1"/>
  <c r="N9" i="1" s="1"/>
  <c r="E13" i="7"/>
  <c r="P97" i="2"/>
  <c r="P67" i="2"/>
  <c r="P113" i="2"/>
  <c r="P95" i="2"/>
  <c r="X51" i="2"/>
  <c r="C9" i="6" l="1"/>
  <c r="C14" i="6" s="1"/>
  <c r="D14" i="6" s="1"/>
  <c r="K15" i="9"/>
  <c r="H15" i="9"/>
  <c r="I15" i="9" s="1"/>
  <c r="C15" i="6"/>
  <c r="D15" i="6" s="1"/>
  <c r="G11" i="6"/>
  <c r="F11" i="6"/>
  <c r="K19" i="7"/>
  <c r="K13" i="1" s="1"/>
  <c r="K59" i="2"/>
  <c r="K60" i="2" s="1"/>
  <c r="F18" i="2" s="1"/>
  <c r="M14" i="2" s="1"/>
  <c r="K14" i="1"/>
  <c r="W22" i="19"/>
  <c r="Y22" i="19" s="1"/>
  <c r="Z23" i="19"/>
  <c r="W23" i="19" s="1"/>
  <c r="V24" i="19"/>
  <c r="D30" i="7"/>
  <c r="F30" i="7" s="1"/>
  <c r="H30" i="7" s="1"/>
  <c r="D29" i="7"/>
  <c r="F29" i="7" s="1"/>
  <c r="H29" i="7" s="1"/>
  <c r="K160" i="2"/>
  <c r="J23" i="3"/>
  <c r="F12" i="6"/>
  <c r="V22" i="3"/>
  <c r="Z21" i="3"/>
  <c r="W20" i="3"/>
  <c r="Y20" i="3" s="1"/>
  <c r="J19" i="3"/>
  <c r="L40" i="4"/>
  <c r="S50" i="4"/>
  <c r="N18" i="4"/>
  <c r="L50" i="4"/>
  <c r="D13" i="4" s="1"/>
  <c r="L32" i="4"/>
  <c r="L60" i="4"/>
  <c r="D15" i="4" s="1"/>
  <c r="D17" i="4" s="1"/>
  <c r="K156" i="2"/>
  <c r="K51" i="2"/>
  <c r="G55" i="2" s="1"/>
  <c r="K55" i="2" s="1"/>
  <c r="I63" i="2" s="1"/>
  <c r="H28" i="3"/>
  <c r="M28" i="3"/>
  <c r="D25" i="4"/>
  <c r="I64" i="2"/>
  <c r="G22" i="2"/>
  <c r="E11" i="1" s="1"/>
  <c r="K70" i="1" s="1"/>
  <c r="H31" i="7" l="1"/>
  <c r="E21" i="1" s="1"/>
  <c r="F13" i="6"/>
  <c r="H13" i="6" s="1"/>
  <c r="Q11" i="1" s="1"/>
  <c r="D16" i="6"/>
  <c r="Q12" i="1" s="1"/>
  <c r="H17" i="9"/>
  <c r="P20" i="24"/>
  <c r="P21" i="24" s="1"/>
  <c r="I21" i="24" s="1"/>
  <c r="K21" i="24" s="1"/>
  <c r="K40" i="24" s="1"/>
  <c r="K41" i="24" s="1"/>
  <c r="K42" i="24" s="1"/>
  <c r="Y23" i="19"/>
  <c r="X23" i="19"/>
  <c r="V25" i="19"/>
  <c r="Z24" i="19"/>
  <c r="W24" i="19" s="1"/>
  <c r="X22" i="19"/>
  <c r="W21" i="3"/>
  <c r="Y21" i="3" s="1"/>
  <c r="S32" i="4"/>
  <c r="S34" i="4" s="1"/>
  <c r="D14" i="4"/>
  <c r="R29" i="4"/>
  <c r="D12" i="4"/>
  <c r="V23" i="3"/>
  <c r="Z22" i="3"/>
  <c r="W22" i="3"/>
  <c r="Y22" i="3" s="1"/>
  <c r="I62" i="2"/>
  <c r="I66" i="2" s="1"/>
  <c r="F17" i="2" s="1"/>
  <c r="J34" i="3"/>
  <c r="I18" i="2" s="1"/>
  <c r="N14" i="2" s="1"/>
  <c r="F17" i="4"/>
  <c r="X20" i="3"/>
  <c r="X22" i="3" l="1"/>
  <c r="O14" i="2"/>
  <c r="E15" i="1" s="1"/>
  <c r="R28" i="4"/>
  <c r="Y24" i="19"/>
  <c r="X24" i="19"/>
  <c r="V26" i="19"/>
  <c r="Z25" i="19"/>
  <c r="X21" i="3"/>
  <c r="Z23" i="3"/>
  <c r="W23" i="3" s="1"/>
  <c r="Y23" i="3" s="1"/>
  <c r="V24" i="3"/>
  <c r="D16" i="4"/>
  <c r="W25" i="19" l="1"/>
  <c r="Y25" i="19" s="1"/>
  <c r="M13" i="2"/>
  <c r="Z26" i="19"/>
  <c r="W26" i="19" s="1"/>
  <c r="Y26" i="19" s="1"/>
  <c r="V27" i="19"/>
  <c r="X23" i="3"/>
  <c r="Z24" i="3"/>
  <c r="W24" i="3" s="1"/>
  <c r="Y24" i="3" s="1"/>
  <c r="V25" i="3"/>
  <c r="F16" i="4"/>
  <c r="F18" i="4" s="1"/>
  <c r="G18" i="4" s="1"/>
  <c r="H10" i="1" s="1"/>
  <c r="D20" i="4"/>
  <c r="X26" i="19" l="1"/>
  <c r="X25" i="19"/>
  <c r="Z27" i="19"/>
  <c r="W27" i="19" s="1"/>
  <c r="V28" i="19"/>
  <c r="X24" i="3"/>
  <c r="D19" i="4"/>
  <c r="H9" i="1"/>
  <c r="V26" i="3"/>
  <c r="Z25" i="3"/>
  <c r="Y27" i="19" l="1"/>
  <c r="X27" i="19"/>
  <c r="V29" i="19"/>
  <c r="Z28" i="19"/>
  <c r="W28" i="19" s="1"/>
  <c r="Z26" i="3"/>
  <c r="V27" i="3"/>
  <c r="W25" i="3"/>
  <c r="Y25" i="3" s="1"/>
  <c r="Y28" i="19" l="1"/>
  <c r="X28" i="19"/>
  <c r="V30" i="19"/>
  <c r="Z29" i="19"/>
  <c r="W29" i="19" s="1"/>
  <c r="Y29" i="19" s="1"/>
  <c r="V28" i="3"/>
  <c r="Z27" i="3"/>
  <c r="W26" i="3"/>
  <c r="Y26" i="3" s="1"/>
  <c r="X25" i="3"/>
  <c r="X29" i="19" l="1"/>
  <c r="V31" i="19"/>
  <c r="Z30" i="19"/>
  <c r="W27" i="3"/>
  <c r="Y27" i="3" s="1"/>
  <c r="V29" i="3"/>
  <c r="Z28" i="3"/>
  <c r="W28" i="3" s="1"/>
  <c r="Y28" i="3" s="1"/>
  <c r="X26" i="3"/>
  <c r="W30" i="19" l="1"/>
  <c r="Y30" i="19" s="1"/>
  <c r="Z31" i="19"/>
  <c r="W31" i="19" s="1"/>
  <c r="Y31" i="19" s="1"/>
  <c r="V32" i="19"/>
  <c r="X28" i="3"/>
  <c r="V30" i="3"/>
  <c r="Z29" i="3"/>
  <c r="X27" i="3"/>
  <c r="X31" i="19" l="1"/>
  <c r="V33" i="19"/>
  <c r="Z32" i="19"/>
  <c r="W32" i="19" s="1"/>
  <c r="Y32" i="19" s="1"/>
  <c r="X30" i="19"/>
  <c r="W29" i="3"/>
  <c r="Y29" i="3" s="1"/>
  <c r="V31" i="3"/>
  <c r="Z30" i="3"/>
  <c r="X32" i="19" l="1"/>
  <c r="Z33" i="19"/>
  <c r="V34" i="19"/>
  <c r="W30" i="3"/>
  <c r="Y30" i="3" s="1"/>
  <c r="Z31" i="3"/>
  <c r="V32" i="3"/>
  <c r="X29" i="3"/>
  <c r="V35" i="19" l="1"/>
  <c r="Z34" i="19"/>
  <c r="W33" i="19"/>
  <c r="Y33" i="19" s="1"/>
  <c r="W31" i="3"/>
  <c r="Y31" i="3" s="1"/>
  <c r="V33" i="3"/>
  <c r="Z32" i="3"/>
  <c r="X30" i="3"/>
  <c r="W34" i="19" l="1"/>
  <c r="Y34" i="19" s="1"/>
  <c r="Z35" i="19"/>
  <c r="V36" i="19"/>
  <c r="X33" i="19"/>
  <c r="Z33" i="3"/>
  <c r="V34" i="3"/>
  <c r="W32" i="3"/>
  <c r="Y32" i="3" s="1"/>
  <c r="X31" i="3"/>
  <c r="W35" i="19" l="1"/>
  <c r="Y35" i="19" s="1"/>
  <c r="V37" i="19"/>
  <c r="Z36" i="19"/>
  <c r="X34" i="19"/>
  <c r="V35" i="3"/>
  <c r="Z34" i="3"/>
  <c r="W33" i="3"/>
  <c r="Y33" i="3" s="1"/>
  <c r="X32" i="3"/>
  <c r="W36" i="19" l="1"/>
  <c r="Y36" i="19" s="1"/>
  <c r="V38" i="19"/>
  <c r="Z37" i="19"/>
  <c r="W37" i="19" s="1"/>
  <c r="Y37" i="19" s="1"/>
  <c r="X35" i="19"/>
  <c r="W34" i="3"/>
  <c r="Y34" i="3" s="1"/>
  <c r="Z35" i="3"/>
  <c r="V36" i="3"/>
  <c r="X33" i="3"/>
  <c r="V39" i="19" l="1"/>
  <c r="Z38" i="19"/>
  <c r="X37" i="19"/>
  <c r="X36" i="19"/>
  <c r="W35" i="3"/>
  <c r="Y35" i="3" s="1"/>
  <c r="Z36" i="3"/>
  <c r="V37" i="3"/>
  <c r="X34" i="3"/>
  <c r="W36" i="3" l="1"/>
  <c r="Y36" i="3" s="1"/>
  <c r="W38" i="19"/>
  <c r="Y38" i="19" s="1"/>
  <c r="Z39" i="19"/>
  <c r="V40" i="19"/>
  <c r="V38" i="3"/>
  <c r="Z37" i="3"/>
  <c r="X35" i="3"/>
  <c r="X36" i="3" l="1"/>
  <c r="W39" i="19"/>
  <c r="Y39" i="19" s="1"/>
  <c r="Z40" i="19"/>
  <c r="V41" i="19"/>
  <c r="X38" i="19"/>
  <c r="W37" i="3"/>
  <c r="Y37" i="3" s="1"/>
  <c r="V39" i="3"/>
  <c r="Z38" i="3"/>
  <c r="W38" i="3" s="1"/>
  <c r="Y38" i="3" s="1"/>
  <c r="V42" i="19" l="1"/>
  <c r="Z41" i="19"/>
  <c r="W40" i="19"/>
  <c r="Y40" i="19" s="1"/>
  <c r="X39" i="19"/>
  <c r="X38" i="3"/>
  <c r="Z39" i="3"/>
  <c r="W39" i="3" s="1"/>
  <c r="Y39" i="3" s="1"/>
  <c r="V40" i="3"/>
  <c r="X37" i="3"/>
  <c r="X39" i="3" l="1"/>
  <c r="W41" i="19"/>
  <c r="Y41" i="19" s="1"/>
  <c r="V43" i="19"/>
  <c r="Z42" i="19"/>
  <c r="X40" i="19"/>
  <c r="Z40" i="3"/>
  <c r="W40" i="3" s="1"/>
  <c r="Y40" i="3" s="1"/>
  <c r="V41" i="3"/>
  <c r="W42" i="19" l="1"/>
  <c r="Y42" i="19" s="1"/>
  <c r="V44" i="19"/>
  <c r="Z43" i="19"/>
  <c r="W43" i="19" s="1"/>
  <c r="Y43" i="19" s="1"/>
  <c r="X41" i="19"/>
  <c r="X40" i="3"/>
  <c r="V42" i="3"/>
  <c r="Z41" i="3"/>
  <c r="X42" i="19" l="1"/>
  <c r="X43" i="19"/>
  <c r="Z44" i="19"/>
  <c r="W44" i="19" s="1"/>
  <c r="V45" i="19"/>
  <c r="W41" i="3"/>
  <c r="Y41" i="3" s="1"/>
  <c r="V43" i="3"/>
  <c r="Z42" i="3"/>
  <c r="W42" i="3" s="1"/>
  <c r="X42" i="3" s="1"/>
  <c r="Y44" i="19" l="1"/>
  <c r="X44" i="19"/>
  <c r="V46" i="19"/>
  <c r="Z45" i="19"/>
  <c r="W45" i="19" s="1"/>
  <c r="Y45" i="19" s="1"/>
  <c r="Y42" i="3"/>
  <c r="Z43" i="3"/>
  <c r="W43" i="3" s="1"/>
  <c r="Y43" i="3" s="1"/>
  <c r="V44" i="3"/>
  <c r="X41" i="3"/>
  <c r="X43" i="3" l="1"/>
  <c r="X45" i="19"/>
  <c r="V47" i="19"/>
  <c r="Z46" i="19"/>
  <c r="W46" i="19" s="1"/>
  <c r="Y46" i="19" s="1"/>
  <c r="Z44" i="3"/>
  <c r="W44" i="3" s="1"/>
  <c r="Y44" i="3" s="1"/>
  <c r="V45" i="3"/>
  <c r="X46" i="19" l="1"/>
  <c r="V48" i="19"/>
  <c r="Z47" i="19"/>
  <c r="W47" i="19" s="1"/>
  <c r="Y47" i="19" s="1"/>
  <c r="V46" i="3"/>
  <c r="Z45" i="3"/>
  <c r="X44" i="3"/>
  <c r="X47" i="19" l="1"/>
  <c r="Z48" i="19"/>
  <c r="W48" i="19" s="1"/>
  <c r="Y48" i="19" s="1"/>
  <c r="V49" i="19"/>
  <c r="W45" i="3"/>
  <c r="Y45" i="3" s="1"/>
  <c r="V47" i="3"/>
  <c r="Z46" i="3"/>
  <c r="W46" i="3" s="1"/>
  <c r="Y46" i="3" s="1"/>
  <c r="X46" i="3" l="1"/>
  <c r="X48" i="19"/>
  <c r="V50" i="19"/>
  <c r="Z49" i="19"/>
  <c r="V48" i="3"/>
  <c r="Z47" i="3"/>
  <c r="W47" i="3" s="1"/>
  <c r="X45" i="3"/>
  <c r="V51" i="19" l="1"/>
  <c r="Z50" i="19"/>
  <c r="W49" i="19"/>
  <c r="Y49" i="19" s="1"/>
  <c r="Y47" i="3"/>
  <c r="X47" i="3"/>
  <c r="Z48" i="3"/>
  <c r="V49" i="3"/>
  <c r="V52" i="19" l="1"/>
  <c r="Z51" i="19"/>
  <c r="W50" i="19"/>
  <c r="Y50" i="19" s="1"/>
  <c r="X49" i="19"/>
  <c r="V50" i="3"/>
  <c r="Z49" i="3"/>
  <c r="W48" i="3"/>
  <c r="Y48" i="3" s="1"/>
  <c r="W51" i="19" l="1"/>
  <c r="Y51" i="19" s="1"/>
  <c r="V53" i="19"/>
  <c r="Z52" i="19"/>
  <c r="W52" i="19" s="1"/>
  <c r="X50" i="19"/>
  <c r="V51" i="3"/>
  <c r="Z50" i="3"/>
  <c r="W49" i="3"/>
  <c r="Y49" i="3" s="1"/>
  <c r="X48" i="3"/>
  <c r="W50" i="3" l="1"/>
  <c r="Y50" i="3" s="1"/>
  <c r="X51" i="19"/>
  <c r="Y52" i="19"/>
  <c r="X52" i="19"/>
  <c r="Z53" i="19"/>
  <c r="V54" i="19"/>
  <c r="V52" i="3"/>
  <c r="Z51" i="3"/>
  <c r="W51" i="3" s="1"/>
  <c r="X49" i="3"/>
  <c r="X50" i="3" l="1"/>
  <c r="W53" i="19"/>
  <c r="Y53" i="19" s="1"/>
  <c r="Z54" i="19"/>
  <c r="V55" i="19"/>
  <c r="Y51" i="3"/>
  <c r="X51" i="3"/>
  <c r="Z52" i="3"/>
  <c r="V53" i="3"/>
  <c r="W54" i="19" l="1"/>
  <c r="Y54" i="19" s="1"/>
  <c r="V56" i="19"/>
  <c r="Z55" i="19"/>
  <c r="W55" i="19" s="1"/>
  <c r="Y55" i="19" s="1"/>
  <c r="X53" i="19"/>
  <c r="W52" i="3"/>
  <c r="Y52" i="3" s="1"/>
  <c r="V54" i="3"/>
  <c r="Z53" i="3"/>
  <c r="W53" i="3" s="1"/>
  <c r="X53" i="3" s="1"/>
  <c r="X55" i="19" l="1"/>
  <c r="X54" i="19"/>
  <c r="V57" i="19"/>
  <c r="Z56" i="19"/>
  <c r="W56" i="19" s="1"/>
  <c r="Y56" i="19" s="1"/>
  <c r="Z54" i="3"/>
  <c r="V55" i="3"/>
  <c r="Y53" i="3"/>
  <c r="X52" i="3"/>
  <c r="X56" i="19" l="1"/>
  <c r="Z57" i="19"/>
  <c r="V58" i="19"/>
  <c r="W54" i="3"/>
  <c r="Y54" i="3" s="1"/>
  <c r="V56" i="3"/>
  <c r="Z55" i="3"/>
  <c r="W55" i="3" s="1"/>
  <c r="Y55" i="3" s="1"/>
  <c r="V59" i="19" l="1"/>
  <c r="Z58" i="19"/>
  <c r="W58" i="19" s="1"/>
  <c r="Y58" i="19" s="1"/>
  <c r="W57" i="19"/>
  <c r="Y57" i="19" s="1"/>
  <c r="Z56" i="3"/>
  <c r="W56" i="3" s="1"/>
  <c r="Y56" i="3" s="1"/>
  <c r="V57" i="3"/>
  <c r="X55" i="3"/>
  <c r="X54" i="3"/>
  <c r="X56" i="3" l="1"/>
  <c r="V60" i="19"/>
  <c r="Z59" i="19"/>
  <c r="X58" i="19"/>
  <c r="X57" i="19"/>
  <c r="V58" i="3"/>
  <c r="Z57" i="3"/>
  <c r="W57" i="3" s="1"/>
  <c r="Y57" i="3" s="1"/>
  <c r="W59" i="19" l="1"/>
  <c r="Y59" i="19" s="1"/>
  <c r="V61" i="19"/>
  <c r="Z60" i="19"/>
  <c r="W60" i="19" s="1"/>
  <c r="Y60" i="19" s="1"/>
  <c r="X57" i="3"/>
  <c r="Z58" i="3"/>
  <c r="V59" i="3"/>
  <c r="X60" i="19" l="1"/>
  <c r="Z61" i="19"/>
  <c r="V62" i="19"/>
  <c r="X59" i="19"/>
  <c r="W58" i="3"/>
  <c r="Y58" i="3" s="1"/>
  <c r="V60" i="3"/>
  <c r="Z59" i="3"/>
  <c r="W59" i="3" s="1"/>
  <c r="Y59" i="3" s="1"/>
  <c r="Z62" i="19" l="1"/>
  <c r="W62" i="19" s="1"/>
  <c r="Y62" i="19" s="1"/>
  <c r="V63" i="19"/>
  <c r="W61" i="19"/>
  <c r="Y61" i="19" s="1"/>
  <c r="Z60" i="3"/>
  <c r="V61" i="3"/>
  <c r="X59" i="3"/>
  <c r="X58" i="3"/>
  <c r="X62" i="19" l="1"/>
  <c r="V64" i="19"/>
  <c r="Z63" i="19"/>
  <c r="X61" i="19"/>
  <c r="W60" i="3"/>
  <c r="Y60" i="3" s="1"/>
  <c r="V62" i="3"/>
  <c r="Z61" i="3"/>
  <c r="W63" i="19" l="1"/>
  <c r="Y63" i="19" s="1"/>
  <c r="V65" i="19"/>
  <c r="Z64" i="19"/>
  <c r="W64" i="19" s="1"/>
  <c r="Y64" i="19" s="1"/>
  <c r="W61" i="3"/>
  <c r="Y61" i="3" s="1"/>
  <c r="V63" i="3"/>
  <c r="Z62" i="3"/>
  <c r="X60" i="3"/>
  <c r="X64" i="19" l="1"/>
  <c r="Z65" i="19"/>
  <c r="V66" i="19"/>
  <c r="X63" i="19"/>
  <c r="W62" i="3"/>
  <c r="Y62" i="3" s="1"/>
  <c r="V64" i="3"/>
  <c r="Z63" i="3"/>
  <c r="X61" i="3"/>
  <c r="W65" i="19" l="1"/>
  <c r="Y65" i="19" s="1"/>
  <c r="Z66" i="19"/>
  <c r="V67" i="19"/>
  <c r="W63" i="3"/>
  <c r="Y63" i="3" s="1"/>
  <c r="Z64" i="3"/>
  <c r="V65" i="3"/>
  <c r="X62" i="3"/>
  <c r="W66" i="19" l="1"/>
  <c r="Y66" i="19" s="1"/>
  <c r="V68" i="19"/>
  <c r="Z67" i="19"/>
  <c r="X65" i="19"/>
  <c r="V66" i="3"/>
  <c r="Z65" i="3"/>
  <c r="W64" i="3"/>
  <c r="Y64" i="3" s="1"/>
  <c r="X63" i="3"/>
  <c r="X66" i="19" l="1"/>
  <c r="W67" i="19"/>
  <c r="Y67" i="19" s="1"/>
  <c r="V69" i="19"/>
  <c r="Z68" i="19"/>
  <c r="W68" i="19" s="1"/>
  <c r="Y68" i="19" s="1"/>
  <c r="V67" i="3"/>
  <c r="Z66" i="3"/>
  <c r="W65" i="3"/>
  <c r="Y65" i="3" s="1"/>
  <c r="X64" i="3"/>
  <c r="X68" i="19" l="1"/>
  <c r="Z69" i="19"/>
  <c r="V70" i="19"/>
  <c r="X67" i="19"/>
  <c r="V68" i="3"/>
  <c r="Z67" i="3"/>
  <c r="W66" i="3"/>
  <c r="Y66" i="3" s="1"/>
  <c r="X65" i="3"/>
  <c r="W69" i="19" l="1"/>
  <c r="Y69" i="19" s="1"/>
  <c r="Z70" i="19"/>
  <c r="V71" i="19"/>
  <c r="W67" i="3"/>
  <c r="Y67" i="3" s="1"/>
  <c r="Z68" i="3"/>
  <c r="W68" i="3" s="1"/>
  <c r="Y68" i="3" s="1"/>
  <c r="V69" i="3"/>
  <c r="X66" i="3"/>
  <c r="W70" i="19" l="1"/>
  <c r="Y70" i="19" s="1"/>
  <c r="V72" i="19"/>
  <c r="Z71" i="19"/>
  <c r="X69" i="19"/>
  <c r="V70" i="3"/>
  <c r="Z69" i="3"/>
  <c r="W69" i="3" s="1"/>
  <c r="Y69" i="3" s="1"/>
  <c r="X68" i="3"/>
  <c r="X67" i="3"/>
  <c r="W71" i="19" l="1"/>
  <c r="Y71" i="19" s="1"/>
  <c r="X70" i="19"/>
  <c r="V73" i="19"/>
  <c r="Z72" i="19"/>
  <c r="W72" i="19" s="1"/>
  <c r="Y72" i="19" s="1"/>
  <c r="X69" i="3"/>
  <c r="Z70" i="3"/>
  <c r="V71" i="3"/>
  <c r="X71" i="19" l="1"/>
  <c r="X72" i="19"/>
  <c r="Z73" i="19"/>
  <c r="V74" i="19"/>
  <c r="W70" i="3"/>
  <c r="Y70" i="3" s="1"/>
  <c r="V72" i="3"/>
  <c r="Z71" i="3"/>
  <c r="W73" i="19" l="1"/>
  <c r="Y73" i="19" s="1"/>
  <c r="V75" i="19"/>
  <c r="Z74" i="19"/>
  <c r="W74" i="19" s="1"/>
  <c r="Y74" i="19" s="1"/>
  <c r="W71" i="3"/>
  <c r="Y71" i="3" s="1"/>
  <c r="Z72" i="3"/>
  <c r="V73" i="3"/>
  <c r="X70" i="3"/>
  <c r="X74" i="19" l="1"/>
  <c r="V76" i="19"/>
  <c r="Z75" i="19"/>
  <c r="X73" i="19"/>
  <c r="V74" i="3"/>
  <c r="Z73" i="3"/>
  <c r="W72" i="3"/>
  <c r="Y72" i="3" s="1"/>
  <c r="X71" i="3"/>
  <c r="W75" i="19" l="1"/>
  <c r="Y75" i="19" s="1"/>
  <c r="V77" i="19"/>
  <c r="Z76" i="19"/>
  <c r="W73" i="3"/>
  <c r="Y73" i="3" s="1"/>
  <c r="Z74" i="3"/>
  <c r="V75" i="3"/>
  <c r="X72" i="3"/>
  <c r="X75" i="19" l="1"/>
  <c r="W76" i="19"/>
  <c r="Y76" i="19" s="1"/>
  <c r="Z77" i="19"/>
  <c r="V78" i="19"/>
  <c r="W74" i="3"/>
  <c r="Y74" i="3" s="1"/>
  <c r="V76" i="3"/>
  <c r="Z75" i="3"/>
  <c r="X73" i="3"/>
  <c r="W77" i="19" l="1"/>
  <c r="Y77" i="19" s="1"/>
  <c r="Z78" i="19"/>
  <c r="W78" i="19" s="1"/>
  <c r="Y78" i="19" s="1"/>
  <c r="V79" i="19"/>
  <c r="X76" i="19"/>
  <c r="W75" i="3"/>
  <c r="Y75" i="3" s="1"/>
  <c r="Z76" i="3"/>
  <c r="V77" i="3"/>
  <c r="X74" i="3"/>
  <c r="X78" i="19" l="1"/>
  <c r="V80" i="19"/>
  <c r="Z79" i="19"/>
  <c r="X77" i="19"/>
  <c r="V78" i="3"/>
  <c r="Z77" i="3"/>
  <c r="W77" i="3" s="1"/>
  <c r="Y77" i="3" s="1"/>
  <c r="W76" i="3"/>
  <c r="Y76" i="3" s="1"/>
  <c r="X75" i="3"/>
  <c r="W79" i="19" l="1"/>
  <c r="Y79" i="19" s="1"/>
  <c r="V81" i="19"/>
  <c r="Z80" i="19"/>
  <c r="W80" i="19" s="1"/>
  <c r="Y80" i="19" s="1"/>
  <c r="X77" i="3"/>
  <c r="V79" i="3"/>
  <c r="Z78" i="3"/>
  <c r="X76" i="3"/>
  <c r="X80" i="19" l="1"/>
  <c r="Z81" i="19"/>
  <c r="W81" i="19" s="1"/>
  <c r="Y81" i="19" s="1"/>
  <c r="V82" i="19"/>
  <c r="X79" i="19"/>
  <c r="W78" i="3"/>
  <c r="Y78" i="3" s="1"/>
  <c r="V80" i="3"/>
  <c r="Z79" i="3"/>
  <c r="X81" i="19" l="1"/>
  <c r="V83" i="19"/>
  <c r="Z82" i="19"/>
  <c r="W82" i="19" s="1"/>
  <c r="Y82" i="19" s="1"/>
  <c r="W79" i="3"/>
  <c r="Y79" i="3" s="1"/>
  <c r="Z80" i="3"/>
  <c r="V81" i="3"/>
  <c r="X78" i="3"/>
  <c r="X82" i="19" l="1"/>
  <c r="Z83" i="19"/>
  <c r="V84" i="19"/>
  <c r="V82" i="3"/>
  <c r="Z81" i="3"/>
  <c r="W80" i="3"/>
  <c r="Y80" i="3" s="1"/>
  <c r="X79" i="3"/>
  <c r="V85" i="19" l="1"/>
  <c r="Z84" i="19"/>
  <c r="W84" i="19" s="1"/>
  <c r="Y84" i="19" s="1"/>
  <c r="W83" i="19"/>
  <c r="Y83" i="19" s="1"/>
  <c r="V83" i="3"/>
  <c r="Z82" i="3"/>
  <c r="W81" i="3"/>
  <c r="Y81" i="3" s="1"/>
  <c r="X80" i="3"/>
  <c r="V86" i="19" l="1"/>
  <c r="Z85" i="19"/>
  <c r="X84" i="19"/>
  <c r="X83" i="19"/>
  <c r="V84" i="3"/>
  <c r="Z83" i="3"/>
  <c r="W82" i="3"/>
  <c r="Y82" i="3" s="1"/>
  <c r="X81" i="3"/>
  <c r="V87" i="19" l="1"/>
  <c r="Z86" i="19"/>
  <c r="W85" i="19"/>
  <c r="Y85" i="19" s="1"/>
  <c r="W83" i="3"/>
  <c r="Y83" i="3" s="1"/>
  <c r="Z84" i="3"/>
  <c r="W84" i="3" s="1"/>
  <c r="Y84" i="3" s="1"/>
  <c r="V85" i="3"/>
  <c r="X82" i="3"/>
  <c r="W86" i="19" l="1"/>
  <c r="Y86" i="19" s="1"/>
  <c r="Z87" i="19"/>
  <c r="V88" i="19"/>
  <c r="X85" i="19"/>
  <c r="V86" i="3"/>
  <c r="Z85" i="3"/>
  <c r="W85" i="3" s="1"/>
  <c r="Y85" i="3" s="1"/>
  <c r="X84" i="3"/>
  <c r="X83" i="3"/>
  <c r="W87" i="19" l="1"/>
  <c r="Y87" i="19" s="1"/>
  <c r="V89" i="19"/>
  <c r="Z88" i="19"/>
  <c r="W88" i="19" s="1"/>
  <c r="Y88" i="19" s="1"/>
  <c r="X86" i="19"/>
  <c r="X85" i="3"/>
  <c r="Z86" i="3"/>
  <c r="V87" i="3"/>
  <c r="X87" i="19" l="1"/>
  <c r="X88" i="19"/>
  <c r="V90" i="19"/>
  <c r="Z89" i="19"/>
  <c r="W86" i="3"/>
  <c r="Y86" i="3" s="1"/>
  <c r="V88" i="3"/>
  <c r="Z87" i="3"/>
  <c r="V91" i="19" l="1"/>
  <c r="Z90" i="19"/>
  <c r="W89" i="19"/>
  <c r="Y89" i="19" s="1"/>
  <c r="W87" i="3"/>
  <c r="Y87" i="3" s="1"/>
  <c r="Z88" i="3"/>
  <c r="V89" i="3"/>
  <c r="X86" i="3"/>
  <c r="W90" i="19" l="1"/>
  <c r="Y90" i="19" s="1"/>
  <c r="Z91" i="19"/>
  <c r="W91" i="19" s="1"/>
  <c r="Y91" i="19" s="1"/>
  <c r="V92" i="19"/>
  <c r="X89" i="19"/>
  <c r="V90" i="3"/>
  <c r="Z89" i="3"/>
  <c r="W88" i="3"/>
  <c r="Y88" i="3" s="1"/>
  <c r="X87" i="3"/>
  <c r="V93" i="19" l="1"/>
  <c r="Z92" i="19"/>
  <c r="W92" i="19" s="1"/>
  <c r="Y92" i="19" s="1"/>
  <c r="X91" i="19"/>
  <c r="X90" i="19"/>
  <c r="W89" i="3"/>
  <c r="Y89" i="3" s="1"/>
  <c r="Z90" i="3"/>
  <c r="V91" i="3"/>
  <c r="X88" i="3"/>
  <c r="Z93" i="19" l="1"/>
  <c r="V94" i="19"/>
  <c r="X92" i="19"/>
  <c r="W90" i="3"/>
  <c r="Y90" i="3" s="1"/>
  <c r="V92" i="3"/>
  <c r="Z91" i="3"/>
  <c r="X89" i="3"/>
  <c r="W93" i="19" l="1"/>
  <c r="Y93" i="19" s="1"/>
  <c r="V95" i="19"/>
  <c r="Z94" i="19"/>
  <c r="W94" i="19" s="1"/>
  <c r="Y94" i="19" s="1"/>
  <c r="W91" i="3"/>
  <c r="Y91" i="3" s="1"/>
  <c r="Z92" i="3"/>
  <c r="V93" i="3"/>
  <c r="X90" i="3"/>
  <c r="Z95" i="19" l="1"/>
  <c r="V96" i="19"/>
  <c r="W95" i="19"/>
  <c r="Y95" i="19" s="1"/>
  <c r="X94" i="19"/>
  <c r="X93" i="19"/>
  <c r="V94" i="3"/>
  <c r="Z93" i="3"/>
  <c r="W93" i="3" s="1"/>
  <c r="Y93" i="3" s="1"/>
  <c r="W92" i="3"/>
  <c r="Y92" i="3" s="1"/>
  <c r="X91" i="3"/>
  <c r="X95" i="19" l="1"/>
  <c r="V97" i="19"/>
  <c r="Z96" i="19"/>
  <c r="W96" i="19" s="1"/>
  <c r="Y96" i="19" s="1"/>
  <c r="X93" i="3"/>
  <c r="V95" i="3"/>
  <c r="Z94" i="3"/>
  <c r="X92" i="3"/>
  <c r="X96" i="19" l="1"/>
  <c r="Z97" i="19"/>
  <c r="V98" i="19"/>
  <c r="W94" i="3"/>
  <c r="Y94" i="3" s="1"/>
  <c r="V96" i="3"/>
  <c r="Z95" i="3"/>
  <c r="W97" i="19" l="1"/>
  <c r="Y97" i="19" s="1"/>
  <c r="V99" i="19"/>
  <c r="Z98" i="19"/>
  <c r="W95" i="3"/>
  <c r="Y95" i="3" s="1"/>
  <c r="V97" i="3"/>
  <c r="Z96" i="3"/>
  <c r="W96" i="3" s="1"/>
  <c r="X94" i="3"/>
  <c r="X96" i="3" l="1"/>
  <c r="Y96" i="3"/>
  <c r="W98" i="19"/>
  <c r="Y98" i="19" s="1"/>
  <c r="Z99" i="19"/>
  <c r="W99" i="19" s="1"/>
  <c r="Y99" i="19" s="1"/>
  <c r="V100" i="19"/>
  <c r="X97" i="19"/>
  <c r="Z97" i="3"/>
  <c r="W97" i="3" s="1"/>
  <c r="Y97" i="3" s="1"/>
  <c r="V98" i="3"/>
  <c r="X95" i="3"/>
  <c r="X97" i="3" l="1"/>
  <c r="X99" i="19"/>
  <c r="V101" i="19"/>
  <c r="Z100" i="19"/>
  <c r="X98" i="19"/>
  <c r="V99" i="3"/>
  <c r="Z98" i="3"/>
  <c r="V102" i="19" l="1"/>
  <c r="Z101" i="19"/>
  <c r="W101" i="19" s="1"/>
  <c r="X101" i="19" s="1"/>
  <c r="W100" i="19"/>
  <c r="Y100" i="19" s="1"/>
  <c r="V100" i="3"/>
  <c r="Z99" i="3"/>
  <c r="W98" i="3"/>
  <c r="Y98" i="3" s="1"/>
  <c r="V103" i="19" l="1"/>
  <c r="Z102" i="19"/>
  <c r="W102" i="19" s="1"/>
  <c r="Y102" i="19" s="1"/>
  <c r="Y101" i="19"/>
  <c r="X100" i="19"/>
  <c r="W99" i="3"/>
  <c r="Y99" i="3" s="1"/>
  <c r="V101" i="3"/>
  <c r="Z100" i="3"/>
  <c r="X98" i="3"/>
  <c r="X102" i="19" l="1"/>
  <c r="Z103" i="19"/>
  <c r="V104" i="19"/>
  <c r="W100" i="3"/>
  <c r="Y100" i="3" s="1"/>
  <c r="Z101" i="3"/>
  <c r="V102" i="3"/>
  <c r="X99" i="3"/>
  <c r="W103" i="19" l="1"/>
  <c r="Y103" i="19" s="1"/>
  <c r="V105" i="19"/>
  <c r="Z104" i="19"/>
  <c r="W104" i="19" s="1"/>
  <c r="X104" i="19" s="1"/>
  <c r="W101" i="3"/>
  <c r="Y101" i="3" s="1"/>
  <c r="Z102" i="3"/>
  <c r="V103" i="3"/>
  <c r="X100" i="3"/>
  <c r="W102" i="3" l="1"/>
  <c r="Y102" i="3" s="1"/>
  <c r="Y104" i="19"/>
  <c r="V106" i="19"/>
  <c r="Z105" i="19"/>
  <c r="K30" i="19"/>
  <c r="K31" i="19"/>
  <c r="X103" i="19"/>
  <c r="V104" i="3"/>
  <c r="Z103" i="3"/>
  <c r="X101" i="3"/>
  <c r="X102" i="3" l="1"/>
  <c r="V107" i="19"/>
  <c r="Z106" i="19"/>
  <c r="W105" i="19"/>
  <c r="Y105" i="19" s="1"/>
  <c r="W103" i="3"/>
  <c r="Y103" i="3" s="1"/>
  <c r="V105" i="3"/>
  <c r="Z104" i="3"/>
  <c r="W104" i="3" s="1"/>
  <c r="Y104" i="3" s="1"/>
  <c r="W106" i="19" l="1"/>
  <c r="Y106" i="19" s="1"/>
  <c r="Z107" i="19"/>
  <c r="W107" i="19" s="1"/>
  <c r="Y107" i="19" s="1"/>
  <c r="V108" i="19"/>
  <c r="X105" i="19"/>
  <c r="X104" i="3"/>
  <c r="Z105" i="3"/>
  <c r="W105" i="3" s="1"/>
  <c r="Y105" i="3" s="1"/>
  <c r="V106" i="3"/>
  <c r="K30" i="3"/>
  <c r="K31" i="3"/>
  <c r="X103" i="3"/>
  <c r="X105" i="3" l="1"/>
  <c r="X107" i="19"/>
  <c r="Z108" i="19"/>
  <c r="V109" i="19"/>
  <c r="X106" i="19"/>
  <c r="Z106" i="3"/>
  <c r="W106" i="3" s="1"/>
  <c r="Y106" i="3" s="1"/>
  <c r="V107" i="3"/>
  <c r="V110" i="19" l="1"/>
  <c r="Z109" i="19"/>
  <c r="W108" i="19"/>
  <c r="Y108" i="19" s="1"/>
  <c r="V108" i="3"/>
  <c r="Z107" i="3"/>
  <c r="X106" i="3"/>
  <c r="W109" i="19" l="1"/>
  <c r="Y109" i="19" s="1"/>
  <c r="V111" i="19"/>
  <c r="Z110" i="19"/>
  <c r="H30" i="19"/>
  <c r="H31" i="19"/>
  <c r="X108" i="19"/>
  <c r="W107" i="3"/>
  <c r="Y107" i="3" s="1"/>
  <c r="V109" i="3"/>
  <c r="Z108" i="3"/>
  <c r="W108" i="3" s="1"/>
  <c r="Y108" i="3" s="1"/>
  <c r="X109" i="19" l="1"/>
  <c r="H33" i="19"/>
  <c r="J33" i="19" s="1"/>
  <c r="E3" i="16" s="1"/>
  <c r="E5" i="16" s="1"/>
  <c r="H34" i="19"/>
  <c r="W110" i="19"/>
  <c r="Y110" i="19" s="1"/>
  <c r="Z111" i="19"/>
  <c r="W111" i="19" s="1"/>
  <c r="Y111" i="19" s="1"/>
  <c r="V112" i="19"/>
  <c r="Z109" i="3"/>
  <c r="V110" i="3"/>
  <c r="X108" i="3"/>
  <c r="X107" i="3"/>
  <c r="X111" i="19" l="1"/>
  <c r="Z112" i="19"/>
  <c r="W112" i="19" s="1"/>
  <c r="Y112" i="19" s="1"/>
  <c r="V113" i="19"/>
  <c r="X110" i="19"/>
  <c r="W109" i="3"/>
  <c r="Y109" i="3" s="1"/>
  <c r="Z110" i="3"/>
  <c r="W110" i="3" s="1"/>
  <c r="Y110" i="3" s="1"/>
  <c r="V111" i="3"/>
  <c r="H31" i="3"/>
  <c r="H30" i="3"/>
  <c r="V114" i="19" l="1"/>
  <c r="Z113" i="19"/>
  <c r="X112" i="19"/>
  <c r="H33" i="3"/>
  <c r="J33" i="3" s="1"/>
  <c r="H34" i="3"/>
  <c r="X110" i="3"/>
  <c r="V112" i="3"/>
  <c r="Z111" i="3"/>
  <c r="W111" i="3" s="1"/>
  <c r="Y111" i="3" s="1"/>
  <c r="X109" i="3"/>
  <c r="X111" i="3" l="1"/>
  <c r="I17" i="2"/>
  <c r="N13" i="2" s="1"/>
  <c r="O13" i="2" s="1"/>
  <c r="O12" i="2" s="1"/>
  <c r="E14" i="1" s="1"/>
  <c r="W113" i="19"/>
  <c r="Y113" i="19" s="1"/>
  <c r="V115" i="19"/>
  <c r="Z114" i="19"/>
  <c r="W114" i="19" s="1"/>
  <c r="Y114" i="19" s="1"/>
  <c r="V113" i="3"/>
  <c r="Z112" i="3"/>
  <c r="W112" i="3" s="1"/>
  <c r="Y112" i="3" s="1"/>
  <c r="K16" i="9" l="1"/>
  <c r="H16" i="9"/>
  <c r="I16" i="9" s="1"/>
  <c r="H12" i="9"/>
  <c r="I12" i="9" s="1"/>
  <c r="O20" i="24"/>
  <c r="X114" i="19"/>
  <c r="Z115" i="19"/>
  <c r="V116" i="19"/>
  <c r="X113" i="19"/>
  <c r="X112" i="3"/>
  <c r="Z113" i="3"/>
  <c r="W113" i="3" s="1"/>
  <c r="Y113" i="3" s="1"/>
  <c r="V114" i="3"/>
  <c r="X113" i="3" l="1"/>
  <c r="W115" i="19"/>
  <c r="Y115" i="19" s="1"/>
  <c r="Z116" i="19"/>
  <c r="V117" i="19"/>
  <c r="W116" i="19"/>
  <c r="X116" i="19" s="1"/>
  <c r="V115" i="3"/>
  <c r="Z114" i="3"/>
  <c r="W114" i="3" s="1"/>
  <c r="Y114" i="3" s="1"/>
  <c r="Y116" i="19" l="1"/>
  <c r="V118" i="19"/>
  <c r="Z117" i="19"/>
  <c r="X115" i="19"/>
  <c r="V116" i="3"/>
  <c r="Z115" i="3"/>
  <c r="X114" i="3"/>
  <c r="W117" i="19" l="1"/>
  <c r="Y117" i="19" s="1"/>
  <c r="V119" i="19"/>
  <c r="Z118" i="19"/>
  <c r="W118" i="19" s="1"/>
  <c r="Y118" i="19" s="1"/>
  <c r="W115" i="3"/>
  <c r="Y115" i="3" s="1"/>
  <c r="V117" i="3"/>
  <c r="Z116" i="3"/>
  <c r="W116" i="3" s="1"/>
  <c r="X116" i="3" s="1"/>
  <c r="X118" i="19" l="1"/>
  <c r="Z119" i="19"/>
  <c r="V120" i="19"/>
  <c r="X117" i="19"/>
  <c r="V118" i="3"/>
  <c r="Z117" i="3"/>
  <c r="W117" i="3" s="1"/>
  <c r="Y116" i="3"/>
  <c r="X115" i="3"/>
  <c r="W119" i="19" l="1"/>
  <c r="Y119" i="19" s="1"/>
  <c r="Z120" i="19"/>
  <c r="V121" i="19"/>
  <c r="Y117" i="3"/>
  <c r="X117" i="3"/>
  <c r="Z118" i="3"/>
  <c r="W118" i="3" s="1"/>
  <c r="V119" i="3"/>
  <c r="W120" i="19" l="1"/>
  <c r="Y120" i="19" s="1"/>
  <c r="V122" i="19"/>
  <c r="Z121" i="19"/>
  <c r="X119" i="19"/>
  <c r="Y118" i="3"/>
  <c r="X118" i="3"/>
  <c r="V120" i="3"/>
  <c r="Z119" i="3"/>
  <c r="W119" i="3" l="1"/>
  <c r="Y119" i="3" s="1"/>
  <c r="X120" i="19"/>
  <c r="W121" i="19"/>
  <c r="Y121" i="19" s="1"/>
  <c r="V123" i="19"/>
  <c r="Z122" i="19"/>
  <c r="W122" i="19" s="1"/>
  <c r="Y122" i="19" s="1"/>
  <c r="Z120" i="3"/>
  <c r="W120" i="3" s="1"/>
  <c r="V121" i="3"/>
  <c r="X119" i="3" l="1"/>
  <c r="X122" i="19"/>
  <c r="Z123" i="19"/>
  <c r="W123" i="19" s="1"/>
  <c r="Y123" i="19" s="1"/>
  <c r="V124" i="19"/>
  <c r="X121" i="19"/>
  <c r="X120" i="3"/>
  <c r="Y120" i="3"/>
  <c r="V122" i="3"/>
  <c r="Z121" i="3"/>
  <c r="W121" i="3" s="1"/>
  <c r="Y121" i="3" s="1"/>
  <c r="X123" i="19" l="1"/>
  <c r="Z124" i="19"/>
  <c r="W124" i="19" s="1"/>
  <c r="Y124" i="19" s="1"/>
  <c r="V125" i="19"/>
  <c r="Z122" i="3"/>
  <c r="W122" i="3" s="1"/>
  <c r="Y122" i="3" s="1"/>
  <c r="V123" i="3"/>
  <c r="X121" i="3"/>
  <c r="V126" i="19" l="1"/>
  <c r="Z125" i="19"/>
  <c r="X124" i="19"/>
  <c r="X122" i="3"/>
  <c r="V124" i="3"/>
  <c r="Z123" i="3"/>
  <c r="W125" i="19" l="1"/>
  <c r="Y125" i="19" s="1"/>
  <c r="V127" i="19"/>
  <c r="Z126" i="19"/>
  <c r="W126" i="19" s="1"/>
  <c r="Z124" i="3"/>
  <c r="V125" i="3"/>
  <c r="W123" i="3"/>
  <c r="Y123" i="3" s="1"/>
  <c r="X126" i="19" l="1"/>
  <c r="Y126" i="19"/>
  <c r="Z127" i="19"/>
  <c r="W127" i="19" s="1"/>
  <c r="Y127" i="19" s="1"/>
  <c r="V128" i="19"/>
  <c r="X125" i="19"/>
  <c r="W124" i="3"/>
  <c r="Y124" i="3" s="1"/>
  <c r="V126" i="3"/>
  <c r="Z125" i="3"/>
  <c r="X123" i="3"/>
  <c r="Z128" i="19" l="1"/>
  <c r="W128" i="19" s="1"/>
  <c r="Y128" i="19" s="1"/>
  <c r="V129" i="19"/>
  <c r="X127" i="19"/>
  <c r="Z126" i="3"/>
  <c r="V127" i="3"/>
  <c r="W125" i="3"/>
  <c r="Y125" i="3" s="1"/>
  <c r="X124" i="3"/>
  <c r="V130" i="19" l="1"/>
  <c r="Z129" i="19"/>
  <c r="X128" i="19"/>
  <c r="V128" i="3"/>
  <c r="Z127" i="3"/>
  <c r="W127" i="3" s="1"/>
  <c r="Y127" i="3" s="1"/>
  <c r="W126" i="3"/>
  <c r="Y126" i="3" s="1"/>
  <c r="X125" i="3"/>
  <c r="W129" i="19" l="1"/>
  <c r="Y129" i="19" s="1"/>
  <c r="V131" i="19"/>
  <c r="Z130" i="19"/>
  <c r="W130" i="19" s="1"/>
  <c r="Y130" i="19" s="1"/>
  <c r="V129" i="3"/>
  <c r="Z128" i="3"/>
  <c r="X127" i="3"/>
  <c r="X126" i="3"/>
  <c r="X130" i="19" l="1"/>
  <c r="Z131" i="19"/>
  <c r="V132" i="19"/>
  <c r="X129" i="19"/>
  <c r="V130" i="3"/>
  <c r="Z129" i="3"/>
  <c r="W128" i="3"/>
  <c r="Y128" i="3" s="1"/>
  <c r="W131" i="19" l="1"/>
  <c r="Y131" i="19" s="1"/>
  <c r="Z132" i="19"/>
  <c r="V133" i="19"/>
  <c r="W129" i="3"/>
  <c r="Y129" i="3" s="1"/>
  <c r="Z130" i="3"/>
  <c r="V131" i="3"/>
  <c r="X128" i="3"/>
  <c r="W132" i="19" l="1"/>
  <c r="Y132" i="19" s="1"/>
  <c r="V134" i="19"/>
  <c r="Z133" i="19"/>
  <c r="X131" i="19"/>
  <c r="W130" i="3"/>
  <c r="Y130" i="3" s="1"/>
  <c r="V132" i="3"/>
  <c r="Z131" i="3"/>
  <c r="X129" i="3"/>
  <c r="X132" i="19" l="1"/>
  <c r="W133" i="19"/>
  <c r="Y133" i="19" s="1"/>
  <c r="V135" i="19"/>
  <c r="Z134" i="19"/>
  <c r="W134" i="19" s="1"/>
  <c r="Y134" i="19" s="1"/>
  <c r="W131" i="3"/>
  <c r="Y131" i="3" s="1"/>
  <c r="Z132" i="3"/>
  <c r="W132" i="3" s="1"/>
  <c r="Y132" i="3" s="1"/>
  <c r="V133" i="3"/>
  <c r="X130" i="3"/>
  <c r="X134" i="19" l="1"/>
  <c r="Z135" i="19"/>
  <c r="W135" i="19" s="1"/>
  <c r="Y135" i="19" s="1"/>
  <c r="V136" i="19"/>
  <c r="X133" i="19"/>
  <c r="X132" i="3"/>
  <c r="V134" i="3"/>
  <c r="Z133" i="3"/>
  <c r="X131" i="3"/>
  <c r="X135" i="19" l="1"/>
  <c r="V137" i="19"/>
  <c r="Z136" i="19"/>
  <c r="W133" i="3"/>
  <c r="Y133" i="3" s="1"/>
  <c r="Z134" i="3"/>
  <c r="W134" i="3" s="1"/>
  <c r="Y134" i="3" s="1"/>
  <c r="V135" i="3"/>
  <c r="W136" i="19" l="1"/>
  <c r="Y136" i="19" s="1"/>
  <c r="Z137" i="19"/>
  <c r="W137" i="19" s="1"/>
  <c r="Y137" i="19" s="1"/>
  <c r="V138" i="19"/>
  <c r="X134" i="3"/>
  <c r="V136" i="3"/>
  <c r="Z135" i="3"/>
  <c r="X133" i="3"/>
  <c r="X137" i="19" l="1"/>
  <c r="Z138" i="19"/>
  <c r="V139" i="19"/>
  <c r="X136" i="19"/>
  <c r="W135" i="3"/>
  <c r="Y135" i="3" s="1"/>
  <c r="Z136" i="3"/>
  <c r="V137" i="3"/>
  <c r="W138" i="19" l="1"/>
  <c r="Y138" i="19" s="1"/>
  <c r="Z139" i="19"/>
  <c r="W139" i="19" s="1"/>
  <c r="Y139" i="19" s="1"/>
  <c r="V140" i="19"/>
  <c r="W136" i="3"/>
  <c r="Y136" i="3" s="1"/>
  <c r="V138" i="3"/>
  <c r="Z137" i="3"/>
  <c r="W137" i="3" s="1"/>
  <c r="Y137" i="3" s="1"/>
  <c r="X135" i="3"/>
  <c r="V141" i="19" l="1"/>
  <c r="Z140" i="19"/>
  <c r="X139" i="19"/>
  <c r="X138" i="19"/>
  <c r="X137" i="3"/>
  <c r="V139" i="3"/>
  <c r="Z138" i="3"/>
  <c r="X136" i="3"/>
  <c r="W140" i="19" l="1"/>
  <c r="Y140" i="19" s="1"/>
  <c r="Z141" i="19"/>
  <c r="V142" i="19"/>
  <c r="W138" i="3"/>
  <c r="Y138" i="3" s="1"/>
  <c r="V140" i="3"/>
  <c r="Z139" i="3"/>
  <c r="W141" i="19" l="1"/>
  <c r="Y141" i="19" s="1"/>
  <c r="V143" i="19"/>
  <c r="Z142" i="19"/>
  <c r="X140" i="19"/>
  <c r="W139" i="3"/>
  <c r="Y139" i="3" s="1"/>
  <c r="Z140" i="3"/>
  <c r="V141" i="3"/>
  <c r="X138" i="3"/>
  <c r="W142" i="19" l="1"/>
  <c r="Y142" i="19" s="1"/>
  <c r="Z143" i="19"/>
  <c r="W143" i="19" s="1"/>
  <c r="Y143" i="19" s="1"/>
  <c r="V144" i="19"/>
  <c r="X141" i="19"/>
  <c r="V142" i="3"/>
  <c r="Z141" i="3"/>
  <c r="W141" i="3" s="1"/>
  <c r="Y141" i="3" s="1"/>
  <c r="W140" i="3"/>
  <c r="Y140" i="3" s="1"/>
  <c r="X139" i="3"/>
  <c r="V145" i="19" l="1"/>
  <c r="Z144" i="19"/>
  <c r="X143" i="19"/>
  <c r="X142" i="19"/>
  <c r="V143" i="3"/>
  <c r="Z142" i="3"/>
  <c r="X141" i="3"/>
  <c r="X140" i="3"/>
  <c r="W144" i="19" l="1"/>
  <c r="Y144" i="19" s="1"/>
  <c r="Z145" i="19"/>
  <c r="V146" i="19"/>
  <c r="W142" i="3"/>
  <c r="Y142" i="3" s="1"/>
  <c r="V144" i="3"/>
  <c r="Z143" i="3"/>
  <c r="W145" i="19" l="1"/>
  <c r="Y145" i="19" s="1"/>
  <c r="V147" i="19"/>
  <c r="Z146" i="19"/>
  <c r="X144" i="19"/>
  <c r="W143" i="3"/>
  <c r="Y143" i="3" s="1"/>
  <c r="Z144" i="3"/>
  <c r="V145" i="3"/>
  <c r="X142" i="3"/>
  <c r="X145" i="19" l="1"/>
  <c r="W146" i="19"/>
  <c r="Y146" i="19" s="1"/>
  <c r="V148" i="19"/>
  <c r="Z147" i="19"/>
  <c r="W147" i="19" s="1"/>
  <c r="Y147" i="19" s="1"/>
  <c r="W144" i="3"/>
  <c r="Y144" i="3" s="1"/>
  <c r="V146" i="3"/>
  <c r="Z145" i="3"/>
  <c r="X143" i="3"/>
  <c r="X147" i="19" l="1"/>
  <c r="V149" i="19"/>
  <c r="Z148" i="19"/>
  <c r="X146" i="19"/>
  <c r="W145" i="3"/>
  <c r="Y145" i="3" s="1"/>
  <c r="V147" i="3"/>
  <c r="Z146" i="3"/>
  <c r="W146" i="3" s="1"/>
  <c r="Y146" i="3" s="1"/>
  <c r="X144" i="3"/>
  <c r="W148" i="19" l="1"/>
  <c r="Y148" i="19" s="1"/>
  <c r="Z149" i="19"/>
  <c r="W149" i="19" s="1"/>
  <c r="Y149" i="19" s="1"/>
  <c r="V150" i="19"/>
  <c r="X146" i="3"/>
  <c r="V148" i="3"/>
  <c r="Z147" i="3"/>
  <c r="X145" i="3"/>
  <c r="X149" i="19" l="1"/>
  <c r="Z150" i="19"/>
  <c r="V151" i="19"/>
  <c r="X148" i="19"/>
  <c r="W147" i="3"/>
  <c r="Y147" i="3" s="1"/>
  <c r="Z148" i="3"/>
  <c r="W148" i="3" s="1"/>
  <c r="Y148" i="3" s="1"/>
  <c r="V149" i="3"/>
  <c r="W150" i="19" l="1"/>
  <c r="Y150" i="19" s="1"/>
  <c r="Z151" i="19"/>
  <c r="W151" i="19" s="1"/>
  <c r="V152" i="19"/>
  <c r="X148" i="3"/>
  <c r="V150" i="3"/>
  <c r="Z149" i="3"/>
  <c r="X147" i="3"/>
  <c r="X151" i="19" l="1"/>
  <c r="Y151" i="19"/>
  <c r="V153" i="19"/>
  <c r="Z152" i="19"/>
  <c r="W152" i="19" s="1"/>
  <c r="X150" i="19"/>
  <c r="Z150" i="3"/>
  <c r="V151" i="3"/>
  <c r="W149" i="3"/>
  <c r="Y149" i="3" s="1"/>
  <c r="X152" i="19" l="1"/>
  <c r="Y152" i="19"/>
  <c r="Z153" i="19"/>
  <c r="W153" i="19" s="1"/>
  <c r="V154" i="19"/>
  <c r="W150" i="3"/>
  <c r="Y150" i="3" s="1"/>
  <c r="V152" i="3"/>
  <c r="Z151" i="3"/>
  <c r="X149" i="3"/>
  <c r="Y153" i="19" l="1"/>
  <c r="X153" i="19"/>
  <c r="Z154" i="19"/>
  <c r="V155" i="19"/>
  <c r="W151" i="3"/>
  <c r="Y151" i="3" s="1"/>
  <c r="Z152" i="3"/>
  <c r="V153" i="3"/>
  <c r="X150" i="3"/>
  <c r="W154" i="19" l="1"/>
  <c r="Y154" i="19" s="1"/>
  <c r="Z155" i="19"/>
  <c r="W155" i="19" s="1"/>
  <c r="V156" i="19"/>
  <c r="W152" i="3"/>
  <c r="Y152" i="3" s="1"/>
  <c r="V154" i="3"/>
  <c r="Z153" i="3"/>
  <c r="X151" i="3"/>
  <c r="Y155" i="19" l="1"/>
  <c r="X155" i="19"/>
  <c r="V157" i="19"/>
  <c r="Z156" i="19"/>
  <c r="X154" i="19"/>
  <c r="W153" i="3"/>
  <c r="Y153" i="3" s="1"/>
  <c r="Z154" i="3"/>
  <c r="W154" i="3" s="1"/>
  <c r="Y154" i="3" s="1"/>
  <c r="V155" i="3"/>
  <c r="X152" i="3"/>
  <c r="Z157" i="19" l="1"/>
  <c r="V158" i="19"/>
  <c r="W156" i="19"/>
  <c r="Y156" i="19" s="1"/>
  <c r="V156" i="3"/>
  <c r="Z155" i="3"/>
  <c r="X154" i="3"/>
  <c r="X153" i="3"/>
  <c r="V159" i="19" l="1"/>
  <c r="Z158" i="19"/>
  <c r="W157" i="19"/>
  <c r="Y157" i="19" s="1"/>
  <c r="X156" i="19"/>
  <c r="W155" i="3"/>
  <c r="Y155" i="3" s="1"/>
  <c r="Z156" i="3"/>
  <c r="W156" i="3" s="1"/>
  <c r="Y156" i="3" s="1"/>
  <c r="V157" i="3"/>
  <c r="V160" i="19" l="1"/>
  <c r="Z159" i="19"/>
  <c r="W159" i="19" s="1"/>
  <c r="Y159" i="19" s="1"/>
  <c r="W158" i="19"/>
  <c r="Y158" i="19" s="1"/>
  <c r="X157" i="19"/>
  <c r="X156" i="3"/>
  <c r="V158" i="3"/>
  <c r="Z157" i="3"/>
  <c r="X155" i="3"/>
  <c r="V161" i="19" l="1"/>
  <c r="Z160" i="19"/>
  <c r="W160" i="19" s="1"/>
  <c r="Y160" i="19" s="1"/>
  <c r="X159" i="19"/>
  <c r="X158" i="19"/>
  <c r="Z158" i="3"/>
  <c r="V159" i="3"/>
  <c r="W157" i="3"/>
  <c r="Y157" i="3" s="1"/>
  <c r="X160" i="19" l="1"/>
  <c r="Z161" i="19"/>
  <c r="W161" i="19" s="1"/>
  <c r="Y161" i="19" s="1"/>
  <c r="V162" i="19"/>
  <c r="V160" i="3"/>
  <c r="Z159" i="3"/>
  <c r="W158" i="3"/>
  <c r="Y158" i="3" s="1"/>
  <c r="X157" i="3"/>
  <c r="X161" i="19" l="1"/>
  <c r="V163" i="19"/>
  <c r="Z162" i="19"/>
  <c r="W159" i="3"/>
  <c r="Y159" i="3" s="1"/>
  <c r="Z160" i="3"/>
  <c r="W160" i="3" s="1"/>
  <c r="Y160" i="3" s="1"/>
  <c r="V161" i="3"/>
  <c r="X158" i="3"/>
  <c r="W162" i="19" l="1"/>
  <c r="Y162" i="19" s="1"/>
  <c r="V164" i="19"/>
  <c r="Z163" i="19"/>
  <c r="W163" i="19" s="1"/>
  <c r="Y163" i="19" s="1"/>
  <c r="X160" i="3"/>
  <c r="V162" i="3"/>
  <c r="Z161" i="3"/>
  <c r="X159" i="3"/>
  <c r="X162" i="19" l="1"/>
  <c r="X163" i="19"/>
  <c r="V165" i="19"/>
  <c r="Z164" i="19"/>
  <c r="W161" i="3"/>
  <c r="Y161" i="3" s="1"/>
  <c r="V163" i="3"/>
  <c r="Z162" i="3"/>
  <c r="W162" i="3" s="1"/>
  <c r="Y162" i="3" s="1"/>
  <c r="W164" i="19" l="1"/>
  <c r="Y164" i="19" s="1"/>
  <c r="V166" i="19"/>
  <c r="Z165" i="19"/>
  <c r="W165" i="19" s="1"/>
  <c r="Y165" i="19" s="1"/>
  <c r="V164" i="3"/>
  <c r="Z163" i="3"/>
  <c r="X162" i="3"/>
  <c r="X161" i="3"/>
  <c r="X165" i="19" l="1"/>
  <c r="Z166" i="19"/>
  <c r="W166" i="19" s="1"/>
  <c r="V167" i="19"/>
  <c r="X164" i="19"/>
  <c r="W163" i="3"/>
  <c r="Y163" i="3" s="1"/>
  <c r="Z164" i="3"/>
  <c r="V165" i="3"/>
  <c r="X166" i="19" l="1"/>
  <c r="Y166" i="19"/>
  <c r="Z167" i="19"/>
  <c r="W167" i="19" s="1"/>
  <c r="X167" i="19" s="1"/>
  <c r="V168" i="19"/>
  <c r="W164" i="3"/>
  <c r="Y164" i="3" s="1"/>
  <c r="V166" i="3"/>
  <c r="Z165" i="3"/>
  <c r="W165" i="3" s="1"/>
  <c r="Y165" i="3" s="1"/>
  <c r="X163" i="3"/>
  <c r="Y167" i="19" l="1"/>
  <c r="V169" i="19"/>
  <c r="Z168" i="19"/>
  <c r="W168" i="19" s="1"/>
  <c r="Y168" i="19" s="1"/>
  <c r="X165" i="3"/>
  <c r="V167" i="3"/>
  <c r="Z166" i="3"/>
  <c r="X164" i="3"/>
  <c r="X168" i="19" l="1"/>
  <c r="V170" i="19"/>
  <c r="Z169" i="19"/>
  <c r="W169" i="19" s="1"/>
  <c r="Y169" i="19" s="1"/>
  <c r="W166" i="3"/>
  <c r="Y166" i="3" s="1"/>
  <c r="V168" i="3"/>
  <c r="Z167" i="3"/>
  <c r="X169" i="19" l="1"/>
  <c r="Z170" i="19"/>
  <c r="V171" i="19"/>
  <c r="W167" i="3"/>
  <c r="Y167" i="3" s="1"/>
  <c r="Z168" i="3"/>
  <c r="V169" i="3"/>
  <c r="X166" i="3"/>
  <c r="V172" i="19" l="1"/>
  <c r="Z171" i="19"/>
  <c r="W171" i="19" s="1"/>
  <c r="Y171" i="19" s="1"/>
  <c r="W170" i="19"/>
  <c r="Y170" i="19" s="1"/>
  <c r="V170" i="3"/>
  <c r="Z169" i="3"/>
  <c r="W169" i="3" s="1"/>
  <c r="Y169" i="3" s="1"/>
  <c r="W168" i="3"/>
  <c r="Y168" i="3" s="1"/>
  <c r="X167" i="3"/>
  <c r="V173" i="19" l="1"/>
  <c r="Z172" i="19"/>
  <c r="X171" i="19"/>
  <c r="X170" i="19"/>
  <c r="X169" i="3"/>
  <c r="V171" i="3"/>
  <c r="Z170" i="3"/>
  <c r="X168" i="3"/>
  <c r="W172" i="19" l="1"/>
  <c r="Y172" i="19" s="1"/>
  <c r="V174" i="19"/>
  <c r="Z173" i="19"/>
  <c r="W173" i="19" s="1"/>
  <c r="Y173" i="19" s="1"/>
  <c r="V172" i="3"/>
  <c r="Z171" i="3"/>
  <c r="W170" i="3"/>
  <c r="Y170" i="3" s="1"/>
  <c r="Z174" i="19" l="1"/>
  <c r="W174" i="19" s="1"/>
  <c r="Y174" i="19" s="1"/>
  <c r="V175" i="19"/>
  <c r="X173" i="19"/>
  <c r="X172" i="19"/>
  <c r="W171" i="3"/>
  <c r="Y171" i="3" s="1"/>
  <c r="Z172" i="3"/>
  <c r="V173" i="3"/>
  <c r="X170" i="3"/>
  <c r="X174" i="19" l="1"/>
  <c r="Z175" i="19"/>
  <c r="V176" i="19"/>
  <c r="V174" i="3"/>
  <c r="Z173" i="3"/>
  <c r="W172" i="3"/>
  <c r="Y172" i="3" s="1"/>
  <c r="X171" i="3"/>
  <c r="W175" i="19" l="1"/>
  <c r="Y175" i="19" s="1"/>
  <c r="V177" i="19"/>
  <c r="Z176" i="19"/>
  <c r="W176" i="19" s="1"/>
  <c r="Y176" i="19" s="1"/>
  <c r="Z174" i="3"/>
  <c r="V175" i="3"/>
  <c r="W173" i="3"/>
  <c r="Y173" i="3" s="1"/>
  <c r="X172" i="3"/>
  <c r="V178" i="19" l="1"/>
  <c r="Z177" i="19"/>
  <c r="X176" i="19"/>
  <c r="X175" i="19"/>
  <c r="W174" i="3"/>
  <c r="Y174" i="3" s="1"/>
  <c r="V176" i="3"/>
  <c r="Z175" i="3"/>
  <c r="W175" i="3" s="1"/>
  <c r="Y175" i="3" s="1"/>
  <c r="X173" i="3"/>
  <c r="W177" i="19" l="1"/>
  <c r="Y177" i="19" s="1"/>
  <c r="Z178" i="19"/>
  <c r="W178" i="19" s="1"/>
  <c r="V179" i="19"/>
  <c r="V177" i="3"/>
  <c r="Z176" i="3"/>
  <c r="X175" i="3"/>
  <c r="X174" i="3"/>
  <c r="Y178" i="19" l="1"/>
  <c r="X178" i="19"/>
  <c r="V180" i="19"/>
  <c r="Z179" i="19"/>
  <c r="W179" i="19" s="1"/>
  <c r="Y179" i="19" s="1"/>
  <c r="X177" i="19"/>
  <c r="W176" i="3"/>
  <c r="Y176" i="3" s="1"/>
  <c r="Z177" i="3"/>
  <c r="W177" i="3" s="1"/>
  <c r="Y177" i="3" s="1"/>
  <c r="V178" i="3"/>
  <c r="V181" i="19" l="1"/>
  <c r="Z180" i="19"/>
  <c r="X179" i="19"/>
  <c r="X177" i="3"/>
  <c r="Z178" i="3"/>
  <c r="W178" i="3" s="1"/>
  <c r="Y178" i="3" s="1"/>
  <c r="V179" i="3"/>
  <c r="X176" i="3"/>
  <c r="W180" i="19" l="1"/>
  <c r="Y180" i="19" s="1"/>
  <c r="V182" i="19"/>
  <c r="Z181" i="19"/>
  <c r="W181" i="19" s="1"/>
  <c r="Y181" i="19" s="1"/>
  <c r="V180" i="3"/>
  <c r="Z179" i="3"/>
  <c r="X178" i="3"/>
  <c r="X181" i="19" l="1"/>
  <c r="Z182" i="19"/>
  <c r="V183" i="19"/>
  <c r="X180" i="19"/>
  <c r="W179" i="3"/>
  <c r="Y179" i="3" s="1"/>
  <c r="V181" i="3"/>
  <c r="Z180" i="3"/>
  <c r="W182" i="19" l="1"/>
  <c r="Y182" i="19" s="1"/>
  <c r="Z183" i="19"/>
  <c r="W183" i="19" s="1"/>
  <c r="Y183" i="19" s="1"/>
  <c r="V184" i="19"/>
  <c r="W180" i="3"/>
  <c r="Y180" i="3" s="1"/>
  <c r="Z181" i="3"/>
  <c r="V182" i="3"/>
  <c r="X179" i="3"/>
  <c r="X182" i="19" l="1"/>
  <c r="X183" i="19"/>
  <c r="V185" i="19"/>
  <c r="Z184" i="19"/>
  <c r="W184" i="19" s="1"/>
  <c r="Y184" i="19" s="1"/>
  <c r="W181" i="3"/>
  <c r="Y181" i="3" s="1"/>
  <c r="Z182" i="3"/>
  <c r="W182" i="3" s="1"/>
  <c r="Y182" i="3" s="1"/>
  <c r="V183" i="3"/>
  <c r="X180" i="3"/>
  <c r="X184" i="19" l="1"/>
  <c r="V186" i="19"/>
  <c r="Z185" i="19"/>
  <c r="W185" i="19" s="1"/>
  <c r="Y185" i="19" s="1"/>
  <c r="V184" i="3"/>
  <c r="Z183" i="3"/>
  <c r="X182" i="3"/>
  <c r="X181" i="3"/>
  <c r="X185" i="19" l="1"/>
  <c r="Z186" i="19"/>
  <c r="V187" i="19"/>
  <c r="W183" i="3"/>
  <c r="Y183" i="3" s="1"/>
  <c r="V185" i="3"/>
  <c r="Z184" i="3"/>
  <c r="W184" i="3" s="1"/>
  <c r="Y184" i="3" s="1"/>
  <c r="W186" i="19" l="1"/>
  <c r="Y186" i="19" s="1"/>
  <c r="V188" i="19"/>
  <c r="Z187" i="19"/>
  <c r="X184" i="3"/>
  <c r="Z185" i="3"/>
  <c r="V186" i="3"/>
  <c r="X183" i="3"/>
  <c r="X186" i="19" l="1"/>
  <c r="W187" i="19"/>
  <c r="Y187" i="19" s="1"/>
  <c r="V189" i="19"/>
  <c r="Z188" i="19"/>
  <c r="W188" i="19" s="1"/>
  <c r="Y188" i="19" s="1"/>
  <c r="Z186" i="3"/>
  <c r="W186" i="3" s="1"/>
  <c r="Y186" i="3" s="1"/>
  <c r="V187" i="3"/>
  <c r="W185" i="3"/>
  <c r="Y185" i="3" s="1"/>
  <c r="V190" i="19" l="1"/>
  <c r="Z189" i="19"/>
  <c r="X188" i="19"/>
  <c r="X187" i="19"/>
  <c r="X186" i="3"/>
  <c r="V188" i="3"/>
  <c r="Z187" i="3"/>
  <c r="W187" i="3" s="1"/>
  <c r="Y187" i="3" s="1"/>
  <c r="X185" i="3"/>
  <c r="W189" i="19" l="1"/>
  <c r="Y189" i="19" s="1"/>
  <c r="Z190" i="19"/>
  <c r="V191" i="19"/>
  <c r="X187" i="3"/>
  <c r="V189" i="3"/>
  <c r="Z188" i="3"/>
  <c r="W190" i="19" l="1"/>
  <c r="Y190" i="19" s="1"/>
  <c r="Z191" i="19"/>
  <c r="W191" i="19" s="1"/>
  <c r="Y191" i="19" s="1"/>
  <c r="V192" i="19"/>
  <c r="X189" i="19"/>
  <c r="W188" i="3"/>
  <c r="Y188" i="3" s="1"/>
  <c r="Z189" i="3"/>
  <c r="V190" i="3"/>
  <c r="X191" i="19" l="1"/>
  <c r="V193" i="19"/>
  <c r="Z192" i="19"/>
  <c r="X190" i="19"/>
  <c r="W189" i="3"/>
  <c r="Y189" i="3" s="1"/>
  <c r="Z190" i="3"/>
  <c r="W190" i="3" s="1"/>
  <c r="Y190" i="3" s="1"/>
  <c r="V191" i="3"/>
  <c r="X188" i="3"/>
  <c r="V194" i="19" l="1"/>
  <c r="Z193" i="19"/>
  <c r="W192" i="19"/>
  <c r="Y192" i="19" s="1"/>
  <c r="V192" i="3"/>
  <c r="Z191" i="3"/>
  <c r="X190" i="3"/>
  <c r="X189" i="3"/>
  <c r="W193" i="19" l="1"/>
  <c r="Y193" i="19" s="1"/>
  <c r="Z194" i="19"/>
  <c r="W194" i="19" s="1"/>
  <c r="Y194" i="19" s="1"/>
  <c r="V195" i="19"/>
  <c r="X192" i="19"/>
  <c r="W191" i="3"/>
  <c r="Y191" i="3" s="1"/>
  <c r="V193" i="3"/>
  <c r="Z192" i="3"/>
  <c r="Z195" i="19" l="1"/>
  <c r="W195" i="19" s="1"/>
  <c r="Y195" i="19" s="1"/>
  <c r="V196" i="19"/>
  <c r="X194" i="19"/>
  <c r="X193" i="19"/>
  <c r="W192" i="3"/>
  <c r="Y192" i="3" s="1"/>
  <c r="Z193" i="3"/>
  <c r="V194" i="3"/>
  <c r="X191" i="3"/>
  <c r="V197" i="19" l="1"/>
  <c r="Z196" i="19"/>
  <c r="X195" i="19"/>
  <c r="W193" i="3"/>
  <c r="Y193" i="3" s="1"/>
  <c r="Z194" i="3"/>
  <c r="W194" i="3" s="1"/>
  <c r="Y194" i="3" s="1"/>
  <c r="V195" i="3"/>
  <c r="X192" i="3"/>
  <c r="W196" i="19" l="1"/>
  <c r="Y196" i="19" s="1"/>
  <c r="V198" i="19"/>
  <c r="Z197" i="19"/>
  <c r="X194" i="3"/>
  <c r="V196" i="3"/>
  <c r="Z195" i="3"/>
  <c r="W195" i="3" s="1"/>
  <c r="Y195" i="3" s="1"/>
  <c r="X193" i="3"/>
  <c r="W197" i="19" l="1"/>
  <c r="Y197" i="19" s="1"/>
  <c r="Z198" i="19"/>
  <c r="V199" i="19"/>
  <c r="X196" i="19"/>
  <c r="X195" i="3"/>
  <c r="V197" i="3"/>
  <c r="Z196" i="3"/>
  <c r="W198" i="19" l="1"/>
  <c r="Y198" i="19" s="1"/>
  <c r="V200" i="19"/>
  <c r="Z199" i="19"/>
  <c r="W199" i="19" s="1"/>
  <c r="Y199" i="19" s="1"/>
  <c r="X197" i="19"/>
  <c r="Z197" i="3"/>
  <c r="W197" i="3" s="1"/>
  <c r="V198" i="3"/>
  <c r="W196" i="3"/>
  <c r="Y196" i="3" s="1"/>
  <c r="X199" i="19" l="1"/>
  <c r="V201" i="19"/>
  <c r="Z200" i="19"/>
  <c r="X198" i="19"/>
  <c r="X197" i="3"/>
  <c r="Y197" i="3"/>
  <c r="Z198" i="3"/>
  <c r="W198" i="3" s="1"/>
  <c r="X198" i="3" s="1"/>
  <c r="V199" i="3"/>
  <c r="X196" i="3"/>
  <c r="W200" i="19" l="1"/>
  <c r="Y200" i="19" s="1"/>
  <c r="V202" i="19"/>
  <c r="Z201" i="19"/>
  <c r="Y198" i="3"/>
  <c r="V200" i="3"/>
  <c r="Z199" i="3"/>
  <c r="W199" i="3" s="1"/>
  <c r="Y199" i="3" s="1"/>
  <c r="X199" i="3" l="1"/>
  <c r="W201" i="19"/>
  <c r="Y201" i="19" s="1"/>
  <c r="Z202" i="19"/>
  <c r="X200" i="19"/>
  <c r="V201" i="3"/>
  <c r="Z200" i="3"/>
  <c r="W200" i="3" s="1"/>
  <c r="Y200" i="3" s="1"/>
  <c r="W202" i="19" l="1"/>
  <c r="Y202" i="19" s="1"/>
  <c r="X201" i="19"/>
  <c r="X200" i="3"/>
  <c r="Z201" i="3"/>
  <c r="W201" i="3" s="1"/>
  <c r="Y201" i="3" s="1"/>
  <c r="V202" i="3"/>
  <c r="X202" i="19" l="1"/>
  <c r="Z202" i="3"/>
  <c r="W202" i="3" s="1"/>
  <c r="Y202" i="3" s="1"/>
  <c r="X201" i="3"/>
  <c r="X202" i="3" l="1"/>
  <c r="C25" i="10" l="1"/>
  <c r="E26" i="10" s="1"/>
  <c r="G26" i="10" s="1"/>
  <c r="F24" i="10" s="1"/>
  <c r="C48" i="10"/>
  <c r="C24" i="10"/>
  <c r="C34" i="10"/>
  <c r="H17" i="10"/>
  <c r="C41" i="10"/>
  <c r="D43" i="10" s="1"/>
  <c r="C71" i="10" l="1"/>
  <c r="C72" i="10" s="1"/>
  <c r="C70" i="10"/>
  <c r="F70" i="10" s="1"/>
  <c r="D57" i="10"/>
  <c r="C69" i="10"/>
  <c r="F69" i="10" s="1"/>
  <c r="C26" i="10"/>
  <c r="C64" i="10" s="1"/>
  <c r="F64" i="10" s="1"/>
  <c r="K17" i="9"/>
  <c r="I17" i="9"/>
  <c r="D36" i="10"/>
  <c r="J24" i="10"/>
  <c r="C68" i="10" l="1"/>
  <c r="F68" i="10" s="1"/>
  <c r="F72" i="10"/>
  <c r="F71" i="10"/>
  <c r="C66" i="10"/>
  <c r="F66" i="10" s="1"/>
  <c r="C65" i="10"/>
  <c r="F65" i="10" s="1"/>
  <c r="K12" i="9"/>
  <c r="F73" i="10" l="1"/>
  <c r="I22" i="9"/>
  <c r="N21" i="9" l="1"/>
  <c r="AB20" i="9"/>
  <c r="AB21" i="9" s="1"/>
  <c r="N9" i="9" s="1"/>
  <c r="M28" i="9" l="1"/>
  <c r="N10" i="9" l="1"/>
  <c r="N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slopez</author>
  </authors>
  <commentList>
    <comment ref="D33" authorId="0" shapeId="0" xr:uid="{55D0E9E8-2814-47E1-B5C9-EA0D28F84111}">
      <text>
        <r>
          <rPr>
            <i/>
            <sz val="9"/>
            <color indexed="81"/>
            <rFont val="Times New Roman"/>
            <family val="1"/>
          </rPr>
          <t xml:space="preserve">Poner el peso de la tarima x el no.  de niveles.
Cuando se refuerce el marco restar el no. de niveles reforzados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3" authorId="0" shapeId="0" xr:uid="{92504FA9-0EEF-4EF2-853C-844BEA4CBC85}">
      <text>
        <r>
          <rPr>
            <sz val="11"/>
            <color theme="1"/>
            <rFont val="Calibri"/>
            <family val="2"/>
          </rPr>
          <t>======
ID#AAAAUcRLGJM
Jose Luis Alvarez    (2022-01-21 00:35:11)
S=Sencillo
D=Doble</t>
        </r>
      </text>
    </comment>
    <comment ref="C17" authorId="0" shapeId="0" xr:uid="{4DF08904-D628-4C67-AE53-2E44D4A16EA6}">
      <text>
        <r>
          <rPr>
            <sz val="11"/>
            <color theme="1"/>
            <rFont val="Calibri"/>
            <family val="2"/>
          </rPr>
          <t>======
ID#AAAAUcRLGJQ
Jose Luis Alvarez    (2022-01-21 00:35:11)
S=Si
N=No</t>
        </r>
      </text>
    </comment>
  </commentList>
</comments>
</file>

<file path=xl/sharedStrings.xml><?xml version="1.0" encoding="utf-8"?>
<sst xmlns="http://schemas.openxmlformats.org/spreadsheetml/2006/main" count="2787" uniqueCount="1285">
  <si>
    <t>Calculador de pesos y dimensiones</t>
  </si>
  <si>
    <t>Peso a cargar</t>
  </si>
  <si>
    <t>Tarima</t>
  </si>
  <si>
    <t>Marco</t>
  </si>
  <si>
    <t>Viga</t>
  </si>
  <si>
    <t>Protector Lateral</t>
  </si>
  <si>
    <t>Parrilla Metálica</t>
  </si>
  <si>
    <t>Panel Metálico</t>
  </si>
  <si>
    <t>Frente</t>
  </si>
  <si>
    <t>Modelo</t>
  </si>
  <si>
    <t>ZM1</t>
  </si>
  <si>
    <t>CZR080VM</t>
  </si>
  <si>
    <t>Fondo Marco</t>
  </si>
  <si>
    <t>Longitud Viga</t>
  </si>
  <si>
    <t>Fondo</t>
  </si>
  <si>
    <t>Altura</t>
  </si>
  <si>
    <t>Conector</t>
  </si>
  <si>
    <t>Gota 4P</t>
  </si>
  <si>
    <t>Cantidad Marcos</t>
  </si>
  <si>
    <t xml:space="preserve">Capacidad </t>
  </si>
  <si>
    <t>Longitud</t>
  </si>
  <si>
    <t>Distanciador</t>
  </si>
  <si>
    <t>No. Parrillas</t>
  </si>
  <si>
    <t>Calibre</t>
  </si>
  <si>
    <t>PML19 Cal.14</t>
  </si>
  <si>
    <t>PML19 Cal.18</t>
  </si>
  <si>
    <t>PML19 Cal.20</t>
  </si>
  <si>
    <t>PML19 Cal.22</t>
  </si>
  <si>
    <t>PML41 Cal.14</t>
  </si>
  <si>
    <t>PML41 Cal.18</t>
  </si>
  <si>
    <t>PML41 Cal.20</t>
  </si>
  <si>
    <t>PML41 Cal.22</t>
  </si>
  <si>
    <t>Peso</t>
  </si>
  <si>
    <t>Refuerzo</t>
  </si>
  <si>
    <t>Carga Uniforme</t>
  </si>
  <si>
    <t xml:space="preserve">Bota </t>
  </si>
  <si>
    <t>Escalón</t>
  </si>
  <si>
    <t>P/ Nivel</t>
  </si>
  <si>
    <t>Claros</t>
  </si>
  <si>
    <t>Capacidad Carga</t>
  </si>
  <si>
    <t>Barras</t>
  </si>
  <si>
    <t>Frente Parrilla</t>
  </si>
  <si>
    <t>Validación</t>
  </si>
  <si>
    <t>N / S / V</t>
  </si>
  <si>
    <t>Fondo Parrilla</t>
  </si>
  <si>
    <t>ZMM</t>
  </si>
  <si>
    <t>ZM2</t>
  </si>
  <si>
    <t>Tornillos</t>
  </si>
  <si>
    <t>Perfil</t>
  </si>
  <si>
    <t>Peso Larguero</t>
  </si>
  <si>
    <t>Fondo Panel</t>
  </si>
  <si>
    <t>Diagonal</t>
  </si>
  <si>
    <t>Peso Conector</t>
  </si>
  <si>
    <t>Taquetes</t>
  </si>
  <si>
    <t>Peso Marco</t>
  </si>
  <si>
    <t>Peso Viga</t>
  </si>
  <si>
    <t>Peso Total</t>
  </si>
  <si>
    <t>Peso Columna</t>
  </si>
  <si>
    <t>Distanciadores</t>
  </si>
  <si>
    <t>Travesaño</t>
  </si>
  <si>
    <t>Tope Tarima</t>
  </si>
  <si>
    <t>ZD2</t>
  </si>
  <si>
    <t>Omega</t>
  </si>
  <si>
    <t>Desfase Tarima</t>
  </si>
  <si>
    <t>Marcos</t>
  </si>
  <si>
    <t>Viga Lámina</t>
  </si>
  <si>
    <t>Castza</t>
  </si>
  <si>
    <t>Medida "</t>
  </si>
  <si>
    <t>Medida mm</t>
  </si>
  <si>
    <t>Modelos Soldados</t>
  </si>
  <si>
    <t>CZR060VM</t>
  </si>
  <si>
    <t>VE1906019</t>
  </si>
  <si>
    <t>VE1908019</t>
  </si>
  <si>
    <t>3" x 3"</t>
  </si>
  <si>
    <t>Modelos Selectivo Calibre 15</t>
  </si>
  <si>
    <t>CZR080VSL</t>
  </si>
  <si>
    <t>80mm x 70mm</t>
  </si>
  <si>
    <t>ZM3</t>
  </si>
  <si>
    <t>4" x 3"</t>
  </si>
  <si>
    <t>CZR090VSL</t>
  </si>
  <si>
    <t>90mm x 70mm</t>
  </si>
  <si>
    <t>Modelos Atornillados</t>
  </si>
  <si>
    <t>ZMA1</t>
  </si>
  <si>
    <t>CZR100VSL</t>
  </si>
  <si>
    <t>100mm x 70mm</t>
  </si>
  <si>
    <t>ZMA2</t>
  </si>
  <si>
    <t>M92</t>
  </si>
  <si>
    <t>CZR110VSL</t>
  </si>
  <si>
    <t>110mm x 70mm</t>
  </si>
  <si>
    <t>ZMA3</t>
  </si>
  <si>
    <t>CZR120VSL</t>
  </si>
  <si>
    <t>120mm x 70mm</t>
  </si>
  <si>
    <t>Calculador</t>
  </si>
  <si>
    <t>ZMA4</t>
  </si>
  <si>
    <t>5" x 3"</t>
  </si>
  <si>
    <t>CZR130VSL</t>
  </si>
  <si>
    <t>130mm x 70mm</t>
  </si>
  <si>
    <t>Modelos Estructurales</t>
  </si>
  <si>
    <t>ME3L</t>
  </si>
  <si>
    <t>M3L</t>
  </si>
  <si>
    <t>140mm x 70mm</t>
  </si>
  <si>
    <t>ME3P</t>
  </si>
  <si>
    <t>M3</t>
  </si>
  <si>
    <t>CZR150VSL</t>
  </si>
  <si>
    <t>150mm x 70mm</t>
  </si>
  <si>
    <t>ME4L</t>
  </si>
  <si>
    <t>M4L</t>
  </si>
  <si>
    <t>CZR160VSL</t>
  </si>
  <si>
    <t>160mm x 70mm</t>
  </si>
  <si>
    <t>ME4P</t>
  </si>
  <si>
    <t>M4</t>
  </si>
  <si>
    <t>Modelos Selectivo Calibre 14</t>
  </si>
  <si>
    <t>CZR130VSP</t>
  </si>
  <si>
    <t>CZR140VSP</t>
  </si>
  <si>
    <t>Tornillería</t>
  </si>
  <si>
    <t>CZR150VSP</t>
  </si>
  <si>
    <t>Material que lo utiliza</t>
  </si>
  <si>
    <t>Descripción</t>
  </si>
  <si>
    <t>C/P</t>
  </si>
  <si>
    <t>Medida</t>
  </si>
  <si>
    <t>CZR160VSP</t>
  </si>
  <si>
    <t>Marcos Atornillados</t>
  </si>
  <si>
    <t>Marco Atornillado</t>
  </si>
  <si>
    <t>5/16" x 3/4"</t>
  </si>
  <si>
    <t>Marcos y Protectores</t>
  </si>
  <si>
    <t>Taquete Marco</t>
  </si>
  <si>
    <t>1/2" x 4 1/2"</t>
  </si>
  <si>
    <t>3/8" x 1"</t>
  </si>
  <si>
    <t>Barra de Protector Lateral</t>
  </si>
  <si>
    <t>1/2" x  1/4"</t>
  </si>
  <si>
    <t>Vigas</t>
  </si>
  <si>
    <t>Perno de seguridad</t>
  </si>
  <si>
    <t>-</t>
  </si>
  <si>
    <t>Calza de nivelación</t>
  </si>
  <si>
    <t>Travesaño Omega y Omega 19</t>
  </si>
  <si>
    <t>Pija Autorroscable</t>
  </si>
  <si>
    <t xml:space="preserve">CALCULO DE PESO DE MARCOS </t>
  </si>
  <si>
    <t>PERFIL:</t>
  </si>
  <si>
    <t xml:space="preserve">CALIBRES </t>
  </si>
  <si>
    <t>Altura:</t>
  </si>
  <si>
    <t>mm</t>
  </si>
  <si>
    <t>En perfil</t>
  </si>
  <si>
    <t xml:space="preserve">Ancho: </t>
  </si>
  <si>
    <t xml:space="preserve">En celocias </t>
  </si>
  <si>
    <t>Refuerzos ?</t>
  </si>
  <si>
    <t>Lamina</t>
  </si>
  <si>
    <t>Estructural</t>
  </si>
  <si>
    <t>Peso Marcos =</t>
  </si>
  <si>
    <t>Kg.</t>
  </si>
  <si>
    <t>Peso Columna =</t>
  </si>
  <si>
    <t>Tornillo 5/16" x 3/4"</t>
  </si>
  <si>
    <t>DESCRIPCIÓN Y DISPOSICIÓN DE LAS CELOCÍAS.</t>
  </si>
  <si>
    <t>Variables</t>
  </si>
  <si>
    <t>(mm)</t>
  </si>
  <si>
    <t>(pulgadas)</t>
  </si>
  <si>
    <t>Travesaños</t>
  </si>
  <si>
    <t>Diagonales</t>
  </si>
  <si>
    <t>A</t>
  </si>
  <si>
    <t>B</t>
  </si>
  <si>
    <t>C</t>
  </si>
  <si>
    <t>D</t>
  </si>
  <si>
    <t>Fondo del Marco:</t>
  </si>
  <si>
    <t>W</t>
  </si>
  <si>
    <t>Referencia</t>
  </si>
  <si>
    <t>Ancho del Pérfil:</t>
  </si>
  <si>
    <t>x</t>
  </si>
  <si>
    <t>&lt;</t>
  </si>
  <si>
    <t>&lt; ó =</t>
  </si>
  <si>
    <t>Dist. entre Travesaños.</t>
  </si>
  <si>
    <t>y</t>
  </si>
  <si>
    <t>C - 43</t>
  </si>
  <si>
    <t>C - 32</t>
  </si>
  <si>
    <t>Espesor del Travesaño.</t>
  </si>
  <si>
    <t>y'</t>
  </si>
  <si>
    <t>ZM1 / ZM2</t>
  </si>
  <si>
    <t>C - 62</t>
  </si>
  <si>
    <t>Espesor de la Diagonal.</t>
  </si>
  <si>
    <t>z</t>
  </si>
  <si>
    <t>DISTRIBUCIÓN DE MARCO ZMM</t>
  </si>
  <si>
    <t>DISTRIBUCIÓN DE MARCO ZM1/ZM2/ZM3</t>
  </si>
  <si>
    <t>DISTRIBUCIÓN DE MARCO ZMA1/ZMA2/ZMA3/ZMA4</t>
  </si>
  <si>
    <t xml:space="preserve">MARCOS SOLDADOS </t>
  </si>
  <si>
    <t>No. de</t>
  </si>
  <si>
    <t>Pérfil</t>
  </si>
  <si>
    <t>Dimensión</t>
  </si>
  <si>
    <t>Travesaños:</t>
  </si>
  <si>
    <t>"H" (mm)</t>
  </si>
  <si>
    <t>Diagonales2</t>
  </si>
  <si>
    <t>W - 2x    =</t>
  </si>
  <si>
    <t>=</t>
  </si>
  <si>
    <t>ZMMx</t>
  </si>
  <si>
    <t>ZMMy</t>
  </si>
  <si>
    <t>Diagonales:</t>
  </si>
  <si>
    <t>ZMMy'</t>
  </si>
  <si>
    <t>ZMMz</t>
  </si>
  <si>
    <t>(W-2x)^2 + (y-y'-40)^2    =</t>
  </si>
  <si>
    <t>+</t>
  </si>
  <si>
    <t>ZMMPeso</t>
  </si>
  <si>
    <t>ZMMPlaca</t>
  </si>
  <si>
    <t>ZMMTravesaños</t>
  </si>
  <si>
    <t>Peso del Marco:</t>
  </si>
  <si>
    <t>ZMMDiagonales</t>
  </si>
  <si>
    <t>ZM1x</t>
  </si>
  <si>
    <t>= 2 * Peso * Long.  =</t>
  </si>
  <si>
    <t>kgs.</t>
  </si>
  <si>
    <t>ZM1y</t>
  </si>
  <si>
    <t>Placa</t>
  </si>
  <si>
    <t>= 2 * Placa  =</t>
  </si>
  <si>
    <t>ZM1y'</t>
  </si>
  <si>
    <t>=Peso*Long.*No.Trav.=</t>
  </si>
  <si>
    <t>ZM1z</t>
  </si>
  <si>
    <t>=Peso*Long.*No.Diag.=</t>
  </si>
  <si>
    <t>ZM1Peso</t>
  </si>
  <si>
    <t>ZM1Placa</t>
  </si>
  <si>
    <t xml:space="preserve">Refuerzo </t>
  </si>
  <si>
    <t>= 2 * Peso Ref * Long.  =</t>
  </si>
  <si>
    <t>ZM1Travesaños</t>
  </si>
  <si>
    <t>Peso Total   =</t>
  </si>
  <si>
    <t>ZM1Diagonales</t>
  </si>
  <si>
    <t>ZM2x</t>
  </si>
  <si>
    <t>NOTA IMPORTANTE:</t>
  </si>
  <si>
    <t>ZM2y</t>
  </si>
  <si>
    <t>El peso de las placas cuando lleven refuerzo es de 0.50 kg. por placa (placa de 127 x 152 mm barrenos en línea).</t>
  </si>
  <si>
    <t>ZM2y'</t>
  </si>
  <si>
    <t>El peso de las placas cuando lleven refuerzo es de 1.00 kg. por placa (placa de 127 x 203 mm barrenos defasados).</t>
  </si>
  <si>
    <t>ZM2z</t>
  </si>
  <si>
    <t>ZM2Peso</t>
  </si>
  <si>
    <t>ZM2Placa</t>
  </si>
  <si>
    <t>ZM2Travesaños</t>
  </si>
  <si>
    <t>PLACA BASE</t>
  </si>
  <si>
    <t>PB REF</t>
  </si>
  <si>
    <t>ZM2Diagonales</t>
  </si>
  <si>
    <t>NA</t>
  </si>
  <si>
    <t>ZM3x</t>
  </si>
  <si>
    <t>ZM3y</t>
  </si>
  <si>
    <t>ZM3y'</t>
  </si>
  <si>
    <t>ZM3z</t>
  </si>
  <si>
    <t>ZM3Peso</t>
  </si>
  <si>
    <t>ZM3Placa</t>
  </si>
  <si>
    <t>ZM3Travesaños</t>
  </si>
  <si>
    <t>ZM3Diagonales</t>
  </si>
  <si>
    <t>ZMA1x</t>
  </si>
  <si>
    <t>ZMA1y</t>
  </si>
  <si>
    <t>ZMA1y'</t>
  </si>
  <si>
    <t xml:space="preserve">CELOCIAS </t>
  </si>
  <si>
    <t>ZMA1z</t>
  </si>
  <si>
    <t>ZMA1Peso</t>
  </si>
  <si>
    <t>ZMA1Placa</t>
  </si>
  <si>
    <t>ZMA1Travesaños</t>
  </si>
  <si>
    <t>ZMA1Diagonales</t>
  </si>
  <si>
    <t>ZMA2x</t>
  </si>
  <si>
    <t>ZMA2y</t>
  </si>
  <si>
    <t>ZMA2y'</t>
  </si>
  <si>
    <t>ZMA2z</t>
  </si>
  <si>
    <t>ZMA2Peso</t>
  </si>
  <si>
    <t>ZMA2Placa</t>
  </si>
  <si>
    <t>ZMA2Travesaños</t>
  </si>
  <si>
    <t>ZMA2Diagonales</t>
  </si>
  <si>
    <t>ZMA3x</t>
  </si>
  <si>
    <t>ZMA3y</t>
  </si>
  <si>
    <t>PERFILES</t>
  </si>
  <si>
    <t>ZMA3y'</t>
  </si>
  <si>
    <t>ZMA3z</t>
  </si>
  <si>
    <t>ZMA3Peso</t>
  </si>
  <si>
    <t>ZMA3Placa</t>
  </si>
  <si>
    <t>ZMA3Travesaños</t>
  </si>
  <si>
    <t>ZMA3Diagonales</t>
  </si>
  <si>
    <t>ZMA4x</t>
  </si>
  <si>
    <t>ZMA4y</t>
  </si>
  <si>
    <t>ZMA4y'</t>
  </si>
  <si>
    <t>ZMA4z</t>
  </si>
  <si>
    <t>ZMA4Peso</t>
  </si>
  <si>
    <t>ZMA4Placa</t>
  </si>
  <si>
    <t>ZMA4Travesaños</t>
  </si>
  <si>
    <t>ZMA4Diagonales</t>
  </si>
  <si>
    <t>SI</t>
  </si>
  <si>
    <t>NO</t>
  </si>
  <si>
    <t xml:space="preserve">MARCOS ATORNILLADOS </t>
  </si>
  <si>
    <t>Tipo de Marco:</t>
  </si>
  <si>
    <t>Altura del Marco:</t>
  </si>
  <si>
    <t>En Marcos ME3P y ME4P ajustar altura al siguiente paso superior (paso 101.6 mm)</t>
  </si>
  <si>
    <t>Refuerzo:</t>
  </si>
  <si>
    <t>APS 1-1/2"x1/8"</t>
  </si>
  <si>
    <t>Ancho del Pérfil Poste:</t>
  </si>
  <si>
    <t>t</t>
  </si>
  <si>
    <t>SH</t>
  </si>
  <si>
    <t>tarima mazapan</t>
  </si>
  <si>
    <t>APS 2" x 1/8"</t>
  </si>
  <si>
    <t>1x1.2 1.7</t>
  </si>
  <si>
    <t>tarima 1000kg</t>
  </si>
  <si>
    <t>e</t>
  </si>
  <si>
    <t>Espacio de la Diagonal.</t>
  </si>
  <si>
    <t>cambiar travesaño interno atornillado</t>
  </si>
  <si>
    <t>DISTRIBUCIÓN DE MARCOS</t>
  </si>
  <si>
    <t>DISTRIBUCIÓN DE MARCO M50</t>
  </si>
  <si>
    <t>ME3L / ME3P / ME4L / ME4P</t>
  </si>
  <si>
    <t>W - 2t    =</t>
  </si>
  <si>
    <t>mm.</t>
  </si>
  <si>
    <t>ME3Lx</t>
  </si>
  <si>
    <t>ME3Ly</t>
  </si>
  <si>
    <t>ME3Le</t>
  </si>
  <si>
    <t>ME3Lt</t>
  </si>
  <si>
    <t>(W-(x+x+y))^2 + (SH-2e)^2    =</t>
  </si>
  <si>
    <t>ME3LSH</t>
  </si>
  <si>
    <t>ME3LPeso</t>
  </si>
  <si>
    <t>ME3LPlaca</t>
  </si>
  <si>
    <t>ME3LTravesaños</t>
  </si>
  <si>
    <t>ME3LDiagonales</t>
  </si>
  <si>
    <t>ME3Px</t>
  </si>
  <si>
    <t>ME3Py</t>
  </si>
  <si>
    <t>ME3Pe</t>
  </si>
  <si>
    <t>ME3Pt</t>
  </si>
  <si>
    <t>ME3PSH</t>
  </si>
  <si>
    <t>Peso Total  del Marco =</t>
  </si>
  <si>
    <t>ME3PPeso</t>
  </si>
  <si>
    <t>Peso Total de la columna   =</t>
  </si>
  <si>
    <t>ME3PPlaca</t>
  </si>
  <si>
    <t>ME3PTravesaños</t>
  </si>
  <si>
    <t>ME3PDiagonales</t>
  </si>
  <si>
    <t>ME4Lx</t>
  </si>
  <si>
    <t>ME4Ly</t>
  </si>
  <si>
    <t>ME4Le</t>
  </si>
  <si>
    <t>ME4Lt</t>
  </si>
  <si>
    <t>ME4LSH</t>
  </si>
  <si>
    <t>ME4LPeso</t>
  </si>
  <si>
    <t>ME4LPlaca</t>
  </si>
  <si>
    <t>ME4LTravesaños</t>
  </si>
  <si>
    <t>ME4LDiagonales</t>
  </si>
  <si>
    <t>ME4Px</t>
  </si>
  <si>
    <t>ME4Py</t>
  </si>
  <si>
    <t>ME4Pe</t>
  </si>
  <si>
    <t>ME4Pt</t>
  </si>
  <si>
    <t>ME4PSH</t>
  </si>
  <si>
    <t>ME4PPeso</t>
  </si>
  <si>
    <t>ME4PPlaca</t>
  </si>
  <si>
    <t>ME4PTravesaños</t>
  </si>
  <si>
    <t>ME4PDiagonales</t>
  </si>
  <si>
    <t>TIPO DE VIGA</t>
  </si>
  <si>
    <t>Modulos de eslasticidad E (kg/cm2)</t>
  </si>
  <si>
    <t>TIPO DE CONECTOR</t>
  </si>
  <si>
    <t>Esfuerzo máximo permisible σmáx A36 (kg/cm2)</t>
  </si>
  <si>
    <t>cal 7, 9, 10,12, 16, 18,20,22,cps 3P, cps 4P, APS 1-1/2", 2"</t>
  </si>
  <si>
    <t>LONG. DE LA VIGA (mm)</t>
  </si>
  <si>
    <t>Esfuerzo máximo permisible σmáx A50 (kg/cm2)</t>
  </si>
  <si>
    <t>cal 12, cps 3L, cps 4L</t>
  </si>
  <si>
    <t>CARGA UNIFORME POR VIGA (kg)</t>
  </si>
  <si>
    <t>Esfuerzo máximo permisible σmáx A55 (kg/cm2)</t>
  </si>
  <si>
    <t>cal 14 15</t>
  </si>
  <si>
    <t>CONCIDERACION DE CALCULO</t>
  </si>
  <si>
    <t>A55</t>
  </si>
  <si>
    <t>DEFLEXIÓN MÁXIMA PERMISIBLE</t>
  </si>
  <si>
    <t xml:space="preserve">Vigas </t>
  </si>
  <si>
    <t>ℓ/180</t>
  </si>
  <si>
    <t>Vigas push b. y diman.</t>
  </si>
  <si>
    <t>ℓ/240</t>
  </si>
  <si>
    <t>Mezzanines</t>
  </si>
  <si>
    <t>ℓ/360</t>
  </si>
  <si>
    <t>Deflexión máxima Permisible</t>
  </si>
  <si>
    <t xml:space="preserve">condicion de Deflexión maxima permisible (Δmáx.perm.) (cm)  </t>
  </si>
  <si>
    <t>Carga para deflexión max permisible</t>
  </si>
  <si>
    <t xml:space="preserve">Esfuerzo máximo permisible σmáx </t>
  </si>
  <si>
    <t>Deflexión Real</t>
  </si>
  <si>
    <t>Ix</t>
  </si>
  <si>
    <r>
      <rPr>
        <sz val="10"/>
        <color theme="1"/>
        <rFont val="Arial"/>
        <family val="2"/>
      </rPr>
      <t>Monento de Inercia en el eje x (Ix) (cm</t>
    </r>
    <r>
      <rPr>
        <vertAlign val="superscript"/>
        <sz val="10"/>
        <color theme="1"/>
        <rFont val="Arial"/>
        <family val="2"/>
      </rPr>
      <t>4</t>
    </r>
    <r>
      <rPr>
        <sz val="11"/>
        <color theme="1"/>
        <rFont val="Calibri"/>
        <family val="2"/>
      </rPr>
      <t>)</t>
    </r>
  </si>
  <si>
    <t>Capacidad de carga max</t>
  </si>
  <si>
    <t>Sx</t>
  </si>
  <si>
    <r>
      <rPr>
        <sz val="10"/>
        <color theme="1"/>
        <rFont val="Arial"/>
        <family val="2"/>
      </rPr>
      <t>Modulo de sección en el eje x (Sx) (cm</t>
    </r>
    <r>
      <rPr>
        <vertAlign val="superscript"/>
        <sz val="10"/>
        <color theme="1"/>
        <rFont val="Arial"/>
        <family val="2"/>
      </rPr>
      <t>3</t>
    </r>
    <r>
      <rPr>
        <sz val="11"/>
        <color theme="1"/>
        <rFont val="Calibri"/>
        <family val="2"/>
      </rPr>
      <t>)</t>
    </r>
  </si>
  <si>
    <t>Condición 1</t>
  </si>
  <si>
    <t>Deflex Real =&lt; Max Permisible</t>
  </si>
  <si>
    <t>Longitud de la viga (ℓ)(cm)</t>
  </si>
  <si>
    <t>Condición 2</t>
  </si>
  <si>
    <t>Carga Real Uniforma =&lt; Capacidad de carga max</t>
  </si>
  <si>
    <t>Carga Total (W)(kg)</t>
  </si>
  <si>
    <t>PESO de VIGA</t>
  </si>
  <si>
    <t>Carga Dostribuida por unidad de longitud (ω)(kg/cm)</t>
  </si>
  <si>
    <t>Capacidad por Viga</t>
  </si>
  <si>
    <t>Capacidad por par de vigas</t>
  </si>
  <si>
    <t>Peso con AP60</t>
  </si>
  <si>
    <t>Calculo para una viga simplemente apoyada con carga uniformemente repartida</t>
  </si>
  <si>
    <t>Deflexion Real</t>
  </si>
  <si>
    <t>Tipo de</t>
  </si>
  <si>
    <t>Propiedades</t>
  </si>
  <si>
    <t>de Diseño</t>
  </si>
  <si>
    <t>Δmáx. =</t>
  </si>
  <si>
    <r>
      <rPr>
        <sz val="11"/>
        <color theme="1"/>
        <rFont val="Times New Roman"/>
        <family val="1"/>
      </rPr>
      <t>5 ω  ℓ</t>
    </r>
    <r>
      <rPr>
        <vertAlign val="superscript"/>
        <sz val="11"/>
        <color theme="1"/>
        <rFont val="Times New Roman"/>
        <family val="1"/>
      </rPr>
      <t>4</t>
    </r>
  </si>
  <si>
    <t>5 Wℓ³</t>
  </si>
  <si>
    <t>VC3LIx</t>
  </si>
  <si>
    <t>cms.</t>
  </si>
  <si>
    <t>384 * E * I</t>
  </si>
  <si>
    <t>VC3LSx</t>
  </si>
  <si>
    <t>cms.³</t>
  </si>
  <si>
    <t>VC3LPeso</t>
  </si>
  <si>
    <t>kg / m</t>
  </si>
  <si>
    <t xml:space="preserve">Deflexion maxima (Δmáx.) (cm) </t>
  </si>
  <si>
    <t xml:space="preserve">Deflexion max. real restringuida (Δmáx.) (cm) </t>
  </si>
  <si>
    <t>VC3Ix</t>
  </si>
  <si>
    <t>VC3Sx</t>
  </si>
  <si>
    <t>Diferencia</t>
  </si>
  <si>
    <t>VC3Peso</t>
  </si>
  <si>
    <t>Deflexion Maxima permisible</t>
  </si>
  <si>
    <t>VC4LIx</t>
  </si>
  <si>
    <t>VC4LSx</t>
  </si>
  <si>
    <t>ℓ</t>
  </si>
  <si>
    <t>VC4LPeso</t>
  </si>
  <si>
    <t>c</t>
  </si>
  <si>
    <t>VC4Ix</t>
  </si>
  <si>
    <t>c=condicion de deflexion permisible</t>
  </si>
  <si>
    <t>VC4Sx</t>
  </si>
  <si>
    <t xml:space="preserve">Deflexion maxima permisible (Δmáx.perm.) (cm) </t>
  </si>
  <si>
    <t>VC4Peso</t>
  </si>
  <si>
    <t>VC5LIx</t>
  </si>
  <si>
    <t>VC5LSx</t>
  </si>
  <si>
    <t>VC5LPeso</t>
  </si>
  <si>
    <t>Carga maxima permisible en funcion de la deflexion maxima permisible.</t>
  </si>
  <si>
    <t>VC6LIx</t>
  </si>
  <si>
    <t>VC6LSx</t>
  </si>
  <si>
    <t>Carga restringuida a la 1 milimetro de diferencia entre la deflexion perm y la deflexion real</t>
  </si>
  <si>
    <t>VC6LPeso</t>
  </si>
  <si>
    <t>W max. Perm.=</t>
  </si>
  <si>
    <t>W max. Perm. Rest.=</t>
  </si>
  <si>
    <t>((ℓ/c)-0.1)*384 * E * I</t>
  </si>
  <si>
    <t>VC6Ix</t>
  </si>
  <si>
    <r>
      <rPr>
        <sz val="11"/>
        <color theme="1"/>
        <rFont val="Times New Roman"/>
        <family val="1"/>
      </rPr>
      <t>900 * ℓ</t>
    </r>
    <r>
      <rPr>
        <vertAlign val="superscript"/>
        <sz val="11"/>
        <color theme="1"/>
        <rFont val="Times New Roman"/>
        <family val="1"/>
      </rPr>
      <t>2</t>
    </r>
  </si>
  <si>
    <r>
      <rPr>
        <sz val="11"/>
        <color theme="1"/>
        <rFont val="Times New Roman"/>
        <family val="1"/>
      </rPr>
      <t>5* ℓ</t>
    </r>
    <r>
      <rPr>
        <vertAlign val="superscript"/>
        <sz val="11"/>
        <color theme="1"/>
        <rFont val="Times New Roman"/>
        <family val="1"/>
      </rPr>
      <t>3</t>
    </r>
  </si>
  <si>
    <t>VC6Sx</t>
  </si>
  <si>
    <t>VC6Peso</t>
  </si>
  <si>
    <t xml:space="preserve">Carga maxima permisible (Wmáx.perm.) (Kg) </t>
  </si>
  <si>
    <t xml:space="preserve">Carga maxima permisible restringida (Wmáx.perm.) (Kg) </t>
  </si>
  <si>
    <t>VC8LIx</t>
  </si>
  <si>
    <t>VC8LSx</t>
  </si>
  <si>
    <t>VC8LPeso</t>
  </si>
  <si>
    <t>Carga maxima permisible en funcion del momento para el perfil seleccionado</t>
  </si>
  <si>
    <t>VA3x1/4Ix</t>
  </si>
  <si>
    <t>VA3x1/4Sx</t>
  </si>
  <si>
    <t>VA3x1/4Peso</t>
  </si>
  <si>
    <t>W max perm perfil =</t>
  </si>
  <si>
    <t xml:space="preserve">8 * Sx* σmáx </t>
  </si>
  <si>
    <t>VA3x3/16Ix</t>
  </si>
  <si>
    <t>VA3x3/16Sx</t>
  </si>
  <si>
    <t>VA3x3/16Peso</t>
  </si>
  <si>
    <t>VA4x1/4Ix</t>
  </si>
  <si>
    <t xml:space="preserve">Carga maxima permisible perfil (Wmáx.perm.perfil) (Kg) </t>
  </si>
  <si>
    <t>Unitario</t>
  </si>
  <si>
    <t>VA4x1/4Sx</t>
  </si>
  <si>
    <t>M52 2U</t>
  </si>
  <si>
    <t>VA4x1/4Peso</t>
  </si>
  <si>
    <t>M52 3U</t>
  </si>
  <si>
    <t>VB152Ix</t>
  </si>
  <si>
    <t>Gama 2P</t>
  </si>
  <si>
    <t>VB152Sx</t>
  </si>
  <si>
    <t>Gota 3P</t>
  </si>
  <si>
    <t>VB152Peso</t>
  </si>
  <si>
    <t>CZR060VMIx</t>
  </si>
  <si>
    <t>Calculo del peso de la viga y sus conectores</t>
  </si>
  <si>
    <t>R4 Barrenos (Est.)</t>
  </si>
  <si>
    <t>CZR060VMSx</t>
  </si>
  <si>
    <t>R6 Barrenos (Est.)</t>
  </si>
  <si>
    <t>CZR060VMPeso</t>
  </si>
  <si>
    <t xml:space="preserve"> = Peso de la Viga * Longitud</t>
  </si>
  <si>
    <t>R8 Barrenos (Est.)</t>
  </si>
  <si>
    <t>CZR080VMIx</t>
  </si>
  <si>
    <t xml:space="preserve"> = Tipo de Conector * 2 pzas.</t>
  </si>
  <si>
    <t>Dinámico (Lám.)</t>
  </si>
  <si>
    <t>CZR080VMSx</t>
  </si>
  <si>
    <t>Dinámico (Est.)</t>
  </si>
  <si>
    <t>CZR080VMPeso</t>
  </si>
  <si>
    <t>kg/m</t>
  </si>
  <si>
    <t>Peso Total de la Viga</t>
  </si>
  <si>
    <t>Walmart</t>
  </si>
  <si>
    <t>VE4108014Ix</t>
  </si>
  <si>
    <t>VE4108014Sx</t>
  </si>
  <si>
    <t>VE4108014Peso</t>
  </si>
  <si>
    <t>VE4109014Ix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</si>
  <si>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</si>
  <si>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VE4109014Sx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</si>
  <si>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</si>
  <si>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VE4109014Peso</t>
  </si>
  <si>
    <t>VE4110014Ix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</si>
  <si>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</si>
  <si>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VE4110014Sx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</si>
  <si>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</si>
  <si>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VE4110014Peso</t>
  </si>
  <si>
    <t>VE4111014Ix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</si>
  <si>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</si>
  <si>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VE4111014Sx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</si>
  <si>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</si>
  <si>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VE4111014Peso</t>
  </si>
  <si>
    <t>VE4112014Ix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</si>
  <si>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</si>
  <si>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VE4112014Sx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</si>
  <si>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</si>
  <si>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VE4112014Peso</t>
  </si>
  <si>
    <t>CZR130VSPIx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</si>
  <si>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</si>
  <si>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CZR130VSPSx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</si>
  <si>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</si>
  <si>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CZR130VSPPeso</t>
  </si>
  <si>
    <t>CZR140VSPIx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</si>
  <si>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</si>
  <si>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CZR140VSPSx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</si>
  <si>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</si>
  <si>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CZR140VSPPeso</t>
  </si>
  <si>
    <t>CZR150VSPIx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</si>
  <si>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</si>
  <si>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CZR150VSPSx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</si>
  <si>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</si>
  <si>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CZR150VSPPeso</t>
  </si>
  <si>
    <t>CZR160VSPIx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</si>
  <si>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</si>
  <si>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CZR160VSPSx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</si>
  <si>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</si>
  <si>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CZR160VSPPeso</t>
  </si>
  <si>
    <t>VE4108013Ix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</si>
  <si>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</si>
  <si>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VE4108013Sx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</si>
  <si>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</si>
  <si>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VE4108013Peso</t>
  </si>
  <si>
    <t>VE4109013Ix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</si>
  <si>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</si>
  <si>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VE4109013Sx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</si>
  <si>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</si>
  <si>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VE4109013Peso</t>
  </si>
  <si>
    <t>VE4110013Ix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</si>
  <si>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</si>
  <si>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VE4110013Sx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</si>
  <si>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</si>
  <si>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VE4110013Peso</t>
  </si>
  <si>
    <t>VE4111013Ix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</si>
  <si>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</si>
  <si>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VE4111013Sx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</si>
  <si>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</si>
  <si>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VE4111013Peso</t>
  </si>
  <si>
    <t>VE4112013Ix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</si>
  <si>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</si>
  <si>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VE4112013Sx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</si>
  <si>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</si>
  <si>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VE4112013Peso</t>
  </si>
  <si>
    <t>VE4113013Ix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</si>
  <si>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</si>
  <si>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VE4113013Sx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</si>
  <si>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</si>
  <si>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VE4113013Peso</t>
  </si>
  <si>
    <t>VE4114013Ix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</si>
  <si>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</si>
  <si>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VE4114013Sx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</si>
  <si>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</si>
  <si>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VE4114013Peso</t>
  </si>
  <si>
    <t>VE4115013Ix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</si>
  <si>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</si>
  <si>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VE4115013Sx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</si>
  <si>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</si>
  <si>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VE4115013Peso</t>
  </si>
  <si>
    <t>VE4116013Ix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</si>
  <si>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</si>
  <si>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VE4116013Sx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</si>
  <si>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</si>
  <si>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VE4116013Peso</t>
  </si>
  <si>
    <t>CZR080VSLIx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</si>
  <si>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</si>
  <si>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CZR080VSLSx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</si>
  <si>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</si>
  <si>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CZR080VSLPeso</t>
  </si>
  <si>
    <t>CZR090VSLIx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</si>
  <si>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</si>
  <si>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CZR090VSLSx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</si>
  <si>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</si>
  <si>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CZR090VSLPeso</t>
  </si>
  <si>
    <t>CZR100VSLIx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</si>
  <si>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</si>
  <si>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CZR100VSLSx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</si>
  <si>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</si>
  <si>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CZR100VSLPeso</t>
  </si>
  <si>
    <t>CZR110VSLIx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</si>
  <si>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</si>
  <si>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CZR110VSLSx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</si>
  <si>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</si>
  <si>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CZR110VSLPeso</t>
  </si>
  <si>
    <t>CZR120VSLIx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</si>
  <si>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</si>
  <si>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CZR120VSLSx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</si>
  <si>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</si>
  <si>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CZR120VSLPeso</t>
  </si>
  <si>
    <t>CZR130VSLIx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</si>
  <si>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</si>
  <si>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CZR130VSLSx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</si>
  <si>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</si>
  <si>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CZR130VSLPeso</t>
  </si>
  <si>
    <t>CZR140VSLIx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</si>
  <si>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</si>
  <si>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CZR140VSLSx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</si>
  <si>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</si>
  <si>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CZR140VSLPeso</t>
  </si>
  <si>
    <t>CZR150VSLIx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</si>
  <si>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</si>
  <si>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CZR150VSLSx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</si>
  <si>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</si>
  <si>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CZR150VSLPeso</t>
  </si>
  <si>
    <t>CZR160VSLIx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</si>
  <si>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0"/>
        <color theme="1"/>
        <rFont val="Arial"/>
        <family val="2"/>
      </rPr>
      <t>4</t>
    </r>
  </si>
  <si>
    <t>CZR160VSLSx</t>
  </si>
  <si>
    <r>
      <rPr>
        <sz val="11"/>
        <color theme="1"/>
        <rFont val="Arial"/>
        <family val="2"/>
      </rPr>
      <t xml:space="preserve">cm </t>
    </r>
    <r>
      <rPr>
        <b/>
        <vertAlign val="superscript"/>
        <sz val="11"/>
        <color theme="1"/>
        <rFont val="Arial"/>
        <family val="2"/>
      </rPr>
      <t>3</t>
    </r>
  </si>
  <si>
    <t>CZR160VSLPeso</t>
  </si>
  <si>
    <t>IPR 6X4 13.4Ix</t>
  </si>
  <si>
    <t>IPR 6X4 13.4Sx</t>
  </si>
  <si>
    <t>IPR 6X4 13.4Peso</t>
  </si>
  <si>
    <t>CZR140VSL</t>
  </si>
  <si>
    <t>IPR 6X4 17.9Ix</t>
  </si>
  <si>
    <t>IPR 6X4 17.9Sx</t>
  </si>
  <si>
    <t>IPR 6X4 17.9Peso</t>
  </si>
  <si>
    <t>IPR 6X4 23.8Ix</t>
  </si>
  <si>
    <t>IPR 6X4 23.8Sx</t>
  </si>
  <si>
    <t>IPR 6X4 23.8Peso</t>
  </si>
  <si>
    <t>IPR 8X4 14.9Ix</t>
  </si>
  <si>
    <t>VC3L</t>
  </si>
  <si>
    <t>Viga simplemente apoyada</t>
  </si>
  <si>
    <t>IPR 8X4 14.9Sx</t>
  </si>
  <si>
    <t>VC3</t>
  </si>
  <si>
    <t>Viga Empotrada</t>
  </si>
  <si>
    <t>IPR 8X4 14.9Peso</t>
  </si>
  <si>
    <t>VC4L</t>
  </si>
  <si>
    <t>IPR 8X4 19.3Ix</t>
  </si>
  <si>
    <t>VC4</t>
  </si>
  <si>
    <t>IPR 8X4 19.3Sx</t>
  </si>
  <si>
    <t>VC5L</t>
  </si>
  <si>
    <t>IPR 8X4 19.3Peso</t>
  </si>
  <si>
    <t>VC6L</t>
  </si>
  <si>
    <t>IPR 8X4 22.3Ix</t>
  </si>
  <si>
    <t>VC6</t>
  </si>
  <si>
    <t>IPR 8X4 22.3Sx</t>
  </si>
  <si>
    <t>VC8L</t>
  </si>
  <si>
    <t>IPR 8X4 22.3Peso</t>
  </si>
  <si>
    <t>VA3x3/16</t>
  </si>
  <si>
    <t>IPR 10X4 17.9Ix</t>
  </si>
  <si>
    <t>VA3x1/4</t>
  </si>
  <si>
    <t>IPR 10X4 17.9Sx</t>
  </si>
  <si>
    <t>VA4x1/4</t>
  </si>
  <si>
    <t>A50</t>
  </si>
  <si>
    <t>IPR 10X4 17.9Peso</t>
  </si>
  <si>
    <t>IPR 6x4 13.4</t>
  </si>
  <si>
    <t>A36</t>
  </si>
  <si>
    <t>IPR 10X4 22.3Ix</t>
  </si>
  <si>
    <t>IPR 6x4 17.9</t>
  </si>
  <si>
    <t>IPR 10X4 22.3Sx</t>
  </si>
  <si>
    <t>IPR 6x4 23.8</t>
  </si>
  <si>
    <t>Vigas lam cal 14 y 15</t>
  </si>
  <si>
    <t>IPR 10X4 22.3Peso</t>
  </si>
  <si>
    <t>IPR 8x4 14.9</t>
  </si>
  <si>
    <t>Vigas CPS 3L y 4L</t>
  </si>
  <si>
    <t>IPR 10X4 25.3Ix</t>
  </si>
  <si>
    <t>IPR 8x4 19.3</t>
  </si>
  <si>
    <t>Vigas CPS 3P, 4P, APS</t>
  </si>
  <si>
    <t>IPR 10X4 25.3Sx</t>
  </si>
  <si>
    <t>IPR 8x4 22.3</t>
  </si>
  <si>
    <t>IPR 10X4 25.3Peso</t>
  </si>
  <si>
    <t>IPR 10x4 17.9</t>
  </si>
  <si>
    <t>IPR 10X4 28.3Ix</t>
  </si>
  <si>
    <t>IPR 10x4 22.3</t>
  </si>
  <si>
    <t>IPR 10X4 28.3Sx</t>
  </si>
  <si>
    <t>IPR 10x4 25.3</t>
  </si>
  <si>
    <t>IPR 10X4 28.3Peso</t>
  </si>
  <si>
    <t>IPR 10x4 28.3</t>
  </si>
  <si>
    <t>IPR 12X4 20.8Ix</t>
  </si>
  <si>
    <t>IPR 12x4 20.8</t>
  </si>
  <si>
    <t>IPR 12X4 20.8Sx</t>
  </si>
  <si>
    <t>IPR 12x4 23.8</t>
  </si>
  <si>
    <t>IPR 12X4 20.8Peso</t>
  </si>
  <si>
    <t>IPR 12x4 28.3</t>
  </si>
  <si>
    <t>IPR 12X4 23.8Ix</t>
  </si>
  <si>
    <t>IPR 12x4 32.7</t>
  </si>
  <si>
    <t>IPR 12X4 23.8Sx</t>
  </si>
  <si>
    <t>IPR 14x5 32.7</t>
  </si>
  <si>
    <t>IPR 12X4 23.8Peso</t>
  </si>
  <si>
    <t>IPR 14x5 38.7</t>
  </si>
  <si>
    <t>IPR 12X4 28.3Ix</t>
  </si>
  <si>
    <t>IPR 12X4 28.3Sx</t>
  </si>
  <si>
    <t>IPR 12X4 28.3Peso</t>
  </si>
  <si>
    <t>IPR 12X4 32.7Ix</t>
  </si>
  <si>
    <t>IPR 12X4 32.7Sx</t>
  </si>
  <si>
    <t>IPR 12X4 32.7Peso</t>
  </si>
  <si>
    <t>IPR 14X5 32.7Ix</t>
  </si>
  <si>
    <t>IPR 14X5 32.7Sx</t>
  </si>
  <si>
    <t>IPR 14X5 32.7Peso</t>
  </si>
  <si>
    <t>IPR 14X5 38.7Ix</t>
  </si>
  <si>
    <t>IPR 14X5 38.7Sx</t>
  </si>
  <si>
    <t>IPR 14X5 38.7Peso</t>
  </si>
  <si>
    <t>ZD1</t>
  </si>
  <si>
    <t>ZD3</t>
  </si>
  <si>
    <t>ZD4</t>
  </si>
  <si>
    <t>ZD5</t>
  </si>
  <si>
    <t>ZD6</t>
  </si>
  <si>
    <t>frente</t>
  </si>
  <si>
    <t>fondo</t>
  </si>
  <si>
    <t>calibre</t>
  </si>
  <si>
    <t>escalon</t>
  </si>
  <si>
    <t>desarrollo</t>
  </si>
  <si>
    <t>peso calibre</t>
  </si>
  <si>
    <t>longitud del panel</t>
  </si>
  <si>
    <t>1/4"</t>
  </si>
  <si>
    <t>3/16"</t>
  </si>
  <si>
    <t>1/8"</t>
  </si>
  <si>
    <t>LONGITUD</t>
  </si>
  <si>
    <t>REDONDEO</t>
  </si>
  <si>
    <t>Protector lateral</t>
  </si>
  <si>
    <t>Parrillas</t>
  </si>
  <si>
    <t>Columna</t>
  </si>
  <si>
    <t>longitud</t>
  </si>
  <si>
    <t>conector</t>
  </si>
  <si>
    <t>APS TL</t>
  </si>
  <si>
    <t>M72 TL</t>
  </si>
  <si>
    <t>CPS TL</t>
  </si>
  <si>
    <t xml:space="preserve">Omega 19 </t>
  </si>
  <si>
    <t>Viga tope</t>
  </si>
  <si>
    <t>M72</t>
  </si>
  <si>
    <t>Información y datos</t>
  </si>
  <si>
    <t>Cuando un marco no soporte la carga, se puede agregar un refuerzo o cambiar a un modelo mayor.</t>
  </si>
  <si>
    <t>La medida de los claros se redondean a las que marca el calculador. Por ejemplo, claros de 1,411mm se redondea a 1,500mm.</t>
  </si>
  <si>
    <t>Los fondos y altura de los marcos siempre tienen que ser a par de pulgada.</t>
  </si>
  <si>
    <t>Los marcos para sistema antisismico se calcula con un 40% más del peso que va a cargar y obligatoriamente llevan refuerzo en el primer nivel.</t>
  </si>
  <si>
    <t>Placa Base</t>
  </si>
  <si>
    <t>Calibre 3/8"</t>
  </si>
  <si>
    <t>Calibre 14</t>
  </si>
  <si>
    <t>Perfil Columna</t>
  </si>
  <si>
    <t>Atornillado</t>
  </si>
  <si>
    <t xml:space="preserve">Taquete </t>
  </si>
  <si>
    <t>Tornillería por Marco</t>
  </si>
  <si>
    <t>Taquete Sismico</t>
  </si>
  <si>
    <t>Todos los marcos cotizados son en gota de agua, menos el material estructural.</t>
  </si>
  <si>
    <t>Menorack</t>
  </si>
  <si>
    <t>Siempre se va a buscar la viga más ligera en peso que soporte correctamente la carga.</t>
  </si>
  <si>
    <t>Despues del peralte de 130mm se coloca conector de 4 pernos y en Minirack siempre lleva conector de 3 uñas.</t>
  </si>
  <si>
    <t>Para modelo antisismico se aumenta 1 o 2 peraltes más a la viga adecuada y se pone conector de 4 pernos.</t>
  </si>
  <si>
    <t>Larguero</t>
  </si>
  <si>
    <t>Calibre 9</t>
  </si>
  <si>
    <t>Perno</t>
  </si>
  <si>
    <t>Siempre se pone las vigas a par de pulgada, siendo las más comunes 92", 96" y 108"</t>
  </si>
  <si>
    <t>Tornillería por Viga</t>
  </si>
  <si>
    <t>Calza Nivelación</t>
  </si>
  <si>
    <t>Complementos</t>
  </si>
  <si>
    <t>RS1 para marco M-52</t>
  </si>
  <si>
    <t>RS2 para marco M-72, 73, 92, 93, 102, 103, 94, 95, 104, 105, 124, y 125 medida no estandar</t>
  </si>
  <si>
    <t>RS3 para marco M3</t>
  </si>
  <si>
    <t>RS4 para marco M4</t>
  </si>
  <si>
    <t>RS5 para marco M-74, 75, 94, 95, 104, 105, 124, 125 Medidas Estandar</t>
  </si>
  <si>
    <t>RS6 para marco M-72, 73, 92, 93, 102, 103, 122, 123 Medidas Estandar</t>
  </si>
  <si>
    <t>Tipo</t>
  </si>
  <si>
    <t>No. Taquetes</t>
  </si>
  <si>
    <t>Protector bota</t>
  </si>
  <si>
    <t>9.2 Kg</t>
  </si>
  <si>
    <t>Protector Estructural</t>
  </si>
  <si>
    <t>15 Kg</t>
  </si>
  <si>
    <t>5 Kg</t>
  </si>
  <si>
    <t>Protector Doble Deep</t>
  </si>
  <si>
    <t>Cotizador</t>
  </si>
  <si>
    <t>Características y cantidades de materiales</t>
  </si>
  <si>
    <t>Parte</t>
  </si>
  <si>
    <t>Color</t>
  </si>
  <si>
    <t>Cantidad</t>
  </si>
  <si>
    <t>Material</t>
  </si>
  <si>
    <t>Dimensiones</t>
  </si>
  <si>
    <t xml:space="preserve"> Precio U.</t>
  </si>
  <si>
    <t xml:space="preserve"> Precio T.</t>
  </si>
  <si>
    <t>Peso U.</t>
  </si>
  <si>
    <t>Peso T.</t>
  </si>
  <si>
    <t>Precio K.</t>
  </si>
  <si>
    <t>Azul</t>
  </si>
  <si>
    <t>Naranja</t>
  </si>
  <si>
    <t>Calza</t>
  </si>
  <si>
    <t>Nivelación</t>
  </si>
  <si>
    <t>Taquete</t>
  </si>
  <si>
    <t>Expansivo</t>
  </si>
  <si>
    <t>Precio proveedor kilo</t>
  </si>
  <si>
    <t>Precio venta material</t>
  </si>
  <si>
    <t>Precio total de venta</t>
  </si>
  <si>
    <t>Peso total</t>
  </si>
  <si>
    <t>Precio compra material</t>
  </si>
  <si>
    <t>Instalación de sistema</t>
  </si>
  <si>
    <t>Utilidad esperada</t>
  </si>
  <si>
    <t>Extras proyecto</t>
  </si>
  <si>
    <t>DATOS DE PROYECTO</t>
  </si>
  <si>
    <t>Bloque</t>
  </si>
  <si>
    <t>Altura total</t>
  </si>
  <si>
    <t>Altura entre vigas</t>
  </si>
  <si>
    <t>Módulos</t>
  </si>
  <si>
    <t>Niveles</t>
  </si>
  <si>
    <t>¿1er nivel con viga?</t>
  </si>
  <si>
    <t>Carga por Nivel</t>
  </si>
  <si>
    <t>TOTAL POSICIONES</t>
  </si>
  <si>
    <t>Posiciones por nivel</t>
  </si>
  <si>
    <t>MARCOS INFOMRACK</t>
  </si>
  <si>
    <t>Total Marcos</t>
  </si>
  <si>
    <t>PESO POR MARCO</t>
  </si>
  <si>
    <t>PESO TOTAL</t>
  </si>
  <si>
    <t>Carga por Marco</t>
  </si>
  <si>
    <t>Total Columnas</t>
  </si>
  <si>
    <t>Peso columna</t>
  </si>
  <si>
    <t>Diagonales por Marco</t>
  </si>
  <si>
    <t>Longitud Diagonales</t>
  </si>
  <si>
    <t>Peso Horizontal</t>
  </si>
  <si>
    <t>Horizontales por Marco</t>
  </si>
  <si>
    <t>Longitud Horizontales</t>
  </si>
  <si>
    <t>Peso Diagonal</t>
  </si>
  <si>
    <t>1. VIGAS INFOMRACK</t>
  </si>
  <si>
    <t>Total Vigas</t>
  </si>
  <si>
    <t>Perfil Viga</t>
  </si>
  <si>
    <t>2. VIGAS FAMAPER</t>
  </si>
  <si>
    <t>3. VIGAS NECOCHEA</t>
  </si>
  <si>
    <t>1. Perfil Viga Escalon Abierta</t>
  </si>
  <si>
    <t>2. Perfil Viga Polin</t>
  </si>
  <si>
    <t>3. Perfil Viga Escalon CAL16</t>
  </si>
  <si>
    <t>4. Perfil Viga Escalon CAL14</t>
  </si>
  <si>
    <t>5. Perfil Viga Caja CAL16</t>
  </si>
  <si>
    <t>6. Perfil Viga Caja CAL14</t>
  </si>
  <si>
    <t>7. Perfil Viga CPS</t>
  </si>
  <si>
    <t xml:space="preserve">SELECCIONAR VIGA </t>
  </si>
  <si>
    <t>ACCESORIOS</t>
  </si>
  <si>
    <t>Total Placa Base</t>
  </si>
  <si>
    <t>Peso Placas Base</t>
  </si>
  <si>
    <t>Total Placas de Nivelación</t>
  </si>
  <si>
    <t>Peso Placas de Nivelación</t>
  </si>
  <si>
    <t>Tornillo 3/8"+Tuerca (Placas)</t>
  </si>
  <si>
    <t>Peso Tornillos</t>
  </si>
  <si>
    <t>Tornillo 3/8"+Tuerca (HyD)</t>
  </si>
  <si>
    <t>Anclas Placas Base</t>
  </si>
  <si>
    <t>Peso Anclas</t>
  </si>
  <si>
    <t>Pernos de Seguridad</t>
  </si>
  <si>
    <t>Peso Pernos</t>
  </si>
  <si>
    <t>Separadores</t>
  </si>
  <si>
    <t>Peso Separadores</t>
  </si>
  <si>
    <t>Ligamarcos</t>
  </si>
  <si>
    <t>Peso Ligamarcos</t>
  </si>
  <si>
    <t xml:space="preserve">Tornillo 3/8"+Tuerca </t>
  </si>
  <si>
    <t>Calculador y Desarrollador de Proyectos</t>
  </si>
  <si>
    <t>Poste</t>
  </si>
  <si>
    <t>Charola</t>
  </si>
  <si>
    <t>peso</t>
  </si>
  <si>
    <t>nieveles</t>
  </si>
  <si>
    <t>utilidad</t>
  </si>
  <si>
    <t>u.p.</t>
  </si>
  <si>
    <t>u.c.</t>
  </si>
  <si>
    <t>PKPC</t>
  </si>
  <si>
    <t>Precio C</t>
  </si>
  <si>
    <t>PKPP</t>
  </si>
  <si>
    <t>Precio P</t>
  </si>
  <si>
    <t>APS 3" x 1/4"</t>
  </si>
  <si>
    <t>RS2</t>
  </si>
  <si>
    <t>RS3</t>
  </si>
  <si>
    <t>RS4</t>
  </si>
  <si>
    <t>marcos</t>
  </si>
  <si>
    <t>fondo tarima</t>
  </si>
  <si>
    <t>marco</t>
  </si>
  <si>
    <t>columna</t>
  </si>
  <si>
    <t>frente calle</t>
  </si>
  <si>
    <t>M3P</t>
  </si>
  <si>
    <t>Correcto</t>
  </si>
  <si>
    <t>M4P</t>
  </si>
  <si>
    <t>Incorrecto</t>
  </si>
  <si>
    <t>Cal. 14</t>
  </si>
  <si>
    <t>CONECTOR "L" STD.   CAL. 9</t>
  </si>
  <si>
    <t>APS2X1/8" DE 51 mm</t>
  </si>
  <si>
    <t>Cal. 12</t>
  </si>
  <si>
    <t>LAM. CAL. 12 DE 169 X</t>
  </si>
  <si>
    <t>CANT.</t>
  </si>
  <si>
    <t>MATERIAL</t>
  </si>
  <si>
    <t>PERFIL C-78 DE</t>
  </si>
  <si>
    <t xml:space="preserve">CONECTOR 6 BARRENOS </t>
  </si>
  <si>
    <t xml:space="preserve">CONECTOR 3 BARRENOS </t>
  </si>
  <si>
    <t>viga paleta</t>
  </si>
  <si>
    <t>PERFIL CPS3"L</t>
  </si>
  <si>
    <t>Peso viga amarre</t>
  </si>
  <si>
    <t>Peso viga de fondo</t>
  </si>
  <si>
    <t>Tocar solo Celdas Amarillas.</t>
  </si>
  <si>
    <t>Propiedades Físicas y Mecánicas de Diseño para Vigas y Marcos.</t>
  </si>
  <si>
    <t>" CALCULO DE COLUMNAS PARA SISTEMAS DRIVE IN / DRIVE THRU "</t>
  </si>
  <si>
    <t>VIGAS</t>
  </si>
  <si>
    <t>VADILIx (cm4)</t>
  </si>
  <si>
    <t>cms.</t>
  </si>
  <si>
    <t>= Ix de la viga de amarre del Drive In en lámina.</t>
  </si>
  <si>
    <t>VBL080Ix (cm4)</t>
  </si>
  <si>
    <t>VIGA DE AMARRE</t>
  </si>
  <si>
    <t>POSTE DEL MARCO</t>
  </si>
  <si>
    <t>VBL080rx (cm)</t>
  </si>
  <si>
    <r>
      <t>Ix</t>
    </r>
    <r>
      <rPr>
        <b/>
        <sz val="10"/>
        <color indexed="12"/>
        <rFont val="Arial"/>
        <family val="2"/>
      </rPr>
      <t xml:space="preserve"> (Cm4)</t>
    </r>
  </si>
  <si>
    <t>L (Cm)</t>
  </si>
  <si>
    <t>H (Cm)</t>
  </si>
  <si>
    <t>rx (Cm)</t>
  </si>
  <si>
    <t>A (Cm2)</t>
  </si>
  <si>
    <t>VBL080A (cm2)</t>
  </si>
  <si>
    <t>VBL080Peso (kg/m)</t>
  </si>
  <si>
    <t>VC3LIx (cm4)</t>
  </si>
  <si>
    <t>colocar altura del marco menos altura del refuerzo. En cm</t>
  </si>
  <si>
    <t>VC3Lrx (cm)</t>
  </si>
  <si>
    <t>ELEMENTO</t>
  </si>
  <si>
    <r>
      <t>I (Cm</t>
    </r>
    <r>
      <rPr>
        <b/>
        <vertAlign val="superscript"/>
        <sz val="10"/>
        <color indexed="12"/>
        <rFont val="Times New Roman"/>
        <family val="1"/>
      </rPr>
      <t>4</t>
    </r>
    <r>
      <rPr>
        <b/>
        <sz val="10"/>
        <color indexed="12"/>
        <rFont val="Times New Roman"/>
        <family val="1"/>
      </rPr>
      <t>)</t>
    </r>
  </si>
  <si>
    <t>I/L</t>
  </si>
  <si>
    <t>VC3LA (cm2)</t>
  </si>
  <si>
    <t>AB</t>
  </si>
  <si>
    <t>VC3LPeso (kg/m)</t>
  </si>
  <si>
    <t>BC</t>
  </si>
  <si>
    <t>VC3PIx (cm4)</t>
  </si>
  <si>
    <t>CD</t>
  </si>
  <si>
    <t>Disposición de los Elementos</t>
  </si>
  <si>
    <t>VC3Prx (cm)</t>
  </si>
  <si>
    <t>VC3PA (cm2)</t>
  </si>
  <si>
    <t>VC3PPeso (kg/m)</t>
  </si>
  <si>
    <t>VALOR G EN LOS EXTREMOS</t>
  </si>
  <si>
    <t>VC4LIx (cm4)</t>
  </si>
  <si>
    <t>COLUMNA</t>
  </si>
  <si>
    <t>GA</t>
  </si>
  <si>
    <t>GB</t>
  </si>
  <si>
    <t>K</t>
  </si>
  <si>
    <t>VC4Lrx (cm)</t>
  </si>
  <si>
    <t>VC4LA (cm2)</t>
  </si>
  <si>
    <t>VC4LPeso (kg/m)</t>
  </si>
  <si>
    <t>VC4PIx (cm4)</t>
  </si>
  <si>
    <t>K = Factor de longitud efectiva en elementos sujetos a compresión.</t>
  </si>
  <si>
    <t>VC4Prx (cm)</t>
  </si>
  <si>
    <t>VC4PA (cm2)</t>
  </si>
  <si>
    <t>Relación de Esbeltez:</t>
  </si>
  <si>
    <t>Factor</t>
  </si>
  <si>
    <t>VC4PPeso (kg/m)</t>
  </si>
  <si>
    <t>K L / r =</t>
  </si>
  <si>
    <t>POSTES</t>
  </si>
  <si>
    <t>M94Ix (cm4)</t>
  </si>
  <si>
    <t>M62Iy</t>
  </si>
  <si>
    <r>
      <t>cms.</t>
    </r>
    <r>
      <rPr>
        <sz val="11"/>
        <rFont val="Arial Black"/>
        <family val="2"/>
      </rPr>
      <t></t>
    </r>
  </si>
  <si>
    <r>
      <t xml:space="preserve">( K L / r ) </t>
    </r>
    <r>
      <rPr>
        <b/>
        <vertAlign val="superscript"/>
        <sz val="10"/>
        <rFont val="Arial"/>
        <family val="2"/>
      </rPr>
      <t xml:space="preserve">2 </t>
    </r>
    <r>
      <rPr>
        <b/>
        <sz val="10"/>
        <rFont val="Arial"/>
        <family val="2"/>
      </rPr>
      <t>=</t>
    </r>
  </si>
  <si>
    <t>M94rx (cm)</t>
  </si>
  <si>
    <t>M62Sy</t>
  </si>
  <si>
    <r>
      <t>cms.</t>
    </r>
    <r>
      <rPr>
        <sz val="10"/>
        <rFont val="Arial Black"/>
        <family val="2"/>
      </rPr>
      <t>³</t>
    </r>
  </si>
  <si>
    <t>M94A (cm2)</t>
  </si>
  <si>
    <t>M62ry</t>
  </si>
  <si>
    <t>M94Peso (kg/m)</t>
  </si>
  <si>
    <t>M62A</t>
  </si>
  <si>
    <t>cms.²</t>
  </si>
  <si>
    <t>Esfuerzo Permisible Axial</t>
  </si>
  <si>
    <t>M104Ix (cm4)</t>
  </si>
  <si>
    <t>M62Peso</t>
  </si>
  <si>
    <t>kgs. / m.</t>
  </si>
  <si>
    <t>Fa =</t>
  </si>
  <si>
    <t>12 π² E</t>
  </si>
  <si>
    <t>Kg / cm²</t>
  </si>
  <si>
    <t>M104rx (cm)</t>
  </si>
  <si>
    <t>M72Iy</t>
  </si>
  <si>
    <r>
      <t>23 ( KL / r )</t>
    </r>
    <r>
      <rPr>
        <b/>
        <vertAlign val="superscript"/>
        <sz val="10"/>
        <rFont val="Arial"/>
        <family val="2"/>
      </rPr>
      <t>2</t>
    </r>
  </si>
  <si>
    <t>M104A (cm2)</t>
  </si>
  <si>
    <t>M72Sy</t>
  </si>
  <si>
    <t>M104Peso (kg/m)</t>
  </si>
  <si>
    <t>M72ry</t>
  </si>
  <si>
    <t>fa =</t>
  </si>
  <si>
    <t>P</t>
  </si>
  <si>
    <t>M92Ix (cm4)</t>
  </si>
  <si>
    <t>M72A</t>
  </si>
  <si>
    <t>M92rx (cm)</t>
  </si>
  <si>
    <t>M72Peso</t>
  </si>
  <si>
    <t>M92A (cm2)</t>
  </si>
  <si>
    <t>M92Iy</t>
  </si>
  <si>
    <t>Por lo Tanto,</t>
  </si>
  <si>
    <t>fa</t>
  </si>
  <si>
    <t>M92Peso (kg/m)</t>
  </si>
  <si>
    <t>M92Sy</t>
  </si>
  <si>
    <t>Fa</t>
  </si>
  <si>
    <t>M102Ix (cm4)</t>
  </si>
  <si>
    <t>M92ry</t>
  </si>
  <si>
    <t>M102rx (cm)</t>
  </si>
  <si>
    <t>M92A</t>
  </si>
  <si>
    <t>M102A (cm2)</t>
  </si>
  <si>
    <t>M92Peso</t>
  </si>
  <si>
    <t>Pmax. Adm. =</t>
  </si>
  <si>
    <t>Fa (A)</t>
  </si>
  <si>
    <t>M102Peso (kg/m)</t>
  </si>
  <si>
    <t>VA3"x3/16"Iy</t>
  </si>
  <si>
    <t>M3LIx (cm4)</t>
  </si>
  <si>
    <t>VA3"x3/16"Sy</t>
  </si>
  <si>
    <t>M3Lrx (cm)</t>
  </si>
  <si>
    <t>VA3"x3/16"ry</t>
  </si>
  <si>
    <t>M3LA (cm2)</t>
  </si>
  <si>
    <t>VA3"x3/16"A</t>
  </si>
  <si>
    <t>M3LPeso (kg/m)</t>
  </si>
  <si>
    <t>VA3"x3/16"Peso</t>
  </si>
  <si>
    <t>" CÁLCULO DE CAPACIDAD DEL RIEL O VIGA PALETA "</t>
  </si>
  <si>
    <t>M3PIx (cm4)</t>
  </si>
  <si>
    <t>VA3"x1/4"Iy</t>
  </si>
  <si>
    <t>Viga Paleta a Usar:</t>
  </si>
  <si>
    <t>VA3"x3/16"</t>
  </si>
  <si>
    <t>M3Prx (cm)</t>
  </si>
  <si>
    <t>VA3"x1/4"Sy</t>
  </si>
  <si>
    <t>σmáx. =</t>
  </si>
  <si>
    <t>Esfuerzo Máximo Permisible</t>
  </si>
  <si>
    <t>M3PA (cm2)</t>
  </si>
  <si>
    <t>VA3"x1/4"ry</t>
  </si>
  <si>
    <t>E =</t>
  </si>
  <si>
    <t>Módulo de Elásticidad del Acero</t>
  </si>
  <si>
    <t>Propiedades Físicas y Mecánicas</t>
  </si>
  <si>
    <t>M3PPeso (kg/m)</t>
  </si>
  <si>
    <t>VA3"x1/4"A</t>
  </si>
  <si>
    <t>Deflexión Máxima Permisible</t>
  </si>
  <si>
    <t>cm</t>
  </si>
  <si>
    <t>de Diseño para Vigas y Marcos.</t>
  </si>
  <si>
    <t>M4LIx (cm4)</t>
  </si>
  <si>
    <t>VA3"x1/4"Peso</t>
  </si>
  <si>
    <t xml:space="preserve">Mmáx. = </t>
  </si>
  <si>
    <t>Momento Máximo de la Viga</t>
  </si>
  <si>
    <t>kg · cm</t>
  </si>
  <si>
    <t>Elemento</t>
  </si>
  <si>
    <t>Iy (cm4)</t>
  </si>
  <si>
    <t>Sy (cm3)</t>
  </si>
  <si>
    <t>ry (cm)</t>
  </si>
  <si>
    <t>A (cm2)</t>
  </si>
  <si>
    <t>Peso (kg/m)</t>
  </si>
  <si>
    <t>M4Lrx (cm)</t>
  </si>
  <si>
    <t>Iy</t>
  </si>
  <si>
    <t>Sy</t>
  </si>
  <si>
    <t>ry</t>
  </si>
  <si>
    <t>M4LA (cm2)</t>
  </si>
  <si>
    <t>Momento de Inercia en el eje "y"</t>
  </si>
  <si>
    <t>M62</t>
  </si>
  <si>
    <t>M4LPeso (kg/m)</t>
  </si>
  <si>
    <t>Módulo de sección en el eje "y"</t>
  </si>
  <si>
    <t>M4PIx (cm4)</t>
  </si>
  <si>
    <t>Longitud de la Viga</t>
  </si>
  <si>
    <t>M4Prx (cm)</t>
  </si>
  <si>
    <t>ω</t>
  </si>
  <si>
    <t>Carga por Viga</t>
  </si>
  <si>
    <t>Ang. 3" x 3/16"</t>
  </si>
  <si>
    <t>M4PA (cm2)</t>
  </si>
  <si>
    <t>Ang. 3" x 1/4"</t>
  </si>
  <si>
    <t>M4PPeso (kg/m)</t>
  </si>
  <si>
    <t>Paso 1:</t>
  </si>
  <si>
    <r>
      <t>5 ω ℓ</t>
    </r>
    <r>
      <rPr>
        <sz val="11"/>
        <rFont val="Arial Black"/>
        <family val="2"/>
      </rPr>
      <t></t>
    </r>
  </si>
  <si>
    <t>donde;</t>
  </si>
  <si>
    <t>Q =</t>
  </si>
  <si>
    <t>ω / ℓ</t>
  </si>
  <si>
    <t>por lo tanto;</t>
  </si>
  <si>
    <r>
      <t>5 (Q/ℓ) ℓ</t>
    </r>
    <r>
      <rPr>
        <sz val="11"/>
        <rFont val="Arial Black"/>
        <family val="2"/>
      </rPr>
      <t></t>
    </r>
  </si>
  <si>
    <t>quedando así la fórmula;</t>
  </si>
  <si>
    <t>5 Q ℓ³</t>
  </si>
  <si>
    <t>Paso 2:</t>
  </si>
  <si>
    <t>comprobación:</t>
  </si>
  <si>
    <t>Δmáx. Permitida =</t>
  </si>
  <si>
    <t>Paso 3:</t>
  </si>
  <si>
    <t>Mmáx. =</t>
  </si>
  <si>
    <t>Sx * σmáx.</t>
  </si>
  <si>
    <t>Paso 4:</t>
  </si>
  <si>
    <t>ω =</t>
  </si>
  <si>
    <t>8 * Mmáx.</t>
  </si>
  <si>
    <t>kgs. / cms.</t>
  </si>
  <si>
    <r>
      <t>ℓ</t>
    </r>
    <r>
      <rPr>
        <sz val="10"/>
        <rFont val="Arial Black"/>
        <family val="2"/>
      </rPr>
      <t>²</t>
    </r>
  </si>
  <si>
    <t>Paso 5:</t>
  </si>
  <si>
    <t>ω * ℓ</t>
  </si>
  <si>
    <t>Capacidad de Carga de la Viga</t>
  </si>
  <si>
    <t>Paso 6:</t>
  </si>
  <si>
    <t>Δmáx.</t>
  </si>
  <si>
    <t>en vigas es de =</t>
  </si>
  <si>
    <t>ℓ / 180</t>
  </si>
  <si>
    <t>en mezanine es de =</t>
  </si>
  <si>
    <t>ℓ / 350</t>
  </si>
  <si>
    <t>CON REFUERZO</t>
  </si>
  <si>
    <t>Altura del Refuerzo:</t>
  </si>
  <si>
    <t>En Marcos M50 ajustar altura al siguiente paso superior (paso 33.3 mm)</t>
  </si>
  <si>
    <t>No. Refuerzos por Marco</t>
  </si>
  <si>
    <t>En Marcos M62/72/92 ajustar altura al siguiente paso superior (paso 50 mm)</t>
  </si>
  <si>
    <t>M50</t>
  </si>
  <si>
    <t>M60</t>
  </si>
  <si>
    <t>M70</t>
  </si>
  <si>
    <t>M72 / M92</t>
  </si>
  <si>
    <t>M73 / M93</t>
  </si>
  <si>
    <t>M60 / M62 / M70 / M72 / M73 / M92 / M93</t>
  </si>
  <si>
    <t>M62x</t>
  </si>
  <si>
    <t>M62y</t>
  </si>
  <si>
    <t>M62y'</t>
  </si>
  <si>
    <t>M62z</t>
  </si>
  <si>
    <t>M62Placa</t>
  </si>
  <si>
    <t>M62Travesaños</t>
  </si>
  <si>
    <t>M62Diagonales</t>
  </si>
  <si>
    <t>M72x</t>
  </si>
  <si>
    <t>M72y</t>
  </si>
  <si>
    <t>Peso del Refuerzo</t>
  </si>
  <si>
    <t>= No Ref * Peso * Long.  =</t>
  </si>
  <si>
    <t>M72y'</t>
  </si>
  <si>
    <t>M72z</t>
  </si>
  <si>
    <t>M72Placa</t>
  </si>
  <si>
    <t>M72Travesaños</t>
  </si>
  <si>
    <t>M72Diagonales</t>
  </si>
  <si>
    <t>M102x</t>
  </si>
  <si>
    <t>M102y</t>
  </si>
  <si>
    <t>M102y'</t>
  </si>
  <si>
    <t>M102z</t>
  </si>
  <si>
    <t>M102Peso</t>
  </si>
  <si>
    <t>M102Placa</t>
  </si>
  <si>
    <t>M102Travesaños</t>
  </si>
  <si>
    <t>M102Diagonales</t>
  </si>
  <si>
    <t>M92x</t>
  </si>
  <si>
    <t>M92y</t>
  </si>
  <si>
    <t>M92y'</t>
  </si>
  <si>
    <t>M92z</t>
  </si>
  <si>
    <t>M92Placa</t>
  </si>
  <si>
    <t>M92Travesaños</t>
  </si>
  <si>
    <t>M92Diagonales</t>
  </si>
  <si>
    <t>M102</t>
  </si>
  <si>
    <t>En Marcos M3 y M4 ajustar altura al siguiente paso superior (paso 101.6 mm)</t>
  </si>
  <si>
    <t>M3L / M3 / M4L / M4</t>
  </si>
  <si>
    <t>M3Lx</t>
  </si>
  <si>
    <t>M3Ly</t>
  </si>
  <si>
    <t>M3Le</t>
  </si>
  <si>
    <t>M3Lt</t>
  </si>
  <si>
    <t>M3LSH</t>
  </si>
  <si>
    <t>M3LPeso</t>
  </si>
  <si>
    <t>M3LPlaca</t>
  </si>
  <si>
    <t>M3LTravesaños</t>
  </si>
  <si>
    <t>M3LDiagonales</t>
  </si>
  <si>
    <t>M3Px</t>
  </si>
  <si>
    <t>M3Py</t>
  </si>
  <si>
    <t>M3Pe</t>
  </si>
  <si>
    <t>M3Pt</t>
  </si>
  <si>
    <t>M3PSH</t>
  </si>
  <si>
    <t>M3PPeso</t>
  </si>
  <si>
    <t>M3PPlaca</t>
  </si>
  <si>
    <t>M3PTravesaños</t>
  </si>
  <si>
    <t>M3PDiagonales</t>
  </si>
  <si>
    <t>M4Lx</t>
  </si>
  <si>
    <t>M4Ly</t>
  </si>
  <si>
    <t>M4Le</t>
  </si>
  <si>
    <t>M4Lt</t>
  </si>
  <si>
    <t>M4LSH</t>
  </si>
  <si>
    <t>M4LPeso</t>
  </si>
  <si>
    <t>M4LPlaca</t>
  </si>
  <si>
    <t>M4LTravesaños</t>
  </si>
  <si>
    <t>M4LDiagonales</t>
  </si>
  <si>
    <t>M4Px</t>
  </si>
  <si>
    <t>M4Py</t>
  </si>
  <si>
    <t>M4Pe</t>
  </si>
  <si>
    <t>M4Pt</t>
  </si>
  <si>
    <t>M4PSH</t>
  </si>
  <si>
    <t>M4PPeso</t>
  </si>
  <si>
    <t>M4PPlaca</t>
  </si>
  <si>
    <t>M4PTravesaños</t>
  </si>
  <si>
    <t>M4PDiagonales</t>
  </si>
  <si>
    <t>Perno Seguridad</t>
  </si>
  <si>
    <t>Proveedor</t>
  </si>
  <si>
    <t>Plataformas</t>
  </si>
  <si>
    <t>Clavija</t>
  </si>
  <si>
    <t>Plataformas necesarias</t>
  </si>
  <si>
    <t>Información de costos</t>
  </si>
  <si>
    <t>Precio por plataforma</t>
  </si>
  <si>
    <t>Precio total de flete</t>
  </si>
  <si>
    <t>Información de proveedor</t>
  </si>
  <si>
    <t>Información de precios</t>
  </si>
  <si>
    <t>Precio por kilo venta</t>
  </si>
  <si>
    <t>*</t>
  </si>
  <si>
    <t>1</t>
  </si>
  <si>
    <t>Utilidad</t>
  </si>
  <si>
    <t>Información logistica</t>
  </si>
  <si>
    <t>La información plasmada en este documento es considerada de carácter confidencial y esta protegida de conformidad con la Ley. Este Lay-out electrónico y todos sus anexos pueden contener información privilegiada y confidencial enviada exclusivamente para el conocimiento del destinatario.</t>
  </si>
  <si>
    <t>Medidas de la tarima:</t>
  </si>
  <si>
    <t>Frente:</t>
  </si>
  <si>
    <t>Fondo:</t>
  </si>
  <si>
    <t>Peso:</t>
  </si>
  <si>
    <t>Formato de cotización</t>
  </si>
  <si>
    <t>Medida in"</t>
  </si>
  <si>
    <t>3.5"</t>
  </si>
  <si>
    <t>4.3"</t>
  </si>
  <si>
    <t>4.5"</t>
  </si>
  <si>
    <t>5.5"</t>
  </si>
  <si>
    <t>6.5"</t>
  </si>
  <si>
    <t>3.0"</t>
  </si>
  <si>
    <t>4.0"</t>
  </si>
  <si>
    <t>5.0"</t>
  </si>
  <si>
    <t>6.0"</t>
  </si>
  <si>
    <t>Fecha:</t>
  </si>
  <si>
    <t>Folio:</t>
  </si>
  <si>
    <t>3106 - 1</t>
  </si>
  <si>
    <t>Distribuidor / Cliente</t>
  </si>
  <si>
    <t>Empresa:</t>
  </si>
  <si>
    <t>Stocker</t>
  </si>
  <si>
    <t>Contacto:</t>
  </si>
  <si>
    <t>Gerardo Alvarado</t>
  </si>
  <si>
    <t>Dirección:</t>
  </si>
  <si>
    <t>Ciudad:</t>
  </si>
  <si>
    <t>Télefono:</t>
  </si>
  <si>
    <t>Correo:</t>
  </si>
  <si>
    <t>galvarado@stocker.mx</t>
  </si>
  <si>
    <t>Condiciones de pago</t>
  </si>
  <si>
    <t>Flete</t>
  </si>
  <si>
    <t>50% anticipo y 50% antes de embarque</t>
  </si>
  <si>
    <t>*Sujeta a cambios en los precios de acero*</t>
  </si>
  <si>
    <t>Ciudad de México</t>
  </si>
  <si>
    <t>Dimenciones</t>
  </si>
  <si>
    <t>Precio Unitario</t>
  </si>
  <si>
    <t>Precio Total</t>
  </si>
  <si>
    <t>5"P C15</t>
  </si>
  <si>
    <t xml:space="preserve">Tornillo </t>
  </si>
  <si>
    <t>Enroscable</t>
  </si>
  <si>
    <t>Tiempo de entrega:</t>
  </si>
  <si>
    <t>4 semanas despues de colocar anticipo</t>
  </si>
  <si>
    <t>Sub - Total:</t>
  </si>
  <si>
    <t>Vigencia de costos:</t>
  </si>
  <si>
    <t>15 días</t>
  </si>
  <si>
    <t>IVA:</t>
  </si>
  <si>
    <t>Garantías:</t>
  </si>
  <si>
    <t>10 años contra defectos de fabricación</t>
  </si>
  <si>
    <t>Total:</t>
  </si>
  <si>
    <t>Flete e instalación:</t>
  </si>
  <si>
    <t>Incluye flete a Estado de México, no incluye instalación</t>
  </si>
  <si>
    <t>PPK</t>
  </si>
  <si>
    <t>PMML314</t>
  </si>
  <si>
    <t>PMML316</t>
  </si>
  <si>
    <t>Primaria</t>
  </si>
  <si>
    <t>Secundaria</t>
  </si>
  <si>
    <t>Natural</t>
  </si>
  <si>
    <t>Barandal</t>
  </si>
  <si>
    <t>S/C</t>
  </si>
  <si>
    <t>Triplay 18mm</t>
  </si>
  <si>
    <t>Escalera</t>
  </si>
  <si>
    <t>01 niveles</t>
  </si>
  <si>
    <t>Precio Triplay</t>
  </si>
  <si>
    <t>Precio m2</t>
  </si>
  <si>
    <t>Kg / m2</t>
  </si>
  <si>
    <t>Area</t>
  </si>
  <si>
    <t>Carga</t>
  </si>
  <si>
    <t>Instalación por m2</t>
  </si>
  <si>
    <t>Datos Proyecto</t>
  </si>
  <si>
    <t>Pija Cabeza Plana</t>
  </si>
  <si>
    <t>1 1/4"</t>
  </si>
  <si>
    <t>Grado 5</t>
  </si>
  <si>
    <t>PTR</t>
  </si>
  <si>
    <t>IPR</t>
  </si>
  <si>
    <t>APS</t>
  </si>
  <si>
    <t>HSS</t>
  </si>
  <si>
    <t>MONTEN</t>
  </si>
  <si>
    <t>SOLERA</t>
  </si>
  <si>
    <t>CANAL</t>
  </si>
  <si>
    <t>ANTIDERRAPANTE</t>
  </si>
  <si>
    <t xml:space="preserve">LAMINA </t>
  </si>
  <si>
    <t>Viga Primaria</t>
  </si>
  <si>
    <t>Viga Secundaria</t>
  </si>
  <si>
    <t>10" x 4" 17.9kg</t>
  </si>
  <si>
    <t>Placa Conexión</t>
  </si>
  <si>
    <t>Tornillo Hex</t>
  </si>
  <si>
    <t>3/8" x 1 1/4"</t>
  </si>
  <si>
    <t>1/2" x 1 1/2"</t>
  </si>
  <si>
    <t>Perimetral ML</t>
  </si>
  <si>
    <t>4" x 4" x 3/16"</t>
  </si>
  <si>
    <t>4" x 4" x 1/8"</t>
  </si>
  <si>
    <t>5" x 5" x 3/16"</t>
  </si>
  <si>
    <t>6" x 6" x 3/16"</t>
  </si>
  <si>
    <t>5" x 5" x 1/8"</t>
  </si>
  <si>
    <t>6" x 6" x 1/4"</t>
  </si>
  <si>
    <t>6" x 6" x 3/8"</t>
  </si>
  <si>
    <t>8" x 8" x 3/16"</t>
  </si>
  <si>
    <t>8" x 8" x 1/4"</t>
  </si>
  <si>
    <t>10" x 10" x 1/4"</t>
  </si>
  <si>
    <t>10" x 10" x 3/8"</t>
  </si>
  <si>
    <t>Columnas Pesos</t>
  </si>
  <si>
    <t>Vigas Primarias IPR</t>
  </si>
  <si>
    <t>6" x 4" 13.4kg</t>
  </si>
  <si>
    <t>8" x 4" 14.9kg</t>
  </si>
  <si>
    <t>8" x 4" 19.3kg</t>
  </si>
  <si>
    <t>10" x 4" 22.3kg</t>
  </si>
  <si>
    <t>12" x 4" 20.8kg</t>
  </si>
  <si>
    <t>12" x 4" 23.8kg</t>
  </si>
  <si>
    <t>12" x 4" 28.3kg</t>
  </si>
  <si>
    <t>12" x 4" 32.7kg</t>
  </si>
  <si>
    <t>14" x 5" 32.7kg</t>
  </si>
  <si>
    <t>14" x 5" 38.7kg</t>
  </si>
  <si>
    <t>Vigas Secundarias</t>
  </si>
  <si>
    <t>PM 6" x 2" C14</t>
  </si>
  <si>
    <t>PM 4" x 2" C14</t>
  </si>
  <si>
    <t>PM 5" x 2" C14</t>
  </si>
  <si>
    <t>PM 6" x 2" C12</t>
  </si>
  <si>
    <t>PM 8" x 2.75" C14</t>
  </si>
  <si>
    <t>PM 8" x 2.75" C12</t>
  </si>
  <si>
    <t>PM 10" x 2.75" C14</t>
  </si>
  <si>
    <t>PM 10" x 2.75" C12</t>
  </si>
  <si>
    <t>PM 12" x 3.5" C14</t>
  </si>
  <si>
    <t>PM 12" x 3.5" C12</t>
  </si>
  <si>
    <t>PM 12" x 3.5" C10</t>
  </si>
  <si>
    <t>Datos Perfiles</t>
  </si>
  <si>
    <t>No. Rigidizadores</t>
  </si>
  <si>
    <t>Angulo Laminado</t>
  </si>
  <si>
    <t>No</t>
  </si>
  <si>
    <t>2</t>
  </si>
  <si>
    <t>3</t>
  </si>
  <si>
    <t>4</t>
  </si>
  <si>
    <t xml:space="preserve">calzas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</si>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</sst>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&quot; mm&quot;"/>
    <numFmt numFmtId="165" formatCode="0&quot; mm&quot;"/>
    <numFmt numFmtId="166" formatCode="0&quot; kg&quot;"/>
    <numFmt numFmtId="167" formatCode="0\ &quot;kg&quot;"/>
    <numFmt numFmtId="168" formatCode="0&quot; in&quot;"/>
    <numFmt numFmtId="169" formatCode="0.00\ &quot;kg&quot;"/>
    <numFmt numFmtId="170" formatCode="0.00&quot; kg&quot;"/>
    <numFmt numFmtId="171" formatCode="0.0&quot; kg&quot;"/>
    <numFmt numFmtId="172" formatCode="_-* #,##0.00_-;\-* #,##0.00_-;_-* &quot;-&quot;??_-;_-@"/>
    <numFmt numFmtId="173" formatCode="0.0"/>
    <numFmt numFmtId="174" formatCode="_-* #,##0_-;\-* #,##0_-;_-* &quot;-&quot;??_-;_-@"/>
    <numFmt numFmtId="175" formatCode="0.000"/>
    <numFmt numFmtId="176" formatCode="_-&quot;$&quot;* #,##0.00_-;\-&quot;$&quot;* #,##0.00_-;_-&quot;$&quot;* &quot;-&quot;??_-;_-@"/>
    <numFmt numFmtId="177" formatCode="0.0&quot;mm fondo&quot;"/>
    <numFmt numFmtId="178" formatCode="_(&quot;$&quot;* #,##0.00_);_(&quot;$&quot;* \(#,##0.00\);_(&quot;$&quot;* &quot;-&quot;??_);_(@_)"/>
    <numFmt numFmtId="179" formatCode="0.0&quot;mm longitud&quot;"/>
    <numFmt numFmtId="180" formatCode="_(* #,##0.00_);_(* \(#,##0.00\);_(* &quot;-&quot;??_);_(@_)"/>
    <numFmt numFmtId="181" formatCode="&quot;$&quot;#,##0.00"/>
    <numFmt numFmtId="182" formatCode="[$-F800]dddd\,\ mmmm\ dd\,\ yyyy"/>
    <numFmt numFmtId="183" formatCode="0.0&quot;mm altura&quot;"/>
    <numFmt numFmtId="184" formatCode="0.00&quot; kg/m&quot;"/>
    <numFmt numFmtId="185" formatCode="0.000000"/>
    <numFmt numFmtId="186" formatCode="0.00&quot; kg/pza&quot;"/>
    <numFmt numFmtId="187" formatCode="0&quot;mm&quot;"/>
    <numFmt numFmtId="188" formatCode="0.0000"/>
    <numFmt numFmtId="189" formatCode="0.000000000"/>
    <numFmt numFmtId="190" formatCode="_-* #,##0_-;\-* #,##0_-;_-* &quot;-&quot;??_-;_-@_-"/>
    <numFmt numFmtId="191" formatCode="_(* #,##0.0000_);_(* \(#,##0.0000\);_(* &quot;-&quot;??_);_(@_)"/>
    <numFmt numFmtId="192" formatCode="0.0&quot;mm&quot;"/>
    <numFmt numFmtId="193" formatCode="0&quot; in frente&quot;"/>
    <numFmt numFmtId="194" formatCode="0&quot; in fondo&quot;"/>
    <numFmt numFmtId="195" formatCode="0&quot;in frente&quot;"/>
    <numFmt numFmtId="196" formatCode="0&quot;m&quot;"/>
    <numFmt numFmtId="197" formatCode="0&quot;m2&quot;"/>
    <numFmt numFmtId="198" formatCode="_-[$$-80A]* #,##0.00_-;\-[$$-80A]* #,##0.00_-;_-[$$-80A]* &quot;-&quot;??_-;_-@_-"/>
    <numFmt numFmtId="199" formatCode="0.0&quot;m&quot;"/>
  </numFmts>
  <fonts count="131">
    <font>
      <sz val="11"/>
      <color theme="1"/>
      <name val="Calibri"/>
    </font>
    <font>
      <sz val="11"/>
      <color theme="1"/>
      <name val="Avenir"/>
    </font>
    <font>
      <sz val="11"/>
      <name val="Calibri"/>
      <family val="2"/>
    </font>
    <font>
      <sz val="11"/>
      <color theme="1"/>
      <name val="Calibri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rgb="FF3F3F3F"/>
      <name val="Calibri"/>
      <family val="2"/>
    </font>
    <font>
      <b/>
      <sz val="10"/>
      <color theme="1"/>
      <name val="Arial"/>
      <family val="2"/>
    </font>
    <font>
      <b/>
      <sz val="10"/>
      <color rgb="FF205867"/>
      <name val="Arial"/>
      <family val="2"/>
    </font>
    <font>
      <b/>
      <sz val="10"/>
      <color rgb="FFC00000"/>
      <name val="Arial"/>
      <family val="2"/>
    </font>
    <font>
      <b/>
      <sz val="16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E36C09"/>
      <name val="Calibri"/>
      <family val="2"/>
    </font>
    <font>
      <sz val="10"/>
      <color theme="1"/>
      <name val="Arial"/>
      <family val="2"/>
    </font>
    <font>
      <b/>
      <sz val="12"/>
      <color rgb="FF002060"/>
      <name val="Calibri"/>
      <family val="2"/>
    </font>
    <font>
      <b/>
      <sz val="12"/>
      <color theme="1"/>
      <name val="Calibri"/>
      <family val="2"/>
    </font>
    <font>
      <u/>
      <sz val="9"/>
      <color theme="1"/>
      <name val="Calibri"/>
      <family val="2"/>
    </font>
    <font>
      <b/>
      <u/>
      <sz val="9"/>
      <color theme="1"/>
      <name val="Calibri"/>
      <family val="2"/>
    </font>
    <font>
      <u/>
      <sz val="9"/>
      <color theme="1"/>
      <name val="Calibri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00FF"/>
      <name val="Times New Roman"/>
      <family val="1"/>
    </font>
    <font>
      <b/>
      <sz val="10"/>
      <color rgb="FFE36C09"/>
      <name val="Times New Roman"/>
      <family val="1"/>
    </font>
    <font>
      <b/>
      <sz val="12"/>
      <color rgb="FF0000FF"/>
      <name val="Times New Roman"/>
      <family val="1"/>
    </font>
    <font>
      <sz val="6"/>
      <color theme="1"/>
      <name val="Times New Roman"/>
      <family val="1"/>
    </font>
    <font>
      <sz val="12"/>
      <color theme="1"/>
      <name val="Aparajita"/>
      <family val="1"/>
    </font>
    <font>
      <sz val="10"/>
      <color rgb="FF0000FF"/>
      <name val="Times New Roman"/>
      <family val="1"/>
    </font>
    <font>
      <b/>
      <u/>
      <sz val="10"/>
      <color rgb="FFFF0000"/>
      <name val="Times New Roman"/>
      <family val="1"/>
    </font>
    <font>
      <sz val="10"/>
      <color rgb="FFFF0000"/>
      <name val="Times New Roman"/>
      <family val="1"/>
    </font>
    <font>
      <b/>
      <u/>
      <sz val="11"/>
      <color theme="1"/>
      <name val="Calibri"/>
      <family val="2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33CCCC"/>
      <name val="Arial"/>
      <family val="2"/>
    </font>
    <font>
      <b/>
      <sz val="24"/>
      <color rgb="FFFF0000"/>
      <name val="Arial"/>
      <family val="2"/>
    </font>
    <font>
      <sz val="10"/>
      <color rgb="FFFFFFFF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sz val="14"/>
      <color theme="1"/>
      <name val="Arial"/>
      <family val="2"/>
    </font>
    <font>
      <sz val="11"/>
      <color theme="1"/>
      <name val="Times New Roman"/>
      <family val="1"/>
    </font>
    <font>
      <b/>
      <sz val="10"/>
      <color rgb="FFFF0000"/>
      <name val="Arial"/>
      <family val="2"/>
    </font>
    <font>
      <sz val="12"/>
      <color rgb="FFFF0000"/>
      <name val="Arial"/>
      <family val="2"/>
    </font>
    <font>
      <sz val="12"/>
      <color rgb="FF0000FF"/>
      <name val="Arial"/>
      <family val="2"/>
    </font>
    <font>
      <sz val="12"/>
      <color rgb="FF339966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vertAlign val="superscript"/>
      <sz val="10"/>
      <color theme="1"/>
      <name val="Arial"/>
      <family val="2"/>
    </font>
    <font>
      <vertAlign val="superscript"/>
      <sz val="11"/>
      <color theme="1"/>
      <name val="Times New Roman"/>
      <family val="1"/>
    </font>
    <font>
      <b/>
      <vertAlign val="superscript"/>
      <sz val="10"/>
      <color theme="1"/>
      <name val="Arial"/>
      <family val="2"/>
    </font>
    <font>
      <b/>
      <vertAlign val="superscript"/>
      <sz val="11"/>
      <color theme="1"/>
      <name val="Arial"/>
      <family val="2"/>
    </font>
    <font>
      <sz val="11"/>
      <color theme="1"/>
      <name val="Avenir Next LT Pro"/>
      <family val="2"/>
    </font>
    <font>
      <sz val="11"/>
      <color theme="1"/>
      <name val="Calibri"/>
      <family val="2"/>
    </font>
    <font>
      <sz val="18"/>
      <color theme="3"/>
      <name val="Century Gothic"/>
      <family val="2"/>
      <scheme val="maj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20"/>
      <color theme="0"/>
      <name val="Calibri"/>
      <family val="2"/>
    </font>
    <font>
      <sz val="10"/>
      <color theme="1"/>
      <name val="Arial Narrow"/>
      <family val="2"/>
    </font>
    <font>
      <sz val="11"/>
      <color theme="0"/>
      <name val="Arial"/>
      <family val="2"/>
    </font>
    <font>
      <b/>
      <sz val="10"/>
      <color rgb="FF366092"/>
      <name val="Arial Narrow"/>
      <family val="2"/>
    </font>
    <font>
      <sz val="14"/>
      <color theme="0"/>
      <name val="Arial"/>
      <family val="2"/>
    </font>
    <font>
      <sz val="16"/>
      <color theme="0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8"/>
      <color theme="1"/>
      <name val="Arial"/>
      <family val="2"/>
    </font>
    <font>
      <b/>
      <sz val="11"/>
      <color rgb="FF3F3F3F"/>
      <name val="Arial"/>
      <family val="2"/>
    </font>
    <font>
      <b/>
      <sz val="20"/>
      <color theme="0"/>
      <name val="Arial"/>
      <family val="2"/>
    </font>
    <font>
      <sz val="11"/>
      <color rgb="FF3F3F3F"/>
      <name val="Arial"/>
      <family val="2"/>
    </font>
    <font>
      <sz val="20"/>
      <color theme="0"/>
      <name val="Arial"/>
      <family val="2"/>
    </font>
    <font>
      <i/>
      <sz val="16"/>
      <color rgb="FF3F3F3F"/>
      <name val="Arial"/>
      <family val="2"/>
    </font>
    <font>
      <i/>
      <sz val="12"/>
      <color rgb="FF3F3F3F"/>
      <name val="Arial"/>
      <family val="2"/>
    </font>
    <font>
      <b/>
      <sz val="10"/>
      <color rgb="FF366092"/>
      <name val="Arial"/>
      <family val="2"/>
    </font>
    <font>
      <b/>
      <sz val="20"/>
      <color theme="5"/>
      <name val="Calibri"/>
      <family val="2"/>
    </font>
    <font>
      <b/>
      <sz val="20"/>
      <color rgb="FF366092"/>
      <name val="Calibri"/>
      <family val="2"/>
    </font>
    <font>
      <b/>
      <sz val="18"/>
      <color theme="0"/>
      <name val="Calibri"/>
      <family val="2"/>
    </font>
    <font>
      <sz val="11"/>
      <color rgb="FF002060"/>
      <name val="Arial"/>
      <family val="2"/>
    </font>
    <font>
      <b/>
      <sz val="18"/>
      <color theme="1"/>
      <name val="Arial"/>
      <family val="2"/>
    </font>
    <font>
      <sz val="11"/>
      <color theme="1"/>
      <name val="Calibri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52"/>
      <name val="Arial"/>
      <family val="2"/>
    </font>
    <font>
      <b/>
      <sz val="10"/>
      <color indexed="5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b/>
      <vertAlign val="superscript"/>
      <sz val="10"/>
      <color indexed="12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sz val="11"/>
      <name val="Arial Black"/>
      <family val="2"/>
    </font>
    <font>
      <b/>
      <vertAlign val="superscript"/>
      <sz val="10"/>
      <name val="Arial"/>
      <family val="2"/>
    </font>
    <font>
      <sz val="10"/>
      <name val="Arial Black"/>
      <family val="2"/>
    </font>
    <font>
      <b/>
      <sz val="12"/>
      <name val="Times New Roman"/>
      <family val="1"/>
    </font>
    <font>
      <i/>
      <sz val="9"/>
      <color indexed="81"/>
      <name val="Times New Roman"/>
      <family val="1"/>
    </font>
    <font>
      <b/>
      <u/>
      <sz val="10"/>
      <color indexed="10"/>
      <name val="Times New Roman"/>
      <family val="1"/>
    </font>
    <font>
      <sz val="10"/>
      <color indexed="10"/>
      <name val="Times New Roman"/>
      <family val="1"/>
    </font>
    <font>
      <sz val="10"/>
      <color indexed="12"/>
      <name val="Times New Roman"/>
      <family val="1"/>
    </font>
    <font>
      <sz val="10"/>
      <color indexed="9"/>
      <name val="Times New Roman"/>
      <family val="1"/>
    </font>
    <font>
      <b/>
      <u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10"/>
      <color rgb="FFFF0000"/>
      <name val="Arial Narrow"/>
      <family val="2"/>
    </font>
    <font>
      <sz val="11"/>
      <color rgb="FFFF0000"/>
      <name val="Arial"/>
      <family val="2"/>
    </font>
    <font>
      <sz val="11"/>
      <color rgb="FFFF0000"/>
      <name val="Calibri"/>
      <family val="2"/>
    </font>
    <font>
      <b/>
      <sz val="10"/>
      <color rgb="FFFF0000"/>
      <name val="Arial Narrow"/>
      <family val="2"/>
    </font>
    <font>
      <sz val="18"/>
      <color rgb="FFFF0000"/>
      <name val="Arial"/>
      <family val="2"/>
    </font>
    <font>
      <sz val="14"/>
      <color rgb="FFFF0000"/>
      <name val="Arial"/>
      <family val="2"/>
    </font>
    <font>
      <sz val="16"/>
      <color rgb="FFFF0000"/>
      <name val="Arial"/>
      <family val="2"/>
    </font>
    <font>
      <b/>
      <i/>
      <sz val="14"/>
      <color rgb="FFFF0000"/>
      <name val="Arial Narrow"/>
      <family val="2"/>
    </font>
    <font>
      <sz val="14"/>
      <color rgb="FFFF0000"/>
      <name val="Arial Narrow"/>
      <family val="2"/>
    </font>
    <font>
      <b/>
      <sz val="14"/>
      <color rgb="FFFF0000"/>
      <name val="Arial Narrow"/>
      <family val="2"/>
    </font>
    <font>
      <sz val="9"/>
      <color rgb="FFFF0000"/>
      <name val="Tahoma"/>
      <family val="2"/>
    </font>
    <font>
      <b/>
      <sz val="10"/>
      <color rgb="FFFF0000"/>
      <name val="Tahoma"/>
      <family val="2"/>
    </font>
    <font>
      <sz val="8"/>
      <name val="Calibri"/>
      <family val="2"/>
    </font>
    <font>
      <b/>
      <sz val="16"/>
      <color theme="1"/>
      <name val="Arial"/>
      <family val="2"/>
    </font>
    <font>
      <b/>
      <sz val="11"/>
      <color theme="0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rgb="FF7030A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Calibri"/>
      <family val="2"/>
    </font>
    <font>
      <b/>
      <sz val="11"/>
      <color rgb="FF002060"/>
      <name val="Arial"/>
      <family val="2"/>
    </font>
    <font>
      <sz val="8"/>
      <name val="Calibri"/>
      <family val="2"/>
    </font>
    <font>
      <b/>
      <sz val="14"/>
      <color rgb="FF0000FF"/>
      <name val="Calibri"/>
      <family val="2"/>
    </font>
    <font>
      <sz val="11"/>
      <color theme="1"/>
      <name val="Biome"/>
      <family val="2"/>
    </font>
    <font>
      <b/>
      <i/>
      <sz val="11"/>
      <color theme="1"/>
      <name val="Arial"/>
      <family val="2"/>
    </font>
    <font>
      <b/>
      <i/>
      <sz val="11"/>
      <color theme="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00B050"/>
        <bgColor rgb="FF00B050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B8CCE4"/>
        <bgColor rgb="FFB8CCE4"/>
      </patternFill>
    </fill>
    <fill>
      <patternFill patternType="solid">
        <fgColor rgb="FFFF9900"/>
        <bgColor rgb="FFFF9900"/>
      </patternFill>
    </fill>
    <fill>
      <patternFill patternType="solid">
        <fgColor rgb="FFCCFFCC"/>
        <bgColor rgb="FFCCFFCC"/>
      </patternFill>
    </fill>
    <fill>
      <patternFill patternType="solid">
        <fgColor rgb="FFCCFFFF"/>
        <bgColor rgb="FFCCFFFF"/>
      </patternFill>
    </fill>
    <fill>
      <patternFill patternType="solid">
        <fgColor rgb="FFD6E3BC"/>
        <bgColor rgb="FFD6E3BC"/>
      </patternFill>
    </fill>
    <fill>
      <patternFill patternType="solid">
        <fgColor rgb="FFFBD4B4"/>
        <bgColor rgb="FFFBD4B4"/>
      </patternFill>
    </fill>
    <fill>
      <patternFill patternType="solid">
        <fgColor rgb="FFFFFF00"/>
        <bgColor rgb="FFFFFF00"/>
      </patternFill>
    </fill>
    <fill>
      <patternFill patternType="solid">
        <fgColor rgb="FF33CCCC"/>
        <bgColor rgb="FF33CCCC"/>
      </patternFill>
    </fill>
    <fill>
      <patternFill patternType="solid">
        <fgColor rgb="FFFFC000"/>
        <bgColor rgb="FFFFC000"/>
      </patternFill>
    </fill>
    <fill>
      <patternFill patternType="solid">
        <fgColor rgb="FFFFCC00"/>
        <bgColor rgb="FFFFCC00"/>
      </patternFill>
    </fill>
    <fill>
      <patternFill patternType="solid">
        <fgColor rgb="FFFFFF99"/>
        <bgColor rgb="FFFFFF99"/>
      </patternFill>
    </fill>
    <fill>
      <patternFill patternType="solid">
        <fgColor rgb="FFFF0000"/>
        <bgColor rgb="FFFF0000"/>
      </patternFill>
    </fill>
    <fill>
      <patternFill patternType="solid">
        <fgColor rgb="FFB2A1C7"/>
        <bgColor rgb="FFB2A1C7"/>
      </patternFill>
    </fill>
    <fill>
      <patternFill patternType="solid">
        <fgColor rgb="FFC6D9F0"/>
        <bgColor rgb="FFC6D9F0"/>
      </patternFill>
    </fill>
    <fill>
      <patternFill patternType="solid">
        <fgColor rgb="FFF2DBDB"/>
        <bgColor rgb="FFF2DBDB"/>
      </patternFill>
    </fill>
    <fill>
      <patternFill patternType="solid">
        <fgColor rgb="FFFDE9D9"/>
        <bgColor rgb="FFFDE9D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rgb="FF00B0F0"/>
        <bgColor rgb="FF00B0F0"/>
      </patternFill>
    </fill>
    <fill>
      <patternFill patternType="solid">
        <fgColor rgb="FF92D050"/>
        <bgColor rgb="FF92D050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002060"/>
      </patternFill>
    </fill>
    <fill>
      <patternFill patternType="solid">
        <fgColor rgb="FF366092"/>
        <bgColor rgb="FF366092"/>
      </patternFill>
    </fill>
    <fill>
      <patternFill patternType="solid">
        <fgColor rgb="FFE5B8B7"/>
        <bgColor rgb="FFE5B8B7"/>
      </patternFill>
    </fill>
    <fill>
      <patternFill patternType="solid">
        <fgColor rgb="FF205867"/>
        <bgColor rgb="FF205867"/>
      </patternFill>
    </fill>
    <fill>
      <patternFill patternType="solid">
        <fgColor theme="1"/>
        <bgColor theme="1"/>
      </patternFill>
    </fill>
    <fill>
      <patternFill patternType="solid">
        <fgColor theme="5"/>
        <b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00B0F0"/>
      </patternFill>
    </fill>
    <fill>
      <patternFill patternType="solid">
        <fgColor theme="1"/>
        <bgColor theme="0"/>
      </patternFill>
    </fill>
    <fill>
      <patternFill patternType="solid">
        <fgColor rgb="FF92D050"/>
        <bgColor theme="0"/>
      </patternFill>
    </fill>
    <fill>
      <patternFill patternType="solid">
        <fgColor rgb="FF002060"/>
        <bgColor theme="0"/>
      </patternFill>
    </fill>
  </fills>
  <borders count="2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double">
        <color rgb="FFE36C09"/>
      </bottom>
      <diagonal/>
    </border>
    <border>
      <left/>
      <right/>
      <top/>
      <bottom style="double">
        <color rgb="FFE36C09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ck">
        <color rgb="FF00206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E36C09"/>
      </left>
      <right/>
      <top style="thin">
        <color rgb="FFE36C09"/>
      </top>
      <bottom/>
      <diagonal/>
    </border>
    <border>
      <left/>
      <right/>
      <top style="thin">
        <color rgb="FFE36C09"/>
      </top>
      <bottom/>
      <diagonal/>
    </border>
    <border>
      <left/>
      <right style="thin">
        <color rgb="FFE36C09"/>
      </right>
      <top style="thin">
        <color rgb="FFE36C09"/>
      </top>
      <bottom/>
      <diagonal/>
    </border>
    <border>
      <left style="thin">
        <color rgb="FFE36C09"/>
      </left>
      <right/>
      <top/>
      <bottom/>
      <diagonal/>
    </border>
    <border>
      <left/>
      <right style="thin">
        <color rgb="FFE36C09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E36C09"/>
      </left>
      <right/>
      <top/>
      <bottom/>
      <diagonal/>
    </border>
    <border>
      <left style="thin">
        <color rgb="FFE36C09"/>
      </left>
      <right/>
      <top/>
      <bottom style="thin">
        <color rgb="FFE36C09"/>
      </bottom>
      <diagonal/>
    </border>
    <border>
      <left/>
      <right/>
      <top/>
      <bottom style="thin">
        <color rgb="FFE36C09"/>
      </bottom>
      <diagonal/>
    </border>
    <border>
      <left/>
      <right/>
      <top/>
      <bottom style="thin">
        <color rgb="FFE36C09"/>
      </bottom>
      <diagonal/>
    </border>
    <border>
      <left/>
      <right style="thin">
        <color rgb="FFE36C09"/>
      </right>
      <top/>
      <bottom style="thin">
        <color rgb="FFE36C09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2060"/>
      </left>
      <right style="medium">
        <color rgb="FF000000"/>
      </right>
      <top style="medium">
        <color rgb="FF00206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2060"/>
      </top>
      <bottom style="thin">
        <color rgb="FF000000"/>
      </bottom>
      <diagonal/>
    </border>
    <border>
      <left style="medium">
        <color rgb="FF000000"/>
      </left>
      <right style="medium">
        <color rgb="FF002060"/>
      </right>
      <top style="medium">
        <color rgb="FF002060"/>
      </top>
      <bottom style="thin">
        <color rgb="FF000000"/>
      </bottom>
      <diagonal/>
    </border>
    <border>
      <left style="medium">
        <color rgb="FF00206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2060"/>
      </right>
      <top style="thin">
        <color rgb="FF000000"/>
      </top>
      <bottom style="thin">
        <color rgb="FF000000"/>
      </bottom>
      <diagonal/>
    </border>
    <border>
      <left style="medium">
        <color rgb="FF002060"/>
      </left>
      <right style="medium">
        <color rgb="FF000000"/>
      </right>
      <top/>
      <bottom style="medium">
        <color rgb="FF00206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2060"/>
      </bottom>
      <diagonal/>
    </border>
    <border>
      <left style="medium">
        <color rgb="FF000000"/>
      </left>
      <right style="medium">
        <color rgb="FF002060"/>
      </right>
      <top style="thin">
        <color rgb="FF00000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/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thin">
        <color rgb="FF002060"/>
      </top>
      <bottom/>
      <diagonal/>
    </border>
    <border>
      <left style="medium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000000"/>
      </bottom>
      <diagonal/>
    </border>
    <border>
      <left style="thin">
        <color rgb="FF3F3F3F"/>
      </left>
      <right/>
      <top style="thin">
        <color rgb="FF000000"/>
      </top>
      <bottom style="thin">
        <color rgb="FF3F3F3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/>
      <right/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3F3F3F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3F3F3F"/>
      </bottom>
      <diagonal/>
    </border>
    <border>
      <left/>
      <right style="thin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 style="thin">
        <color rgb="FF3F3F3F"/>
      </bottom>
      <diagonal/>
    </border>
    <border>
      <left/>
      <right style="thin">
        <color indexed="64"/>
      </right>
      <top/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indexed="64"/>
      </bottom>
      <diagonal/>
    </border>
    <border>
      <left/>
      <right style="thin">
        <color indexed="64"/>
      </right>
      <top style="thin">
        <color rgb="FF3F3F3F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 style="thin">
        <color rgb="FF3F3F3F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/>
      <diagonal/>
    </border>
  </borders>
  <cellStyleXfs count="13">
    <xf numFmtId="0" fontId="0" fillId="0" borderId="0"/>
    <xf numFmtId="0" fontId="54" fillId="0" borderId="0" applyNumberFormat="0" applyFill="0" applyBorder="0" applyAlignment="0" applyProtection="0"/>
    <xf numFmtId="0" fontId="53" fillId="0" borderId="42"/>
    <xf numFmtId="0" fontId="3" fillId="0" borderId="42"/>
    <xf numFmtId="44" fontId="78" fillId="0" borderId="0" applyFont="0" applyFill="0" applyBorder="0" applyAlignment="0" applyProtection="0"/>
    <xf numFmtId="9" fontId="78" fillId="0" borderId="0" applyFont="0" applyFill="0" applyBorder="0" applyAlignment="0" applyProtection="0"/>
    <xf numFmtId="0" fontId="80" fillId="0" borderId="42"/>
    <xf numFmtId="180" fontId="80" fillId="0" borderId="42" applyFont="0" applyFill="0" applyBorder="0" applyAlignment="0" applyProtection="0"/>
    <xf numFmtId="0" fontId="80" fillId="0" borderId="42"/>
    <xf numFmtId="43" fontId="80" fillId="0" borderId="42" applyFont="0" applyFill="0" applyBorder="0" applyAlignment="0" applyProtection="0"/>
    <xf numFmtId="0" fontId="118" fillId="0" borderId="42" applyNumberFormat="0" applyFill="0" applyBorder="0" applyAlignment="0" applyProtection="0"/>
    <xf numFmtId="44" fontId="3" fillId="0" borderId="42" applyFont="0" applyFill="0" applyBorder="0" applyAlignment="0" applyProtection="0"/>
    <xf numFmtId="0" fontId="118" fillId="0" borderId="0" applyNumberFormat="0" applyFill="0" applyBorder="0" applyAlignment="0" applyProtection="0"/>
  </cellStyleXfs>
  <cellXfs count="118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1" fillId="2" borderId="1" xfId="0" applyFont="1" applyFill="1" applyBorder="1"/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/>
    </xf>
    <xf numFmtId="0" fontId="8" fillId="8" borderId="1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10" fillId="2" borderId="1" xfId="0" applyFont="1" applyFill="1" applyBorder="1"/>
    <xf numFmtId="0" fontId="11" fillId="2" borderId="1" xfId="0" applyFont="1" applyFill="1" applyBorder="1"/>
    <xf numFmtId="0" fontId="0" fillId="2" borderId="1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13" fillId="0" borderId="0" xfId="0" applyFont="1"/>
    <xf numFmtId="164" fontId="0" fillId="2" borderId="45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2" fontId="0" fillId="2" borderId="1" xfId="0" applyNumberFormat="1" applyFill="1" applyBorder="1"/>
    <xf numFmtId="0" fontId="0" fillId="2" borderId="1" xfId="0" applyFill="1" applyBorder="1" applyAlignment="1">
      <alignment horizontal="right"/>
    </xf>
    <xf numFmtId="0" fontId="14" fillId="2" borderId="1" xfId="0" applyFont="1" applyFill="1" applyBorder="1" applyAlignment="1">
      <alignment horizontal="right"/>
    </xf>
    <xf numFmtId="2" fontId="15" fillId="2" borderId="48" xfId="0" applyNumberFormat="1" applyFont="1" applyFill="1" applyBorder="1" applyAlignment="1">
      <alignment horizontal="center" vertical="center"/>
    </xf>
    <xf numFmtId="0" fontId="15" fillId="2" borderId="48" xfId="0" applyFont="1" applyFill="1" applyBorder="1"/>
    <xf numFmtId="0" fontId="16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vertical="center"/>
    </xf>
    <xf numFmtId="0" fontId="18" fillId="2" borderId="1" xfId="0" applyFont="1" applyFill="1" applyBorder="1"/>
    <xf numFmtId="0" fontId="0" fillId="2" borderId="49" xfId="0" applyFill="1" applyBorder="1"/>
    <xf numFmtId="0" fontId="19" fillId="0" borderId="0" xfId="0" applyFont="1"/>
    <xf numFmtId="0" fontId="20" fillId="0" borderId="0" xfId="0" applyFont="1" applyAlignment="1">
      <alignment horizontal="center"/>
    </xf>
    <xf numFmtId="0" fontId="21" fillId="9" borderId="50" xfId="0" applyFont="1" applyFill="1" applyBorder="1" applyAlignment="1">
      <alignment horizontal="center"/>
    </xf>
    <xf numFmtId="0" fontId="21" fillId="9" borderId="51" xfId="0" applyFont="1" applyFill="1" applyBorder="1" applyAlignment="1">
      <alignment horizontal="center"/>
    </xf>
    <xf numFmtId="0" fontId="21" fillId="9" borderId="52" xfId="0" applyFont="1" applyFill="1" applyBorder="1" applyAlignment="1">
      <alignment horizontal="center"/>
    </xf>
    <xf numFmtId="0" fontId="21" fillId="9" borderId="53" xfId="0" applyFont="1" applyFill="1" applyBorder="1"/>
    <xf numFmtId="0" fontId="21" fillId="9" borderId="54" xfId="0" applyFont="1" applyFill="1" applyBorder="1" applyAlignment="1">
      <alignment horizontal="right"/>
    </xf>
    <xf numFmtId="0" fontId="19" fillId="10" borderId="55" xfId="0" applyFont="1" applyFill="1" applyBorder="1" applyAlignment="1">
      <alignment horizontal="center"/>
    </xf>
    <xf numFmtId="172" fontId="19" fillId="10" borderId="56" xfId="0" applyNumberFormat="1" applyFont="1" applyFill="1" applyBorder="1" applyAlignment="1">
      <alignment horizontal="center"/>
    </xf>
    <xf numFmtId="2" fontId="19" fillId="10" borderId="57" xfId="0" applyNumberFormat="1" applyFont="1" applyFill="1" applyBorder="1" applyAlignment="1">
      <alignment horizontal="center"/>
    </xf>
    <xf numFmtId="0" fontId="21" fillId="9" borderId="58" xfId="0" applyFont="1" applyFill="1" applyBorder="1" applyAlignment="1">
      <alignment horizontal="center"/>
    </xf>
    <xf numFmtId="0" fontId="21" fillId="9" borderId="59" xfId="0" applyFont="1" applyFill="1" applyBorder="1" applyAlignment="1">
      <alignment horizontal="center"/>
    </xf>
    <xf numFmtId="0" fontId="21" fillId="9" borderId="60" xfId="0" applyFont="1" applyFill="1" applyBorder="1"/>
    <xf numFmtId="0" fontId="21" fillId="9" borderId="21" xfId="0" applyFont="1" applyFill="1" applyBorder="1" applyAlignment="1">
      <alignment horizontal="right"/>
    </xf>
    <xf numFmtId="0" fontId="19" fillId="10" borderId="61" xfId="0" applyFont="1" applyFill="1" applyBorder="1" applyAlignment="1">
      <alignment horizontal="center"/>
    </xf>
    <xf numFmtId="2" fontId="19" fillId="10" borderId="14" xfId="0" applyNumberFormat="1" applyFont="1" applyFill="1" applyBorder="1" applyAlignment="1">
      <alignment horizontal="center"/>
    </xf>
    <xf numFmtId="2" fontId="19" fillId="10" borderId="62" xfId="0" applyNumberFormat="1" applyFont="1" applyFill="1" applyBorder="1" applyAlignment="1">
      <alignment horizontal="center"/>
    </xf>
    <xf numFmtId="0" fontId="21" fillId="9" borderId="15" xfId="0" applyFont="1" applyFill="1" applyBorder="1" applyAlignment="1">
      <alignment horizontal="center"/>
    </xf>
    <xf numFmtId="0" fontId="21" fillId="9" borderId="63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19" fillId="10" borderId="57" xfId="0" applyFont="1" applyFill="1" applyBorder="1" applyAlignment="1">
      <alignment horizontal="center"/>
    </xf>
    <xf numFmtId="0" fontId="19" fillId="10" borderId="14" xfId="0" applyFont="1" applyFill="1" applyBorder="1" applyAlignment="1">
      <alignment horizontal="center"/>
    </xf>
    <xf numFmtId="0" fontId="19" fillId="10" borderId="62" xfId="0" applyFont="1" applyFill="1" applyBorder="1" applyAlignment="1">
      <alignment horizontal="center"/>
    </xf>
    <xf numFmtId="0" fontId="21" fillId="9" borderId="64" xfId="0" applyFont="1" applyFill="1" applyBorder="1"/>
    <xf numFmtId="0" fontId="21" fillId="9" borderId="48" xfId="0" applyFont="1" applyFill="1" applyBorder="1" applyAlignment="1">
      <alignment horizontal="right"/>
    </xf>
    <xf numFmtId="0" fontId="19" fillId="10" borderId="65" xfId="0" applyFont="1" applyFill="1" applyBorder="1" applyAlignment="1">
      <alignment horizontal="center"/>
    </xf>
    <xf numFmtId="2" fontId="19" fillId="10" borderId="66" xfId="0" applyNumberFormat="1" applyFont="1" applyFill="1" applyBorder="1" applyAlignment="1">
      <alignment horizontal="center"/>
    </xf>
    <xf numFmtId="2" fontId="19" fillId="10" borderId="67" xfId="0" applyNumberFormat="1" applyFont="1" applyFill="1" applyBorder="1" applyAlignment="1">
      <alignment horizontal="center"/>
    </xf>
    <xf numFmtId="0" fontId="19" fillId="10" borderId="66" xfId="0" applyFont="1" applyFill="1" applyBorder="1" applyAlignment="1">
      <alignment horizontal="center"/>
    </xf>
    <xf numFmtId="0" fontId="19" fillId="10" borderId="67" xfId="0" applyFont="1" applyFill="1" applyBorder="1" applyAlignment="1">
      <alignment horizontal="center"/>
    </xf>
    <xf numFmtId="0" fontId="23" fillId="9" borderId="51" xfId="0" applyFont="1" applyFill="1" applyBorder="1" applyAlignment="1">
      <alignment horizontal="center"/>
    </xf>
    <xf numFmtId="0" fontId="20" fillId="0" borderId="71" xfId="0" applyFont="1" applyBorder="1" applyAlignment="1">
      <alignment horizontal="right"/>
    </xf>
    <xf numFmtId="0" fontId="0" fillId="2" borderId="72" xfId="0" applyFill="1" applyBorder="1"/>
    <xf numFmtId="0" fontId="0" fillId="2" borderId="73" xfId="0" applyFill="1" applyBorder="1"/>
    <xf numFmtId="0" fontId="23" fillId="9" borderId="15" xfId="0" applyFont="1" applyFill="1" applyBorder="1"/>
    <xf numFmtId="0" fontId="23" fillId="9" borderId="15" xfId="0" applyFont="1" applyFill="1" applyBorder="1" applyAlignment="1">
      <alignment horizontal="center"/>
    </xf>
    <xf numFmtId="0" fontId="0" fillId="2" borderId="74" xfId="0" applyFill="1" applyBorder="1"/>
    <xf numFmtId="0" fontId="19" fillId="0" borderId="0" xfId="0" applyFont="1" applyAlignment="1">
      <alignment horizontal="right"/>
    </xf>
    <xf numFmtId="172" fontId="24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72" fontId="20" fillId="10" borderId="45" xfId="0" applyNumberFormat="1" applyFont="1" applyFill="1" applyBorder="1" applyAlignment="1">
      <alignment horizontal="center"/>
    </xf>
    <xf numFmtId="0" fontId="0" fillId="2" borderId="75" xfId="0" applyFill="1" applyBorder="1"/>
    <xf numFmtId="0" fontId="19" fillId="10" borderId="76" xfId="0" applyFont="1" applyFill="1" applyBorder="1" applyAlignment="1">
      <alignment horizontal="center"/>
    </xf>
    <xf numFmtId="1" fontId="19" fillId="10" borderId="77" xfId="0" applyNumberFormat="1" applyFont="1" applyFill="1" applyBorder="1" applyAlignment="1">
      <alignment horizontal="center"/>
    </xf>
    <xf numFmtId="1" fontId="19" fillId="10" borderId="78" xfId="0" applyNumberFormat="1" applyFont="1" applyFill="1" applyBorder="1" applyAlignment="1">
      <alignment horizontal="center"/>
    </xf>
    <xf numFmtId="1" fontId="19" fillId="10" borderId="14" xfId="0" applyNumberFormat="1" applyFont="1" applyFill="1" applyBorder="1" applyAlignment="1">
      <alignment horizontal="center"/>
    </xf>
    <xf numFmtId="1" fontId="19" fillId="10" borderId="62" xfId="0" applyNumberFormat="1" applyFont="1" applyFill="1" applyBorder="1" applyAlignment="1">
      <alignment horizontal="center"/>
    </xf>
    <xf numFmtId="1" fontId="19" fillId="10" borderId="57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/>
    </xf>
    <xf numFmtId="2" fontId="25" fillId="10" borderId="57" xfId="0" applyNumberFormat="1" applyFont="1" applyFill="1" applyBorder="1" applyAlignment="1">
      <alignment horizontal="right"/>
    </xf>
    <xf numFmtId="0" fontId="25" fillId="10" borderId="61" xfId="0" applyFont="1" applyFill="1" applyBorder="1" applyAlignment="1">
      <alignment horizontal="center"/>
    </xf>
    <xf numFmtId="2" fontId="25" fillId="10" borderId="62" xfId="0" applyNumberFormat="1" applyFont="1" applyFill="1" applyBorder="1" applyAlignment="1">
      <alignment horizontal="right"/>
    </xf>
    <xf numFmtId="0" fontId="20" fillId="0" borderId="79" xfId="0" applyFont="1" applyBorder="1" applyAlignment="1">
      <alignment horizontal="right"/>
    </xf>
    <xf numFmtId="0" fontId="19" fillId="0" borderId="79" xfId="0" applyFont="1" applyBorder="1"/>
    <xf numFmtId="2" fontId="20" fillId="10" borderId="45" xfId="0" applyNumberFormat="1" applyFont="1" applyFill="1" applyBorder="1" applyAlignment="1">
      <alignment horizontal="center"/>
    </xf>
    <xf numFmtId="0" fontId="19" fillId="0" borderId="80" xfId="0" applyFont="1" applyBorder="1"/>
    <xf numFmtId="0" fontId="19" fillId="0" borderId="81" xfId="0" applyFont="1" applyBorder="1"/>
    <xf numFmtId="0" fontId="0" fillId="2" borderId="82" xfId="0" applyFill="1" applyBorder="1"/>
    <xf numFmtId="0" fontId="0" fillId="2" borderId="83" xfId="0" applyFill="1" applyBorder="1"/>
    <xf numFmtId="0" fontId="25" fillId="10" borderId="61" xfId="0" applyFont="1" applyFill="1" applyBorder="1"/>
    <xf numFmtId="2" fontId="25" fillId="10" borderId="62" xfId="0" applyNumberFormat="1" applyFont="1" applyFill="1" applyBorder="1"/>
    <xf numFmtId="0" fontId="20" fillId="0" borderId="0" xfId="0" applyFont="1" applyAlignment="1">
      <alignment horizontal="right"/>
    </xf>
    <xf numFmtId="0" fontId="20" fillId="10" borderId="45" xfId="0" applyFont="1" applyFill="1" applyBorder="1" applyAlignment="1">
      <alignment horizontal="center"/>
    </xf>
    <xf numFmtId="0" fontId="25" fillId="10" borderId="65" xfId="0" applyFont="1" applyFill="1" applyBorder="1"/>
    <xf numFmtId="2" fontId="25" fillId="10" borderId="67" xfId="0" applyNumberFormat="1" applyFont="1" applyFill="1" applyBorder="1"/>
    <xf numFmtId="172" fontId="0" fillId="2" borderId="1" xfId="0" applyNumberFormat="1" applyFill="1" applyBorder="1"/>
    <xf numFmtId="49" fontId="19" fillId="0" borderId="0" xfId="0" applyNumberFormat="1" applyFont="1" applyAlignment="1">
      <alignment horizontal="left"/>
    </xf>
    <xf numFmtId="2" fontId="19" fillId="0" borderId="0" xfId="0" applyNumberFormat="1" applyFont="1" applyAlignment="1">
      <alignment horizontal="center"/>
    </xf>
    <xf numFmtId="172" fontId="20" fillId="10" borderId="45" xfId="0" applyNumberFormat="1" applyFont="1" applyFill="1" applyBorder="1"/>
    <xf numFmtId="0" fontId="20" fillId="0" borderId="0" xfId="0" applyFont="1"/>
    <xf numFmtId="172" fontId="20" fillId="10" borderId="45" xfId="0" applyNumberFormat="1" applyFont="1" applyFill="1" applyBorder="1" applyAlignment="1">
      <alignment horizontal="right"/>
    </xf>
    <xf numFmtId="2" fontId="19" fillId="0" borderId="0" xfId="0" applyNumberFormat="1" applyFont="1"/>
    <xf numFmtId="0" fontId="26" fillId="11" borderId="84" xfId="0" applyFont="1" applyFill="1" applyBorder="1"/>
    <xf numFmtId="0" fontId="26" fillId="11" borderId="85" xfId="0" applyFont="1" applyFill="1" applyBorder="1"/>
    <xf numFmtId="0" fontId="21" fillId="11" borderId="85" xfId="0" applyFont="1" applyFill="1" applyBorder="1" applyAlignment="1">
      <alignment horizontal="right"/>
    </xf>
    <xf numFmtId="2" fontId="21" fillId="11" borderId="85" xfId="0" applyNumberFormat="1" applyFont="1" applyFill="1" applyBorder="1" applyAlignment="1">
      <alignment horizontal="center"/>
    </xf>
    <xf numFmtId="0" fontId="21" fillId="11" borderId="85" xfId="0" applyFont="1" applyFill="1" applyBorder="1"/>
    <xf numFmtId="2" fontId="26" fillId="11" borderId="17" xfId="0" applyNumberFormat="1" applyFont="1" applyFill="1" applyBorder="1"/>
    <xf numFmtId="0" fontId="25" fillId="10" borderId="76" xfId="0" applyFont="1" applyFill="1" applyBorder="1" applyAlignment="1">
      <alignment horizontal="center"/>
    </xf>
    <xf numFmtId="2" fontId="25" fillId="10" borderId="78" xfId="0" applyNumberFormat="1" applyFont="1" applyFill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0" fillId="12" borderId="50" xfId="0" applyFill="1" applyBorder="1"/>
    <xf numFmtId="0" fontId="0" fillId="12" borderId="52" xfId="0" applyFill="1" applyBorder="1" applyAlignment="1">
      <alignment horizontal="center" vertical="center"/>
    </xf>
    <xf numFmtId="0" fontId="0" fillId="10" borderId="86" xfId="0" applyFill="1" applyBorder="1" applyAlignment="1">
      <alignment horizontal="center"/>
    </xf>
    <xf numFmtId="0" fontId="0" fillId="10" borderId="53" xfId="0" applyFill="1" applyBorder="1" applyAlignment="1">
      <alignment horizontal="center"/>
    </xf>
    <xf numFmtId="0" fontId="0" fillId="12" borderId="86" xfId="0" applyFill="1" applyBorder="1" applyAlignment="1">
      <alignment horizontal="center"/>
    </xf>
    <xf numFmtId="0" fontId="0" fillId="10" borderId="87" xfId="0" applyFill="1" applyBorder="1" applyAlignment="1">
      <alignment horizontal="center"/>
    </xf>
    <xf numFmtId="0" fontId="0" fillId="10" borderId="60" xfId="0" applyFill="1" applyBorder="1" applyAlignment="1">
      <alignment horizontal="center"/>
    </xf>
    <xf numFmtId="0" fontId="0" fillId="12" borderId="87" xfId="0" applyFill="1" applyBorder="1" applyAlignment="1">
      <alignment horizontal="center"/>
    </xf>
    <xf numFmtId="0" fontId="0" fillId="10" borderId="87" xfId="0" applyFill="1" applyBorder="1"/>
    <xf numFmtId="0" fontId="0" fillId="10" borderId="60" xfId="0" applyFill="1" applyBorder="1"/>
    <xf numFmtId="0" fontId="0" fillId="10" borderId="88" xfId="0" applyFill="1" applyBorder="1"/>
    <xf numFmtId="0" fontId="0" fillId="10" borderId="89" xfId="0" applyFill="1" applyBorder="1"/>
    <xf numFmtId="0" fontId="0" fillId="12" borderId="88" xfId="0" applyFill="1" applyBorder="1" applyAlignment="1">
      <alignment horizontal="center"/>
    </xf>
    <xf numFmtId="0" fontId="0" fillId="10" borderId="91" xfId="0" applyFill="1" applyBorder="1" applyAlignment="1">
      <alignment horizontal="center"/>
    </xf>
    <xf numFmtId="0" fontId="0" fillId="10" borderId="92" xfId="0" applyFill="1" applyBorder="1" applyAlignment="1">
      <alignment horizontal="center"/>
    </xf>
    <xf numFmtId="0" fontId="0" fillId="10" borderId="94" xfId="0" applyFill="1" applyBorder="1" applyAlignment="1">
      <alignment horizontal="center"/>
    </xf>
    <xf numFmtId="0" fontId="0" fillId="10" borderId="96" xfId="0" applyFill="1" applyBorder="1" applyAlignment="1">
      <alignment horizontal="center"/>
    </xf>
    <xf numFmtId="0" fontId="0" fillId="10" borderId="97" xfId="0" applyFill="1" applyBorder="1" applyAlignment="1">
      <alignment horizontal="center"/>
    </xf>
    <xf numFmtId="0" fontId="0" fillId="13" borderId="91" xfId="0" applyFill="1" applyBorder="1" applyAlignment="1">
      <alignment horizontal="center"/>
    </xf>
    <xf numFmtId="0" fontId="0" fillId="13" borderId="92" xfId="0" applyFill="1" applyBorder="1" applyAlignment="1">
      <alignment horizontal="center"/>
    </xf>
    <xf numFmtId="0" fontId="0" fillId="13" borderId="87" xfId="0" applyFill="1" applyBorder="1" applyAlignment="1">
      <alignment horizontal="center"/>
    </xf>
    <xf numFmtId="0" fontId="0" fillId="13" borderId="94" xfId="0" applyFill="1" applyBorder="1" applyAlignment="1">
      <alignment horizontal="center"/>
    </xf>
    <xf numFmtId="0" fontId="0" fillId="13" borderId="96" xfId="0" applyFill="1" applyBorder="1" applyAlignment="1">
      <alignment horizontal="center"/>
    </xf>
    <xf numFmtId="0" fontId="0" fillId="13" borderId="97" xfId="0" applyFill="1" applyBorder="1" applyAlignment="1">
      <alignment horizontal="center"/>
    </xf>
    <xf numFmtId="0" fontId="0" fillId="10" borderId="99" xfId="0" applyFill="1" applyBorder="1" applyAlignment="1">
      <alignment horizontal="center"/>
    </xf>
    <xf numFmtId="0" fontId="0" fillId="10" borderId="100" xfId="0" applyFill="1" applyBorder="1" applyAlignment="1">
      <alignment horizontal="center"/>
    </xf>
    <xf numFmtId="0" fontId="0" fillId="10" borderId="102" xfId="0" applyFill="1" applyBorder="1" applyAlignment="1">
      <alignment horizontal="center"/>
    </xf>
    <xf numFmtId="0" fontId="0" fillId="10" borderId="103" xfId="0" applyFill="1" applyBorder="1" applyAlignment="1">
      <alignment horizontal="center"/>
    </xf>
    <xf numFmtId="0" fontId="0" fillId="13" borderId="102" xfId="0" applyFill="1" applyBorder="1" applyAlignment="1">
      <alignment horizontal="center"/>
    </xf>
    <xf numFmtId="0" fontId="0" fillId="13" borderId="103" xfId="0" applyFill="1" applyBorder="1" applyAlignment="1">
      <alignment horizontal="center"/>
    </xf>
    <xf numFmtId="0" fontId="0" fillId="13" borderId="107" xfId="0" applyFill="1" applyBorder="1" applyAlignment="1">
      <alignment horizontal="center"/>
    </xf>
    <xf numFmtId="0" fontId="0" fillId="13" borderId="108" xfId="0" applyFill="1" applyBorder="1" applyAlignment="1">
      <alignment horizontal="center"/>
    </xf>
    <xf numFmtId="1" fontId="20" fillId="10" borderId="45" xfId="0" applyNumberFormat="1" applyFont="1" applyFill="1" applyBorder="1" applyAlignment="1">
      <alignment horizontal="center"/>
    </xf>
    <xf numFmtId="1" fontId="19" fillId="10" borderId="66" xfId="0" applyNumberFormat="1" applyFont="1" applyFill="1" applyBorder="1" applyAlignment="1">
      <alignment horizontal="center"/>
    </xf>
    <xf numFmtId="1" fontId="19" fillId="10" borderId="67" xfId="0" applyNumberFormat="1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172" fontId="7" fillId="14" borderId="14" xfId="0" applyNumberFormat="1" applyFont="1" applyFill="1" applyBorder="1" applyAlignment="1">
      <alignment horizontal="center"/>
    </xf>
    <xf numFmtId="0" fontId="30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31" fillId="0" borderId="0" xfId="0" applyFont="1"/>
    <xf numFmtId="0" fontId="32" fillId="9" borderId="51" xfId="0" applyFont="1" applyFill="1" applyBorder="1" applyAlignment="1">
      <alignment horizontal="center"/>
    </xf>
    <xf numFmtId="0" fontId="32" fillId="9" borderId="52" xfId="0" applyFont="1" applyFill="1" applyBorder="1" applyAlignment="1">
      <alignment horizontal="center"/>
    </xf>
    <xf numFmtId="0" fontId="13" fillId="0" borderId="0" xfId="0" applyFont="1" applyAlignment="1">
      <alignment horizontal="right"/>
    </xf>
    <xf numFmtId="0" fontId="32" fillId="9" borderId="58" xfId="0" applyFont="1" applyFill="1" applyBorder="1" applyAlignment="1">
      <alignment horizontal="center"/>
    </xf>
    <xf numFmtId="0" fontId="32" fillId="9" borderId="59" xfId="0" applyFont="1" applyFill="1" applyBorder="1" applyAlignment="1">
      <alignment horizontal="center"/>
    </xf>
    <xf numFmtId="0" fontId="32" fillId="9" borderId="50" xfId="0" applyFont="1" applyFill="1" applyBorder="1" applyAlignment="1">
      <alignment horizontal="center"/>
    </xf>
    <xf numFmtId="0" fontId="32" fillId="9" borderId="15" xfId="0" applyFont="1" applyFill="1" applyBorder="1" applyAlignment="1">
      <alignment horizontal="center"/>
    </xf>
    <xf numFmtId="0" fontId="32" fillId="9" borderId="63" xfId="0" applyFont="1" applyFill="1" applyBorder="1" applyAlignment="1">
      <alignment horizontal="center"/>
    </xf>
    <xf numFmtId="0" fontId="32" fillId="9" borderId="53" xfId="0" applyFont="1" applyFill="1" applyBorder="1"/>
    <xf numFmtId="0" fontId="32" fillId="9" borderId="109" xfId="0" applyFont="1" applyFill="1" applyBorder="1" applyAlignment="1">
      <alignment horizontal="right"/>
    </xf>
    <xf numFmtId="0" fontId="13" fillId="10" borderId="55" xfId="0" applyFont="1" applyFill="1" applyBorder="1" applyAlignment="1">
      <alignment horizontal="center"/>
    </xf>
    <xf numFmtId="172" fontId="13" fillId="10" borderId="56" xfId="0" applyNumberFormat="1" applyFont="1" applyFill="1" applyBorder="1" applyAlignment="1">
      <alignment horizontal="center"/>
    </xf>
    <xf numFmtId="2" fontId="13" fillId="10" borderId="57" xfId="0" applyNumberFormat="1" applyFont="1" applyFill="1" applyBorder="1" applyAlignment="1">
      <alignment horizontal="center"/>
    </xf>
    <xf numFmtId="0" fontId="13" fillId="10" borderId="56" xfId="0" applyFont="1" applyFill="1" applyBorder="1" applyAlignment="1">
      <alignment horizontal="center"/>
    </xf>
    <xf numFmtId="0" fontId="13" fillId="10" borderId="57" xfId="0" applyFont="1" applyFill="1" applyBorder="1" applyAlignment="1">
      <alignment horizontal="center"/>
    </xf>
    <xf numFmtId="0" fontId="32" fillId="9" borderId="60" xfId="0" applyFont="1" applyFill="1" applyBorder="1"/>
    <xf numFmtId="0" fontId="32" fillId="9" borderId="110" xfId="0" applyFont="1" applyFill="1" applyBorder="1" applyAlignment="1">
      <alignment horizontal="right"/>
    </xf>
    <xf numFmtId="0" fontId="13" fillId="10" borderId="61" xfId="0" applyFont="1" applyFill="1" applyBorder="1" applyAlignment="1">
      <alignment horizontal="center"/>
    </xf>
    <xf numFmtId="0" fontId="13" fillId="10" borderId="14" xfId="0" applyFont="1" applyFill="1" applyBorder="1" applyAlignment="1">
      <alignment horizontal="center"/>
    </xf>
    <xf numFmtId="2" fontId="13" fillId="10" borderId="62" xfId="0" applyNumberFormat="1" applyFont="1" applyFill="1" applyBorder="1" applyAlignment="1">
      <alignment horizontal="center"/>
    </xf>
    <xf numFmtId="0" fontId="13" fillId="10" borderId="62" xfId="0" applyFont="1" applyFill="1" applyBorder="1" applyAlignment="1">
      <alignment horizontal="center"/>
    </xf>
    <xf numFmtId="0" fontId="13" fillId="10" borderId="65" xfId="0" applyFont="1" applyFill="1" applyBorder="1" applyAlignment="1">
      <alignment horizontal="center"/>
    </xf>
    <xf numFmtId="0" fontId="13" fillId="10" borderId="66" xfId="0" applyFont="1" applyFill="1" applyBorder="1" applyAlignment="1">
      <alignment horizontal="center"/>
    </xf>
    <xf numFmtId="0" fontId="13" fillId="10" borderId="67" xfId="0" applyFont="1" applyFill="1" applyBorder="1" applyAlignment="1">
      <alignment horizontal="center"/>
    </xf>
    <xf numFmtId="0" fontId="13" fillId="10" borderId="111" xfId="0" applyFont="1" applyFill="1" applyBorder="1" applyAlignment="1">
      <alignment horizontal="center"/>
    </xf>
    <xf numFmtId="0" fontId="13" fillId="10" borderId="112" xfId="0" applyFont="1" applyFill="1" applyBorder="1" applyAlignment="1">
      <alignment horizontal="center"/>
    </xf>
    <xf numFmtId="2" fontId="13" fillId="10" borderId="113" xfId="0" applyNumberFormat="1" applyFont="1" applyFill="1" applyBorder="1" applyAlignment="1">
      <alignment horizontal="center"/>
    </xf>
    <xf numFmtId="0" fontId="32" fillId="9" borderId="64" xfId="0" applyFont="1" applyFill="1" applyBorder="1"/>
    <xf numFmtId="0" fontId="32" fillId="9" borderId="63" xfId="0" applyFont="1" applyFill="1" applyBorder="1" applyAlignment="1">
      <alignment horizontal="right"/>
    </xf>
    <xf numFmtId="2" fontId="13" fillId="10" borderId="67" xfId="0" applyNumberFormat="1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32" fillId="9" borderId="15" xfId="0" applyFont="1" applyFill="1" applyBorder="1"/>
    <xf numFmtId="172" fontId="13" fillId="0" borderId="0" xfId="0" applyNumberFormat="1" applyFont="1" applyAlignment="1">
      <alignment horizontal="center"/>
    </xf>
    <xf numFmtId="0" fontId="7" fillId="10" borderId="45" xfId="0" applyFont="1" applyFill="1" applyBorder="1" applyAlignment="1">
      <alignment horizontal="center"/>
    </xf>
    <xf numFmtId="1" fontId="13" fillId="10" borderId="56" xfId="0" applyNumberFormat="1" applyFont="1" applyFill="1" applyBorder="1" applyAlignment="1">
      <alignment horizontal="center"/>
    </xf>
    <xf numFmtId="1" fontId="13" fillId="10" borderId="57" xfId="0" applyNumberFormat="1" applyFont="1" applyFill="1" applyBorder="1" applyAlignment="1">
      <alignment horizontal="center"/>
    </xf>
    <xf numFmtId="173" fontId="13" fillId="10" borderId="55" xfId="0" applyNumberFormat="1" applyFont="1" applyFill="1" applyBorder="1" applyAlignment="1">
      <alignment horizontal="center"/>
    </xf>
    <xf numFmtId="2" fontId="13" fillId="10" borderId="57" xfId="0" applyNumberFormat="1" applyFont="1" applyFill="1" applyBorder="1" applyAlignment="1">
      <alignment horizontal="right"/>
    </xf>
    <xf numFmtId="1" fontId="13" fillId="10" borderId="14" xfId="0" applyNumberFormat="1" applyFont="1" applyFill="1" applyBorder="1" applyAlignment="1">
      <alignment horizontal="center"/>
    </xf>
    <xf numFmtId="1" fontId="13" fillId="10" borderId="62" xfId="0" applyNumberFormat="1" applyFont="1" applyFill="1" applyBorder="1" applyAlignment="1">
      <alignment horizontal="center"/>
    </xf>
    <xf numFmtId="173" fontId="13" fillId="10" borderId="61" xfId="0" applyNumberFormat="1" applyFont="1" applyFill="1" applyBorder="1" applyAlignment="1">
      <alignment horizontal="center"/>
    </xf>
    <xf numFmtId="2" fontId="13" fillId="10" borderId="62" xfId="0" applyNumberFormat="1" applyFont="1" applyFill="1" applyBorder="1" applyAlignment="1">
      <alignment horizontal="right"/>
    </xf>
    <xf numFmtId="2" fontId="7" fillId="10" borderId="45" xfId="0" applyNumberFormat="1" applyFont="1" applyFill="1" applyBorder="1" applyAlignment="1">
      <alignment horizontal="center"/>
    </xf>
    <xf numFmtId="2" fontId="13" fillId="0" borderId="0" xfId="0" applyNumberFormat="1" applyFont="1"/>
    <xf numFmtId="0" fontId="13" fillId="10" borderId="61" xfId="0" applyFont="1" applyFill="1" applyBorder="1"/>
    <xf numFmtId="2" fontId="13" fillId="10" borderId="62" xfId="0" applyNumberFormat="1" applyFont="1" applyFill="1" applyBorder="1"/>
    <xf numFmtId="172" fontId="7" fillId="10" borderId="45" xfId="0" applyNumberFormat="1" applyFont="1" applyFill="1" applyBorder="1" applyAlignment="1">
      <alignment horizontal="center"/>
    </xf>
    <xf numFmtId="0" fontId="13" fillId="10" borderId="65" xfId="0" applyFont="1" applyFill="1" applyBorder="1"/>
    <xf numFmtId="2" fontId="13" fillId="10" borderId="67" xfId="0" applyNumberFormat="1" applyFont="1" applyFill="1" applyBorder="1"/>
    <xf numFmtId="49" fontId="13" fillId="0" borderId="0" xfId="0" applyNumberFormat="1" applyFont="1" applyAlignment="1">
      <alignment horizontal="left"/>
    </xf>
    <xf numFmtId="2" fontId="13" fillId="0" borderId="0" xfId="0" applyNumberFormat="1" applyFont="1" applyAlignment="1">
      <alignment horizontal="center"/>
    </xf>
    <xf numFmtId="2" fontId="7" fillId="10" borderId="45" xfId="0" applyNumberFormat="1" applyFont="1" applyFill="1" applyBorder="1"/>
    <xf numFmtId="172" fontId="7" fillId="10" borderId="45" xfId="0" applyNumberFormat="1" applyFont="1" applyFill="1" applyBorder="1"/>
    <xf numFmtId="1" fontId="13" fillId="0" borderId="0" xfId="0" applyNumberFormat="1" applyFont="1"/>
    <xf numFmtId="49" fontId="13" fillId="0" borderId="0" xfId="0" applyNumberFormat="1" applyFont="1" applyAlignment="1">
      <alignment horizontal="center"/>
    </xf>
    <xf numFmtId="0" fontId="33" fillId="15" borderId="84" xfId="0" applyFont="1" applyFill="1" applyBorder="1"/>
    <xf numFmtId="0" fontId="33" fillId="15" borderId="85" xfId="0" applyFont="1" applyFill="1" applyBorder="1"/>
    <xf numFmtId="0" fontId="32" fillId="15" borderId="85" xfId="0" applyFont="1" applyFill="1" applyBorder="1" applyAlignment="1">
      <alignment horizontal="right"/>
    </xf>
    <xf numFmtId="2" fontId="34" fillId="15" borderId="85" xfId="0" applyNumberFormat="1" applyFont="1" applyFill="1" applyBorder="1"/>
    <xf numFmtId="0" fontId="34" fillId="15" borderId="85" xfId="0" applyFont="1" applyFill="1" applyBorder="1"/>
    <xf numFmtId="2" fontId="35" fillId="15" borderId="17" xfId="0" applyNumberFormat="1" applyFont="1" applyFill="1" applyBorder="1"/>
    <xf numFmtId="2" fontId="13" fillId="0" borderId="0" xfId="0" applyNumberFormat="1" applyFont="1" applyAlignment="1">
      <alignment horizontal="left"/>
    </xf>
    <xf numFmtId="0" fontId="36" fillId="0" borderId="114" xfId="0" applyFont="1" applyBorder="1"/>
    <xf numFmtId="0" fontId="36" fillId="0" borderId="115" xfId="0" applyFont="1" applyBorder="1" applyAlignment="1">
      <alignment horizontal="center"/>
    </xf>
    <xf numFmtId="0" fontId="36" fillId="0" borderId="116" xfId="0" applyFont="1" applyBorder="1" applyAlignment="1">
      <alignment horizontal="center"/>
    </xf>
    <xf numFmtId="1" fontId="13" fillId="10" borderId="66" xfId="0" applyNumberFormat="1" applyFont="1" applyFill="1" applyBorder="1" applyAlignment="1">
      <alignment horizontal="center"/>
    </xf>
    <xf numFmtId="1" fontId="13" fillId="10" borderId="67" xfId="0" applyNumberFormat="1" applyFont="1" applyFill="1" applyBorder="1" applyAlignment="1">
      <alignment horizontal="center"/>
    </xf>
    <xf numFmtId="173" fontId="13" fillId="10" borderId="65" xfId="0" applyNumberFormat="1" applyFont="1" applyFill="1" applyBorder="1" applyAlignment="1">
      <alignment horizontal="center"/>
    </xf>
    <xf numFmtId="174" fontId="19" fillId="0" borderId="0" xfId="0" applyNumberFormat="1" applyFont="1"/>
    <xf numFmtId="0" fontId="7" fillId="0" borderId="55" xfId="0" applyFont="1" applyBorder="1" applyAlignment="1">
      <alignment horizontal="right"/>
    </xf>
    <xf numFmtId="0" fontId="37" fillId="14" borderId="57" xfId="0" applyFont="1" applyFill="1" applyBorder="1" applyAlignment="1">
      <alignment horizontal="center"/>
    </xf>
    <xf numFmtId="172" fontId="19" fillId="0" borderId="0" xfId="0" applyNumberFormat="1" applyFont="1"/>
    <xf numFmtId="0" fontId="7" fillId="0" borderId="61" xfId="0" applyFont="1" applyBorder="1" applyAlignment="1">
      <alignment horizontal="right"/>
    </xf>
    <xf numFmtId="165" fontId="37" fillId="14" borderId="62" xfId="0" applyNumberFormat="1" applyFont="1" applyFill="1" applyBorder="1" applyAlignment="1">
      <alignment horizontal="center"/>
    </xf>
    <xf numFmtId="164" fontId="37" fillId="14" borderId="62" xfId="0" applyNumberFormat="1" applyFont="1" applyFill="1" applyBorder="1" applyAlignment="1">
      <alignment horizontal="center"/>
    </xf>
    <xf numFmtId="167" fontId="37" fillId="14" borderId="62" xfId="0" applyNumberFormat="1" applyFont="1" applyFill="1" applyBorder="1" applyAlignment="1">
      <alignment horizontal="center"/>
    </xf>
    <xf numFmtId="0" fontId="37" fillId="14" borderId="62" xfId="0" applyFont="1" applyFill="1" applyBorder="1" applyAlignment="1">
      <alignment horizontal="center"/>
    </xf>
    <xf numFmtId="0" fontId="7" fillId="0" borderId="65" xfId="0" applyFont="1" applyBorder="1" applyAlignment="1">
      <alignment horizontal="right"/>
    </xf>
    <xf numFmtId="0" fontId="37" fillId="14" borderId="67" xfId="0" applyFont="1" applyFill="1" applyBorder="1" applyAlignment="1">
      <alignment horizontal="center"/>
    </xf>
    <xf numFmtId="0" fontId="13" fillId="0" borderId="117" xfId="0" applyFont="1" applyBorder="1"/>
    <xf numFmtId="0" fontId="7" fillId="0" borderId="118" xfId="0" applyFont="1" applyBorder="1"/>
    <xf numFmtId="2" fontId="7" fillId="0" borderId="119" xfId="0" applyNumberFormat="1" applyFont="1" applyBorder="1" applyAlignment="1">
      <alignment horizontal="center"/>
    </xf>
    <xf numFmtId="175" fontId="13" fillId="0" borderId="0" xfId="0" applyNumberFormat="1" applyFont="1"/>
    <xf numFmtId="0" fontId="13" fillId="0" borderId="120" xfId="0" applyFont="1" applyBorder="1"/>
    <xf numFmtId="169" fontId="7" fillId="0" borderId="121" xfId="0" applyNumberFormat="1" applyFont="1" applyBorder="1" applyAlignment="1">
      <alignment horizontal="center"/>
    </xf>
    <xf numFmtId="2" fontId="7" fillId="0" borderId="121" xfId="0" applyNumberFormat="1" applyFont="1" applyBorder="1" applyAlignment="1">
      <alignment horizontal="center"/>
    </xf>
    <xf numFmtId="172" fontId="19" fillId="16" borderId="1" xfId="0" applyNumberFormat="1" applyFont="1" applyFill="1" applyBorder="1"/>
    <xf numFmtId="0" fontId="13" fillId="0" borderId="121" xfId="0" applyFont="1" applyBorder="1" applyAlignment="1">
      <alignment horizontal="center"/>
    </xf>
    <xf numFmtId="0" fontId="13" fillId="17" borderId="122" xfId="0" applyFont="1" applyFill="1" applyBorder="1"/>
    <xf numFmtId="0" fontId="38" fillId="17" borderId="1" xfId="0" applyFont="1" applyFill="1" applyBorder="1" applyAlignment="1">
      <alignment horizontal="center"/>
    </xf>
    <xf numFmtId="169" fontId="38" fillId="17" borderId="59" xfId="0" applyNumberFormat="1" applyFont="1" applyFill="1" applyBorder="1" applyAlignment="1">
      <alignment horizontal="center"/>
    </xf>
    <xf numFmtId="172" fontId="13" fillId="0" borderId="0" xfId="0" applyNumberFormat="1" applyFont="1"/>
    <xf numFmtId="0" fontId="7" fillId="11" borderId="122" xfId="0" applyFont="1" applyFill="1" applyBorder="1" applyAlignment="1">
      <alignment horizontal="center"/>
    </xf>
    <xf numFmtId="0" fontId="7" fillId="11" borderId="1" xfId="0" applyFont="1" applyFill="1" applyBorder="1" applyAlignment="1">
      <alignment horizontal="center"/>
    </xf>
    <xf numFmtId="2" fontId="7" fillId="11" borderId="59" xfId="0" applyNumberFormat="1" applyFont="1" applyFill="1" applyBorder="1" applyAlignment="1">
      <alignment horizontal="center"/>
    </xf>
    <xf numFmtId="0" fontId="7" fillId="11" borderId="64" xfId="0" applyFont="1" applyFill="1" applyBorder="1" applyAlignment="1">
      <alignment horizontal="center"/>
    </xf>
    <xf numFmtId="0" fontId="7" fillId="11" borderId="48" xfId="0" applyFont="1" applyFill="1" applyBorder="1" applyAlignment="1">
      <alignment horizontal="center"/>
    </xf>
    <xf numFmtId="2" fontId="7" fillId="11" borderId="63" xfId="0" applyNumberFormat="1" applyFont="1" applyFill="1" applyBorder="1" applyAlignment="1">
      <alignment horizontal="center"/>
    </xf>
    <xf numFmtId="0" fontId="38" fillId="16" borderId="45" xfId="0" applyFont="1" applyFill="1" applyBorder="1" applyAlignment="1">
      <alignment horizontal="center" vertical="center"/>
    </xf>
    <xf numFmtId="169" fontId="39" fillId="0" borderId="45" xfId="0" applyNumberFormat="1" applyFont="1" applyBorder="1" applyAlignment="1">
      <alignment horizontal="center"/>
    </xf>
    <xf numFmtId="0" fontId="40" fillId="0" borderId="0" xfId="0" applyFont="1"/>
    <xf numFmtId="0" fontId="38" fillId="0" borderId="0" xfId="0" applyFont="1"/>
    <xf numFmtId="0" fontId="32" fillId="17" borderId="50" xfId="0" applyFont="1" applyFill="1" applyBorder="1" applyAlignment="1">
      <alignment horizontal="center"/>
    </xf>
    <xf numFmtId="0" fontId="32" fillId="17" borderId="122" xfId="0" applyFont="1" applyFill="1" applyBorder="1" applyAlignment="1">
      <alignment horizontal="center"/>
    </xf>
    <xf numFmtId="0" fontId="41" fillId="0" borderId="38" xfId="0" applyFont="1" applyBorder="1" applyAlignment="1">
      <alignment horizontal="center"/>
    </xf>
    <xf numFmtId="0" fontId="13" fillId="10" borderId="14" xfId="0" applyFont="1" applyFill="1" applyBorder="1"/>
    <xf numFmtId="2" fontId="13" fillId="10" borderId="14" xfId="0" applyNumberFormat="1" applyFont="1" applyFill="1" applyBorder="1" applyAlignment="1">
      <alignment horizontal="center"/>
    </xf>
    <xf numFmtId="0" fontId="37" fillId="10" borderId="14" xfId="0" applyFont="1" applyFill="1" applyBorder="1"/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right"/>
    </xf>
    <xf numFmtId="2" fontId="42" fillId="0" borderId="0" xfId="0" applyNumberFormat="1" applyFont="1" applyAlignment="1">
      <alignment horizontal="center"/>
    </xf>
    <xf numFmtId="0" fontId="42" fillId="18" borderId="14" xfId="0" applyFont="1" applyFill="1" applyBorder="1" applyAlignment="1">
      <alignment horizontal="right"/>
    </xf>
    <xf numFmtId="2" fontId="42" fillId="18" borderId="14" xfId="0" applyNumberFormat="1" applyFont="1" applyFill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13" fillId="0" borderId="38" xfId="0" applyFont="1" applyBorder="1" applyAlignment="1">
      <alignment horizontal="center"/>
    </xf>
    <xf numFmtId="0" fontId="32" fillId="17" borderId="50" xfId="0" applyFont="1" applyFill="1" applyBorder="1"/>
    <xf numFmtId="0" fontId="32" fillId="17" borderId="127" xfId="0" applyFont="1" applyFill="1" applyBorder="1"/>
    <xf numFmtId="0" fontId="32" fillId="17" borderId="128" xfId="0" applyFont="1" applyFill="1" applyBorder="1"/>
    <xf numFmtId="0" fontId="32" fillId="17" borderId="52" xfId="0" applyFont="1" applyFill="1" applyBorder="1"/>
    <xf numFmtId="0" fontId="32" fillId="17" borderId="64" xfId="0" applyFont="1" applyFill="1" applyBorder="1"/>
    <xf numFmtId="0" fontId="32" fillId="17" borderId="129" xfId="0" applyFont="1" applyFill="1" applyBorder="1"/>
    <xf numFmtId="0" fontId="32" fillId="17" borderId="130" xfId="0" applyFont="1" applyFill="1" applyBorder="1"/>
    <xf numFmtId="0" fontId="32" fillId="17" borderId="63" xfId="0" applyFont="1" applyFill="1" applyBorder="1"/>
    <xf numFmtId="0" fontId="13" fillId="10" borderId="50" xfId="0" applyFont="1" applyFill="1" applyBorder="1"/>
    <xf numFmtId="0" fontId="13" fillId="10" borderId="52" xfId="0" applyFont="1" applyFill="1" applyBorder="1"/>
    <xf numFmtId="2" fontId="13" fillId="10" borderId="131" xfId="0" applyNumberFormat="1" applyFont="1" applyFill="1" applyBorder="1" applyAlignment="1">
      <alignment horizontal="right"/>
    </xf>
    <xf numFmtId="0" fontId="13" fillId="10" borderId="52" xfId="0" applyFont="1" applyFill="1" applyBorder="1" applyAlignment="1">
      <alignment horizontal="center"/>
    </xf>
    <xf numFmtId="0" fontId="13" fillId="10" borderId="122" xfId="0" applyFont="1" applyFill="1" applyBorder="1"/>
    <xf numFmtId="0" fontId="13" fillId="10" borderId="59" xfId="0" applyFont="1" applyFill="1" applyBorder="1"/>
    <xf numFmtId="2" fontId="13" fillId="10" borderId="1" xfId="0" applyNumberFormat="1" applyFont="1" applyFill="1" applyBorder="1" applyAlignment="1">
      <alignment horizontal="right"/>
    </xf>
    <xf numFmtId="0" fontId="13" fillId="10" borderId="59" xfId="0" applyFont="1" applyFill="1" applyBorder="1" applyAlignment="1">
      <alignment horizontal="center"/>
    </xf>
    <xf numFmtId="0" fontId="13" fillId="14" borderId="14" xfId="0" applyFont="1" applyFill="1" applyBorder="1"/>
    <xf numFmtId="2" fontId="13" fillId="14" borderId="14" xfId="0" applyNumberFormat="1" applyFont="1" applyFill="1" applyBorder="1" applyAlignment="1">
      <alignment horizontal="center"/>
    </xf>
    <xf numFmtId="0" fontId="37" fillId="14" borderId="14" xfId="0" applyFont="1" applyFill="1" applyBorder="1"/>
    <xf numFmtId="49" fontId="19" fillId="0" borderId="0" xfId="0" applyNumberFormat="1" applyFont="1"/>
    <xf numFmtId="2" fontId="20" fillId="16" borderId="1" xfId="0" applyNumberFormat="1" applyFont="1" applyFill="1" applyBorder="1" applyAlignment="1">
      <alignment horizontal="right"/>
    </xf>
    <xf numFmtId="2" fontId="20" fillId="0" borderId="0" xfId="0" applyNumberFormat="1" applyFont="1" applyAlignment="1">
      <alignment horizontal="right"/>
    </xf>
    <xf numFmtId="0" fontId="21" fillId="11" borderId="85" xfId="0" applyFont="1" applyFill="1" applyBorder="1" applyAlignment="1">
      <alignment horizontal="center"/>
    </xf>
    <xf numFmtId="2" fontId="21" fillId="11" borderId="85" xfId="0" applyNumberFormat="1" applyFont="1" applyFill="1" applyBorder="1"/>
    <xf numFmtId="0" fontId="21" fillId="11" borderId="17" xfId="0" applyFont="1" applyFill="1" applyBorder="1"/>
    <xf numFmtId="0" fontId="13" fillId="10" borderId="64" xfId="0" applyFont="1" applyFill="1" applyBorder="1"/>
    <xf numFmtId="0" fontId="13" fillId="10" borderId="63" xfId="0" applyFont="1" applyFill="1" applyBorder="1"/>
    <xf numFmtId="0" fontId="13" fillId="10" borderId="48" xfId="0" applyFont="1" applyFill="1" applyBorder="1"/>
    <xf numFmtId="0" fontId="13" fillId="10" borderId="63" xfId="0" applyFont="1" applyFill="1" applyBorder="1" applyAlignment="1">
      <alignment horizontal="center"/>
    </xf>
    <xf numFmtId="0" fontId="13" fillId="19" borderId="14" xfId="0" applyFont="1" applyFill="1" applyBorder="1"/>
    <xf numFmtId="2" fontId="13" fillId="19" borderId="14" xfId="0" applyNumberFormat="1" applyFont="1" applyFill="1" applyBorder="1" applyAlignment="1">
      <alignment horizontal="center"/>
    </xf>
    <xf numFmtId="0" fontId="37" fillId="19" borderId="14" xfId="0" applyFont="1" applyFill="1" applyBorder="1"/>
    <xf numFmtId="0" fontId="43" fillId="0" borderId="0" xfId="0" applyFont="1"/>
    <xf numFmtId="0" fontId="44" fillId="0" borderId="0" xfId="0" applyFont="1"/>
    <xf numFmtId="0" fontId="13" fillId="20" borderId="14" xfId="0" applyFont="1" applyFill="1" applyBorder="1"/>
    <xf numFmtId="2" fontId="13" fillId="20" borderId="14" xfId="0" applyNumberFormat="1" applyFont="1" applyFill="1" applyBorder="1" applyAlignment="1">
      <alignment horizontal="center"/>
    </xf>
    <xf numFmtId="0" fontId="37" fillId="20" borderId="14" xfId="0" applyFont="1" applyFill="1" applyBorder="1"/>
    <xf numFmtId="0" fontId="45" fillId="0" borderId="0" xfId="0" applyFont="1"/>
    <xf numFmtId="0" fontId="46" fillId="0" borderId="0" xfId="0" applyFon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176" fontId="0" fillId="0" borderId="0" xfId="0" applyNumberFormat="1"/>
    <xf numFmtId="0" fontId="0" fillId="14" borderId="1" xfId="0" applyFill="1" applyBorder="1"/>
    <xf numFmtId="0" fontId="0" fillId="21" borderId="1" xfId="0" applyFill="1" applyBorder="1"/>
    <xf numFmtId="0" fontId="0" fillId="22" borderId="1" xfId="0" applyFill="1" applyBorder="1"/>
    <xf numFmtId="164" fontId="0" fillId="22" borderId="1" xfId="0" applyNumberFormat="1" applyFill="1" applyBorder="1"/>
    <xf numFmtId="0" fontId="0" fillId="23" borderId="1" xfId="0" applyFill="1" applyBorder="1"/>
    <xf numFmtId="0" fontId="13" fillId="23" borderId="45" xfId="0" applyFont="1" applyFill="1" applyBorder="1" applyAlignment="1">
      <alignment horizontal="center" vertical="center"/>
    </xf>
    <xf numFmtId="0" fontId="47" fillId="23" borderId="84" xfId="0" applyFont="1" applyFill="1" applyBorder="1" applyAlignment="1">
      <alignment horizontal="center" vertical="center"/>
    </xf>
    <xf numFmtId="2" fontId="13" fillId="23" borderId="45" xfId="0" applyNumberFormat="1" applyFont="1" applyFill="1" applyBorder="1" applyAlignment="1">
      <alignment horizontal="center" vertical="center"/>
    </xf>
    <xf numFmtId="2" fontId="13" fillId="23" borderId="84" xfId="0" applyNumberFormat="1" applyFont="1" applyFill="1" applyBorder="1" applyAlignment="1">
      <alignment horizontal="center" vertical="center"/>
    </xf>
    <xf numFmtId="164" fontId="47" fillId="23" borderId="85" xfId="0" applyNumberFormat="1" applyFont="1" applyFill="1" applyBorder="1" applyAlignment="1">
      <alignment horizontal="center" vertical="center"/>
    </xf>
    <xf numFmtId="0" fontId="13" fillId="23" borderId="84" xfId="0" applyFont="1" applyFill="1" applyBorder="1" applyAlignment="1">
      <alignment horizontal="right" vertical="center"/>
    </xf>
    <xf numFmtId="1" fontId="13" fillId="23" borderId="17" xfId="0" applyNumberFormat="1" applyFont="1" applyFill="1" applyBorder="1" applyAlignment="1">
      <alignment horizontal="center" vertical="center"/>
    </xf>
    <xf numFmtId="2" fontId="0" fillId="23" borderId="1" xfId="0" applyNumberFormat="1" applyFill="1" applyBorder="1"/>
    <xf numFmtId="0" fontId="52" fillId="2" borderId="1" xfId="0" applyFont="1" applyFill="1" applyBorder="1" applyAlignment="1">
      <alignment horizontal="center" vertical="center"/>
    </xf>
    <xf numFmtId="0" fontId="0" fillId="24" borderId="0" xfId="0" applyFill="1"/>
    <xf numFmtId="0" fontId="52" fillId="2" borderId="42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0" fillId="2" borderId="42" xfId="0" applyFill="1" applyBorder="1"/>
    <xf numFmtId="0" fontId="0" fillId="0" borderId="42" xfId="2" applyFont="1"/>
    <xf numFmtId="0" fontId="0" fillId="2" borderId="42" xfId="2" applyFont="1" applyFill="1"/>
    <xf numFmtId="0" fontId="58" fillId="2" borderId="42" xfId="2" applyFont="1" applyFill="1" applyAlignment="1">
      <alignment horizontal="left"/>
    </xf>
    <xf numFmtId="0" fontId="60" fillId="2" borderId="42" xfId="2" applyFont="1" applyFill="1"/>
    <xf numFmtId="0" fontId="58" fillId="2" borderId="42" xfId="2" applyFont="1" applyFill="1"/>
    <xf numFmtId="49" fontId="59" fillId="2" borderId="42" xfId="2" applyNumberFormat="1" applyFont="1" applyFill="1" applyAlignment="1">
      <alignment horizontal="right" vertical="center"/>
    </xf>
    <xf numFmtId="49" fontId="59" fillId="2" borderId="42" xfId="2" applyNumberFormat="1" applyFont="1" applyFill="1" applyAlignment="1">
      <alignment horizontal="right" vertical="top"/>
    </xf>
    <xf numFmtId="176" fontId="61" fillId="2" borderId="42" xfId="2" applyNumberFormat="1" applyFont="1" applyFill="1" applyAlignment="1">
      <alignment horizontal="right" vertical="center"/>
    </xf>
    <xf numFmtId="0" fontId="37" fillId="2" borderId="1" xfId="0" applyFont="1" applyFill="1" applyBorder="1" applyAlignment="1">
      <alignment horizontal="center" vertical="center"/>
    </xf>
    <xf numFmtId="0" fontId="37" fillId="2" borderId="1" xfId="0" applyFont="1" applyFill="1" applyBorder="1" applyAlignment="1">
      <alignment vertical="center"/>
    </xf>
    <xf numFmtId="0" fontId="37" fillId="2" borderId="1" xfId="0" applyFont="1" applyFill="1" applyBorder="1"/>
    <xf numFmtId="0" fontId="37" fillId="2" borderId="1" xfId="0" applyFont="1" applyFill="1" applyBorder="1" applyAlignment="1">
      <alignment horizontal="right" vertical="center"/>
    </xf>
    <xf numFmtId="0" fontId="37" fillId="2" borderId="1" xfId="0" applyFont="1" applyFill="1" applyBorder="1" applyAlignment="1">
      <alignment horizontal="right"/>
    </xf>
    <xf numFmtId="0" fontId="37" fillId="2" borderId="11" xfId="0" applyFont="1" applyFill="1" applyBorder="1" applyAlignment="1">
      <alignment horizontal="right"/>
    </xf>
    <xf numFmtId="0" fontId="37" fillId="2" borderId="1" xfId="0" applyFont="1" applyFill="1" applyBorder="1" applyAlignment="1">
      <alignment horizontal="center"/>
    </xf>
    <xf numFmtId="166" fontId="37" fillId="2" borderId="11" xfId="0" applyNumberFormat="1" applyFont="1" applyFill="1" applyBorder="1" applyAlignment="1">
      <alignment horizontal="right" vertical="center"/>
    </xf>
    <xf numFmtId="168" fontId="37" fillId="2" borderId="11" xfId="0" applyNumberFormat="1" applyFont="1" applyFill="1" applyBorder="1" applyAlignment="1">
      <alignment horizontal="right" vertical="center"/>
    </xf>
    <xf numFmtId="0" fontId="37" fillId="4" borderId="11" xfId="0" applyFont="1" applyFill="1" applyBorder="1" applyAlignment="1">
      <alignment horizontal="right" vertical="center"/>
    </xf>
    <xf numFmtId="164" fontId="37" fillId="2" borderId="11" xfId="0" applyNumberFormat="1" applyFont="1" applyFill="1" applyBorder="1" applyAlignment="1">
      <alignment horizontal="right"/>
    </xf>
    <xf numFmtId="169" fontId="37" fillId="5" borderId="11" xfId="0" applyNumberFormat="1" applyFont="1" applyFill="1" applyBorder="1" applyAlignment="1">
      <alignment horizontal="right" vertical="center"/>
    </xf>
    <xf numFmtId="170" fontId="37" fillId="2" borderId="11" xfId="0" applyNumberFormat="1" applyFont="1" applyFill="1" applyBorder="1" applyAlignment="1">
      <alignment horizontal="right" vertical="center"/>
    </xf>
    <xf numFmtId="164" fontId="37" fillId="2" borderId="11" xfId="0" applyNumberFormat="1" applyFont="1" applyFill="1" applyBorder="1" applyAlignment="1">
      <alignment horizontal="center" vertical="center"/>
    </xf>
    <xf numFmtId="0" fontId="37" fillId="2" borderId="11" xfId="0" applyFont="1" applyFill="1" applyBorder="1"/>
    <xf numFmtId="170" fontId="37" fillId="5" borderId="11" xfId="0" applyNumberFormat="1" applyFont="1" applyFill="1" applyBorder="1" applyAlignment="1">
      <alignment horizontal="right" vertical="center"/>
    </xf>
    <xf numFmtId="171" fontId="37" fillId="5" borderId="11" xfId="0" applyNumberFormat="1" applyFont="1" applyFill="1" applyBorder="1" applyAlignment="1">
      <alignment horizontal="right"/>
    </xf>
    <xf numFmtId="0" fontId="63" fillId="24" borderId="18" xfId="0" applyFont="1" applyFill="1" applyBorder="1"/>
    <xf numFmtId="0" fontId="37" fillId="24" borderId="0" xfId="0" applyFont="1" applyFill="1"/>
    <xf numFmtId="0" fontId="63" fillId="24" borderId="19" xfId="0" applyFont="1" applyFill="1" applyBorder="1"/>
    <xf numFmtId="0" fontId="63" fillId="24" borderId="5" xfId="0" applyFont="1" applyFill="1" applyBorder="1"/>
    <xf numFmtId="0" fontId="63" fillId="24" borderId="6" xfId="0" applyFont="1" applyFill="1" applyBorder="1"/>
    <xf numFmtId="0" fontId="63" fillId="24" borderId="7" xfId="0" applyFont="1" applyFill="1" applyBorder="1"/>
    <xf numFmtId="0" fontId="37" fillId="0" borderId="0" xfId="0" applyFont="1"/>
    <xf numFmtId="0" fontId="37" fillId="2" borderId="42" xfId="0" applyFont="1" applyFill="1" applyBorder="1" applyAlignment="1">
      <alignment horizontal="center" vertical="center"/>
    </xf>
    <xf numFmtId="0" fontId="37" fillId="2" borderId="21" xfId="0" applyFont="1" applyFill="1" applyBorder="1" applyAlignment="1">
      <alignment horizontal="center" vertical="center"/>
    </xf>
    <xf numFmtId="0" fontId="65" fillId="2" borderId="1" xfId="0" applyFont="1" applyFill="1" applyBorder="1" applyAlignment="1">
      <alignment vertical="center"/>
    </xf>
    <xf numFmtId="0" fontId="37" fillId="2" borderId="11" xfId="0" applyFont="1" applyFill="1" applyBorder="1" applyAlignment="1">
      <alignment horizontal="center" vertical="center"/>
    </xf>
    <xf numFmtId="0" fontId="37" fillId="2" borderId="29" xfId="0" applyFont="1" applyFill="1" applyBorder="1" applyAlignment="1">
      <alignment horizontal="center" vertical="center"/>
    </xf>
    <xf numFmtId="0" fontId="37" fillId="2" borderId="30" xfId="0" applyFont="1" applyFill="1" applyBorder="1" applyAlignment="1">
      <alignment horizontal="center" vertical="center"/>
    </xf>
    <xf numFmtId="0" fontId="37" fillId="2" borderId="10" xfId="0" applyFont="1" applyFill="1" applyBorder="1" applyAlignment="1">
      <alignment horizontal="center" vertical="center"/>
    </xf>
    <xf numFmtId="0" fontId="37" fillId="24" borderId="42" xfId="0" applyFont="1" applyFill="1" applyBorder="1" applyAlignment="1">
      <alignment horizontal="right"/>
    </xf>
    <xf numFmtId="0" fontId="37" fillId="2" borderId="136" xfId="0" applyFont="1" applyFill="1" applyBorder="1" applyAlignment="1">
      <alignment horizontal="center" vertical="center"/>
    </xf>
    <xf numFmtId="0" fontId="37" fillId="24" borderId="0" xfId="0" applyFont="1" applyFill="1" applyAlignment="1">
      <alignment horizontal="right"/>
    </xf>
    <xf numFmtId="0" fontId="37" fillId="2" borderId="137" xfId="0" applyFont="1" applyFill="1" applyBorder="1" applyAlignment="1">
      <alignment horizontal="center" vertical="center"/>
    </xf>
    <xf numFmtId="0" fontId="37" fillId="24" borderId="42" xfId="0" applyFont="1" applyFill="1" applyBorder="1"/>
    <xf numFmtId="0" fontId="37" fillId="24" borderId="0" xfId="0" applyFont="1" applyFill="1" applyAlignment="1">
      <alignment horizontal="right" indent="1"/>
    </xf>
    <xf numFmtId="0" fontId="37" fillId="2" borderId="42" xfId="0" applyFont="1" applyFill="1" applyBorder="1" applyAlignment="1">
      <alignment vertical="center"/>
    </xf>
    <xf numFmtId="0" fontId="63" fillId="24" borderId="42" xfId="0" applyFont="1" applyFill="1" applyBorder="1"/>
    <xf numFmtId="0" fontId="37" fillId="2" borderId="42" xfId="0" applyFont="1" applyFill="1" applyBorder="1"/>
    <xf numFmtId="0" fontId="37" fillId="2" borderId="26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 vertical="center"/>
    </xf>
    <xf numFmtId="0" fontId="37" fillId="0" borderId="38" xfId="0" applyFont="1" applyBorder="1"/>
    <xf numFmtId="0" fontId="37" fillId="2" borderId="30" xfId="0" applyFont="1" applyFill="1" applyBorder="1" applyAlignment="1">
      <alignment horizontal="left" vertical="center"/>
    </xf>
    <xf numFmtId="0" fontId="65" fillId="2" borderId="1" xfId="0" applyFont="1" applyFill="1" applyBorder="1" applyAlignment="1">
      <alignment horizontal="center" vertical="center"/>
    </xf>
    <xf numFmtId="0" fontId="37" fillId="2" borderId="42" xfId="0" applyFont="1" applyFill="1" applyBorder="1" applyAlignment="1">
      <alignment horizontal="left" vertical="center"/>
    </xf>
    <xf numFmtId="0" fontId="37" fillId="2" borderId="132" xfId="0" applyFont="1" applyFill="1" applyBorder="1" applyAlignment="1">
      <alignment horizontal="center" vertical="center"/>
    </xf>
    <xf numFmtId="0" fontId="37" fillId="2" borderId="132" xfId="0" applyFont="1" applyFill="1" applyBorder="1" applyAlignment="1">
      <alignment horizontal="left" vertical="center"/>
    </xf>
    <xf numFmtId="0" fontId="37" fillId="2" borderId="10" xfId="0" applyFont="1" applyFill="1" applyBorder="1" applyAlignment="1">
      <alignment horizontal="left" vertical="center"/>
    </xf>
    <xf numFmtId="0" fontId="37" fillId="2" borderId="11" xfId="0" applyFont="1" applyFill="1" applyBorder="1" applyAlignment="1">
      <alignment horizontal="left" vertical="center"/>
    </xf>
    <xf numFmtId="0" fontId="66" fillId="25" borderId="42" xfId="2" applyFont="1" applyFill="1" applyAlignment="1">
      <alignment vertical="center"/>
    </xf>
    <xf numFmtId="0" fontId="37" fillId="2" borderId="42" xfId="2" applyFont="1" applyFill="1"/>
    <xf numFmtId="0" fontId="37" fillId="0" borderId="42" xfId="2" applyFont="1"/>
    <xf numFmtId="0" fontId="67" fillId="2" borderId="42" xfId="2" applyFont="1" applyFill="1" applyAlignment="1">
      <alignment vertical="center"/>
    </xf>
    <xf numFmtId="1" fontId="68" fillId="6" borderId="16" xfId="2" applyNumberFormat="1" applyFont="1" applyFill="1" applyBorder="1" applyAlignment="1">
      <alignment horizontal="center" vertical="center"/>
    </xf>
    <xf numFmtId="0" fontId="63" fillId="28" borderId="141" xfId="2" applyFont="1" applyFill="1" applyBorder="1"/>
    <xf numFmtId="49" fontId="68" fillId="26" borderId="16" xfId="2" applyNumberFormat="1" applyFont="1" applyFill="1" applyBorder="1" applyAlignment="1">
      <alignment horizontal="center" vertical="center"/>
    </xf>
    <xf numFmtId="49" fontId="68" fillId="6" borderId="16" xfId="2" applyNumberFormat="1" applyFont="1" applyFill="1" applyBorder="1" applyAlignment="1">
      <alignment horizontal="center" vertical="center"/>
    </xf>
    <xf numFmtId="0" fontId="68" fillId="6" borderId="16" xfId="2" applyFont="1" applyFill="1" applyBorder="1" applyAlignment="1">
      <alignment horizontal="center" vertical="center" wrapText="1"/>
    </xf>
    <xf numFmtId="0" fontId="68" fillId="6" borderId="138" xfId="2" applyFont="1" applyFill="1" applyBorder="1" applyAlignment="1">
      <alignment horizontal="center" vertical="center" wrapText="1"/>
    </xf>
    <xf numFmtId="178" fontId="68" fillId="6" borderId="16" xfId="2" applyNumberFormat="1" applyFont="1" applyFill="1" applyBorder="1" applyAlignment="1">
      <alignment horizontal="center" vertical="center"/>
    </xf>
    <xf numFmtId="171" fontId="68" fillId="6" borderId="16" xfId="2" applyNumberFormat="1" applyFont="1" applyFill="1" applyBorder="1" applyAlignment="1">
      <alignment horizontal="center" vertical="center"/>
    </xf>
    <xf numFmtId="49" fontId="68" fillId="6" borderId="16" xfId="2" applyNumberFormat="1" applyFont="1" applyFill="1" applyBorder="1" applyAlignment="1">
      <alignment horizontal="center" vertical="center" wrapText="1"/>
    </xf>
    <xf numFmtId="49" fontId="68" fillId="6" borderId="138" xfId="2" applyNumberFormat="1" applyFont="1" applyFill="1" applyBorder="1" applyAlignment="1">
      <alignment horizontal="center" vertical="center" wrapText="1"/>
    </xf>
    <xf numFmtId="0" fontId="69" fillId="2" borderId="42" xfId="2" applyFont="1" applyFill="1" applyAlignment="1">
      <alignment vertical="center"/>
    </xf>
    <xf numFmtId="0" fontId="13" fillId="2" borderId="42" xfId="2" applyFont="1" applyFill="1"/>
    <xf numFmtId="0" fontId="13" fillId="2" borderId="42" xfId="2" applyFont="1" applyFill="1" applyAlignment="1">
      <alignment horizontal="right"/>
    </xf>
    <xf numFmtId="0" fontId="72" fillId="2" borderId="42" xfId="2" applyFont="1" applyFill="1"/>
    <xf numFmtId="0" fontId="0" fillId="24" borderId="42" xfId="2" applyFont="1" applyFill="1"/>
    <xf numFmtId="0" fontId="37" fillId="24" borderId="42" xfId="2" applyFont="1" applyFill="1"/>
    <xf numFmtId="0" fontId="3" fillId="0" borderId="42" xfId="3"/>
    <xf numFmtId="0" fontId="11" fillId="31" borderId="61" xfId="3" applyFont="1" applyFill="1" applyBorder="1" applyAlignment="1">
      <alignment horizontal="right"/>
    </xf>
    <xf numFmtId="0" fontId="3" fillId="0" borderId="14" xfId="3" applyBorder="1" applyAlignment="1">
      <alignment horizontal="center"/>
    </xf>
    <xf numFmtId="0" fontId="11" fillId="31" borderId="14" xfId="3" applyFont="1" applyFill="1" applyBorder="1" applyAlignment="1">
      <alignment horizontal="right"/>
    </xf>
    <xf numFmtId="165" fontId="3" fillId="0" borderId="62" xfId="3" applyNumberFormat="1" applyBorder="1" applyAlignment="1">
      <alignment horizontal="center"/>
    </xf>
    <xf numFmtId="165" fontId="3" fillId="0" borderId="42" xfId="3" applyNumberFormat="1" applyAlignment="1">
      <alignment horizontal="center"/>
    </xf>
    <xf numFmtId="166" fontId="3" fillId="0" borderId="144" xfId="3" applyNumberFormat="1" applyBorder="1" applyAlignment="1">
      <alignment horizontal="center"/>
    </xf>
    <xf numFmtId="0" fontId="11" fillId="31" borderId="65" xfId="3" applyFont="1" applyFill="1" applyBorder="1" applyAlignment="1">
      <alignment horizontal="right"/>
    </xf>
    <xf numFmtId="0" fontId="3" fillId="0" borderId="42" xfId="3" applyAlignment="1">
      <alignment horizontal="center"/>
    </xf>
    <xf numFmtId="0" fontId="3" fillId="33" borderId="42" xfId="3" applyFill="1"/>
    <xf numFmtId="0" fontId="3" fillId="33" borderId="42" xfId="3" applyFill="1" applyAlignment="1">
      <alignment horizontal="center"/>
    </xf>
    <xf numFmtId="0" fontId="11" fillId="8" borderId="61" xfId="3" applyFont="1" applyFill="1" applyBorder="1" applyAlignment="1">
      <alignment horizontal="right"/>
    </xf>
    <xf numFmtId="0" fontId="11" fillId="8" borderId="14" xfId="3" applyFont="1" applyFill="1" applyBorder="1" applyAlignment="1">
      <alignment horizontal="right"/>
    </xf>
    <xf numFmtId="184" fontId="3" fillId="0" borderId="62" xfId="3" applyNumberFormat="1" applyBorder="1" applyAlignment="1">
      <alignment horizontal="center"/>
    </xf>
    <xf numFmtId="165" fontId="3" fillId="0" borderId="14" xfId="3" applyNumberFormat="1" applyBorder="1" applyAlignment="1">
      <alignment horizontal="center"/>
    </xf>
    <xf numFmtId="0" fontId="11" fillId="8" borderId="65" xfId="3" applyFont="1" applyFill="1" applyBorder="1" applyAlignment="1">
      <alignment horizontal="right"/>
    </xf>
    <xf numFmtId="0" fontId="3" fillId="0" borderId="66" xfId="3" applyBorder="1" applyAlignment="1">
      <alignment horizontal="center"/>
    </xf>
    <xf numFmtId="0" fontId="11" fillId="8" borderId="66" xfId="3" applyFont="1" applyFill="1" applyBorder="1" applyAlignment="1">
      <alignment horizontal="right"/>
    </xf>
    <xf numFmtId="165" fontId="3" fillId="0" borderId="66" xfId="3" applyNumberFormat="1" applyBorder="1" applyAlignment="1">
      <alignment horizontal="center"/>
    </xf>
    <xf numFmtId="184" fontId="3" fillId="0" borderId="67" xfId="3" applyNumberFormat="1" applyBorder="1" applyAlignment="1">
      <alignment horizontal="center"/>
    </xf>
    <xf numFmtId="0" fontId="55" fillId="0" borderId="42" xfId="3" applyFont="1"/>
    <xf numFmtId="2" fontId="55" fillId="0" borderId="42" xfId="3" applyNumberFormat="1" applyFont="1"/>
    <xf numFmtId="185" fontId="55" fillId="0" borderId="42" xfId="3" applyNumberFormat="1" applyFont="1"/>
    <xf numFmtId="1" fontId="55" fillId="0" borderId="42" xfId="3" applyNumberFormat="1" applyFont="1"/>
    <xf numFmtId="2" fontId="3" fillId="0" borderId="42" xfId="3" applyNumberFormat="1"/>
    <xf numFmtId="0" fontId="3" fillId="31" borderId="62" xfId="3" applyFill="1" applyBorder="1" applyAlignment="1">
      <alignment horizontal="center"/>
    </xf>
    <xf numFmtId="186" fontId="3" fillId="0" borderId="14" xfId="3" applyNumberFormat="1" applyBorder="1" applyAlignment="1">
      <alignment horizontal="center"/>
    </xf>
    <xf numFmtId="170" fontId="11" fillId="0" borderId="14" xfId="3" applyNumberFormat="1" applyFont="1" applyBorder="1" applyAlignment="1">
      <alignment horizontal="center"/>
    </xf>
    <xf numFmtId="0" fontId="76" fillId="28" borderId="141" xfId="2" applyFont="1" applyFill="1" applyBorder="1"/>
    <xf numFmtId="0" fontId="77" fillId="24" borderId="0" xfId="0" applyFont="1" applyFill="1" applyAlignment="1">
      <alignment vertical="center"/>
    </xf>
    <xf numFmtId="44" fontId="68" fillId="6" borderId="145" xfId="4" applyFont="1" applyFill="1" applyBorder="1" applyAlignment="1">
      <alignment horizontal="center"/>
    </xf>
    <xf numFmtId="9" fontId="3" fillId="0" borderId="42" xfId="3" applyNumberFormat="1"/>
    <xf numFmtId="0" fontId="3" fillId="24" borderId="42" xfId="3" applyFill="1"/>
    <xf numFmtId="0" fontId="63" fillId="24" borderId="42" xfId="3" applyFont="1" applyFill="1"/>
    <xf numFmtId="187" fontId="3" fillId="0" borderId="42" xfId="3" applyNumberFormat="1"/>
    <xf numFmtId="176" fontId="3" fillId="0" borderId="42" xfId="3" applyNumberFormat="1"/>
    <xf numFmtId="0" fontId="80" fillId="0" borderId="42" xfId="6"/>
    <xf numFmtId="0" fontId="80" fillId="36" borderId="42" xfId="6" applyFill="1"/>
    <xf numFmtId="2" fontId="80" fillId="36" borderId="42" xfId="6" applyNumberFormat="1" applyFill="1"/>
    <xf numFmtId="0" fontId="80" fillId="37" borderId="42" xfId="6" applyFill="1"/>
    <xf numFmtId="2" fontId="80" fillId="37" borderId="42" xfId="6" applyNumberFormat="1" applyFill="1"/>
    <xf numFmtId="0" fontId="13" fillId="38" borderId="159" xfId="6" applyFont="1" applyFill="1" applyBorder="1" applyAlignment="1">
      <alignment horizontal="center" vertical="center"/>
    </xf>
    <xf numFmtId="0" fontId="13" fillId="38" borderId="160" xfId="6" applyFont="1" applyFill="1" applyBorder="1" applyAlignment="1">
      <alignment horizontal="left" vertical="center"/>
    </xf>
    <xf numFmtId="0" fontId="13" fillId="38" borderId="160" xfId="6" applyFont="1" applyFill="1" applyBorder="1" applyAlignment="1">
      <alignment horizontal="center" vertical="center"/>
    </xf>
    <xf numFmtId="0" fontId="13" fillId="38" borderId="161" xfId="6" applyFont="1" applyFill="1" applyBorder="1" applyAlignment="1">
      <alignment horizontal="center" vertical="center"/>
    </xf>
    <xf numFmtId="0" fontId="80" fillId="35" borderId="162" xfId="6" applyFill="1" applyBorder="1" applyAlignment="1">
      <alignment horizontal="center" vertical="center"/>
    </xf>
    <xf numFmtId="0" fontId="80" fillId="35" borderId="163" xfId="6" applyFill="1" applyBorder="1" applyAlignment="1">
      <alignment horizontal="left" vertical="center"/>
    </xf>
    <xf numFmtId="0" fontId="80" fillId="35" borderId="163" xfId="6" applyFill="1" applyBorder="1" applyAlignment="1">
      <alignment horizontal="center" vertical="center"/>
    </xf>
    <xf numFmtId="0" fontId="80" fillId="35" borderId="164" xfId="6" applyFill="1" applyBorder="1" applyAlignment="1">
      <alignment horizontal="center" vertical="center"/>
    </xf>
    <xf numFmtId="0" fontId="13" fillId="38" borderId="145" xfId="6" applyFont="1" applyFill="1" applyBorder="1" applyAlignment="1">
      <alignment horizontal="center" vertical="center"/>
    </xf>
    <xf numFmtId="0" fontId="13" fillId="38" borderId="134" xfId="6" applyFont="1" applyFill="1" applyBorder="1" applyAlignment="1">
      <alignment horizontal="left" vertical="center"/>
    </xf>
    <xf numFmtId="0" fontId="13" fillId="38" borderId="133" xfId="6" applyFont="1" applyFill="1" applyBorder="1" applyAlignment="1">
      <alignment horizontal="center" vertical="center"/>
    </xf>
    <xf numFmtId="0" fontId="13" fillId="38" borderId="165" xfId="6" applyFont="1" applyFill="1" applyBorder="1" applyAlignment="1">
      <alignment horizontal="center" vertical="center"/>
    </xf>
    <xf numFmtId="0" fontId="80" fillId="35" borderId="145" xfId="6" applyFill="1" applyBorder="1" applyAlignment="1">
      <alignment horizontal="center" vertical="center"/>
    </xf>
    <xf numFmtId="0" fontId="80" fillId="35" borderId="133" xfId="6" applyFill="1" applyBorder="1" applyAlignment="1">
      <alignment horizontal="left" vertical="center"/>
    </xf>
    <xf numFmtId="0" fontId="80" fillId="35" borderId="133" xfId="6" applyFill="1" applyBorder="1" applyAlignment="1">
      <alignment horizontal="center" vertical="center"/>
    </xf>
    <xf numFmtId="0" fontId="80" fillId="35" borderId="165" xfId="6" applyFill="1" applyBorder="1" applyAlignment="1">
      <alignment horizontal="center" vertical="center"/>
    </xf>
    <xf numFmtId="0" fontId="13" fillId="38" borderId="134" xfId="6" applyFont="1" applyFill="1" applyBorder="1" applyAlignment="1">
      <alignment horizontal="center" vertical="center"/>
    </xf>
    <xf numFmtId="0" fontId="13" fillId="38" borderId="133" xfId="6" applyFont="1" applyFill="1" applyBorder="1" applyAlignment="1">
      <alignment horizontal="left" vertical="center"/>
    </xf>
    <xf numFmtId="2" fontId="13" fillId="38" borderId="165" xfId="6" applyNumberFormat="1" applyFont="1" applyFill="1" applyBorder="1" applyAlignment="1">
      <alignment horizontal="center" vertical="center"/>
    </xf>
    <xf numFmtId="0" fontId="80" fillId="35" borderId="134" xfId="6" applyFill="1" applyBorder="1" applyAlignment="1">
      <alignment horizontal="left" vertical="center"/>
    </xf>
    <xf numFmtId="0" fontId="13" fillId="38" borderId="166" xfId="6" applyFont="1" applyFill="1" applyBorder="1" applyAlignment="1">
      <alignment horizontal="center" vertical="center"/>
    </xf>
    <xf numFmtId="0" fontId="13" fillId="38" borderId="166" xfId="6" applyFont="1" applyFill="1" applyBorder="1"/>
    <xf numFmtId="2" fontId="13" fillId="38" borderId="167" xfId="6" applyNumberFormat="1" applyFont="1" applyFill="1" applyBorder="1" applyAlignment="1">
      <alignment vertical="center"/>
    </xf>
    <xf numFmtId="0" fontId="80" fillId="35" borderId="134" xfId="6" applyFill="1" applyBorder="1" applyAlignment="1">
      <alignment horizontal="center" vertical="center"/>
    </xf>
    <xf numFmtId="2" fontId="80" fillId="35" borderId="165" xfId="6" applyNumberFormat="1" applyFill="1" applyBorder="1" applyAlignment="1">
      <alignment horizontal="center" vertical="center"/>
    </xf>
    <xf numFmtId="0" fontId="13" fillId="38" borderId="42" xfId="6" applyFont="1" applyFill="1"/>
    <xf numFmtId="0" fontId="13" fillId="35" borderId="42" xfId="6" applyFont="1" applyFill="1"/>
    <xf numFmtId="2" fontId="13" fillId="38" borderId="168" xfId="6" applyNumberFormat="1" applyFont="1" applyFill="1" applyBorder="1" applyAlignment="1">
      <alignment horizontal="center" vertical="center"/>
    </xf>
    <xf numFmtId="0" fontId="13" fillId="35" borderId="159" xfId="6" applyFont="1" applyFill="1" applyBorder="1" applyAlignment="1">
      <alignment horizontal="center" vertical="center"/>
    </xf>
    <xf numFmtId="0" fontId="13" fillId="35" borderId="160" xfId="6" applyFont="1" applyFill="1" applyBorder="1" applyAlignment="1">
      <alignment horizontal="left" vertical="center"/>
    </xf>
    <xf numFmtId="0" fontId="13" fillId="35" borderId="160" xfId="6" applyFont="1" applyFill="1" applyBorder="1" applyAlignment="1">
      <alignment horizontal="center" vertical="center"/>
    </xf>
    <xf numFmtId="2" fontId="13" fillId="35" borderId="168" xfId="6" applyNumberFormat="1" applyFont="1" applyFill="1" applyBorder="1" applyAlignment="1">
      <alignment horizontal="center" vertical="center"/>
    </xf>
    <xf numFmtId="2" fontId="13" fillId="38" borderId="169" xfId="6" applyNumberFormat="1" applyFont="1" applyFill="1" applyBorder="1" applyAlignment="1">
      <alignment horizontal="center" vertical="center"/>
    </xf>
    <xf numFmtId="0" fontId="13" fillId="35" borderId="145" xfId="6" applyFont="1" applyFill="1" applyBorder="1" applyAlignment="1">
      <alignment horizontal="center" vertical="center"/>
    </xf>
    <xf numFmtId="0" fontId="13" fillId="35" borderId="134" xfId="6" applyFont="1" applyFill="1" applyBorder="1" applyAlignment="1">
      <alignment horizontal="left" vertical="center"/>
    </xf>
    <xf numFmtId="0" fontId="13" fillId="35" borderId="133" xfId="6" applyFont="1" applyFill="1" applyBorder="1" applyAlignment="1">
      <alignment horizontal="center" vertical="center"/>
    </xf>
    <xf numFmtId="2" fontId="13" fillId="35" borderId="169" xfId="6" applyNumberFormat="1" applyFont="1" applyFill="1" applyBorder="1" applyAlignment="1">
      <alignment horizontal="center" vertical="center"/>
    </xf>
    <xf numFmtId="0" fontId="65" fillId="38" borderId="166" xfId="6" applyFont="1" applyFill="1" applyBorder="1" applyAlignment="1">
      <alignment horizontal="center" vertical="center"/>
    </xf>
    <xf numFmtId="0" fontId="13" fillId="38" borderId="166" xfId="6" applyFont="1" applyFill="1" applyBorder="1" applyAlignment="1">
      <alignment horizontal="center"/>
    </xf>
    <xf numFmtId="2" fontId="47" fillId="38" borderId="170" xfId="6" applyNumberFormat="1" applyFont="1" applyFill="1" applyBorder="1" applyAlignment="1">
      <alignment horizontal="center" vertical="center"/>
    </xf>
    <xf numFmtId="0" fontId="65" fillId="35" borderId="166" xfId="6" applyFont="1" applyFill="1" applyBorder="1" applyAlignment="1">
      <alignment horizontal="center" vertical="center"/>
    </xf>
    <xf numFmtId="0" fontId="13" fillId="35" borderId="166" xfId="6" applyFont="1" applyFill="1" applyBorder="1" applyAlignment="1">
      <alignment horizontal="center"/>
    </xf>
    <xf numFmtId="2" fontId="47" fillId="35" borderId="170" xfId="6" applyNumberFormat="1" applyFont="1" applyFill="1" applyBorder="1" applyAlignment="1">
      <alignment horizontal="center" vertical="center"/>
    </xf>
    <xf numFmtId="2" fontId="13" fillId="35" borderId="42" xfId="6" applyNumberFormat="1" applyFont="1" applyFill="1"/>
    <xf numFmtId="0" fontId="80" fillId="39" borderId="171" xfId="6" applyFill="1" applyBorder="1"/>
    <xf numFmtId="0" fontId="81" fillId="0" borderId="42" xfId="6" applyFont="1"/>
    <xf numFmtId="0" fontId="82" fillId="40" borderId="172" xfId="6" applyFont="1" applyFill="1" applyBorder="1"/>
    <xf numFmtId="0" fontId="82" fillId="40" borderId="173" xfId="6" applyFont="1" applyFill="1" applyBorder="1"/>
    <xf numFmtId="0" fontId="82" fillId="40" borderId="163" xfId="6" applyFont="1" applyFill="1" applyBorder="1"/>
    <xf numFmtId="0" fontId="83" fillId="40" borderId="163" xfId="6" applyFont="1" applyFill="1" applyBorder="1" applyAlignment="1">
      <alignment horizontal="center"/>
    </xf>
    <xf numFmtId="0" fontId="82" fillId="40" borderId="174" xfId="6" applyFont="1" applyFill="1" applyBorder="1"/>
    <xf numFmtId="0" fontId="84" fillId="41" borderId="175" xfId="6" applyFont="1" applyFill="1" applyBorder="1"/>
    <xf numFmtId="0" fontId="85" fillId="41" borderId="175" xfId="6" applyFont="1" applyFill="1" applyBorder="1" applyAlignment="1">
      <alignment horizontal="center"/>
    </xf>
    <xf numFmtId="0" fontId="82" fillId="0" borderId="42" xfId="6" applyFont="1"/>
    <xf numFmtId="0" fontId="82" fillId="0" borderId="163" xfId="6" applyFont="1" applyBorder="1"/>
    <xf numFmtId="0" fontId="83" fillId="0" borderId="163" xfId="6" applyFont="1" applyBorder="1" applyAlignment="1">
      <alignment horizontal="center"/>
    </xf>
    <xf numFmtId="0" fontId="84" fillId="0" borderId="42" xfId="6" applyFont="1"/>
    <xf numFmtId="0" fontId="85" fillId="0" borderId="42" xfId="6" applyFont="1" applyAlignment="1">
      <alignment horizontal="center"/>
    </xf>
    <xf numFmtId="0" fontId="85" fillId="41" borderId="176" xfId="6" applyFont="1" applyFill="1" applyBorder="1"/>
    <xf numFmtId="0" fontId="80" fillId="42" borderId="177" xfId="6" applyFill="1" applyBorder="1"/>
    <xf numFmtId="0" fontId="80" fillId="42" borderId="178" xfId="6" applyFill="1" applyBorder="1" applyAlignment="1">
      <alignment horizontal="center"/>
    </xf>
    <xf numFmtId="0" fontId="80" fillId="42" borderId="168" xfId="6" applyFill="1" applyBorder="1"/>
    <xf numFmtId="49" fontId="86" fillId="0" borderId="42" xfId="6" applyNumberFormat="1" applyFont="1"/>
    <xf numFmtId="0" fontId="80" fillId="0" borderId="179" xfId="6" applyBorder="1"/>
    <xf numFmtId="0" fontId="80" fillId="42" borderId="180" xfId="6" applyFill="1" applyBorder="1"/>
    <xf numFmtId="2" fontId="80" fillId="42" borderId="137" xfId="6" applyNumberFormat="1" applyFill="1" applyBorder="1" applyAlignment="1">
      <alignment horizontal="center"/>
    </xf>
    <xf numFmtId="0" fontId="80" fillId="42" borderId="181" xfId="6" applyFill="1" applyBorder="1"/>
    <xf numFmtId="0" fontId="80" fillId="39" borderId="177" xfId="6" applyFill="1" applyBorder="1"/>
    <xf numFmtId="0" fontId="87" fillId="42" borderId="172" xfId="6" applyFont="1" applyFill="1" applyBorder="1" applyAlignment="1">
      <alignment horizontal="center"/>
    </xf>
    <xf numFmtId="0" fontId="85" fillId="42" borderId="171" xfId="6" applyFont="1" applyFill="1" applyBorder="1" applyAlignment="1">
      <alignment horizontal="center"/>
    </xf>
    <xf numFmtId="0" fontId="85" fillId="39" borderId="171" xfId="6" applyFont="1" applyFill="1" applyBorder="1" applyAlignment="1">
      <alignment horizontal="center"/>
    </xf>
    <xf numFmtId="0" fontId="87" fillId="42" borderId="182" xfId="6" applyFont="1" applyFill="1" applyBorder="1" applyAlignment="1">
      <alignment horizontal="center"/>
    </xf>
    <xf numFmtId="0" fontId="85" fillId="42" borderId="183" xfId="6" applyFont="1" applyFill="1" applyBorder="1" applyAlignment="1">
      <alignment horizontal="center"/>
    </xf>
    <xf numFmtId="0" fontId="81" fillId="42" borderId="182" xfId="6" applyFont="1" applyFill="1" applyBorder="1" applyAlignment="1">
      <alignment horizontal="center"/>
    </xf>
    <xf numFmtId="180" fontId="81" fillId="39" borderId="183" xfId="7" applyFont="1" applyFill="1" applyBorder="1" applyAlignment="1">
      <alignment horizontal="center"/>
    </xf>
    <xf numFmtId="2" fontId="81" fillId="42" borderId="182" xfId="6" applyNumberFormat="1" applyFont="1" applyFill="1" applyBorder="1" applyAlignment="1">
      <alignment horizontal="center"/>
    </xf>
    <xf numFmtId="0" fontId="81" fillId="42" borderId="183" xfId="6" applyFont="1" applyFill="1" applyBorder="1" applyAlignment="1">
      <alignment horizontal="center"/>
    </xf>
    <xf numFmtId="2" fontId="81" fillId="42" borderId="183" xfId="6" applyNumberFormat="1" applyFont="1" applyFill="1" applyBorder="1" applyAlignment="1">
      <alignment horizontal="center"/>
    </xf>
    <xf numFmtId="0" fontId="80" fillId="42" borderId="184" xfId="6" applyFill="1" applyBorder="1"/>
    <xf numFmtId="2" fontId="80" fillId="42" borderId="185" xfId="6" applyNumberFormat="1" applyFill="1" applyBorder="1" applyAlignment="1">
      <alignment horizontal="center"/>
    </xf>
    <xf numFmtId="0" fontId="80" fillId="42" borderId="186" xfId="6" applyFill="1" applyBorder="1"/>
    <xf numFmtId="0" fontId="80" fillId="42" borderId="187" xfId="6" applyFill="1" applyBorder="1"/>
    <xf numFmtId="2" fontId="80" fillId="42" borderId="136" xfId="6" applyNumberFormat="1" applyFill="1" applyBorder="1" applyAlignment="1">
      <alignment horizontal="center"/>
    </xf>
    <xf numFmtId="0" fontId="80" fillId="42" borderId="188" xfId="6" applyFill="1" applyBorder="1"/>
    <xf numFmtId="0" fontId="81" fillId="0" borderId="42" xfId="6" applyFont="1" applyAlignment="1">
      <alignment horizontal="center"/>
    </xf>
    <xf numFmtId="2" fontId="81" fillId="0" borderId="42" xfId="6" applyNumberFormat="1" applyFont="1" applyAlignment="1">
      <alignment horizontal="center"/>
    </xf>
    <xf numFmtId="0" fontId="87" fillId="41" borderId="189" xfId="6" applyFont="1" applyFill="1" applyBorder="1" applyAlignment="1">
      <alignment horizontal="center"/>
    </xf>
    <xf numFmtId="0" fontId="87" fillId="41" borderId="190" xfId="6" applyFont="1" applyFill="1" applyBorder="1" applyAlignment="1">
      <alignment horizontal="center"/>
    </xf>
    <xf numFmtId="0" fontId="87" fillId="41" borderId="191" xfId="6" applyFont="1" applyFill="1" applyBorder="1" applyAlignment="1">
      <alignment horizontal="center"/>
    </xf>
    <xf numFmtId="0" fontId="80" fillId="0" borderId="42" xfId="6" applyAlignment="1">
      <alignment horizontal="right"/>
    </xf>
    <xf numFmtId="0" fontId="89" fillId="42" borderId="192" xfId="6" applyFont="1" applyFill="1" applyBorder="1" applyAlignment="1">
      <alignment horizontal="center"/>
    </xf>
    <xf numFmtId="2" fontId="89" fillId="42" borderId="193" xfId="6" applyNumberFormat="1" applyFont="1" applyFill="1" applyBorder="1" applyAlignment="1">
      <alignment horizontal="center"/>
    </xf>
    <xf numFmtId="188" fontId="89" fillId="42" borderId="194" xfId="6" applyNumberFormat="1" applyFont="1" applyFill="1" applyBorder="1" applyAlignment="1">
      <alignment horizontal="center"/>
    </xf>
    <xf numFmtId="0" fontId="89" fillId="42" borderId="195" xfId="6" applyFont="1" applyFill="1" applyBorder="1" applyAlignment="1">
      <alignment horizontal="center"/>
    </xf>
    <xf numFmtId="2" fontId="89" fillId="42" borderId="145" xfId="6" applyNumberFormat="1" applyFont="1" applyFill="1" applyBorder="1" applyAlignment="1">
      <alignment horizontal="center"/>
    </xf>
    <xf numFmtId="188" fontId="89" fillId="42" borderId="165" xfId="6" applyNumberFormat="1" applyFont="1" applyFill="1" applyBorder="1" applyAlignment="1">
      <alignment horizontal="center"/>
    </xf>
    <xf numFmtId="175" fontId="80" fillId="0" borderId="42" xfId="6" applyNumberFormat="1"/>
    <xf numFmtId="0" fontId="89" fillId="42" borderId="196" xfId="6" applyFont="1" applyFill="1" applyBorder="1" applyAlignment="1">
      <alignment horizontal="center"/>
    </xf>
    <xf numFmtId="2" fontId="89" fillId="42" borderId="197" xfId="6" applyNumberFormat="1" applyFont="1" applyFill="1" applyBorder="1" applyAlignment="1">
      <alignment horizontal="center"/>
    </xf>
    <xf numFmtId="188" fontId="89" fillId="42" borderId="198" xfId="6" applyNumberFormat="1" applyFont="1" applyFill="1" applyBorder="1" applyAlignment="1">
      <alignment horizontal="center"/>
    </xf>
    <xf numFmtId="0" fontId="84" fillId="42" borderId="199" xfId="6" applyFont="1" applyFill="1" applyBorder="1"/>
    <xf numFmtId="0" fontId="85" fillId="42" borderId="199" xfId="6" applyFont="1" applyFill="1" applyBorder="1" applyAlignment="1">
      <alignment horizontal="center"/>
    </xf>
    <xf numFmtId="0" fontId="84" fillId="41" borderId="176" xfId="6" applyFont="1" applyFill="1" applyBorder="1"/>
    <xf numFmtId="0" fontId="84" fillId="41" borderId="200" xfId="6" applyFont="1" applyFill="1" applyBorder="1"/>
    <xf numFmtId="0" fontId="85" fillId="41" borderId="159" xfId="6" applyFont="1" applyFill="1" applyBorder="1" applyAlignment="1">
      <alignment horizontal="center"/>
    </xf>
    <xf numFmtId="0" fontId="84" fillId="41" borderId="178" xfId="6" applyFont="1" applyFill="1" applyBorder="1"/>
    <xf numFmtId="0" fontId="85" fillId="41" borderId="183" xfId="6" applyFont="1" applyFill="1" applyBorder="1"/>
    <xf numFmtId="0" fontId="85" fillId="41" borderId="201" xfId="6" applyFont="1" applyFill="1" applyBorder="1" applyAlignment="1">
      <alignment horizontal="center"/>
    </xf>
    <xf numFmtId="0" fontId="84" fillId="41" borderId="197" xfId="6" applyFont="1" applyFill="1" applyBorder="1" applyAlignment="1">
      <alignment horizontal="center"/>
    </xf>
    <xf numFmtId="0" fontId="85" fillId="41" borderId="202" xfId="6" applyFont="1" applyFill="1" applyBorder="1" applyAlignment="1">
      <alignment horizontal="center"/>
    </xf>
    <xf numFmtId="0" fontId="85" fillId="41" borderId="183" xfId="6" applyFont="1" applyFill="1" applyBorder="1" applyAlignment="1">
      <alignment horizontal="center"/>
    </xf>
    <xf numFmtId="0" fontId="80" fillId="42" borderId="192" xfId="6" applyFill="1" applyBorder="1" applyAlignment="1">
      <alignment horizontal="center"/>
    </xf>
    <xf numFmtId="2" fontId="80" fillId="42" borderId="193" xfId="6" applyNumberFormat="1" applyFill="1" applyBorder="1" applyAlignment="1">
      <alignment horizontal="center"/>
    </xf>
    <xf numFmtId="188" fontId="80" fillId="42" borderId="193" xfId="6" applyNumberFormat="1" applyFill="1" applyBorder="1" applyAlignment="1">
      <alignment horizontal="center"/>
    </xf>
    <xf numFmtId="0" fontId="80" fillId="42" borderId="194" xfId="6" applyFill="1" applyBorder="1" applyAlignment="1">
      <alignment horizontal="center"/>
    </xf>
    <xf numFmtId="0" fontId="80" fillId="42" borderId="196" xfId="6" applyFill="1" applyBorder="1" applyAlignment="1">
      <alignment horizontal="center"/>
    </xf>
    <xf numFmtId="188" fontId="80" fillId="42" borderId="197" xfId="6" applyNumberFormat="1" applyFill="1" applyBorder="1" applyAlignment="1">
      <alignment horizontal="center"/>
    </xf>
    <xf numFmtId="2" fontId="80" fillId="42" borderId="197" xfId="6" applyNumberFormat="1" applyFill="1" applyBorder="1" applyAlignment="1">
      <alignment horizontal="center"/>
    </xf>
    <xf numFmtId="0" fontId="80" fillId="42" borderId="198" xfId="6" applyFill="1" applyBorder="1" applyAlignment="1">
      <alignment horizontal="center"/>
    </xf>
    <xf numFmtId="0" fontId="85" fillId="41" borderId="176" xfId="6" applyFont="1" applyFill="1" applyBorder="1" applyAlignment="1">
      <alignment horizontal="center"/>
    </xf>
    <xf numFmtId="0" fontId="80" fillId="0" borderId="183" xfId="6" applyBorder="1"/>
    <xf numFmtId="0" fontId="80" fillId="42" borderId="182" xfId="6" applyFill="1" applyBorder="1"/>
    <xf numFmtId="2" fontId="80" fillId="42" borderId="203" xfId="6" applyNumberFormat="1" applyFill="1" applyBorder="1" applyAlignment="1">
      <alignment horizontal="center"/>
    </xf>
    <xf numFmtId="0" fontId="80" fillId="42" borderId="204" xfId="6" applyFill="1" applyBorder="1"/>
    <xf numFmtId="0" fontId="81" fillId="42" borderId="177" xfId="6" applyFont="1" applyFill="1" applyBorder="1" applyAlignment="1">
      <alignment horizontal="right"/>
    </xf>
    <xf numFmtId="2" fontId="81" fillId="42" borderId="161" xfId="6" applyNumberFormat="1" applyFont="1" applyFill="1" applyBorder="1" applyAlignment="1">
      <alignment horizontal="right"/>
    </xf>
    <xf numFmtId="0" fontId="81" fillId="42" borderId="205" xfId="6" applyFont="1" applyFill="1" applyBorder="1" applyAlignment="1">
      <alignment horizontal="center"/>
    </xf>
    <xf numFmtId="0" fontId="80" fillId="42" borderId="206" xfId="6" applyFill="1" applyBorder="1"/>
    <xf numFmtId="2" fontId="80" fillId="42" borderId="207" xfId="6" applyNumberFormat="1" applyFill="1" applyBorder="1" applyAlignment="1">
      <alignment horizontal="center"/>
    </xf>
    <xf numFmtId="0" fontId="80" fillId="42" borderId="208" xfId="6" applyFill="1" applyBorder="1"/>
    <xf numFmtId="0" fontId="90" fillId="42" borderId="164" xfId="6" applyFont="1" applyFill="1" applyBorder="1"/>
    <xf numFmtId="0" fontId="90" fillId="0" borderId="42" xfId="6" applyFont="1"/>
    <xf numFmtId="0" fontId="81" fillId="42" borderId="196" xfId="6" applyFont="1" applyFill="1" applyBorder="1" applyAlignment="1">
      <alignment horizontal="right"/>
    </xf>
    <xf numFmtId="2" fontId="81" fillId="42" borderId="198" xfId="6" applyNumberFormat="1" applyFont="1" applyFill="1" applyBorder="1" applyAlignment="1">
      <alignment horizontal="right"/>
    </xf>
    <xf numFmtId="189" fontId="80" fillId="0" borderId="42" xfId="6" applyNumberFormat="1"/>
    <xf numFmtId="0" fontId="89" fillId="42" borderId="209" xfId="6" applyFont="1" applyFill="1" applyBorder="1"/>
    <xf numFmtId="0" fontId="89" fillId="0" borderId="42" xfId="6" applyFont="1"/>
    <xf numFmtId="0" fontId="89" fillId="42" borderId="194" xfId="6" applyFont="1" applyFill="1" applyBorder="1"/>
    <xf numFmtId="0" fontId="81" fillId="0" borderId="42" xfId="6" applyFont="1" applyAlignment="1">
      <alignment horizontal="right"/>
    </xf>
    <xf numFmtId="0" fontId="94" fillId="0" borderId="160" xfId="6" applyFont="1" applyBorder="1" applyAlignment="1">
      <alignment horizontal="center"/>
    </xf>
    <xf numFmtId="0" fontId="80" fillId="0" borderId="132" xfId="6" applyBorder="1" applyAlignment="1">
      <alignment horizontal="center"/>
    </xf>
    <xf numFmtId="190" fontId="80" fillId="0" borderId="132" xfId="6" applyNumberFormat="1" applyBorder="1" applyAlignment="1">
      <alignment horizontal="center"/>
    </xf>
    <xf numFmtId="180" fontId="81" fillId="42" borderId="172" xfId="7" applyFont="1" applyFill="1" applyBorder="1"/>
    <xf numFmtId="0" fontId="86" fillId="42" borderId="174" xfId="6" applyFont="1" applyFill="1" applyBorder="1"/>
    <xf numFmtId="0" fontId="90" fillId="42" borderId="210" xfId="6" applyFont="1" applyFill="1" applyBorder="1"/>
    <xf numFmtId="0" fontId="81" fillId="0" borderId="132" xfId="6" applyFont="1" applyBorder="1" applyAlignment="1">
      <alignment horizontal="center"/>
    </xf>
    <xf numFmtId="0" fontId="80" fillId="39" borderId="132" xfId="6" applyFill="1" applyBorder="1" applyAlignment="1">
      <alignment horizontal="center"/>
    </xf>
    <xf numFmtId="2" fontId="80" fillId="0" borderId="42" xfId="6" applyNumberFormat="1" applyAlignment="1">
      <alignment horizontal="center"/>
    </xf>
    <xf numFmtId="180" fontId="81" fillId="42" borderId="171" xfId="7" applyFont="1" applyFill="1" applyBorder="1"/>
    <xf numFmtId="0" fontId="81" fillId="42" borderId="171" xfId="6" applyFont="1" applyFill="1" applyBorder="1" applyAlignment="1">
      <alignment horizontal="center"/>
    </xf>
    <xf numFmtId="0" fontId="80" fillId="0" borderId="42" xfId="6" applyAlignment="1">
      <alignment horizontal="center"/>
    </xf>
    <xf numFmtId="191" fontId="0" fillId="0" borderId="42" xfId="7" applyNumberFormat="1" applyFont="1" applyAlignment="1">
      <alignment horizontal="center"/>
    </xf>
    <xf numFmtId="43" fontId="85" fillId="42" borderId="172" xfId="6" applyNumberFormat="1" applyFont="1" applyFill="1" applyBorder="1" applyAlignment="1">
      <alignment horizontal="right"/>
    </xf>
    <xf numFmtId="0" fontId="85" fillId="42" borderId="174" xfId="6" applyFont="1" applyFill="1" applyBorder="1" applyAlignment="1">
      <alignment horizontal="left"/>
    </xf>
    <xf numFmtId="0" fontId="80" fillId="39" borderId="42" xfId="6" applyFill="1"/>
    <xf numFmtId="0" fontId="89" fillId="0" borderId="42" xfId="6" applyFont="1" applyAlignment="1">
      <alignment horizontal="right"/>
    </xf>
    <xf numFmtId="190" fontId="0" fillId="0" borderId="42" xfId="7" applyNumberFormat="1" applyFont="1"/>
    <xf numFmtId="0" fontId="89" fillId="42" borderId="211" xfId="6" applyFont="1" applyFill="1" applyBorder="1"/>
    <xf numFmtId="0" fontId="85" fillId="41" borderId="171" xfId="6" applyFont="1" applyFill="1" applyBorder="1" applyAlignment="1">
      <alignment horizontal="center"/>
    </xf>
    <xf numFmtId="43" fontId="0" fillId="42" borderId="42" xfId="7" applyNumberFormat="1" applyFont="1" applyFill="1"/>
    <xf numFmtId="2" fontId="80" fillId="42" borderId="159" xfId="6" applyNumberFormat="1" applyFill="1" applyBorder="1" applyAlignment="1">
      <alignment horizontal="center"/>
    </xf>
    <xf numFmtId="2" fontId="80" fillId="42" borderId="161" xfId="6" applyNumberFormat="1" applyFill="1" applyBorder="1" applyAlignment="1">
      <alignment horizontal="center"/>
    </xf>
    <xf numFmtId="0" fontId="80" fillId="42" borderId="195" xfId="6" applyFill="1" applyBorder="1"/>
    <xf numFmtId="2" fontId="80" fillId="42" borderId="145" xfId="6" applyNumberFormat="1" applyFill="1" applyBorder="1" applyAlignment="1">
      <alignment horizontal="center"/>
    </xf>
    <xf numFmtId="2" fontId="80" fillId="42" borderId="165" xfId="6" applyNumberFormat="1" applyFill="1" applyBorder="1" applyAlignment="1">
      <alignment horizontal="center"/>
    </xf>
    <xf numFmtId="0" fontId="89" fillId="0" borderId="42" xfId="6" applyFont="1" applyAlignment="1">
      <alignment horizontal="center"/>
    </xf>
    <xf numFmtId="43" fontId="0" fillId="39" borderId="42" xfId="7" applyNumberFormat="1" applyFont="1" applyFill="1"/>
    <xf numFmtId="43" fontId="80" fillId="39" borderId="42" xfId="6" applyNumberFormat="1" applyFill="1"/>
    <xf numFmtId="0" fontId="80" fillId="42" borderId="196" xfId="6" applyFill="1" applyBorder="1"/>
    <xf numFmtId="2" fontId="80" fillId="42" borderId="198" xfId="6" applyNumberFormat="1" applyFill="1" applyBorder="1" applyAlignment="1">
      <alignment horizontal="center"/>
    </xf>
    <xf numFmtId="0" fontId="81" fillId="0" borderId="199" xfId="6" applyFont="1" applyBorder="1" applyAlignment="1">
      <alignment horizontal="right"/>
    </xf>
    <xf numFmtId="0" fontId="90" fillId="0" borderId="175" xfId="6" applyFont="1" applyBorder="1" applyAlignment="1">
      <alignment horizontal="center"/>
    </xf>
    <xf numFmtId="0" fontId="80" fillId="0" borderId="42" xfId="6" applyAlignment="1">
      <alignment horizontal="left"/>
    </xf>
    <xf numFmtId="0" fontId="89" fillId="0" borderId="206" xfId="6" applyFont="1" applyBorder="1" applyAlignment="1">
      <alignment horizontal="right"/>
    </xf>
    <xf numFmtId="0" fontId="90" fillId="0" borderId="174" xfId="6" applyFont="1" applyBorder="1" applyAlignment="1">
      <alignment horizontal="center"/>
    </xf>
    <xf numFmtId="0" fontId="63" fillId="0" borderId="42" xfId="6" applyFont="1" applyAlignment="1">
      <alignment horizontal="center"/>
    </xf>
    <xf numFmtId="0" fontId="80" fillId="0" borderId="182" xfId="6" applyBorder="1"/>
    <xf numFmtId="0" fontId="63" fillId="0" borderId="204" xfId="6" applyFont="1" applyBorder="1" applyAlignment="1">
      <alignment horizontal="center"/>
    </xf>
    <xf numFmtId="190" fontId="0" fillId="0" borderId="175" xfId="7" applyNumberFormat="1" applyFont="1" applyBorder="1"/>
    <xf numFmtId="2" fontId="81" fillId="0" borderId="172" xfId="6" applyNumberFormat="1" applyFont="1" applyBorder="1"/>
    <xf numFmtId="0" fontId="81" fillId="0" borderId="174" xfId="6" applyFont="1" applyBorder="1"/>
    <xf numFmtId="0" fontId="80" fillId="0" borderId="175" xfId="6" applyBorder="1" applyAlignment="1">
      <alignment horizontal="center"/>
    </xf>
    <xf numFmtId="2" fontId="81" fillId="42" borderId="172" xfId="6" applyNumberFormat="1" applyFont="1" applyFill="1" applyBorder="1"/>
    <xf numFmtId="0" fontId="81" fillId="42" borderId="174" xfId="6" applyFont="1" applyFill="1" applyBorder="1"/>
    <xf numFmtId="43" fontId="80" fillId="0" borderId="42" xfId="6" applyNumberFormat="1"/>
    <xf numFmtId="43" fontId="81" fillId="42" borderId="172" xfId="6" applyNumberFormat="1" applyFont="1" applyFill="1" applyBorder="1"/>
    <xf numFmtId="43" fontId="80" fillId="0" borderId="175" xfId="6" applyNumberFormat="1" applyBorder="1" applyAlignment="1">
      <alignment horizontal="center"/>
    </xf>
    <xf numFmtId="43" fontId="81" fillId="42" borderId="172" xfId="7" applyNumberFormat="1" applyFont="1" applyFill="1" applyBorder="1"/>
    <xf numFmtId="0" fontId="81" fillId="42" borderId="174" xfId="6" applyFont="1" applyFill="1" applyBorder="1" applyAlignment="1">
      <alignment horizontal="left"/>
    </xf>
    <xf numFmtId="43" fontId="80" fillId="0" borderId="42" xfId="6" applyNumberFormat="1" applyAlignment="1">
      <alignment horizontal="center"/>
    </xf>
    <xf numFmtId="43" fontId="80" fillId="0" borderId="175" xfId="6" applyNumberFormat="1" applyBorder="1"/>
    <xf numFmtId="0" fontId="89" fillId="0" borderId="42" xfId="8" applyFont="1"/>
    <xf numFmtId="0" fontId="86" fillId="0" borderId="42" xfId="8" applyFont="1" applyAlignment="1">
      <alignment horizontal="right"/>
    </xf>
    <xf numFmtId="0" fontId="86" fillId="39" borderId="145" xfId="8" applyFont="1" applyFill="1" applyBorder="1" applyAlignment="1">
      <alignment horizontal="center"/>
    </xf>
    <xf numFmtId="43" fontId="86" fillId="39" borderId="145" xfId="9" applyFont="1" applyFill="1" applyBorder="1" applyAlignment="1">
      <alignment horizontal="center"/>
    </xf>
    <xf numFmtId="0" fontId="86" fillId="0" borderId="42" xfId="8" applyFont="1"/>
    <xf numFmtId="0" fontId="96" fillId="0" borderId="42" xfId="8" applyFont="1"/>
    <xf numFmtId="0" fontId="86" fillId="0" borderId="42" xfId="8" applyFont="1" applyAlignment="1">
      <alignment horizontal="center"/>
    </xf>
    <xf numFmtId="0" fontId="97" fillId="0" borderId="42" xfId="8" applyFont="1"/>
    <xf numFmtId="0" fontId="87" fillId="41" borderId="176" xfId="8" applyFont="1" applyFill="1" applyBorder="1" applyAlignment="1">
      <alignment horizontal="center"/>
    </xf>
    <xf numFmtId="0" fontId="87" fillId="41" borderId="208" xfId="8" applyFont="1" applyFill="1" applyBorder="1" applyAlignment="1">
      <alignment horizontal="center"/>
    </xf>
    <xf numFmtId="0" fontId="89" fillId="0" borderId="42" xfId="8" applyFont="1" applyAlignment="1">
      <alignment horizontal="right"/>
    </xf>
    <xf numFmtId="0" fontId="87" fillId="41" borderId="179" xfId="8" applyFont="1" applyFill="1" applyBorder="1" applyAlignment="1">
      <alignment horizontal="center"/>
    </xf>
    <xf numFmtId="0" fontId="87" fillId="41" borderId="181" xfId="8" applyFont="1" applyFill="1" applyBorder="1" applyAlignment="1">
      <alignment horizontal="center"/>
    </xf>
    <xf numFmtId="0" fontId="87" fillId="41" borderId="183" xfId="8" applyFont="1" applyFill="1" applyBorder="1" applyAlignment="1">
      <alignment horizontal="center"/>
    </xf>
    <xf numFmtId="0" fontId="87" fillId="41" borderId="204" xfId="8" applyFont="1" applyFill="1" applyBorder="1" applyAlignment="1">
      <alignment horizontal="center"/>
    </xf>
    <xf numFmtId="0" fontId="87" fillId="41" borderId="206" xfId="8" applyFont="1" applyFill="1" applyBorder="1" applyAlignment="1">
      <alignment horizontal="center"/>
    </xf>
    <xf numFmtId="0" fontId="89" fillId="42" borderId="177" xfId="8" applyFont="1" applyFill="1" applyBorder="1" applyAlignment="1">
      <alignment horizontal="center"/>
    </xf>
    <xf numFmtId="0" fontId="89" fillId="42" borderId="159" xfId="8" applyFont="1" applyFill="1" applyBorder="1" applyAlignment="1">
      <alignment horizontal="center"/>
    </xf>
    <xf numFmtId="0" fontId="89" fillId="42" borderId="161" xfId="8" applyFont="1" applyFill="1" applyBorder="1" applyAlignment="1">
      <alignment horizontal="center"/>
    </xf>
    <xf numFmtId="0" fontId="87" fillId="41" borderId="212" xfId="8" applyFont="1" applyFill="1" applyBorder="1"/>
    <xf numFmtId="0" fontId="87" fillId="41" borderId="160" xfId="8" applyFont="1" applyFill="1" applyBorder="1" applyAlignment="1">
      <alignment horizontal="right"/>
    </xf>
    <xf numFmtId="43" fontId="89" fillId="42" borderId="159" xfId="8" applyNumberFormat="1" applyFont="1" applyFill="1" applyBorder="1" applyAlignment="1">
      <alignment horizontal="center"/>
    </xf>
    <xf numFmtId="2" fontId="89" fillId="42" borderId="161" xfId="8" applyNumberFormat="1" applyFont="1" applyFill="1" applyBorder="1" applyAlignment="1">
      <alignment horizontal="center"/>
    </xf>
    <xf numFmtId="0" fontId="89" fillId="42" borderId="195" xfId="8" applyFont="1" applyFill="1" applyBorder="1" applyAlignment="1">
      <alignment horizontal="center"/>
    </xf>
    <xf numFmtId="0" fontId="89" fillId="42" borderId="145" xfId="8" applyFont="1" applyFill="1" applyBorder="1" applyAlignment="1">
      <alignment horizontal="center"/>
    </xf>
    <xf numFmtId="0" fontId="89" fillId="42" borderId="165" xfId="8" applyFont="1" applyFill="1" applyBorder="1" applyAlignment="1">
      <alignment horizontal="center"/>
    </xf>
    <xf numFmtId="0" fontId="87" fillId="41" borderId="213" xfId="8" applyFont="1" applyFill="1" applyBorder="1"/>
    <xf numFmtId="0" fontId="87" fillId="41" borderId="133" xfId="8" applyFont="1" applyFill="1" applyBorder="1" applyAlignment="1">
      <alignment horizontal="right"/>
    </xf>
    <xf numFmtId="2" fontId="89" fillId="42" borderId="165" xfId="8" applyNumberFormat="1" applyFont="1" applyFill="1" applyBorder="1" applyAlignment="1">
      <alignment horizontal="center"/>
    </xf>
    <xf numFmtId="0" fontId="87" fillId="41" borderId="182" xfId="8" applyFont="1" applyFill="1" applyBorder="1"/>
    <xf numFmtId="0" fontId="87" fillId="41" borderId="175" xfId="8" applyFont="1" applyFill="1" applyBorder="1" applyAlignment="1">
      <alignment horizontal="right"/>
    </xf>
    <xf numFmtId="0" fontId="89" fillId="42" borderId="196" xfId="8" applyFont="1" applyFill="1" applyBorder="1" applyAlignment="1">
      <alignment horizontal="center"/>
    </xf>
    <xf numFmtId="0" fontId="89" fillId="42" borderId="197" xfId="8" applyFont="1" applyFill="1" applyBorder="1" applyAlignment="1">
      <alignment horizontal="center"/>
    </xf>
    <xf numFmtId="2" fontId="89" fillId="42" borderId="198" xfId="8" applyNumberFormat="1" applyFont="1" applyFill="1" applyBorder="1" applyAlignment="1">
      <alignment horizontal="center"/>
    </xf>
    <xf numFmtId="0" fontId="89" fillId="42" borderId="198" xfId="8" applyFont="1" applyFill="1" applyBorder="1" applyAlignment="1">
      <alignment horizontal="center"/>
    </xf>
    <xf numFmtId="0" fontId="87" fillId="0" borderId="42" xfId="8" applyFont="1" applyAlignment="1">
      <alignment horizontal="center"/>
    </xf>
    <xf numFmtId="0" fontId="89" fillId="0" borderId="42" xfId="8" applyFont="1" applyAlignment="1">
      <alignment horizontal="center"/>
    </xf>
    <xf numFmtId="0" fontId="87" fillId="41" borderId="183" xfId="8" applyFont="1" applyFill="1" applyBorder="1"/>
    <xf numFmtId="0" fontId="86" fillId="42" borderId="171" xfId="8" applyFont="1" applyFill="1" applyBorder="1" applyAlignment="1">
      <alignment horizontal="center"/>
    </xf>
    <xf numFmtId="1" fontId="89" fillId="42" borderId="159" xfId="8" applyNumberFormat="1" applyFont="1" applyFill="1" applyBorder="1" applyAlignment="1">
      <alignment horizontal="center"/>
    </xf>
    <xf numFmtId="1" fontId="89" fillId="42" borderId="161" xfId="8" applyNumberFormat="1" applyFont="1" applyFill="1" applyBorder="1" applyAlignment="1">
      <alignment horizontal="center"/>
    </xf>
    <xf numFmtId="2" fontId="89" fillId="42" borderId="161" xfId="8" applyNumberFormat="1" applyFont="1" applyFill="1" applyBorder="1" applyAlignment="1">
      <alignment horizontal="right"/>
    </xf>
    <xf numFmtId="1" fontId="89" fillId="42" borderId="145" xfId="8" applyNumberFormat="1" applyFont="1" applyFill="1" applyBorder="1" applyAlignment="1">
      <alignment horizontal="center"/>
    </xf>
    <xf numFmtId="1" fontId="89" fillId="42" borderId="165" xfId="8" applyNumberFormat="1" applyFont="1" applyFill="1" applyBorder="1" applyAlignment="1">
      <alignment horizontal="center"/>
    </xf>
    <xf numFmtId="2" fontId="89" fillId="42" borderId="165" xfId="8" applyNumberFormat="1" applyFont="1" applyFill="1" applyBorder="1" applyAlignment="1">
      <alignment horizontal="right"/>
    </xf>
    <xf numFmtId="2" fontId="86" fillId="42" borderId="171" xfId="8" applyNumberFormat="1" applyFont="1" applyFill="1" applyBorder="1" applyAlignment="1">
      <alignment horizontal="center"/>
    </xf>
    <xf numFmtId="2" fontId="89" fillId="0" borderId="42" xfId="8" applyNumberFormat="1" applyFont="1"/>
    <xf numFmtId="0" fontId="89" fillId="42" borderId="195" xfId="8" applyFont="1" applyFill="1" applyBorder="1"/>
    <xf numFmtId="2" fontId="89" fillId="42" borderId="165" xfId="8" applyNumberFormat="1" applyFont="1" applyFill="1" applyBorder="1"/>
    <xf numFmtId="0" fontId="89" fillId="42" borderId="196" xfId="8" applyFont="1" applyFill="1" applyBorder="1"/>
    <xf numFmtId="2" fontId="89" fillId="42" borderId="198" xfId="8" applyNumberFormat="1" applyFont="1" applyFill="1" applyBorder="1"/>
    <xf numFmtId="49" fontId="89" fillId="0" borderId="42" xfId="8" applyNumberFormat="1" applyFont="1" applyAlignment="1">
      <alignment horizontal="left"/>
    </xf>
    <xf numFmtId="2" fontId="89" fillId="0" borderId="42" xfId="8" applyNumberFormat="1" applyFont="1" applyAlignment="1">
      <alignment horizontal="center"/>
    </xf>
    <xf numFmtId="2" fontId="86" fillId="42" borderId="171" xfId="8" applyNumberFormat="1" applyFont="1" applyFill="1" applyBorder="1"/>
    <xf numFmtId="0" fontId="86" fillId="42" borderId="171" xfId="8" applyFont="1" applyFill="1" applyBorder="1"/>
    <xf numFmtId="49" fontId="89" fillId="0" borderId="42" xfId="8" applyNumberFormat="1" applyFont="1" applyAlignment="1">
      <alignment horizontal="center"/>
    </xf>
    <xf numFmtId="0" fontId="98" fillId="43" borderId="172" xfId="8" applyFont="1" applyFill="1" applyBorder="1"/>
    <xf numFmtId="0" fontId="98" fillId="43" borderId="173" xfId="8" applyFont="1" applyFill="1" applyBorder="1"/>
    <xf numFmtId="0" fontId="87" fillId="43" borderId="173" xfId="8" applyFont="1" applyFill="1" applyBorder="1" applyAlignment="1">
      <alignment horizontal="right"/>
    </xf>
    <xf numFmtId="2" fontId="87" fillId="43" borderId="173" xfId="8" applyNumberFormat="1" applyFont="1" applyFill="1" applyBorder="1"/>
    <xf numFmtId="0" fontId="87" fillId="43" borderId="173" xfId="8" applyFont="1" applyFill="1" applyBorder="1"/>
    <xf numFmtId="2" fontId="98" fillId="43" borderId="174" xfId="8" applyNumberFormat="1" applyFont="1" applyFill="1" applyBorder="1"/>
    <xf numFmtId="0" fontId="80" fillId="42" borderId="192" xfId="8" applyFill="1" applyBorder="1" applyAlignment="1">
      <alignment horizontal="center"/>
    </xf>
    <xf numFmtId="2" fontId="80" fillId="42" borderId="194" xfId="8" applyNumberFormat="1" applyFill="1" applyBorder="1" applyAlignment="1">
      <alignment horizontal="right"/>
    </xf>
    <xf numFmtId="0" fontId="80" fillId="42" borderId="195" xfId="8" applyFill="1" applyBorder="1" applyAlignment="1">
      <alignment horizontal="center"/>
    </xf>
    <xf numFmtId="2" fontId="80" fillId="42" borderId="165" xfId="8" applyNumberFormat="1" applyFill="1" applyBorder="1" applyAlignment="1">
      <alignment horizontal="right"/>
    </xf>
    <xf numFmtId="0" fontId="89" fillId="0" borderId="42" xfId="8" quotePrefix="1" applyFont="1"/>
    <xf numFmtId="0" fontId="80" fillId="42" borderId="195" xfId="8" applyFill="1" applyBorder="1"/>
    <xf numFmtId="2" fontId="80" fillId="42" borderId="165" xfId="8" applyNumberFormat="1" applyFill="1" applyBorder="1"/>
    <xf numFmtId="0" fontId="80" fillId="42" borderId="196" xfId="8" applyFill="1" applyBorder="1"/>
    <xf numFmtId="2" fontId="80" fillId="42" borderId="198" xfId="8" applyNumberFormat="1" applyFill="1" applyBorder="1"/>
    <xf numFmtId="0" fontId="89" fillId="42" borderId="192" xfId="8" applyFont="1" applyFill="1" applyBorder="1" applyAlignment="1">
      <alignment horizontal="center"/>
    </xf>
    <xf numFmtId="2" fontId="89" fillId="42" borderId="194" xfId="8" applyNumberFormat="1" applyFont="1" applyFill="1" applyBorder="1" applyAlignment="1">
      <alignment horizontal="right"/>
    </xf>
    <xf numFmtId="2" fontId="89" fillId="0" borderId="42" xfId="8" quotePrefix="1" applyNumberFormat="1" applyFont="1" applyAlignment="1">
      <alignment horizontal="left"/>
    </xf>
    <xf numFmtId="0" fontId="89" fillId="0" borderId="158" xfId="8" applyFont="1" applyBorder="1"/>
    <xf numFmtId="0" fontId="99" fillId="0" borderId="214" xfId="8" applyFont="1" applyBorder="1" applyAlignment="1">
      <alignment horizontal="center"/>
    </xf>
    <xf numFmtId="0" fontId="99" fillId="0" borderId="193" xfId="8" applyFont="1" applyBorder="1" applyAlignment="1">
      <alignment horizontal="center"/>
    </xf>
    <xf numFmtId="0" fontId="99" fillId="0" borderId="158" xfId="8" applyFont="1" applyBorder="1"/>
    <xf numFmtId="0" fontId="99" fillId="0" borderId="214" xfId="8" applyFont="1" applyBorder="1"/>
    <xf numFmtId="0" fontId="99" fillId="0" borderId="193" xfId="8" applyFont="1" applyBorder="1"/>
    <xf numFmtId="1" fontId="89" fillId="42" borderId="197" xfId="8" applyNumberFormat="1" applyFont="1" applyFill="1" applyBorder="1" applyAlignment="1">
      <alignment horizontal="center"/>
    </xf>
    <xf numFmtId="1" fontId="89" fillId="42" borderId="198" xfId="8" applyNumberFormat="1" applyFont="1" applyFill="1" applyBorder="1" applyAlignment="1">
      <alignment horizontal="center"/>
    </xf>
    <xf numFmtId="1" fontId="89" fillId="0" borderId="42" xfId="8" applyNumberFormat="1" applyFont="1" applyAlignment="1">
      <alignment horizontal="center"/>
    </xf>
    <xf numFmtId="0" fontId="80" fillId="0" borderId="42" xfId="8"/>
    <xf numFmtId="0" fontId="81" fillId="0" borderId="42" xfId="8" applyFont="1" applyAlignment="1">
      <alignment horizontal="right"/>
    </xf>
    <xf numFmtId="43" fontId="81" fillId="39" borderId="145" xfId="9" applyFont="1" applyFill="1" applyBorder="1" applyAlignment="1">
      <alignment horizontal="center"/>
    </xf>
    <xf numFmtId="0" fontId="100" fillId="0" borderId="42" xfId="8" applyFont="1"/>
    <xf numFmtId="0" fontId="81" fillId="0" borderId="42" xfId="8" applyFont="1" applyAlignment="1">
      <alignment horizontal="center"/>
    </xf>
    <xf numFmtId="0" fontId="81" fillId="0" borderId="42" xfId="8" applyFont="1"/>
    <xf numFmtId="0" fontId="101" fillId="0" borderId="42" xfId="8" applyFont="1"/>
    <xf numFmtId="0" fontId="85" fillId="41" borderId="176" xfId="8" applyFont="1" applyFill="1" applyBorder="1" applyAlignment="1">
      <alignment horizontal="center"/>
    </xf>
    <xf numFmtId="0" fontId="85" fillId="41" borderId="208" xfId="8" applyFont="1" applyFill="1" applyBorder="1" applyAlignment="1">
      <alignment horizontal="center"/>
    </xf>
    <xf numFmtId="0" fontId="80" fillId="0" borderId="42" xfId="8" applyAlignment="1">
      <alignment horizontal="right"/>
    </xf>
    <xf numFmtId="0" fontId="85" fillId="41" borderId="179" xfId="8" applyFont="1" applyFill="1" applyBorder="1" applyAlignment="1">
      <alignment horizontal="center"/>
    </xf>
    <xf numFmtId="0" fontId="85" fillId="41" borderId="181" xfId="8" applyFont="1" applyFill="1" applyBorder="1" applyAlignment="1">
      <alignment horizontal="center"/>
    </xf>
    <xf numFmtId="0" fontId="85" fillId="41" borderId="206" xfId="8" applyFont="1" applyFill="1" applyBorder="1" applyAlignment="1">
      <alignment horizontal="center"/>
    </xf>
    <xf numFmtId="0" fontId="85" fillId="41" borderId="183" xfId="8" applyFont="1" applyFill="1" applyBorder="1" applyAlignment="1">
      <alignment horizontal="center"/>
    </xf>
    <xf numFmtId="0" fontId="85" fillId="41" borderId="204" xfId="8" applyFont="1" applyFill="1" applyBorder="1" applyAlignment="1">
      <alignment horizontal="center"/>
    </xf>
    <xf numFmtId="0" fontId="85" fillId="41" borderId="212" xfId="8" applyFont="1" applyFill="1" applyBorder="1"/>
    <xf numFmtId="0" fontId="85" fillId="41" borderId="168" xfId="8" applyFont="1" applyFill="1" applyBorder="1" applyAlignment="1">
      <alignment horizontal="right"/>
    </xf>
    <xf numFmtId="0" fontId="80" fillId="42" borderId="177" xfId="8" applyFill="1" applyBorder="1" applyAlignment="1">
      <alignment horizontal="center"/>
    </xf>
    <xf numFmtId="0" fontId="80" fillId="42" borderId="159" xfId="8" applyFill="1" applyBorder="1" applyAlignment="1">
      <alignment horizontal="center"/>
    </xf>
    <xf numFmtId="2" fontId="80" fillId="42" borderId="161" xfId="8" applyNumberFormat="1" applyFill="1" applyBorder="1" applyAlignment="1">
      <alignment horizontal="center"/>
    </xf>
    <xf numFmtId="0" fontId="80" fillId="42" borderId="161" xfId="8" applyFill="1" applyBorder="1" applyAlignment="1">
      <alignment horizontal="center"/>
    </xf>
    <xf numFmtId="0" fontId="85" fillId="41" borderId="213" xfId="8" applyFont="1" applyFill="1" applyBorder="1"/>
    <xf numFmtId="0" fontId="85" fillId="41" borderId="169" xfId="8" applyFont="1" applyFill="1" applyBorder="1" applyAlignment="1">
      <alignment horizontal="right"/>
    </xf>
    <xf numFmtId="0" fontId="80" fillId="42" borderId="145" xfId="8" applyFill="1" applyBorder="1" applyAlignment="1">
      <alignment horizontal="center"/>
    </xf>
    <xf numFmtId="2" fontId="80" fillId="42" borderId="165" xfId="8" applyNumberFormat="1" applyFill="1" applyBorder="1" applyAlignment="1">
      <alignment horizontal="center"/>
    </xf>
    <xf numFmtId="0" fontId="80" fillId="42" borderId="165" xfId="8" applyFill="1" applyBorder="1" applyAlignment="1">
      <alignment horizontal="center"/>
    </xf>
    <xf numFmtId="0" fontId="80" fillId="42" borderId="196" xfId="8" applyFill="1" applyBorder="1" applyAlignment="1">
      <alignment horizontal="center"/>
    </xf>
    <xf numFmtId="0" fontId="80" fillId="42" borderId="197" xfId="8" applyFill="1" applyBorder="1" applyAlignment="1">
      <alignment horizontal="center"/>
    </xf>
    <xf numFmtId="0" fontId="80" fillId="42" borderId="198" xfId="8" applyFill="1" applyBorder="1" applyAlignment="1">
      <alignment horizontal="center"/>
    </xf>
    <xf numFmtId="0" fontId="80" fillId="42" borderId="215" xfId="8" applyFill="1" applyBorder="1" applyAlignment="1">
      <alignment horizontal="center"/>
    </xf>
    <xf numFmtId="0" fontId="80" fillId="42" borderId="158" xfId="8" applyFill="1" applyBorder="1" applyAlignment="1">
      <alignment horizontal="center"/>
    </xf>
    <xf numFmtId="2" fontId="80" fillId="42" borderId="210" xfId="8" applyNumberFormat="1" applyFill="1" applyBorder="1" applyAlignment="1">
      <alignment horizontal="center"/>
    </xf>
    <xf numFmtId="0" fontId="85" fillId="41" borderId="182" xfId="8" applyFont="1" applyFill="1" applyBorder="1"/>
    <xf numFmtId="0" fontId="85" fillId="41" borderId="204" xfId="8" applyFont="1" applyFill="1" applyBorder="1" applyAlignment="1">
      <alignment horizontal="right"/>
    </xf>
    <xf numFmtId="2" fontId="80" fillId="42" borderId="198" xfId="8" applyNumberFormat="1" applyFill="1" applyBorder="1" applyAlignment="1">
      <alignment horizontal="center"/>
    </xf>
    <xf numFmtId="0" fontId="85" fillId="0" borderId="42" xfId="8" applyFont="1" applyAlignment="1">
      <alignment horizontal="center"/>
    </xf>
    <xf numFmtId="0" fontId="80" fillId="0" borderId="42" xfId="8" applyAlignment="1">
      <alignment horizontal="center"/>
    </xf>
    <xf numFmtId="0" fontId="85" fillId="41" borderId="183" xfId="8" applyFont="1" applyFill="1" applyBorder="1"/>
    <xf numFmtId="0" fontId="81" fillId="42" borderId="171" xfId="8" applyFont="1" applyFill="1" applyBorder="1" applyAlignment="1">
      <alignment horizontal="center"/>
    </xf>
    <xf numFmtId="1" fontId="80" fillId="42" borderId="159" xfId="8" applyNumberFormat="1" applyFill="1" applyBorder="1" applyAlignment="1">
      <alignment horizontal="center"/>
    </xf>
    <xf numFmtId="1" fontId="80" fillId="42" borderId="161" xfId="8" applyNumberFormat="1" applyFill="1" applyBorder="1" applyAlignment="1">
      <alignment horizontal="center"/>
    </xf>
    <xf numFmtId="173" fontId="80" fillId="42" borderId="177" xfId="8" applyNumberFormat="1" applyFill="1" applyBorder="1" applyAlignment="1">
      <alignment horizontal="center"/>
    </xf>
    <xf numFmtId="2" fontId="80" fillId="42" borderId="161" xfId="8" applyNumberFormat="1" applyFill="1" applyBorder="1" applyAlignment="1">
      <alignment horizontal="right"/>
    </xf>
    <xf numFmtId="1" fontId="80" fillId="42" borderId="145" xfId="8" applyNumberFormat="1" applyFill="1" applyBorder="1" applyAlignment="1">
      <alignment horizontal="center"/>
    </xf>
    <xf numFmtId="1" fontId="80" fillId="42" borderId="165" xfId="8" applyNumberFormat="1" applyFill="1" applyBorder="1" applyAlignment="1">
      <alignment horizontal="center"/>
    </xf>
    <xf numFmtId="173" fontId="80" fillId="42" borderId="195" xfId="8" applyNumberFormat="1" applyFill="1" applyBorder="1" applyAlignment="1">
      <alignment horizontal="center"/>
    </xf>
    <xf numFmtId="2" fontId="81" fillId="42" borderId="171" xfId="8" applyNumberFormat="1" applyFont="1" applyFill="1" applyBorder="1" applyAlignment="1">
      <alignment horizontal="center"/>
    </xf>
    <xf numFmtId="2" fontId="80" fillId="0" borderId="42" xfId="8" applyNumberFormat="1"/>
    <xf numFmtId="49" fontId="80" fillId="0" borderId="42" xfId="8" applyNumberFormat="1" applyAlignment="1">
      <alignment horizontal="left"/>
    </xf>
    <xf numFmtId="2" fontId="80" fillId="0" borderId="42" xfId="8" applyNumberFormat="1" applyAlignment="1">
      <alignment horizontal="center"/>
    </xf>
    <xf numFmtId="2" fontId="81" fillId="42" borderId="171" xfId="8" applyNumberFormat="1" applyFont="1" applyFill="1" applyBorder="1"/>
    <xf numFmtId="43" fontId="81" fillId="42" borderId="171" xfId="8" applyNumberFormat="1" applyFont="1" applyFill="1" applyBorder="1"/>
    <xf numFmtId="49" fontId="80" fillId="0" borderId="42" xfId="8" applyNumberFormat="1" applyAlignment="1">
      <alignment horizontal="center"/>
    </xf>
    <xf numFmtId="0" fontId="84" fillId="44" borderId="172" xfId="8" applyFont="1" applyFill="1" applyBorder="1"/>
    <xf numFmtId="0" fontId="84" fillId="44" borderId="173" xfId="8" applyFont="1" applyFill="1" applyBorder="1"/>
    <xf numFmtId="0" fontId="85" fillId="44" borderId="173" xfId="8" applyFont="1" applyFill="1" applyBorder="1" applyAlignment="1">
      <alignment horizontal="right"/>
    </xf>
    <xf numFmtId="2" fontId="34" fillId="44" borderId="173" xfId="8" applyNumberFormat="1" applyFont="1" applyFill="1" applyBorder="1"/>
    <xf numFmtId="0" fontId="34" fillId="44" borderId="173" xfId="8" applyFont="1" applyFill="1" applyBorder="1"/>
    <xf numFmtId="2" fontId="35" fillId="44" borderId="174" xfId="8" applyNumberFormat="1" applyFont="1" applyFill="1" applyBorder="1"/>
    <xf numFmtId="0" fontId="80" fillId="0" borderId="42" xfId="8" quotePrefix="1"/>
    <xf numFmtId="2" fontId="80" fillId="0" borderId="42" xfId="8" quotePrefix="1" applyNumberFormat="1" applyAlignment="1">
      <alignment horizontal="left"/>
    </xf>
    <xf numFmtId="0" fontId="102" fillId="0" borderId="158" xfId="8" applyFont="1" applyBorder="1"/>
    <xf numFmtId="0" fontId="102" fillId="0" borderId="214" xfId="8" applyFont="1" applyBorder="1" applyAlignment="1">
      <alignment horizontal="center"/>
    </xf>
    <xf numFmtId="0" fontId="102" fillId="0" borderId="193" xfId="8" applyFont="1" applyBorder="1" applyAlignment="1">
      <alignment horizontal="center"/>
    </xf>
    <xf numFmtId="1" fontId="80" fillId="42" borderId="197" xfId="8" applyNumberFormat="1" applyFill="1" applyBorder="1" applyAlignment="1">
      <alignment horizontal="center"/>
    </xf>
    <xf numFmtId="1" fontId="80" fillId="42" borderId="198" xfId="8" applyNumberFormat="1" applyFill="1" applyBorder="1" applyAlignment="1">
      <alignment horizontal="center"/>
    </xf>
    <xf numFmtId="173" fontId="80" fillId="42" borderId="196" xfId="8" applyNumberFormat="1" applyFill="1" applyBorder="1" applyAlignment="1">
      <alignment horizontal="center"/>
    </xf>
    <xf numFmtId="171" fontId="68" fillId="6" borderId="138" xfId="2" applyNumberFormat="1" applyFont="1" applyFill="1" applyBorder="1" applyAlignment="1">
      <alignment horizontal="center" vertical="center"/>
    </xf>
    <xf numFmtId="176" fontId="68" fillId="6" borderId="145" xfId="2" applyNumberFormat="1" applyFont="1" applyFill="1" applyBorder="1" applyAlignment="1">
      <alignment horizontal="center" vertical="center"/>
    </xf>
    <xf numFmtId="164" fontId="37" fillId="2" borderId="10" xfId="0" applyNumberFormat="1" applyFont="1" applyFill="1" applyBorder="1" applyAlignment="1" applyProtection="1">
      <alignment horizontal="right" vertical="center"/>
      <protection locked="0"/>
    </xf>
    <xf numFmtId="164" fontId="37" fillId="2" borderId="11" xfId="0" applyNumberFormat="1" applyFont="1" applyFill="1" applyBorder="1" applyAlignment="1" applyProtection="1">
      <alignment horizontal="right" vertical="center"/>
      <protection locked="0"/>
    </xf>
    <xf numFmtId="166" fontId="37" fillId="2" borderId="11" xfId="0" applyNumberFormat="1" applyFont="1" applyFill="1" applyBorder="1" applyAlignment="1" applyProtection="1">
      <alignment horizontal="right" vertical="center"/>
      <protection locked="0"/>
    </xf>
    <xf numFmtId="0" fontId="37" fillId="2" borderId="11" xfId="0" applyFont="1" applyFill="1" applyBorder="1" applyAlignment="1" applyProtection="1">
      <alignment horizontal="right" vertical="center"/>
      <protection locked="0"/>
    </xf>
    <xf numFmtId="0" fontId="37" fillId="2" borderId="10" xfId="0" applyFont="1" applyFill="1" applyBorder="1" applyAlignment="1" applyProtection="1">
      <alignment horizontal="right" vertical="center"/>
      <protection locked="0"/>
    </xf>
    <xf numFmtId="165" fontId="37" fillId="2" borderId="11" xfId="0" applyNumberFormat="1" applyFont="1" applyFill="1" applyBorder="1" applyAlignment="1" applyProtection="1">
      <alignment horizontal="right" vertical="center"/>
      <protection locked="0"/>
    </xf>
    <xf numFmtId="167" fontId="37" fillId="2" borderId="11" xfId="0" applyNumberFormat="1" applyFont="1" applyFill="1" applyBorder="1" applyAlignment="1" applyProtection="1">
      <alignment horizontal="right" vertical="center"/>
      <protection locked="0"/>
    </xf>
    <xf numFmtId="0" fontId="37" fillId="0" borderId="12" xfId="0" applyFont="1" applyBorder="1" applyAlignment="1" applyProtection="1">
      <alignment horizontal="right"/>
      <protection locked="0"/>
    </xf>
    <xf numFmtId="0" fontId="37" fillId="2" borderId="11" xfId="0" applyFont="1" applyFill="1" applyBorder="1" applyAlignment="1" applyProtection="1">
      <alignment horizontal="right"/>
      <protection locked="0"/>
    </xf>
    <xf numFmtId="0" fontId="37" fillId="2" borderId="11" xfId="0" applyFont="1" applyFill="1" applyBorder="1" applyAlignment="1">
      <alignment horizontal="right" vertical="center"/>
    </xf>
    <xf numFmtId="49" fontId="68" fillId="6" borderId="157" xfId="2" applyNumberFormat="1" applyFont="1" applyFill="1" applyBorder="1" applyAlignment="1">
      <alignment horizontal="center" vertical="center"/>
    </xf>
    <xf numFmtId="1" fontId="68" fillId="6" borderId="157" xfId="2" applyNumberFormat="1" applyFont="1" applyFill="1" applyBorder="1" applyAlignment="1">
      <alignment horizontal="center" vertical="center"/>
    </xf>
    <xf numFmtId="178" fontId="68" fillId="6" borderId="140" xfId="2" applyNumberFormat="1" applyFont="1" applyFill="1" applyBorder="1" applyAlignment="1">
      <alignment horizontal="center" vertical="center"/>
    </xf>
    <xf numFmtId="49" fontId="68" fillId="26" borderId="155" xfId="2" applyNumberFormat="1" applyFont="1" applyFill="1" applyBorder="1" applyAlignment="1">
      <alignment horizontal="center" vertical="center"/>
    </xf>
    <xf numFmtId="49" fontId="68" fillId="6" borderId="155" xfId="2" applyNumberFormat="1" applyFont="1" applyFill="1" applyBorder="1" applyAlignment="1">
      <alignment horizontal="center" vertical="center"/>
    </xf>
    <xf numFmtId="49" fontId="68" fillId="6" borderId="218" xfId="2" applyNumberFormat="1" applyFont="1" applyFill="1" applyBorder="1" applyAlignment="1">
      <alignment horizontal="center" vertical="center" wrapText="1"/>
    </xf>
    <xf numFmtId="0" fontId="103" fillId="2" borderId="42" xfId="2" applyFont="1" applyFill="1"/>
    <xf numFmtId="49" fontId="104" fillId="2" borderId="42" xfId="2" applyNumberFormat="1" applyFont="1" applyFill="1" applyAlignment="1">
      <alignment horizontal="right" vertical="center"/>
    </xf>
    <xf numFmtId="49" fontId="104" fillId="2" borderId="42" xfId="2" applyNumberFormat="1" applyFont="1" applyFill="1" applyAlignment="1">
      <alignment horizontal="right" vertical="top"/>
    </xf>
    <xf numFmtId="0" fontId="105" fillId="2" borderId="42" xfId="2" applyFont="1" applyFill="1"/>
    <xf numFmtId="0" fontId="103" fillId="2" borderId="42" xfId="2" applyFont="1" applyFill="1" applyAlignment="1">
      <alignment horizontal="left"/>
    </xf>
    <xf numFmtId="0" fontId="106" fillId="2" borderId="42" xfId="2" applyFont="1" applyFill="1"/>
    <xf numFmtId="49" fontId="107" fillId="2" borderId="42" xfId="2" applyNumberFormat="1" applyFont="1" applyFill="1" applyAlignment="1">
      <alignment horizontal="right" vertical="center"/>
    </xf>
    <xf numFmtId="176" fontId="108" fillId="2" borderId="42" xfId="2" applyNumberFormat="1" applyFont="1" applyFill="1" applyAlignment="1">
      <alignment horizontal="right" vertical="center"/>
    </xf>
    <xf numFmtId="176" fontId="109" fillId="2" borderId="42" xfId="2" applyNumberFormat="1" applyFont="1" applyFill="1" applyAlignment="1">
      <alignment horizontal="right" vertical="center"/>
    </xf>
    <xf numFmtId="49" fontId="108" fillId="2" borderId="42" xfId="2" applyNumberFormat="1" applyFont="1" applyFill="1" applyAlignment="1">
      <alignment horizontal="right" vertical="center"/>
    </xf>
    <xf numFmtId="0" fontId="110" fillId="2" borderId="42" xfId="2" applyFont="1" applyFill="1"/>
    <xf numFmtId="0" fontId="111" fillId="2" borderId="42" xfId="2" applyFont="1" applyFill="1"/>
    <xf numFmtId="0" fontId="112" fillId="2" borderId="42" xfId="2" applyFont="1" applyFill="1"/>
    <xf numFmtId="0" fontId="113" fillId="2" borderId="42" xfId="2" applyFont="1" applyFill="1"/>
    <xf numFmtId="0" fontId="114" fillId="2" borderId="42" xfId="2" applyFont="1" applyFill="1"/>
    <xf numFmtId="0" fontId="105" fillId="24" borderId="42" xfId="2" applyFont="1" applyFill="1"/>
    <xf numFmtId="49" fontId="68" fillId="6" borderId="157" xfId="2" applyNumberFormat="1" applyFont="1" applyFill="1" applyBorder="1" applyAlignment="1">
      <alignment horizontal="center" vertical="center" wrapText="1"/>
    </xf>
    <xf numFmtId="0" fontId="63" fillId="24" borderId="42" xfId="2" applyFont="1" applyFill="1"/>
    <xf numFmtId="0" fontId="63" fillId="25" borderId="42" xfId="2" applyFont="1" applyFill="1" applyAlignment="1">
      <alignment vertical="center"/>
    </xf>
    <xf numFmtId="0" fontId="63" fillId="29" borderId="42" xfId="2" applyFont="1" applyFill="1" applyAlignment="1">
      <alignment vertical="center"/>
    </xf>
    <xf numFmtId="182" fontId="63" fillId="25" borderId="42" xfId="2" applyNumberFormat="1" applyFont="1" applyFill="1" applyAlignment="1">
      <alignment vertical="center"/>
    </xf>
    <xf numFmtId="44" fontId="63" fillId="24" borderId="42" xfId="4" applyFont="1" applyFill="1" applyBorder="1" applyAlignment="1"/>
    <xf numFmtId="2" fontId="68" fillId="6" borderId="134" xfId="2" applyNumberFormat="1" applyFont="1" applyFill="1" applyBorder="1" applyAlignment="1">
      <alignment horizontal="center" vertical="center"/>
    </xf>
    <xf numFmtId="0" fontId="76" fillId="28" borderId="134" xfId="2" applyFont="1" applyFill="1" applyBorder="1"/>
    <xf numFmtId="0" fontId="0" fillId="29" borderId="42" xfId="2" applyFont="1" applyFill="1"/>
    <xf numFmtId="49" fontId="68" fillId="46" borderId="42" xfId="2" applyNumberFormat="1" applyFont="1" applyFill="1" applyAlignment="1">
      <alignment vertical="center"/>
    </xf>
    <xf numFmtId="49" fontId="68" fillId="26" borderId="139" xfId="2" applyNumberFormat="1" applyFont="1" applyFill="1" applyBorder="1" applyAlignment="1">
      <alignment horizontal="center" vertical="center"/>
    </xf>
    <xf numFmtId="178" fontId="68" fillId="6" borderId="223" xfId="2" applyNumberFormat="1" applyFont="1" applyFill="1" applyBorder="1" applyAlignment="1">
      <alignment horizontal="center" vertical="center"/>
    </xf>
    <xf numFmtId="171" fontId="68" fillId="6" borderId="225" xfId="2" applyNumberFormat="1" applyFont="1" applyFill="1" applyBorder="1" applyAlignment="1">
      <alignment horizontal="center" vertical="center"/>
    </xf>
    <xf numFmtId="171" fontId="68" fillId="6" borderId="224" xfId="2" applyNumberFormat="1" applyFont="1" applyFill="1" applyBorder="1" applyAlignment="1">
      <alignment horizontal="center" vertical="center"/>
    </xf>
    <xf numFmtId="49" fontId="68" fillId="26" borderId="156" xfId="2" applyNumberFormat="1" applyFont="1" applyFill="1" applyBorder="1" applyAlignment="1">
      <alignment horizontal="center" vertical="center"/>
    </xf>
    <xf numFmtId="49" fontId="68" fillId="26" borderId="157" xfId="2" applyNumberFormat="1" applyFont="1" applyFill="1" applyBorder="1" applyAlignment="1">
      <alignment horizontal="center" vertical="center"/>
    </xf>
    <xf numFmtId="49" fontId="68" fillId="26" borderId="221" xfId="2" applyNumberFormat="1" applyFont="1" applyFill="1" applyBorder="1" applyAlignment="1">
      <alignment horizontal="center" vertical="center"/>
    </xf>
    <xf numFmtId="49" fontId="68" fillId="26" borderId="134" xfId="2" applyNumberFormat="1" applyFont="1" applyFill="1" applyBorder="1" applyAlignment="1">
      <alignment horizontal="center" vertical="center"/>
    </xf>
    <xf numFmtId="176" fontId="68" fillId="6" borderId="185" xfId="2" applyNumberFormat="1" applyFont="1" applyFill="1" applyBorder="1" applyAlignment="1">
      <alignment horizontal="center" vertical="center"/>
    </xf>
    <xf numFmtId="176" fontId="68" fillId="6" borderId="134" xfId="2" applyNumberFormat="1" applyFont="1" applyFill="1" applyBorder="1" applyAlignment="1">
      <alignment horizontal="center" vertical="center"/>
    </xf>
    <xf numFmtId="0" fontId="59" fillId="3" borderId="145" xfId="2" applyFont="1" applyFill="1" applyBorder="1" applyAlignment="1">
      <alignment horizontal="right" vertical="center"/>
    </xf>
    <xf numFmtId="0" fontId="68" fillId="6" borderId="145" xfId="2" applyFont="1" applyFill="1" applyBorder="1" applyAlignment="1">
      <alignment horizontal="center" vertical="center"/>
    </xf>
    <xf numFmtId="49" fontId="59" fillId="3" borderId="145" xfId="2" applyNumberFormat="1" applyFont="1" applyFill="1" applyBorder="1" applyAlignment="1">
      <alignment horizontal="right" vertical="center"/>
    </xf>
    <xf numFmtId="176" fontId="68" fillId="6" borderId="145" xfId="2" applyNumberFormat="1" applyFont="1" applyFill="1" applyBorder="1" applyAlignment="1">
      <alignment vertical="center"/>
    </xf>
    <xf numFmtId="49" fontId="59" fillId="3" borderId="145" xfId="2" applyNumberFormat="1" applyFont="1" applyFill="1" applyBorder="1" applyAlignment="1">
      <alignment horizontal="center" vertical="center"/>
    </xf>
    <xf numFmtId="44" fontId="68" fillId="6" borderId="145" xfId="4" applyFont="1" applyFill="1" applyBorder="1" applyAlignment="1"/>
    <xf numFmtId="176" fontId="68" fillId="6" borderId="145" xfId="2" applyNumberFormat="1" applyFont="1" applyFill="1" applyBorder="1"/>
    <xf numFmtId="176" fontId="68" fillId="16" borderId="145" xfId="2" applyNumberFormat="1" applyFont="1" applyFill="1" applyBorder="1"/>
    <xf numFmtId="44" fontId="68" fillId="27" borderId="145" xfId="4" applyFont="1" applyFill="1" applyBorder="1" applyAlignment="1"/>
    <xf numFmtId="0" fontId="62" fillId="29" borderId="42" xfId="2" applyFont="1" applyFill="1" applyAlignment="1">
      <alignment horizontal="center" vertical="center"/>
    </xf>
    <xf numFmtId="181" fontId="70" fillId="45" borderId="42" xfId="2" applyNumberFormat="1" applyFont="1" applyFill="1" applyAlignment="1">
      <alignment horizontal="center" vertical="center"/>
    </xf>
    <xf numFmtId="178" fontId="68" fillId="6" borderId="145" xfId="2" applyNumberFormat="1" applyFont="1" applyFill="1" applyBorder="1" applyAlignment="1">
      <alignment horizontal="left" vertical="center"/>
    </xf>
    <xf numFmtId="0" fontId="59" fillId="3" borderId="145" xfId="2" applyFont="1" applyFill="1" applyBorder="1" applyAlignment="1">
      <alignment horizontal="right"/>
    </xf>
    <xf numFmtId="44" fontId="68" fillId="6" borderId="145" xfId="4" applyFont="1" applyFill="1" applyBorder="1" applyAlignment="1">
      <alignment horizontal="right"/>
    </xf>
    <xf numFmtId="171" fontId="68" fillId="6" borderId="145" xfId="2" applyNumberFormat="1" applyFont="1" applyFill="1" applyBorder="1" applyAlignment="1">
      <alignment horizontal="right" vertical="center"/>
    </xf>
    <xf numFmtId="176" fontId="71" fillId="45" borderId="42" xfId="2" applyNumberFormat="1" applyFont="1" applyFill="1" applyAlignment="1">
      <alignment horizontal="left" vertical="center"/>
    </xf>
    <xf numFmtId="9" fontId="68" fillId="6" borderId="145" xfId="5" applyFont="1" applyFill="1" applyBorder="1" applyAlignment="1">
      <alignment horizontal="center" vertical="center"/>
    </xf>
    <xf numFmtId="0" fontId="59" fillId="47" borderId="42" xfId="2" applyFont="1" applyFill="1" applyAlignment="1">
      <alignment horizontal="right" vertical="center"/>
    </xf>
    <xf numFmtId="0" fontId="104" fillId="2" borderId="42" xfId="2" applyFont="1" applyFill="1" applyAlignment="1">
      <alignment horizontal="right" vertical="center"/>
    </xf>
    <xf numFmtId="0" fontId="106" fillId="2" borderId="42" xfId="2" applyFont="1" applyFill="1" applyAlignment="1">
      <alignment horizontal="center"/>
    </xf>
    <xf numFmtId="0" fontId="0" fillId="24" borderId="42" xfId="0" applyFill="1" applyBorder="1"/>
    <xf numFmtId="0" fontId="0" fillId="24" borderId="206" xfId="0" applyFill="1" applyBorder="1"/>
    <xf numFmtId="0" fontId="0" fillId="24" borderId="163" xfId="0" applyFill="1" applyBorder="1"/>
    <xf numFmtId="0" fontId="0" fillId="24" borderId="208" xfId="0" applyFill="1" applyBorder="1"/>
    <xf numFmtId="0" fontId="0" fillId="24" borderId="180" xfId="0" applyFill="1" applyBorder="1"/>
    <xf numFmtId="0" fontId="0" fillId="24" borderId="181" xfId="0" applyFill="1" applyBorder="1"/>
    <xf numFmtId="0" fontId="0" fillId="24" borderId="182" xfId="0" applyFill="1" applyBorder="1"/>
    <xf numFmtId="0" fontId="0" fillId="24" borderId="175" xfId="0" applyFill="1" applyBorder="1"/>
    <xf numFmtId="0" fontId="0" fillId="24" borderId="204" xfId="0" applyFill="1" applyBorder="1"/>
    <xf numFmtId="0" fontId="3" fillId="24" borderId="206" xfId="0" applyFont="1" applyFill="1" applyBorder="1"/>
    <xf numFmtId="0" fontId="3" fillId="24" borderId="180" xfId="0" applyFont="1" applyFill="1" applyBorder="1" applyAlignment="1">
      <alignment horizontal="right"/>
    </xf>
    <xf numFmtId="0" fontId="3" fillId="24" borderId="182" xfId="0" applyFont="1" applyFill="1" applyBorder="1" applyAlignment="1">
      <alignment horizontal="right"/>
    </xf>
    <xf numFmtId="0" fontId="3" fillId="24" borderId="42" xfId="0" applyFont="1" applyFill="1" applyBorder="1" applyAlignment="1">
      <alignment horizontal="right"/>
    </xf>
    <xf numFmtId="192" fontId="0" fillId="24" borderId="42" xfId="0" applyNumberFormat="1" applyFill="1" applyBorder="1" applyAlignment="1">
      <alignment horizontal="left"/>
    </xf>
    <xf numFmtId="164" fontId="0" fillId="24" borderId="175" xfId="0" applyNumberFormat="1" applyFill="1" applyBorder="1" applyAlignment="1">
      <alignment horizontal="left"/>
    </xf>
    <xf numFmtId="171" fontId="0" fillId="24" borderId="181" xfId="0" applyNumberFormat="1" applyFill="1" applyBorder="1" applyAlignment="1">
      <alignment horizontal="left"/>
    </xf>
    <xf numFmtId="0" fontId="37" fillId="24" borderId="42" xfId="2" applyFont="1" applyFill="1" applyAlignment="1">
      <alignment vertical="center"/>
    </xf>
    <xf numFmtId="0" fontId="37" fillId="2" borderId="32" xfId="0" applyFont="1" applyFill="1" applyBorder="1" applyAlignment="1">
      <alignment vertical="center"/>
    </xf>
    <xf numFmtId="0" fontId="37" fillId="2" borderId="8" xfId="0" applyFont="1" applyFill="1" applyBorder="1" applyAlignment="1">
      <alignment vertical="center"/>
    </xf>
    <xf numFmtId="44" fontId="59" fillId="2" borderId="42" xfId="4" applyFont="1" applyFill="1" applyBorder="1" applyAlignment="1">
      <alignment horizontal="right" vertical="top"/>
    </xf>
    <xf numFmtId="44" fontId="104" fillId="2" borderId="42" xfId="4" applyFont="1" applyFill="1" applyBorder="1" applyAlignment="1">
      <alignment horizontal="right" vertical="top"/>
    </xf>
    <xf numFmtId="44" fontId="66" fillId="2" borderId="42" xfId="4" applyFont="1" applyFill="1" applyBorder="1" applyAlignment="1">
      <alignment horizontal="center" vertical="top"/>
    </xf>
    <xf numFmtId="44" fontId="13" fillId="2" borderId="42" xfId="4" applyFont="1" applyFill="1" applyBorder="1" applyAlignment="1">
      <alignment horizontal="right"/>
    </xf>
    <xf numFmtId="44" fontId="13" fillId="2" borderId="42" xfId="4" applyFont="1" applyFill="1" applyBorder="1"/>
    <xf numFmtId="44" fontId="37" fillId="2" borderId="42" xfId="4" applyFont="1" applyFill="1" applyBorder="1"/>
    <xf numFmtId="44" fontId="72" fillId="2" borderId="42" xfId="4" applyFont="1" applyFill="1" applyBorder="1"/>
    <xf numFmtId="44" fontId="7" fillId="2" borderId="42" xfId="4" applyFont="1" applyFill="1" applyBorder="1"/>
    <xf numFmtId="44" fontId="66" fillId="2" borderId="42" xfId="4" applyFont="1" applyFill="1" applyBorder="1" applyAlignment="1">
      <alignment horizontal="left" vertical="top"/>
    </xf>
    <xf numFmtId="44" fontId="119" fillId="2" borderId="42" xfId="4" applyFont="1" applyFill="1" applyBorder="1" applyAlignment="1">
      <alignment horizontal="center" vertical="top"/>
    </xf>
    <xf numFmtId="44" fontId="31" fillId="2" borderId="42" xfId="4" applyFont="1" applyFill="1" applyBorder="1" applyAlignment="1">
      <alignment horizontal="right"/>
    </xf>
    <xf numFmtId="44" fontId="31" fillId="2" borderId="42" xfId="4" applyFont="1" applyFill="1" applyBorder="1"/>
    <xf numFmtId="44" fontId="104" fillId="2" borderId="42" xfId="4" applyFont="1" applyFill="1" applyBorder="1"/>
    <xf numFmtId="44" fontId="119" fillId="2" borderId="42" xfId="4" applyFont="1" applyFill="1" applyBorder="1" applyAlignment="1">
      <alignment horizontal="right" vertical="top"/>
    </xf>
    <xf numFmtId="0" fontId="37" fillId="24" borderId="42" xfId="3" applyFont="1" applyFill="1" applyAlignment="1">
      <alignment horizontal="right"/>
    </xf>
    <xf numFmtId="14" fontId="37" fillId="24" borderId="145" xfId="3" applyNumberFormat="1" applyFont="1" applyFill="1" applyBorder="1" applyAlignment="1">
      <alignment horizontal="center"/>
    </xf>
    <xf numFmtId="0" fontId="37" fillId="24" borderId="145" xfId="3" applyFont="1" applyFill="1" applyBorder="1" applyAlignment="1">
      <alignment horizontal="center"/>
    </xf>
    <xf numFmtId="0" fontId="3" fillId="28" borderId="42" xfId="3" applyFill="1"/>
    <xf numFmtId="0" fontId="63" fillId="24" borderId="42" xfId="3" applyFont="1" applyFill="1" applyAlignment="1">
      <alignment horizontal="right" vertical="center"/>
    </xf>
    <xf numFmtId="0" fontId="117" fillId="28" borderId="42" xfId="3" applyFont="1" applyFill="1" applyAlignment="1">
      <alignment horizontal="center" vertical="center"/>
    </xf>
    <xf numFmtId="0" fontId="63" fillId="28" borderId="42" xfId="3" applyFont="1" applyFill="1"/>
    <xf numFmtId="0" fontId="63" fillId="24" borderId="145" xfId="3" applyFont="1" applyFill="1" applyBorder="1" applyAlignment="1">
      <alignment horizontal="center" vertical="center"/>
    </xf>
    <xf numFmtId="183" fontId="63" fillId="24" borderId="145" xfId="3" applyNumberFormat="1" applyFont="1" applyFill="1" applyBorder="1" applyAlignment="1">
      <alignment horizontal="center" vertical="center"/>
    </xf>
    <xf numFmtId="177" fontId="63" fillId="24" borderId="145" xfId="3" applyNumberFormat="1" applyFont="1" applyFill="1" applyBorder="1" applyAlignment="1">
      <alignment horizontal="center" vertical="center"/>
    </xf>
    <xf numFmtId="0" fontId="63" fillId="24" borderId="134" xfId="3" applyFont="1" applyFill="1" applyBorder="1" applyAlignment="1">
      <alignment horizontal="center" vertical="center"/>
    </xf>
    <xf numFmtId="0" fontId="37" fillId="24" borderId="145" xfId="3" applyFont="1" applyFill="1" applyBorder="1" applyAlignment="1">
      <alignment horizontal="center" vertical="center"/>
    </xf>
    <xf numFmtId="0" fontId="63" fillId="24" borderId="133" xfId="3" applyFont="1" applyFill="1" applyBorder="1" applyAlignment="1">
      <alignment vertical="center"/>
    </xf>
    <xf numFmtId="0" fontId="3" fillId="0" borderId="42" xfId="3" applyAlignment="1">
      <alignment horizontal="center" vertical="center"/>
    </xf>
    <xf numFmtId="44" fontId="3" fillId="0" borderId="42" xfId="3" applyNumberFormat="1"/>
    <xf numFmtId="44" fontId="3" fillId="0" borderId="42" xfId="4" applyFont="1" applyBorder="1"/>
    <xf numFmtId="44" fontId="3" fillId="0" borderId="42" xfId="4" applyFont="1" applyBorder="1" applyAlignment="1">
      <alignment horizontal="center" vertical="center"/>
    </xf>
    <xf numFmtId="0" fontId="37" fillId="48" borderId="11" xfId="0" applyFont="1" applyFill="1" applyBorder="1" applyAlignment="1">
      <alignment horizontal="center" vertical="center"/>
    </xf>
    <xf numFmtId="0" fontId="37" fillId="48" borderId="1" xfId="0" applyFont="1" applyFill="1" applyBorder="1" applyAlignment="1">
      <alignment horizontal="center" vertical="center"/>
    </xf>
    <xf numFmtId="0" fontId="37" fillId="48" borderId="1" xfId="0" applyFont="1" applyFill="1" applyBorder="1" applyAlignment="1">
      <alignment horizontal="right" vertical="center"/>
    </xf>
    <xf numFmtId="0" fontId="52" fillId="48" borderId="1" xfId="0" applyFont="1" applyFill="1" applyBorder="1" applyAlignment="1">
      <alignment horizontal="left" vertical="center"/>
    </xf>
    <xf numFmtId="0" fontId="58" fillId="2" borderId="42" xfId="2" applyFont="1" applyFill="1" applyAlignment="1">
      <alignment horizontal="center"/>
    </xf>
    <xf numFmtId="49" fontId="68" fillId="26" borderId="230" xfId="2" applyNumberFormat="1" applyFont="1" applyFill="1" applyBorder="1" applyAlignment="1">
      <alignment horizontal="center" vertical="center"/>
    </xf>
    <xf numFmtId="49" fontId="68" fillId="26" borderId="228" xfId="2" applyNumberFormat="1" applyFont="1" applyFill="1" applyBorder="1" applyAlignment="1">
      <alignment horizontal="center" vertical="center"/>
    </xf>
    <xf numFmtId="49" fontId="68" fillId="26" borderId="232" xfId="2" applyNumberFormat="1" applyFont="1" applyFill="1" applyBorder="1" applyAlignment="1">
      <alignment horizontal="center" vertical="center"/>
    </xf>
    <xf numFmtId="49" fontId="68" fillId="26" borderId="233" xfId="2" applyNumberFormat="1" applyFont="1" applyFill="1" applyBorder="1" applyAlignment="1">
      <alignment horizontal="center" vertical="center"/>
    </xf>
    <xf numFmtId="49" fontId="68" fillId="6" borderId="145" xfId="2" applyNumberFormat="1" applyFont="1" applyFill="1" applyBorder="1" applyAlignment="1">
      <alignment horizontal="center" vertical="center"/>
    </xf>
    <xf numFmtId="1" fontId="68" fillId="6" borderId="145" xfId="2" applyNumberFormat="1" applyFont="1" applyFill="1" applyBorder="1" applyAlignment="1">
      <alignment horizontal="center" vertical="center"/>
    </xf>
    <xf numFmtId="178" fontId="68" fillId="6" borderId="145" xfId="2" applyNumberFormat="1" applyFont="1" applyFill="1" applyBorder="1" applyAlignment="1">
      <alignment horizontal="center" vertical="center"/>
    </xf>
    <xf numFmtId="171" fontId="68" fillId="6" borderId="145" xfId="2" applyNumberFormat="1" applyFont="1" applyFill="1" applyBorder="1" applyAlignment="1">
      <alignment horizontal="center" vertical="center"/>
    </xf>
    <xf numFmtId="2" fontId="68" fillId="6" borderId="145" xfId="2" applyNumberFormat="1" applyFont="1" applyFill="1" applyBorder="1" applyAlignment="1">
      <alignment horizontal="center" vertical="center"/>
    </xf>
    <xf numFmtId="0" fontId="68" fillId="6" borderId="155" xfId="2" applyFont="1" applyFill="1" applyBorder="1" applyAlignment="1">
      <alignment horizontal="center" vertical="center"/>
    </xf>
    <xf numFmtId="0" fontId="72" fillId="2" borderId="42" xfId="2" applyFont="1" applyFill="1" applyAlignment="1">
      <alignment horizontal="center"/>
    </xf>
    <xf numFmtId="44" fontId="13" fillId="2" borderId="42" xfId="4" applyFont="1" applyFill="1" applyBorder="1" applyAlignment="1">
      <alignment horizontal="center"/>
    </xf>
    <xf numFmtId="0" fontId="122" fillId="2" borderId="42" xfId="2" applyFont="1" applyFill="1" applyAlignment="1">
      <alignment horizontal="center" vertical="center"/>
    </xf>
    <xf numFmtId="187" fontId="122" fillId="2" borderId="42" xfId="2" applyNumberFormat="1" applyFont="1" applyFill="1" applyAlignment="1">
      <alignment horizontal="center" vertical="center"/>
    </xf>
    <xf numFmtId="196" fontId="122" fillId="2" borderId="42" xfId="2" applyNumberFormat="1" applyFont="1" applyFill="1" applyAlignment="1">
      <alignment horizontal="center" vertical="center"/>
    </xf>
    <xf numFmtId="0" fontId="122" fillId="24" borderId="42" xfId="2" applyFont="1" applyFill="1" applyAlignment="1">
      <alignment horizontal="center" vertical="center"/>
    </xf>
    <xf numFmtId="198" fontId="122" fillId="2" borderId="42" xfId="2" applyNumberFormat="1" applyFont="1" applyFill="1" applyAlignment="1">
      <alignment horizontal="center" vertical="center"/>
    </xf>
    <xf numFmtId="0" fontId="122" fillId="2" borderId="42" xfId="2" applyFont="1" applyFill="1" applyAlignment="1">
      <alignment horizontal="center"/>
    </xf>
    <xf numFmtId="0" fontId="122" fillId="2" borderId="42" xfId="2" applyFont="1" applyFill="1"/>
    <xf numFmtId="0" fontId="122" fillId="24" borderId="42" xfId="2" applyFont="1" applyFill="1" applyAlignment="1">
      <alignment horizontal="center"/>
    </xf>
    <xf numFmtId="0" fontId="122" fillId="0" borderId="42" xfId="2" applyFont="1" applyAlignment="1">
      <alignment horizontal="center"/>
    </xf>
    <xf numFmtId="49" fontId="122" fillId="2" borderId="42" xfId="2" applyNumberFormat="1" applyFont="1" applyFill="1" applyAlignment="1">
      <alignment horizontal="center" vertical="center"/>
    </xf>
    <xf numFmtId="49" fontId="121" fillId="2" borderId="42" xfId="2" applyNumberFormat="1" applyFont="1" applyFill="1" applyAlignment="1">
      <alignment horizontal="center" vertical="center"/>
    </xf>
    <xf numFmtId="49" fontId="31" fillId="2" borderId="42" xfId="2" applyNumberFormat="1" applyFont="1" applyFill="1" applyAlignment="1">
      <alignment horizontal="center" vertical="top"/>
    </xf>
    <xf numFmtId="49" fontId="121" fillId="2" borderId="42" xfId="2" applyNumberFormat="1" applyFont="1" applyFill="1" applyAlignment="1">
      <alignment horizontal="center" vertical="top"/>
    </xf>
    <xf numFmtId="44" fontId="121" fillId="2" borderId="42" xfId="4" applyFont="1" applyFill="1" applyBorder="1" applyAlignment="1">
      <alignment horizontal="center" vertical="top"/>
    </xf>
    <xf numFmtId="44" fontId="123" fillId="2" borderId="42" xfId="4" applyFont="1" applyFill="1" applyBorder="1" applyAlignment="1">
      <alignment horizontal="center" vertical="top"/>
    </xf>
    <xf numFmtId="0" fontId="124" fillId="2" borderId="42" xfId="2" applyFont="1" applyFill="1"/>
    <xf numFmtId="49" fontId="121" fillId="2" borderId="42" xfId="2" applyNumberFormat="1" applyFont="1" applyFill="1" applyAlignment="1">
      <alignment horizontal="right" vertical="center"/>
    </xf>
    <xf numFmtId="44" fontId="121" fillId="2" borderId="42" xfId="4" applyFont="1" applyFill="1" applyBorder="1" applyAlignment="1">
      <alignment horizontal="right" vertical="center"/>
    </xf>
    <xf numFmtId="44" fontId="123" fillId="2" borderId="42" xfId="4" applyFont="1" applyFill="1" applyBorder="1" applyAlignment="1">
      <alignment horizontal="center" vertical="center"/>
    </xf>
    <xf numFmtId="44" fontId="121" fillId="2" borderId="42" xfId="4" applyFont="1" applyFill="1" applyBorder="1" applyAlignment="1">
      <alignment horizontal="center" vertical="center"/>
    </xf>
    <xf numFmtId="49" fontId="31" fillId="2" borderId="42" xfId="2" applyNumberFormat="1" applyFont="1" applyFill="1" applyAlignment="1">
      <alignment horizontal="right" vertical="center"/>
    </xf>
    <xf numFmtId="49" fontId="121" fillId="2" borderId="42" xfId="2" applyNumberFormat="1" applyFont="1" applyFill="1" applyAlignment="1">
      <alignment horizontal="right" vertical="top"/>
    </xf>
    <xf numFmtId="44" fontId="121" fillId="2" borderId="42" xfId="4" applyFont="1" applyFill="1" applyBorder="1" applyAlignment="1">
      <alignment horizontal="right" vertical="top"/>
    </xf>
    <xf numFmtId="198" fontId="68" fillId="6" borderId="145" xfId="2" applyNumberFormat="1" applyFont="1" applyFill="1" applyBorder="1" applyAlignment="1">
      <alignment horizontal="center" vertical="center"/>
    </xf>
    <xf numFmtId="0" fontId="59" fillId="29" borderId="42" xfId="2" applyFont="1" applyFill="1" applyAlignment="1">
      <alignment horizontal="right" vertical="center"/>
    </xf>
    <xf numFmtId="0" fontId="68" fillId="25" borderId="42" xfId="2" applyFont="1" applyFill="1" applyAlignment="1">
      <alignment horizontal="center" vertical="center"/>
    </xf>
    <xf numFmtId="199" fontId="122" fillId="24" borderId="145" xfId="2" applyNumberFormat="1" applyFont="1" applyFill="1" applyBorder="1" applyAlignment="1">
      <alignment horizontal="center" vertical="center"/>
    </xf>
    <xf numFmtId="167" fontId="122" fillId="2" borderId="145" xfId="2" applyNumberFormat="1" applyFont="1" applyFill="1" applyBorder="1" applyAlignment="1">
      <alignment horizontal="center" vertical="center"/>
    </xf>
    <xf numFmtId="197" fontId="122" fillId="24" borderId="145" xfId="2" applyNumberFormat="1" applyFont="1" applyFill="1" applyBorder="1" applyAlignment="1">
      <alignment horizontal="center" vertical="center"/>
    </xf>
    <xf numFmtId="0" fontId="120" fillId="49" borderId="145" xfId="2" applyFont="1" applyFill="1" applyBorder="1" applyAlignment="1">
      <alignment horizontal="center" vertical="center"/>
    </xf>
    <xf numFmtId="196" fontId="120" fillId="49" borderId="145" xfId="2" applyNumberFormat="1" applyFont="1" applyFill="1" applyBorder="1" applyAlignment="1">
      <alignment horizontal="center" vertical="center"/>
    </xf>
    <xf numFmtId="197" fontId="120" fillId="49" borderId="145" xfId="2" applyNumberFormat="1" applyFont="1" applyFill="1" applyBorder="1" applyAlignment="1">
      <alignment horizontal="center" vertical="center"/>
    </xf>
    <xf numFmtId="0" fontId="120" fillId="28" borderId="145" xfId="2" applyFont="1" applyFill="1" applyBorder="1" applyAlignment="1">
      <alignment horizontal="center"/>
    </xf>
    <xf numFmtId="169" fontId="122" fillId="2" borderId="145" xfId="2" applyNumberFormat="1" applyFont="1" applyFill="1" applyBorder="1" applyAlignment="1">
      <alignment horizontal="center" vertical="center"/>
    </xf>
    <xf numFmtId="0" fontId="122" fillId="24" borderId="42" xfId="2" applyFont="1" applyFill="1"/>
    <xf numFmtId="0" fontId="122" fillId="2" borderId="42" xfId="2" applyFont="1" applyFill="1" applyAlignment="1">
      <alignment horizontal="right" vertical="center"/>
    </xf>
    <xf numFmtId="0" fontId="122" fillId="24" borderId="42" xfId="2" applyFont="1" applyFill="1" applyAlignment="1">
      <alignment horizontal="right"/>
    </xf>
    <xf numFmtId="0" fontId="37" fillId="24" borderId="42" xfId="2" applyFont="1" applyFill="1" applyAlignment="1">
      <alignment horizontal="right"/>
    </xf>
    <xf numFmtId="0" fontId="122" fillId="2" borderId="42" xfId="2" applyFont="1" applyFill="1" applyAlignment="1">
      <alignment horizontal="right"/>
    </xf>
    <xf numFmtId="176" fontId="122" fillId="2" borderId="42" xfId="2" applyNumberFormat="1" applyFont="1" applyFill="1"/>
    <xf numFmtId="0" fontId="128" fillId="24" borderId="42" xfId="2" applyFont="1" applyFill="1" applyAlignment="1">
      <alignment horizontal="right"/>
    </xf>
    <xf numFmtId="0" fontId="129" fillId="24" borderId="42" xfId="2" applyFont="1" applyFill="1"/>
    <xf numFmtId="0" fontId="122" fillId="2" borderId="145" xfId="2" applyFont="1" applyFill="1" applyBorder="1" applyAlignment="1">
      <alignment horizontal="center" vertical="center"/>
    </xf>
    <xf numFmtId="0" fontId="130" fillId="24" borderId="42" xfId="2" applyFont="1" applyFill="1"/>
    <xf numFmtId="0" fontId="3" fillId="24" borderId="42" xfId="2" applyFont="1" applyFill="1"/>
    <xf numFmtId="44" fontId="0" fillId="24" borderId="42" xfId="4" applyFont="1" applyFill="1" applyBorder="1"/>
    <xf numFmtId="0" fontId="68" fillId="25" borderId="16" xfId="2" applyFont="1" applyFill="1" applyBorder="1" applyAlignment="1">
      <alignment horizontal="center"/>
    </xf>
    <xf numFmtId="193" fontId="37" fillId="24" borderId="42" xfId="2" applyNumberFormat="1" applyFont="1" applyFill="1"/>
    <xf numFmtId="44" fontId="37" fillId="24" borderId="42" xfId="4" applyFont="1" applyFill="1" applyBorder="1"/>
    <xf numFmtId="194" fontId="37" fillId="24" borderId="42" xfId="2" applyNumberFormat="1" applyFont="1" applyFill="1"/>
    <xf numFmtId="0" fontId="63" fillId="24" borderId="33" xfId="0" applyFont="1" applyFill="1" applyBorder="1"/>
    <xf numFmtId="0" fontId="63" fillId="24" borderId="9" xfId="0" applyFont="1" applyFill="1" applyBorder="1"/>
    <xf numFmtId="0" fontId="125" fillId="24" borderId="42" xfId="12" applyFont="1" applyFill="1" applyBorder="1" applyAlignment="1">
      <alignment horizontal="center"/>
    </xf>
    <xf numFmtId="0" fontId="125" fillId="2" borderId="42" xfId="12" applyFont="1" applyFill="1" applyBorder="1" applyAlignment="1">
      <alignment horizontal="center" vertical="center"/>
    </xf>
    <xf numFmtId="0" fontId="125" fillId="2" borderId="42" xfId="12" applyFont="1" applyFill="1" applyBorder="1" applyAlignment="1">
      <alignment horizontal="center"/>
    </xf>
    <xf numFmtId="0" fontId="59" fillId="3" borderId="145" xfId="2" applyFont="1" applyFill="1" applyBorder="1" applyAlignment="1">
      <alignment horizontal="center" vertical="center"/>
    </xf>
    <xf numFmtId="181" fontId="70" fillId="16" borderId="145" xfId="2" applyNumberFormat="1" applyFont="1" applyFill="1" applyBorder="1" applyAlignment="1">
      <alignment horizontal="center" vertical="center"/>
    </xf>
    <xf numFmtId="0" fontId="125" fillId="24" borderId="42" xfId="12" applyFont="1" applyFill="1" applyBorder="1" applyAlignment="1">
      <alignment horizontal="center" vertical="center"/>
    </xf>
    <xf numFmtId="195" fontId="68" fillId="6" borderId="145" xfId="2" applyNumberFormat="1" applyFont="1" applyFill="1" applyBorder="1" applyAlignment="1">
      <alignment horizontal="center" vertical="center" wrapText="1"/>
    </xf>
    <xf numFmtId="0" fontId="68" fillId="6" borderId="145" xfId="2" applyFont="1" applyFill="1" applyBorder="1" applyAlignment="1">
      <alignment horizontal="center" vertical="center" wrapText="1"/>
    </xf>
    <xf numFmtId="49" fontId="68" fillId="26" borderId="229" xfId="2" applyNumberFormat="1" applyFont="1" applyFill="1" applyBorder="1" applyAlignment="1">
      <alignment horizontal="center" vertical="center"/>
    </xf>
    <xf numFmtId="0" fontId="63" fillId="0" borderId="231" xfId="2" applyFont="1" applyBorder="1"/>
    <xf numFmtId="49" fontId="68" fillId="26" borderId="145" xfId="2" applyNumberFormat="1" applyFont="1" applyFill="1" applyBorder="1" applyAlignment="1">
      <alignment horizontal="center" vertical="center"/>
    </xf>
    <xf numFmtId="0" fontId="116" fillId="24" borderId="42" xfId="2" applyFont="1" applyFill="1" applyAlignment="1">
      <alignment horizontal="center" vertical="center"/>
    </xf>
    <xf numFmtId="0" fontId="63" fillId="28" borderId="137" xfId="2" applyFont="1" applyFill="1" applyBorder="1" applyAlignment="1">
      <alignment horizontal="center"/>
    </xf>
    <xf numFmtId="0" fontId="63" fillId="28" borderId="42" xfId="2" applyFont="1" applyFill="1" applyAlignment="1">
      <alignment horizontal="center"/>
    </xf>
    <xf numFmtId="49" fontId="68" fillId="46" borderId="42" xfId="2" applyNumberFormat="1" applyFont="1" applyFill="1" applyAlignment="1">
      <alignment horizontal="center" vertical="center"/>
    </xf>
    <xf numFmtId="49" fontId="68" fillId="26" borderId="142" xfId="2" applyNumberFormat="1" applyFont="1" applyFill="1" applyBorder="1" applyAlignment="1">
      <alignment horizontal="center" vertical="center"/>
    </xf>
    <xf numFmtId="0" fontId="63" fillId="0" borderId="216" xfId="2" applyFont="1" applyBorder="1"/>
    <xf numFmtId="183" fontId="68" fillId="6" borderId="144" xfId="2" applyNumberFormat="1" applyFont="1" applyFill="1" applyBorder="1" applyAlignment="1">
      <alignment horizontal="center" vertical="center" wrapText="1"/>
    </xf>
    <xf numFmtId="183" fontId="68" fillId="6" borderId="227" xfId="2" applyNumberFormat="1" applyFont="1" applyFill="1" applyBorder="1" applyAlignment="1">
      <alignment horizontal="center" vertical="center" wrapText="1"/>
    </xf>
    <xf numFmtId="179" fontId="68" fillId="6" borderId="143" xfId="2" applyNumberFormat="1" applyFont="1" applyFill="1" applyBorder="1" applyAlignment="1">
      <alignment horizontal="center" vertical="center" wrapText="1"/>
    </xf>
    <xf numFmtId="0" fontId="63" fillId="0" borderId="217" xfId="2" applyFont="1" applyBorder="1"/>
    <xf numFmtId="0" fontId="59" fillId="3" borderId="152" xfId="2" applyFont="1" applyFill="1" applyBorder="1" applyAlignment="1">
      <alignment horizontal="center"/>
    </xf>
    <xf numFmtId="0" fontId="59" fillId="3" borderId="153" xfId="2" applyFont="1" applyFill="1" applyBorder="1" applyAlignment="1">
      <alignment horizontal="center"/>
    </xf>
    <xf numFmtId="0" fontId="59" fillId="3" borderId="154" xfId="2" applyFont="1" applyFill="1" applyBorder="1" applyAlignment="1">
      <alignment horizontal="center"/>
    </xf>
    <xf numFmtId="0" fontId="128" fillId="24" borderId="42" xfId="2" applyFont="1" applyFill="1" applyAlignment="1">
      <alignment horizontal="center"/>
    </xf>
    <xf numFmtId="0" fontId="120" fillId="28" borderId="145" xfId="2" applyFont="1" applyFill="1" applyBorder="1" applyAlignment="1">
      <alignment horizontal="center" vertical="center"/>
    </xf>
    <xf numFmtId="0" fontId="59" fillId="3" borderId="219" xfId="2" applyFont="1" applyFill="1" applyBorder="1" applyAlignment="1">
      <alignment horizontal="center"/>
    </xf>
    <xf numFmtId="0" fontId="59" fillId="3" borderId="141" xfId="2" applyFont="1" applyFill="1" applyBorder="1" applyAlignment="1">
      <alignment horizontal="center"/>
    </xf>
    <xf numFmtId="0" fontId="59" fillId="3" borderId="220" xfId="2" applyFont="1" applyFill="1" applyBorder="1" applyAlignment="1">
      <alignment horizontal="center"/>
    </xf>
    <xf numFmtId="0" fontId="68" fillId="6" borderId="134" xfId="2" applyFont="1" applyFill="1" applyBorder="1" applyAlignment="1">
      <alignment horizontal="center" vertical="center" wrapText="1"/>
    </xf>
    <xf numFmtId="0" fontId="68" fillId="6" borderId="226" xfId="2" applyFont="1" applyFill="1" applyBorder="1" applyAlignment="1">
      <alignment horizontal="center" vertical="center" wrapText="1"/>
    </xf>
    <xf numFmtId="49" fontId="68" fillId="6" borderId="138" xfId="2" applyNumberFormat="1" applyFont="1" applyFill="1" applyBorder="1" applyAlignment="1">
      <alignment horizontal="center" vertical="center" wrapText="1"/>
    </xf>
    <xf numFmtId="49" fontId="68" fillId="6" borderId="218" xfId="2" applyNumberFormat="1" applyFont="1" applyFill="1" applyBorder="1" applyAlignment="1">
      <alignment horizontal="center" vertical="center" wrapText="1"/>
    </xf>
    <xf numFmtId="49" fontId="68" fillId="6" borderId="221" xfId="2" applyNumberFormat="1" applyFont="1" applyFill="1" applyBorder="1" applyAlignment="1">
      <alignment horizontal="center" vertical="center" wrapText="1"/>
    </xf>
    <xf numFmtId="0" fontId="63" fillId="0" borderId="222" xfId="2" applyFont="1" applyBorder="1"/>
    <xf numFmtId="179" fontId="68" fillId="6" borderId="145" xfId="2" applyNumberFormat="1" applyFont="1" applyFill="1" applyBorder="1" applyAlignment="1">
      <alignment horizontal="center" vertical="center" wrapText="1"/>
    </xf>
    <xf numFmtId="0" fontId="63" fillId="0" borderId="145" xfId="2" applyFont="1" applyBorder="1"/>
    <xf numFmtId="0" fontId="85" fillId="41" borderId="206" xfId="6" applyFont="1" applyFill="1" applyBorder="1" applyAlignment="1">
      <alignment horizontal="center"/>
    </xf>
    <xf numFmtId="0" fontId="85" fillId="41" borderId="163" xfId="6" applyFont="1" applyFill="1" applyBorder="1" applyAlignment="1">
      <alignment horizontal="center"/>
    </xf>
    <xf numFmtId="0" fontId="85" fillId="41" borderId="208" xfId="6" applyFont="1" applyFill="1" applyBorder="1" applyAlignment="1">
      <alignment horizontal="center"/>
    </xf>
    <xf numFmtId="0" fontId="85" fillId="41" borderId="182" xfId="6" applyFont="1" applyFill="1" applyBorder="1" applyAlignment="1">
      <alignment horizontal="center"/>
    </xf>
    <xf numFmtId="0" fontId="85" fillId="41" borderId="175" xfId="6" applyFont="1" applyFill="1" applyBorder="1" applyAlignment="1">
      <alignment horizontal="center"/>
    </xf>
    <xf numFmtId="0" fontId="85" fillId="41" borderId="204" xfId="6" applyFont="1" applyFill="1" applyBorder="1" applyAlignment="1">
      <alignment horizontal="center"/>
    </xf>
    <xf numFmtId="0" fontId="85" fillId="43" borderId="172" xfId="6" applyFont="1" applyFill="1" applyBorder="1" applyAlignment="1">
      <alignment horizontal="center"/>
    </xf>
    <xf numFmtId="0" fontId="85" fillId="43" borderId="173" xfId="6" applyFont="1" applyFill="1" applyBorder="1" applyAlignment="1">
      <alignment horizontal="center"/>
    </xf>
    <xf numFmtId="0" fontId="85" fillId="43" borderId="174" xfId="6" applyFont="1" applyFill="1" applyBorder="1" applyAlignment="1">
      <alignment horizontal="center"/>
    </xf>
    <xf numFmtId="0" fontId="85" fillId="41" borderId="172" xfId="6" applyFont="1" applyFill="1" applyBorder="1" applyAlignment="1">
      <alignment horizontal="center"/>
    </xf>
    <xf numFmtId="0" fontId="85" fillId="41" borderId="174" xfId="6" applyFont="1" applyFill="1" applyBorder="1" applyAlignment="1">
      <alignment horizontal="center"/>
    </xf>
    <xf numFmtId="0" fontId="85" fillId="41" borderId="173" xfId="6" applyFont="1" applyFill="1" applyBorder="1" applyAlignment="1">
      <alignment horizontal="center"/>
    </xf>
    <xf numFmtId="2" fontId="80" fillId="0" borderId="42" xfId="6" applyNumberFormat="1" applyAlignment="1">
      <alignment horizontal="center"/>
    </xf>
    <xf numFmtId="0" fontId="80" fillId="0" borderId="42" xfId="6" applyAlignment="1">
      <alignment horizontal="center"/>
    </xf>
    <xf numFmtId="0" fontId="94" fillId="0" borderId="42" xfId="8" applyFont="1" applyAlignment="1">
      <alignment horizontal="center"/>
    </xf>
    <xf numFmtId="0" fontId="54" fillId="24" borderId="0" xfId="1" applyFill="1" applyAlignment="1">
      <alignment horizontal="center" vertical="center"/>
    </xf>
    <xf numFmtId="0" fontId="37" fillId="2" borderId="137" xfId="0" applyFont="1" applyFill="1" applyBorder="1" applyAlignment="1">
      <alignment horizontal="center" vertical="center"/>
    </xf>
    <xf numFmtId="0" fontId="37" fillId="2" borderId="42" xfId="0" applyFont="1" applyFill="1" applyBorder="1" applyAlignment="1">
      <alignment horizontal="center" vertical="center"/>
    </xf>
    <xf numFmtId="0" fontId="37" fillId="24" borderId="132" xfId="0" applyFont="1" applyFill="1" applyBorder="1" applyAlignment="1">
      <alignment horizontal="center" vertical="center"/>
    </xf>
    <xf numFmtId="0" fontId="63" fillId="25" borderId="133" xfId="0" applyFont="1" applyFill="1" applyBorder="1" applyAlignment="1">
      <alignment horizontal="left" vertical="center" wrapText="1"/>
    </xf>
    <xf numFmtId="0" fontId="63" fillId="24" borderId="133" xfId="0" applyFont="1" applyFill="1" applyBorder="1" applyAlignment="1">
      <alignment horizontal="left" wrapText="1"/>
    </xf>
    <xf numFmtId="0" fontId="63" fillId="25" borderId="135" xfId="0" applyFont="1" applyFill="1" applyBorder="1" applyAlignment="1">
      <alignment horizontal="left" vertical="center" wrapText="1"/>
    </xf>
    <xf numFmtId="0" fontId="63" fillId="25" borderId="42" xfId="0" applyFont="1" applyFill="1" applyBorder="1" applyAlignment="1">
      <alignment horizontal="left" vertical="center" wrapText="1"/>
    </xf>
    <xf numFmtId="0" fontId="63" fillId="25" borderId="132" xfId="0" applyFont="1" applyFill="1" applyBorder="1" applyAlignment="1">
      <alignment horizontal="left" vertical="center" wrapText="1"/>
    </xf>
    <xf numFmtId="0" fontId="46" fillId="2" borderId="2" xfId="0" applyFont="1" applyFill="1" applyBorder="1" applyAlignment="1">
      <alignment horizontal="center" vertical="center" wrapText="1"/>
    </xf>
    <xf numFmtId="0" fontId="63" fillId="0" borderId="3" xfId="0" applyFont="1" applyBorder="1"/>
    <xf numFmtId="0" fontId="63" fillId="0" borderId="4" xfId="0" applyFont="1" applyBorder="1"/>
    <xf numFmtId="0" fontId="63" fillId="0" borderId="18" xfId="0" applyFont="1" applyBorder="1"/>
    <xf numFmtId="0" fontId="37" fillId="0" borderId="0" xfId="0" applyFont="1"/>
    <xf numFmtId="0" fontId="63" fillId="0" borderId="19" xfId="0" applyFont="1" applyBorder="1"/>
    <xf numFmtId="0" fontId="63" fillId="0" borderId="5" xfId="0" applyFont="1" applyBorder="1"/>
    <xf numFmtId="0" fontId="63" fillId="0" borderId="6" xfId="0" applyFont="1" applyBorder="1"/>
    <xf numFmtId="0" fontId="63" fillId="0" borderId="7" xfId="0" applyFont="1" applyBorder="1"/>
    <xf numFmtId="0" fontId="37" fillId="2" borderId="132" xfId="0" applyFont="1" applyFill="1" applyBorder="1" applyAlignment="1">
      <alignment horizontal="center" vertical="center"/>
    </xf>
    <xf numFmtId="0" fontId="37" fillId="2" borderId="136" xfId="0" applyFont="1" applyFill="1" applyBorder="1" applyAlignment="1">
      <alignment horizontal="center" vertical="center"/>
    </xf>
    <xf numFmtId="0" fontId="37" fillId="2" borderId="135" xfId="0" applyFont="1" applyFill="1" applyBorder="1" applyAlignment="1">
      <alignment horizontal="center" vertical="center"/>
    </xf>
    <xf numFmtId="0" fontId="37" fillId="2" borderId="44" xfId="0" applyFont="1" applyFill="1" applyBorder="1" applyAlignment="1">
      <alignment horizontal="center" vertical="center"/>
    </xf>
    <xf numFmtId="0" fontId="63" fillId="0" borderId="43" xfId="0" applyFont="1" applyBorder="1"/>
    <xf numFmtId="0" fontId="37" fillId="2" borderId="32" xfId="0" applyFont="1" applyFill="1" applyBorder="1" applyAlignment="1">
      <alignment horizontal="center" vertical="center"/>
    </xf>
    <xf numFmtId="0" fontId="63" fillId="0" borderId="33" xfId="0" applyFont="1" applyBorder="1"/>
    <xf numFmtId="0" fontId="37" fillId="2" borderId="38" xfId="0" applyFont="1" applyFill="1" applyBorder="1" applyAlignment="1">
      <alignment horizontal="center" vertical="center"/>
    </xf>
    <xf numFmtId="0" fontId="37" fillId="2" borderId="36" xfId="0" applyFont="1" applyFill="1" applyBorder="1" applyAlignment="1">
      <alignment horizontal="center" vertical="center" wrapText="1"/>
    </xf>
    <xf numFmtId="0" fontId="63" fillId="0" borderId="27" xfId="0" applyFont="1" applyBorder="1"/>
    <xf numFmtId="0" fontId="63" fillId="0" borderId="34" xfId="0" applyFont="1" applyBorder="1"/>
    <xf numFmtId="0" fontId="37" fillId="2" borderId="8" xfId="0" applyFont="1" applyFill="1" applyBorder="1" applyAlignment="1">
      <alignment horizontal="center" vertical="center"/>
    </xf>
    <xf numFmtId="0" fontId="63" fillId="0" borderId="9" xfId="0" applyFont="1" applyBorder="1"/>
    <xf numFmtId="0" fontId="65" fillId="2" borderId="42" xfId="0" applyFont="1" applyFill="1" applyBorder="1" applyAlignment="1">
      <alignment horizontal="center" vertical="center"/>
    </xf>
    <xf numFmtId="0" fontId="63" fillId="0" borderId="20" xfId="0" applyFont="1" applyBorder="1"/>
    <xf numFmtId="0" fontId="63" fillId="24" borderId="135" xfId="0" applyFont="1" applyFill="1" applyBorder="1" applyAlignment="1">
      <alignment horizontal="left" wrapText="1"/>
    </xf>
    <xf numFmtId="0" fontId="63" fillId="24" borderId="132" xfId="0" applyFont="1" applyFill="1" applyBorder="1" applyAlignment="1">
      <alignment horizontal="left" wrapText="1"/>
    </xf>
    <xf numFmtId="0" fontId="37" fillId="2" borderId="24" xfId="0" applyFont="1" applyFill="1" applyBorder="1" applyAlignment="1">
      <alignment horizontal="center" vertical="center" wrapText="1"/>
    </xf>
    <xf numFmtId="0" fontId="37" fillId="2" borderId="22" xfId="0" applyFont="1" applyFill="1" applyBorder="1" applyAlignment="1">
      <alignment horizontal="center" vertical="center"/>
    </xf>
    <xf numFmtId="0" fontId="63" fillId="0" borderId="23" xfId="0" applyFont="1" applyBorder="1"/>
    <xf numFmtId="0" fontId="37" fillId="2" borderId="25" xfId="0" applyFont="1" applyFill="1" applyBorder="1" applyAlignment="1">
      <alignment horizontal="center" vertical="center" wrapText="1"/>
    </xf>
    <xf numFmtId="0" fontId="63" fillId="0" borderId="28" xfId="0" applyFont="1" applyBorder="1" applyAlignment="1">
      <alignment wrapText="1"/>
    </xf>
    <xf numFmtId="0" fontId="37" fillId="2" borderId="31" xfId="0" applyFont="1" applyFill="1" applyBorder="1" applyAlignment="1">
      <alignment horizontal="center" vertical="center" wrapText="1"/>
    </xf>
    <xf numFmtId="0" fontId="63" fillId="0" borderId="35" xfId="0" applyFont="1" applyBorder="1"/>
    <xf numFmtId="0" fontId="63" fillId="0" borderId="37" xfId="0" applyFont="1" applyBorder="1"/>
    <xf numFmtId="0" fontId="37" fillId="2" borderId="43" xfId="0" applyFont="1" applyFill="1" applyBorder="1" applyAlignment="1">
      <alignment horizontal="center" vertical="center"/>
    </xf>
    <xf numFmtId="0" fontId="37" fillId="2" borderId="21" xfId="0" applyFont="1" applyFill="1" applyBorder="1" applyAlignment="1">
      <alignment horizontal="center" vertical="center"/>
    </xf>
    <xf numFmtId="0" fontId="37" fillId="2" borderId="39" xfId="0" applyFont="1" applyFill="1" applyBorder="1" applyAlignment="1">
      <alignment horizontal="center" vertical="center"/>
    </xf>
    <xf numFmtId="0" fontId="37" fillId="2" borderId="40" xfId="0" applyFont="1" applyFill="1" applyBorder="1" applyAlignment="1">
      <alignment horizontal="center" vertical="center"/>
    </xf>
    <xf numFmtId="0" fontId="37" fillId="2" borderId="41" xfId="0" applyFont="1" applyFill="1" applyBorder="1" applyAlignment="1">
      <alignment horizontal="center" vertical="center"/>
    </xf>
    <xf numFmtId="0" fontId="63" fillId="0" borderId="40" xfId="0" applyFont="1" applyBorder="1"/>
    <xf numFmtId="0" fontId="37" fillId="2" borderId="1" xfId="0" applyFont="1" applyFill="1" applyBorder="1" applyAlignment="1">
      <alignment horizontal="right" vertical="center"/>
    </xf>
    <xf numFmtId="0" fontId="64" fillId="2" borderId="2" xfId="0" applyFont="1" applyFill="1" applyBorder="1" applyAlignment="1">
      <alignment horizontal="center" vertical="center"/>
    </xf>
    <xf numFmtId="0" fontId="37" fillId="2" borderId="132" xfId="0" applyFont="1" applyFill="1" applyBorder="1" applyAlignment="1">
      <alignment horizontal="center"/>
    </xf>
    <xf numFmtId="0" fontId="37" fillId="2" borderId="133" xfId="0" applyFont="1" applyFill="1" applyBorder="1" applyAlignment="1">
      <alignment horizontal="center"/>
    </xf>
    <xf numFmtId="0" fontId="37" fillId="2" borderId="134" xfId="0" applyFont="1" applyFill="1" applyBorder="1" applyAlignment="1">
      <alignment horizontal="center"/>
    </xf>
    <xf numFmtId="0" fontId="37" fillId="24" borderId="134" xfId="0" applyFont="1" applyFill="1" applyBorder="1" applyAlignment="1">
      <alignment horizontal="center"/>
    </xf>
    <xf numFmtId="0" fontId="37" fillId="24" borderId="133" xfId="0" applyFont="1" applyFill="1" applyBorder="1" applyAlignment="1">
      <alignment horizontal="center"/>
    </xf>
    <xf numFmtId="0" fontId="37" fillId="24" borderId="42" xfId="0" applyFont="1" applyFill="1" applyBorder="1" applyAlignment="1">
      <alignment horizontal="center"/>
    </xf>
    <xf numFmtId="0" fontId="3" fillId="24" borderId="163" xfId="0" applyFont="1" applyFill="1" applyBorder="1" applyAlignment="1">
      <alignment horizontal="left" wrapText="1"/>
    </xf>
    <xf numFmtId="0" fontId="0" fillId="24" borderId="163" xfId="0" applyFill="1" applyBorder="1" applyAlignment="1">
      <alignment horizontal="left" wrapText="1"/>
    </xf>
    <xf numFmtId="0" fontId="0" fillId="24" borderId="42" xfId="0" applyFill="1" applyBorder="1" applyAlignment="1">
      <alignment horizontal="left" wrapText="1"/>
    </xf>
    <xf numFmtId="0" fontId="0" fillId="24" borderId="175" xfId="0" applyFill="1" applyBorder="1" applyAlignment="1">
      <alignment horizontal="left" wrapText="1"/>
    </xf>
    <xf numFmtId="0" fontId="32" fillId="17" borderId="123" xfId="0" applyFont="1" applyFill="1" applyBorder="1" applyAlignment="1">
      <alignment horizontal="center"/>
    </xf>
    <xf numFmtId="0" fontId="2" fillId="0" borderId="124" xfId="0" applyFont="1" applyBorder="1"/>
    <xf numFmtId="0" fontId="32" fillId="17" borderId="125" xfId="0" applyFont="1" applyFill="1" applyBorder="1" applyAlignment="1">
      <alignment horizontal="center"/>
    </xf>
    <xf numFmtId="0" fontId="2" fillId="0" borderId="126" xfId="0" applyFont="1" applyBorder="1"/>
    <xf numFmtId="0" fontId="12" fillId="2" borderId="46" xfId="0" applyFont="1" applyFill="1" applyBorder="1" applyAlignment="1">
      <alignment horizontal="center" vertical="center"/>
    </xf>
    <xf numFmtId="0" fontId="2" fillId="0" borderId="47" xfId="0" applyFont="1" applyBorder="1"/>
    <xf numFmtId="0" fontId="11" fillId="2" borderId="68" xfId="0" applyFont="1" applyFill="1" applyBorder="1" applyAlignment="1">
      <alignment horizontal="center"/>
    </xf>
    <xf numFmtId="0" fontId="2" fillId="0" borderId="69" xfId="0" applyFont="1" applyBorder="1"/>
    <xf numFmtId="0" fontId="2" fillId="0" borderId="70" xfId="0" applyFont="1" applyBorder="1"/>
    <xf numFmtId="0" fontId="22" fillId="0" borderId="0" xfId="0" applyFont="1" applyAlignment="1">
      <alignment horizontal="center" vertical="center"/>
    </xf>
    <xf numFmtId="0" fontId="0" fillId="0" borderId="0" xfId="0"/>
    <xf numFmtId="0" fontId="29" fillId="2" borderId="32" xfId="0" applyFont="1" applyFill="1" applyBorder="1" applyAlignment="1">
      <alignment horizontal="center"/>
    </xf>
    <xf numFmtId="0" fontId="2" fillId="0" borderId="42" xfId="0" applyFont="1" applyBorder="1"/>
    <xf numFmtId="0" fontId="2" fillId="0" borderId="33" xfId="0" applyFont="1" applyBorder="1"/>
    <xf numFmtId="0" fontId="0" fillId="10" borderId="90" xfId="0" applyFill="1" applyBorder="1" applyAlignment="1">
      <alignment horizontal="center" vertical="center"/>
    </xf>
    <xf numFmtId="0" fontId="2" fillId="0" borderId="93" xfId="0" applyFont="1" applyBorder="1"/>
    <xf numFmtId="0" fontId="2" fillId="0" borderId="95" xfId="0" applyFont="1" applyBorder="1"/>
    <xf numFmtId="0" fontId="0" fillId="13" borderId="90" xfId="0" applyFill="1" applyBorder="1" applyAlignment="1">
      <alignment horizontal="center" vertical="center"/>
    </xf>
    <xf numFmtId="0" fontId="0" fillId="10" borderId="98" xfId="0" applyFill="1" applyBorder="1" applyAlignment="1">
      <alignment horizontal="center" vertical="center"/>
    </xf>
    <xf numFmtId="0" fontId="2" fillId="0" borderId="101" xfId="0" applyFont="1" applyBorder="1"/>
    <xf numFmtId="0" fontId="2" fillId="0" borderId="104" xfId="0" applyFont="1" applyBorder="1"/>
    <xf numFmtId="0" fontId="0" fillId="13" borderId="105" xfId="0" applyFill="1" applyBorder="1" applyAlignment="1">
      <alignment horizontal="center" vertical="center"/>
    </xf>
    <xf numFmtId="0" fontId="0" fillId="10" borderId="105" xfId="0" applyFill="1" applyBorder="1" applyAlignment="1">
      <alignment horizontal="center" vertical="center"/>
    </xf>
    <xf numFmtId="0" fontId="2" fillId="0" borderId="106" xfId="0" applyFont="1" applyBorder="1"/>
    <xf numFmtId="44" fontId="63" fillId="24" borderId="145" xfId="11" applyFont="1" applyFill="1" applyBorder="1" applyAlignment="1">
      <alignment horizontal="center" vertical="center"/>
    </xf>
    <xf numFmtId="44" fontId="63" fillId="24" borderId="134" xfId="11" applyFont="1" applyFill="1" applyBorder="1" applyAlignment="1">
      <alignment horizontal="center"/>
    </xf>
    <xf numFmtId="44" fontId="63" fillId="24" borderId="226" xfId="11" applyFont="1" applyFill="1" applyBorder="1" applyAlignment="1">
      <alignment horizontal="center"/>
    </xf>
    <xf numFmtId="44" fontId="63" fillId="24" borderId="134" xfId="11" applyFont="1" applyFill="1" applyBorder="1" applyAlignment="1">
      <alignment horizontal="center" vertical="center"/>
    </xf>
    <xf numFmtId="44" fontId="63" fillId="24" borderId="226" xfId="11" applyFont="1" applyFill="1" applyBorder="1" applyAlignment="1">
      <alignment horizontal="center" vertical="center"/>
    </xf>
    <xf numFmtId="44" fontId="63" fillId="24" borderId="134" xfId="3" applyNumberFormat="1" applyFont="1" applyFill="1" applyBorder="1" applyAlignment="1">
      <alignment horizontal="center"/>
    </xf>
    <xf numFmtId="44" fontId="63" fillId="24" borderId="226" xfId="3" applyNumberFormat="1" applyFont="1" applyFill="1" applyBorder="1" applyAlignment="1">
      <alignment horizontal="center"/>
    </xf>
    <xf numFmtId="0" fontId="63" fillId="24" borderId="42" xfId="3" applyFont="1" applyFill="1" applyAlignment="1">
      <alignment horizontal="right"/>
    </xf>
    <xf numFmtId="0" fontId="37" fillId="24" borderId="134" xfId="3" applyFont="1" applyFill="1" applyBorder="1" applyAlignment="1">
      <alignment horizontal="center" vertical="center"/>
    </xf>
    <xf numFmtId="0" fontId="37" fillId="24" borderId="226" xfId="3" applyFont="1" applyFill="1" applyBorder="1" applyAlignment="1">
      <alignment horizontal="center" vertical="center"/>
    </xf>
    <xf numFmtId="44" fontId="37" fillId="24" borderId="134" xfId="11" applyFont="1" applyFill="1" applyBorder="1" applyAlignment="1">
      <alignment horizontal="center" vertical="center"/>
    </xf>
    <xf numFmtId="44" fontId="37" fillId="24" borderId="226" xfId="11" applyFont="1" applyFill="1" applyBorder="1" applyAlignment="1">
      <alignment horizontal="center" vertical="center"/>
    </xf>
    <xf numFmtId="0" fontId="63" fillId="24" borderId="134" xfId="3" applyFont="1" applyFill="1" applyBorder="1" applyAlignment="1">
      <alignment horizontal="center" vertical="center"/>
    </xf>
    <xf numFmtId="0" fontId="63" fillId="24" borderId="226" xfId="3" applyFont="1" applyFill="1" applyBorder="1" applyAlignment="1">
      <alignment horizontal="center" vertical="center"/>
    </xf>
    <xf numFmtId="179" fontId="63" fillId="24" borderId="134" xfId="3" applyNumberFormat="1" applyFont="1" applyFill="1" applyBorder="1" applyAlignment="1">
      <alignment horizontal="center" vertical="center"/>
    </xf>
    <xf numFmtId="179" fontId="63" fillId="24" borderId="226" xfId="3" applyNumberFormat="1" applyFont="1" applyFill="1" applyBorder="1" applyAlignment="1">
      <alignment horizontal="center" vertical="center"/>
    </xf>
    <xf numFmtId="0" fontId="79" fillId="24" borderId="42" xfId="10" applyFont="1" applyFill="1" applyAlignment="1">
      <alignment horizontal="center"/>
    </xf>
    <xf numFmtId="0" fontId="79" fillId="24" borderId="42" xfId="3" applyFont="1" applyFill="1" applyAlignment="1">
      <alignment horizontal="center"/>
    </xf>
    <xf numFmtId="0" fontId="63" fillId="24" borderId="42" xfId="3" applyFont="1" applyFill="1" applyAlignment="1">
      <alignment horizontal="center"/>
    </xf>
    <xf numFmtId="0" fontId="117" fillId="28" borderId="42" xfId="3" applyFont="1" applyFill="1" applyAlignment="1">
      <alignment horizontal="center" vertical="center"/>
    </xf>
    <xf numFmtId="0" fontId="117" fillId="28" borderId="42" xfId="3" applyFont="1" applyFill="1" applyAlignment="1">
      <alignment horizontal="center"/>
    </xf>
    <xf numFmtId="0" fontId="63" fillId="24" borderId="145" xfId="3" applyFont="1" applyFill="1" applyBorder="1" applyAlignment="1">
      <alignment horizontal="center"/>
    </xf>
    <xf numFmtId="0" fontId="63" fillId="24" borderId="134" xfId="3" applyFont="1" applyFill="1" applyBorder="1" applyAlignment="1">
      <alignment horizontal="center"/>
    </xf>
    <xf numFmtId="0" fontId="63" fillId="24" borderId="133" xfId="3" applyFont="1" applyFill="1" applyBorder="1" applyAlignment="1">
      <alignment horizontal="center"/>
    </xf>
    <xf numFmtId="0" fontId="63" fillId="24" borderId="226" xfId="3" applyFont="1" applyFill="1" applyBorder="1" applyAlignment="1">
      <alignment horizontal="center"/>
    </xf>
    <xf numFmtId="0" fontId="117" fillId="28" borderId="132" xfId="3" applyFont="1" applyFill="1" applyBorder="1" applyAlignment="1">
      <alignment horizontal="center" vertical="center"/>
    </xf>
    <xf numFmtId="0" fontId="75" fillId="32" borderId="151" xfId="3" applyFont="1" applyFill="1" applyBorder="1" applyAlignment="1">
      <alignment horizontal="center" vertical="center"/>
    </xf>
    <xf numFmtId="0" fontId="2" fillId="0" borderId="40" xfId="3" applyFont="1" applyBorder="1"/>
    <xf numFmtId="0" fontId="2" fillId="0" borderId="64" xfId="3" applyFont="1" applyBorder="1"/>
    <xf numFmtId="0" fontId="2" fillId="0" borderId="129" xfId="3" applyFont="1" applyBorder="1"/>
    <xf numFmtId="170" fontId="75" fillId="32" borderId="41" xfId="3" applyNumberFormat="1" applyFont="1" applyFill="1" applyBorder="1" applyAlignment="1">
      <alignment horizontal="center" vertical="center"/>
    </xf>
    <xf numFmtId="0" fontId="2" fillId="0" borderId="150" xfId="3" applyFont="1" applyBorder="1"/>
    <xf numFmtId="0" fontId="2" fillId="0" borderId="130" xfId="3" applyFont="1" applyBorder="1"/>
    <xf numFmtId="0" fontId="2" fillId="0" borderId="63" xfId="3" applyFont="1" applyBorder="1"/>
    <xf numFmtId="0" fontId="73" fillId="30" borderId="123" xfId="3" applyFont="1" applyFill="1" applyBorder="1" applyAlignment="1">
      <alignment horizontal="center" vertical="center"/>
    </xf>
    <xf numFmtId="0" fontId="2" fillId="0" borderId="131" xfId="3" applyFont="1" applyBorder="1"/>
    <xf numFmtId="0" fontId="2" fillId="0" borderId="124" xfId="3" applyFont="1" applyBorder="1"/>
    <xf numFmtId="0" fontId="2" fillId="0" borderId="146" xfId="3" applyFont="1" applyBorder="1"/>
    <xf numFmtId="0" fontId="2" fillId="0" borderId="38" xfId="3" applyFont="1" applyBorder="1"/>
    <xf numFmtId="0" fontId="2" fillId="0" borderId="147" xfId="3" applyFont="1" applyBorder="1"/>
    <xf numFmtId="0" fontId="56" fillId="32" borderId="123" xfId="3" applyFont="1" applyFill="1" applyBorder="1" applyAlignment="1">
      <alignment horizontal="center" vertical="center"/>
    </xf>
    <xf numFmtId="0" fontId="2" fillId="0" borderId="127" xfId="3" applyFont="1" applyBorder="1"/>
    <xf numFmtId="0" fontId="57" fillId="32" borderId="128" xfId="3" applyFont="1" applyFill="1" applyBorder="1" applyAlignment="1">
      <alignment horizontal="center" vertical="center"/>
    </xf>
    <xf numFmtId="0" fontId="3" fillId="30" borderId="148" xfId="3" applyFill="1" applyBorder="1" applyAlignment="1">
      <alignment horizontal="center"/>
    </xf>
    <xf numFmtId="0" fontId="2" fillId="0" borderId="149" xfId="3" applyFont="1" applyBorder="1"/>
    <xf numFmtId="0" fontId="74" fillId="34" borderId="123" xfId="3" applyFont="1" applyFill="1" applyBorder="1" applyAlignment="1">
      <alignment horizontal="center" vertical="center"/>
    </xf>
    <xf numFmtId="0" fontId="75" fillId="32" borderId="41" xfId="3" applyFont="1" applyFill="1" applyBorder="1" applyAlignment="1">
      <alignment horizontal="center" vertical="center"/>
    </xf>
    <xf numFmtId="0" fontId="2" fillId="0" borderId="29" xfId="3" applyFont="1" applyBorder="1"/>
    <xf numFmtId="0" fontId="2" fillId="0" borderId="34" xfId="3" applyFont="1" applyBorder="1"/>
    <xf numFmtId="0" fontId="75" fillId="32" borderId="123" xfId="3" applyFont="1" applyFill="1" applyBorder="1" applyAlignment="1">
      <alignment horizontal="center" vertical="center"/>
    </xf>
    <xf numFmtId="170" fontId="75" fillId="32" borderId="128" xfId="3" applyNumberFormat="1" applyFont="1" applyFill="1" applyBorder="1" applyAlignment="1">
      <alignment horizontal="center" vertical="center"/>
    </xf>
    <xf numFmtId="170" fontId="57" fillId="32" borderId="114" xfId="3" applyNumberFormat="1" applyFont="1" applyFill="1" applyBorder="1" applyAlignment="1">
      <alignment horizontal="center" vertical="center"/>
    </xf>
    <xf numFmtId="0" fontId="2" fillId="0" borderId="116" xfId="3" applyFont="1" applyBorder="1"/>
    <xf numFmtId="0" fontId="11" fillId="31" borderId="60" xfId="3" applyFont="1" applyFill="1" applyBorder="1" applyAlignment="1">
      <alignment horizontal="center"/>
    </xf>
    <xf numFmtId="0" fontId="2" fillId="0" borderId="21" xfId="3" applyFont="1" applyBorder="1"/>
    <xf numFmtId="0" fontId="2" fillId="0" borderId="13" xfId="3" applyFont="1" applyBorder="1"/>
    <xf numFmtId="0" fontId="74" fillId="34" borderId="41" xfId="3" applyFont="1" applyFill="1" applyBorder="1" applyAlignment="1">
      <alignment horizontal="center" vertical="center"/>
    </xf>
    <xf numFmtId="0" fontId="2" fillId="0" borderId="39" xfId="3" applyFont="1" applyBorder="1"/>
    <xf numFmtId="0" fontId="57" fillId="32" borderId="114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23" borderId="68" xfId="0" applyFont="1" applyFill="1" applyBorder="1" applyAlignment="1">
      <alignment horizontal="center" vertical="center"/>
    </xf>
    <xf numFmtId="0" fontId="0" fillId="14" borderId="32" xfId="0" applyFill="1" applyBorder="1" applyAlignment="1">
      <alignment horizontal="center"/>
    </xf>
    <xf numFmtId="0" fontId="0" fillId="21" borderId="32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0" fillId="23" borderId="32" xfId="0" applyFill="1" applyBorder="1" applyAlignment="1">
      <alignment horizontal="center"/>
    </xf>
  </cellXfs>
  <cellStyles count="13">
    <cellStyle name="Hipervínculo" xfId="12" builtinId="8"/>
    <cellStyle name="Hipervínculo 2" xfId="10" xr:uid="{4E660FCA-043E-4C91-AE50-BB1653ED680E}"/>
    <cellStyle name="Millares 2" xfId="7" xr:uid="{D84BC4A6-52D8-4A61-B346-F721FD6FDCEE}"/>
    <cellStyle name="Millares 2 2" xfId="9" xr:uid="{5D0E7F69-3A3A-4C95-BEC5-9AA5EE42C44B}"/>
    <cellStyle name="Moneda" xfId="4" builtinId="4"/>
    <cellStyle name="Moneda 2" xfId="11" xr:uid="{1C6460E1-F0E7-479A-B502-C0A5920E3C91}"/>
    <cellStyle name="Normal" xfId="0" builtinId="0"/>
    <cellStyle name="Normal 2" xfId="2" xr:uid="{C3951B2D-1751-4493-B439-3B53A8879331}"/>
    <cellStyle name="Normal 2 2" xfId="8" xr:uid="{17986A37-047B-4EE4-AACF-4326A5419C57}"/>
    <cellStyle name="Normal 3" xfId="3" xr:uid="{25E86F43-519B-467F-BAAF-68385DEBFB0A}"/>
    <cellStyle name="Normal 4" xfId="6" xr:uid="{E3C921E6-C790-4E2F-AEF9-43CC6DBEF651}"/>
    <cellStyle name="Porcentaje" xfId="5" builtinId="5"/>
    <cellStyle name="Título" xfId="1" builtinId="15"/>
  </cellStyles>
  <dxfs count="24">
    <dxf>
      <font>
        <b/>
        <i/>
        <color rgb="FF0000FF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i/>
        <color rgb="FF0000FF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E2EFD9"/>
          <bgColor rgb="FFE2EFD9"/>
        </patternFill>
      </fill>
    </dxf>
    <dxf>
      <font>
        <color theme="0"/>
      </font>
      <fill>
        <patternFill patternType="solid">
          <fgColor rgb="FFFF6600"/>
          <bgColor rgb="FFFF660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E2EFD9"/>
          <bgColor rgb="FFE2EFD9"/>
        </patternFill>
      </fill>
    </dxf>
    <dxf>
      <font>
        <color theme="0"/>
      </font>
      <fill>
        <patternFill patternType="solid">
          <fgColor rgb="FFFF6600"/>
          <bgColor rgb="FFFF66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none"/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FF6600"/>
          <bgColor rgb="FFFF6600"/>
        </patternFill>
      </fill>
    </dxf>
    <dxf>
      <font>
        <color theme="0"/>
      </font>
      <fill>
        <patternFill patternType="solid">
          <fgColor rgb="FFFF6600"/>
          <bgColor rgb="FFFF66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svg"/><Relationship Id="rId10" Type="http://schemas.openxmlformats.org/officeDocument/2006/relationships/image" Target="../media/image12.sv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693420</xdr:colOff>
      <xdr:row>15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9161145" y="2562225"/>
          <a:ext cx="78105" cy="3352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15</xdr:row>
      <xdr:rowOff>0</xdr:rowOff>
    </xdr:from>
    <xdr:to>
      <xdr:col>11</xdr:col>
      <xdr:colOff>91440</xdr:colOff>
      <xdr:row>34</xdr:row>
      <xdr:rowOff>0</xdr:rowOff>
    </xdr:to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10210800" y="2562225"/>
          <a:ext cx="91440" cy="3352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15</xdr:row>
      <xdr:rowOff>76200</xdr:rowOff>
    </xdr:to>
    <xdr:sp macro="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9239250" y="2562225"/>
          <a:ext cx="97155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30480</xdr:colOff>
      <xdr:row>34</xdr:row>
      <xdr:rowOff>0</xdr:rowOff>
    </xdr:from>
    <xdr:to>
      <xdr:col>11</xdr:col>
      <xdr:colOff>746760</xdr:colOff>
      <xdr:row>34</xdr:row>
      <xdr:rowOff>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8498205" y="5915025"/>
          <a:ext cx="245935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25</xdr:row>
      <xdr:rowOff>0</xdr:rowOff>
    </xdr:from>
    <xdr:to>
      <xdr:col>3</xdr:col>
      <xdr:colOff>403860</xdr:colOff>
      <xdr:row>26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 flipV="1">
          <a:off x="2726055" y="4171950"/>
          <a:ext cx="10668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411480</xdr:colOff>
      <xdr:row>25</xdr:row>
      <xdr:rowOff>0</xdr:rowOff>
    </xdr:from>
    <xdr:to>
      <xdr:col>4</xdr:col>
      <xdr:colOff>1066800</xdr:colOff>
      <xdr:row>25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2840355" y="4171950"/>
          <a:ext cx="12268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251460</xdr:colOff>
      <xdr:row>25</xdr:row>
      <xdr:rowOff>106680</xdr:rowOff>
    </xdr:from>
    <xdr:to>
      <xdr:col>3</xdr:col>
      <xdr:colOff>304800</xdr:colOff>
      <xdr:row>26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 flipH="1" flipV="1">
          <a:off x="2680335" y="4278630"/>
          <a:ext cx="53340" cy="647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1082040</xdr:colOff>
      <xdr:row>25</xdr:row>
      <xdr:rowOff>0</xdr:rowOff>
    </xdr:from>
    <xdr:to>
      <xdr:col>4</xdr:col>
      <xdr:colOff>1112520</xdr:colOff>
      <xdr:row>25</xdr:row>
      <xdr:rowOff>38100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4082415" y="4171950"/>
          <a:ext cx="3048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45720</xdr:colOff>
      <xdr:row>25</xdr:row>
      <xdr:rowOff>0</xdr:rowOff>
    </xdr:from>
    <xdr:to>
      <xdr:col>5</xdr:col>
      <xdr:colOff>129540</xdr:colOff>
      <xdr:row>26</xdr:row>
      <xdr:rowOff>7620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 flipV="1">
          <a:off x="4465320" y="4171950"/>
          <a:ext cx="83820" cy="1790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129540</xdr:colOff>
      <xdr:row>25</xdr:row>
      <xdr:rowOff>0</xdr:rowOff>
    </xdr:from>
    <xdr:to>
      <xdr:col>7</xdr:col>
      <xdr:colOff>487680</xdr:colOff>
      <xdr:row>25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4549140" y="4171950"/>
          <a:ext cx="12534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487680</xdr:colOff>
      <xdr:row>25</xdr:row>
      <xdr:rowOff>0</xdr:rowOff>
    </xdr:from>
    <xdr:to>
      <xdr:col>7</xdr:col>
      <xdr:colOff>487680</xdr:colOff>
      <xdr:row>25</xdr:row>
      <xdr:rowOff>60960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ShapeType="1"/>
        </xdr:cNvSpPr>
      </xdr:nvSpPr>
      <xdr:spPr bwMode="auto">
        <a:xfrm>
          <a:off x="5802630" y="4171950"/>
          <a:ext cx="0" cy="609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30480</xdr:colOff>
      <xdr:row>25</xdr:row>
      <xdr:rowOff>137160</xdr:rowOff>
    </xdr:from>
    <xdr:to>
      <xdr:col>5</xdr:col>
      <xdr:colOff>60960</xdr:colOff>
      <xdr:row>26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ShapeType="1"/>
        </xdr:cNvSpPr>
      </xdr:nvSpPr>
      <xdr:spPr bwMode="auto">
        <a:xfrm flipH="1" flipV="1">
          <a:off x="4450080" y="4309110"/>
          <a:ext cx="30480" cy="3429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</xdr:colOff>
      <xdr:row>9</xdr:row>
      <xdr:rowOff>30480</xdr:rowOff>
    </xdr:from>
    <xdr:to>
      <xdr:col>11</xdr:col>
      <xdr:colOff>0</xdr:colOff>
      <xdr:row>13</xdr:row>
      <xdr:rowOff>7620</xdr:rowOff>
    </xdr:to>
    <xdr:pic>
      <xdr:nvPicPr>
        <xdr:cNvPr id="10" name="Picture 9" descr="04_estra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1554480"/>
          <a:ext cx="1924050" cy="6248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22</xdr:row>
      <xdr:rowOff>0</xdr:rowOff>
    </xdr:from>
    <xdr:to>
      <xdr:col>3</xdr:col>
      <xdr:colOff>403860</xdr:colOff>
      <xdr:row>23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 flipV="1">
          <a:off x="2716530" y="3657600"/>
          <a:ext cx="10668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411480</xdr:colOff>
      <xdr:row>22</xdr:row>
      <xdr:rowOff>0</xdr:rowOff>
    </xdr:from>
    <xdr:to>
      <xdr:col>4</xdr:col>
      <xdr:colOff>1066800</xdr:colOff>
      <xdr:row>22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ShapeType="1"/>
        </xdr:cNvSpPr>
      </xdr:nvSpPr>
      <xdr:spPr bwMode="auto">
        <a:xfrm>
          <a:off x="2830830" y="3657600"/>
          <a:ext cx="12268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251460</xdr:colOff>
      <xdr:row>22</xdr:row>
      <xdr:rowOff>106680</xdr:rowOff>
    </xdr:from>
    <xdr:to>
      <xdr:col>3</xdr:col>
      <xdr:colOff>304800</xdr:colOff>
      <xdr:row>23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ShapeType="1"/>
        </xdr:cNvSpPr>
      </xdr:nvSpPr>
      <xdr:spPr bwMode="auto">
        <a:xfrm flipH="1" flipV="1">
          <a:off x="2670810" y="3764280"/>
          <a:ext cx="53340" cy="647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1074420</xdr:colOff>
      <xdr:row>22</xdr:row>
      <xdr:rowOff>0</xdr:rowOff>
    </xdr:from>
    <xdr:to>
      <xdr:col>4</xdr:col>
      <xdr:colOff>1104900</xdr:colOff>
      <xdr:row>22</xdr:row>
      <xdr:rowOff>38100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ShapeType="1"/>
        </xdr:cNvSpPr>
      </xdr:nvSpPr>
      <xdr:spPr bwMode="auto">
        <a:xfrm>
          <a:off x="4065270" y="3657600"/>
          <a:ext cx="3048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45720</xdr:colOff>
      <xdr:row>22</xdr:row>
      <xdr:rowOff>0</xdr:rowOff>
    </xdr:from>
    <xdr:to>
      <xdr:col>5</xdr:col>
      <xdr:colOff>129540</xdr:colOff>
      <xdr:row>23</xdr:row>
      <xdr:rowOff>7620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ShapeType="1"/>
        </xdr:cNvSpPr>
      </xdr:nvSpPr>
      <xdr:spPr bwMode="auto">
        <a:xfrm flipV="1">
          <a:off x="4379595" y="3657600"/>
          <a:ext cx="83820" cy="17907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129540</xdr:colOff>
      <xdr:row>22</xdr:row>
      <xdr:rowOff>0</xdr:rowOff>
    </xdr:from>
    <xdr:to>
      <xdr:col>7</xdr:col>
      <xdr:colOff>487680</xdr:colOff>
      <xdr:row>22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ShapeType="1"/>
        </xdr:cNvSpPr>
      </xdr:nvSpPr>
      <xdr:spPr bwMode="auto">
        <a:xfrm>
          <a:off x="4463415" y="3657600"/>
          <a:ext cx="12534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487680</xdr:colOff>
      <xdr:row>22</xdr:row>
      <xdr:rowOff>0</xdr:rowOff>
    </xdr:from>
    <xdr:to>
      <xdr:col>7</xdr:col>
      <xdr:colOff>487680</xdr:colOff>
      <xdr:row>22</xdr:row>
      <xdr:rowOff>60960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ShapeType="1"/>
        </xdr:cNvSpPr>
      </xdr:nvSpPr>
      <xdr:spPr bwMode="auto">
        <a:xfrm>
          <a:off x="5716905" y="3657600"/>
          <a:ext cx="0" cy="6096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30480</xdr:colOff>
      <xdr:row>22</xdr:row>
      <xdr:rowOff>137160</xdr:rowOff>
    </xdr:from>
    <xdr:to>
      <xdr:col>5</xdr:col>
      <xdr:colOff>60960</xdr:colOff>
      <xdr:row>23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ShapeType="1"/>
        </xdr:cNvSpPr>
      </xdr:nvSpPr>
      <xdr:spPr bwMode="auto">
        <a:xfrm flipH="1" flipV="1">
          <a:off x="4364355" y="3794760"/>
          <a:ext cx="30480" cy="3429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5</xdr:row>
      <xdr:rowOff>180976</xdr:rowOff>
    </xdr:from>
    <xdr:to>
      <xdr:col>4</xdr:col>
      <xdr:colOff>0</xdr:colOff>
      <xdr:row>13</xdr:row>
      <xdr:rowOff>47626</xdr:rowOff>
    </xdr:to>
    <xdr:sp macro="[0]!IR_CALCULADO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000125" y="1133476"/>
          <a:ext cx="2047875" cy="1390650"/>
        </a:xfrm>
        <a:prstGeom prst="rect">
          <a:avLst/>
        </a:prstGeom>
        <a:solidFill>
          <a:sysClr val="window" lastClr="FFFFFF"/>
        </a:solidFill>
        <a:ln w="3175">
          <a:noFill/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>
              <a:solidFill>
                <a:schemeClr val="tx2"/>
              </a:solidFill>
              <a:latin typeface="+mj-lt"/>
            </a:rPr>
            <a:t>SISTEMA</a:t>
          </a:r>
          <a:r>
            <a:rPr lang="es-419" sz="1100" baseline="0">
              <a:solidFill>
                <a:schemeClr val="tx2"/>
              </a:solidFill>
              <a:latin typeface="+mj-lt"/>
            </a:rPr>
            <a:t> SELECTIVO Y MENORACK</a:t>
          </a:r>
          <a:endParaRPr lang="es-419" sz="1100">
            <a:solidFill>
              <a:schemeClr val="tx2"/>
            </a:solidFill>
            <a:latin typeface="+mj-lt"/>
          </a:endParaRPr>
        </a:p>
      </xdr:txBody>
    </xdr:sp>
    <xdr:clientData/>
  </xdr:twoCellAnchor>
  <xdr:twoCellAnchor>
    <xdr:from>
      <xdr:col>4</xdr:col>
      <xdr:colOff>704850</xdr:colOff>
      <xdr:row>5</xdr:row>
      <xdr:rowOff>161926</xdr:rowOff>
    </xdr:from>
    <xdr:to>
      <xdr:col>7</xdr:col>
      <xdr:colOff>466725</xdr:colOff>
      <xdr:row>13</xdr:row>
      <xdr:rowOff>28576</xdr:rowOff>
    </xdr:to>
    <xdr:sp macro="[0]!IR_MINIRACK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52850" y="1114426"/>
          <a:ext cx="2047875" cy="1390650"/>
        </a:xfrm>
        <a:prstGeom prst="rect">
          <a:avLst/>
        </a:prstGeom>
        <a:solidFill>
          <a:sysClr val="window" lastClr="FFFFFF"/>
        </a:solidFill>
        <a:ln w="3175">
          <a:noFill/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>
              <a:solidFill>
                <a:schemeClr val="tx2"/>
              </a:solidFill>
              <a:latin typeface="+mj-lt"/>
            </a:rPr>
            <a:t>SISTEMA MINIRACK</a:t>
          </a:r>
        </a:p>
      </xdr:txBody>
    </xdr:sp>
    <xdr:clientData/>
  </xdr:twoCellAnchor>
  <xdr:twoCellAnchor>
    <xdr:from>
      <xdr:col>8</xdr:col>
      <xdr:colOff>419100</xdr:colOff>
      <xdr:row>5</xdr:row>
      <xdr:rowOff>161925</xdr:rowOff>
    </xdr:from>
    <xdr:to>
      <xdr:col>11</xdr:col>
      <xdr:colOff>180975</xdr:colOff>
      <xdr:row>13</xdr:row>
      <xdr:rowOff>28575</xdr:rowOff>
    </xdr:to>
    <xdr:sp macro="[0]!IR_ESTANTERI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515100" y="1114425"/>
          <a:ext cx="2047875" cy="1390650"/>
        </a:xfrm>
        <a:prstGeom prst="rect">
          <a:avLst/>
        </a:prstGeom>
        <a:solidFill>
          <a:sysClr val="window" lastClr="FFFFFF"/>
        </a:solidFill>
        <a:ln w="3175">
          <a:noFill/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>
              <a:solidFill>
                <a:schemeClr val="tx2"/>
              </a:solidFill>
              <a:latin typeface="+mj-lt"/>
            </a:rPr>
            <a:t>ESTANTERÍA</a:t>
          </a:r>
          <a:r>
            <a:rPr lang="es-419" sz="1100" baseline="0">
              <a:solidFill>
                <a:schemeClr val="tx2"/>
              </a:solidFill>
              <a:latin typeface="+mj-lt"/>
            </a:rPr>
            <a:t> INDUSTRIAL</a:t>
          </a:r>
        </a:p>
      </xdr:txBody>
    </xdr:sp>
    <xdr:clientData/>
  </xdr:twoCellAnchor>
  <xdr:twoCellAnchor>
    <xdr:from>
      <xdr:col>12</xdr:col>
      <xdr:colOff>171450</xdr:colOff>
      <xdr:row>5</xdr:row>
      <xdr:rowOff>123825</xdr:rowOff>
    </xdr:from>
    <xdr:to>
      <xdr:col>14</xdr:col>
      <xdr:colOff>695325</xdr:colOff>
      <xdr:row>12</xdr:row>
      <xdr:rowOff>180975</xdr:rowOff>
    </xdr:to>
    <xdr:sp macro="[0]!IR_DRIVEIN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315450" y="1076325"/>
          <a:ext cx="2047875" cy="1390650"/>
        </a:xfrm>
        <a:prstGeom prst="rect">
          <a:avLst/>
        </a:prstGeom>
        <a:solidFill>
          <a:sysClr val="window" lastClr="FFFFFF"/>
        </a:solidFill>
        <a:ln w="3175">
          <a:noFill/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>
              <a:solidFill>
                <a:schemeClr val="tx2"/>
              </a:solidFill>
              <a:latin typeface="+mj-lt"/>
            </a:rPr>
            <a:t>SISTEMA DRIVE</a:t>
          </a:r>
          <a:r>
            <a:rPr lang="es-419" sz="1100" baseline="0">
              <a:solidFill>
                <a:schemeClr val="tx2"/>
              </a:solidFill>
              <a:latin typeface="+mj-lt"/>
            </a:rPr>
            <a:t> IN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0</xdr:row>
      <xdr:rowOff>104775</xdr:rowOff>
    </xdr:from>
    <xdr:ext cx="714375" cy="36195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9550" y="104775"/>
          <a:ext cx="714375" cy="36195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10</xdr:row>
      <xdr:rowOff>28575</xdr:rowOff>
    </xdr:from>
    <xdr:ext cx="1504950" cy="523875"/>
    <xdr:pic>
      <xdr:nvPicPr>
        <xdr:cNvPr id="3" name="image2.png" descr="Europalet de madera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581025</xdr:colOff>
      <xdr:row>28</xdr:row>
      <xdr:rowOff>161925</xdr:rowOff>
    </xdr:from>
    <xdr:ext cx="866775" cy="952500"/>
    <xdr:pic macro="[0]!IR_CALCULADOR">
      <xdr:nvPicPr>
        <xdr:cNvPr id="5" name="image1.png" descr="Flecha: giro a la izquierda con relleno sólid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9</xdr:col>
      <xdr:colOff>447675</xdr:colOff>
      <xdr:row>17</xdr:row>
      <xdr:rowOff>171450</xdr:rowOff>
    </xdr:from>
    <xdr:to>
      <xdr:col>10</xdr:col>
      <xdr:colOff>368935</xdr:colOff>
      <xdr:row>21</xdr:row>
      <xdr:rowOff>26035</xdr:rowOff>
    </xdr:to>
    <xdr:pic macro="[0]!IR_MARCOS">
      <xdr:nvPicPr>
        <xdr:cNvPr id="9" name="Gráfico 8" descr="Flecha: recto con relleno sólid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6858000" y="3419475"/>
          <a:ext cx="628650" cy="628650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17</xdr:row>
      <xdr:rowOff>171450</xdr:rowOff>
    </xdr:from>
    <xdr:to>
      <xdr:col>12</xdr:col>
      <xdr:colOff>419100</xdr:colOff>
      <xdr:row>21</xdr:row>
      <xdr:rowOff>26035</xdr:rowOff>
    </xdr:to>
    <xdr:pic macro="[0]!IR_VIGAS">
      <xdr:nvPicPr>
        <xdr:cNvPr id="10" name="Gráfico 9" descr="Flecha: recto con relleno sólid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8324850" y="3419475"/>
          <a:ext cx="628650" cy="628650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17</xdr:row>
      <xdr:rowOff>171450</xdr:rowOff>
    </xdr:from>
    <xdr:to>
      <xdr:col>14</xdr:col>
      <xdr:colOff>178435</xdr:colOff>
      <xdr:row>21</xdr:row>
      <xdr:rowOff>26035</xdr:rowOff>
    </xdr:to>
    <xdr:pic macro="[0]!IR_COMPLEMENTOS">
      <xdr:nvPicPr>
        <xdr:cNvPr id="11" name="Gráfico 10" descr="Flecha: recto con relleno sóli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9629775" y="3419475"/>
          <a:ext cx="628650" cy="628650"/>
        </a:xfrm>
        <a:prstGeom prst="rect">
          <a:avLst/>
        </a:prstGeom>
      </xdr:spPr>
    </xdr:pic>
    <xdr:clientData/>
  </xdr:twoCellAnchor>
  <xdr:twoCellAnchor editAs="oneCell">
    <xdr:from>
      <xdr:col>15</xdr:col>
      <xdr:colOff>438150</xdr:colOff>
      <xdr:row>18</xdr:row>
      <xdr:rowOff>19050</xdr:rowOff>
    </xdr:from>
    <xdr:to>
      <xdr:col>16</xdr:col>
      <xdr:colOff>353695</xdr:colOff>
      <xdr:row>21</xdr:row>
      <xdr:rowOff>64135</xdr:rowOff>
    </xdr:to>
    <xdr:pic>
      <xdr:nvPicPr>
        <xdr:cNvPr id="12" name="Gráfico 11" descr="Flecha: recto con relleno sólid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0800000">
          <a:off x="11001375" y="3457575"/>
          <a:ext cx="628650" cy="628650"/>
        </a:xfrm>
        <a:prstGeom prst="rect">
          <a:avLst/>
        </a:prstGeom>
      </xdr:spPr>
    </xdr:pic>
    <xdr:clientData/>
  </xdr:twoCellAnchor>
  <xdr:twoCellAnchor editAs="oneCell">
    <xdr:from>
      <xdr:col>9</xdr:col>
      <xdr:colOff>104776</xdr:colOff>
      <xdr:row>25</xdr:row>
      <xdr:rowOff>101822</xdr:rowOff>
    </xdr:from>
    <xdr:to>
      <xdr:col>11</xdr:col>
      <xdr:colOff>140335</xdr:colOff>
      <xdr:row>38</xdr:row>
      <xdr:rowOff>140335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1" y="4530947"/>
          <a:ext cx="1581149" cy="2603278"/>
        </a:xfrm>
        <a:prstGeom prst="rect">
          <a:avLst/>
        </a:prstGeom>
      </xdr:spPr>
    </xdr:pic>
    <xdr:clientData/>
  </xdr:twoCellAnchor>
  <xdr:twoCellAnchor editAs="oneCell">
    <xdr:from>
      <xdr:col>8</xdr:col>
      <xdr:colOff>286264</xdr:colOff>
      <xdr:row>36</xdr:row>
      <xdr:rowOff>27233</xdr:rowOff>
    </xdr:from>
    <xdr:to>
      <xdr:col>9</xdr:col>
      <xdr:colOff>369667</xdr:colOff>
      <xdr:row>39</xdr:row>
      <xdr:rowOff>75077</xdr:rowOff>
    </xdr:to>
    <xdr:pic>
      <xdr:nvPicPr>
        <xdr:cNvPr id="18" name="Gráfico 17" descr="Flecha derecha contorno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20990527">
          <a:off x="6125089" y="6628058"/>
          <a:ext cx="647918" cy="647918"/>
        </a:xfrm>
        <a:prstGeom prst="rect">
          <a:avLst/>
        </a:prstGeom>
      </xdr:spPr>
    </xdr:pic>
    <xdr:clientData/>
  </xdr:twoCellAnchor>
  <xdr:twoCellAnchor editAs="oneCell">
    <xdr:from>
      <xdr:col>8</xdr:col>
      <xdr:colOff>239503</xdr:colOff>
      <xdr:row>25</xdr:row>
      <xdr:rowOff>59035</xdr:rowOff>
    </xdr:from>
    <xdr:to>
      <xdr:col>9</xdr:col>
      <xdr:colOff>276270</xdr:colOff>
      <xdr:row>28</xdr:row>
      <xdr:rowOff>83555</xdr:rowOff>
    </xdr:to>
    <xdr:pic>
      <xdr:nvPicPr>
        <xdr:cNvPr id="19" name="Gráfico 18" descr="Flecha derecha contorn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876870">
          <a:off x="6078328" y="4488160"/>
          <a:ext cx="606997" cy="606997"/>
        </a:xfrm>
        <a:prstGeom prst="rect">
          <a:avLst/>
        </a:prstGeom>
      </xdr:spPr>
    </xdr:pic>
    <xdr:clientData/>
  </xdr:twoCellAnchor>
  <xdr:twoCellAnchor editAs="oneCell">
    <xdr:from>
      <xdr:col>11</xdr:col>
      <xdr:colOff>124339</xdr:colOff>
      <xdr:row>28</xdr:row>
      <xdr:rowOff>122483</xdr:rowOff>
    </xdr:from>
    <xdr:to>
      <xdr:col>12</xdr:col>
      <xdr:colOff>202027</xdr:colOff>
      <xdr:row>31</xdr:row>
      <xdr:rowOff>180033</xdr:rowOff>
    </xdr:to>
    <xdr:pic>
      <xdr:nvPicPr>
        <xdr:cNvPr id="13" name="Gráfico 12" descr="Flecha derecha contorn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8087239" y="5142158"/>
          <a:ext cx="647918" cy="647918"/>
        </a:xfrm>
        <a:prstGeom prst="rect">
          <a:avLst/>
        </a:prstGeom>
      </xdr:spPr>
    </xdr:pic>
    <xdr:clientData/>
  </xdr:twoCellAnchor>
  <xdr:twoCellAnchor editAs="oneCell">
    <xdr:from>
      <xdr:col>1</xdr:col>
      <xdr:colOff>733425</xdr:colOff>
      <xdr:row>45</xdr:row>
      <xdr:rowOff>133350</xdr:rowOff>
    </xdr:from>
    <xdr:to>
      <xdr:col>5</xdr:col>
      <xdr:colOff>506095</xdr:colOff>
      <xdr:row>60</xdr:row>
      <xdr:rowOff>102234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4" r="4180"/>
        <a:stretch/>
      </xdr:blipFill>
      <xdr:spPr>
        <a:xfrm>
          <a:off x="1447800" y="8534400"/>
          <a:ext cx="2752725" cy="2962274"/>
        </a:xfrm>
        <a:prstGeom prst="rect">
          <a:avLst/>
        </a:prstGeom>
      </xdr:spPr>
    </xdr:pic>
    <xdr:clientData/>
  </xdr:twoCellAnchor>
  <xdr:oneCellAnchor>
    <xdr:from>
      <xdr:col>15</xdr:col>
      <xdr:colOff>638175</xdr:colOff>
      <xdr:row>50</xdr:row>
      <xdr:rowOff>38100</xdr:rowOff>
    </xdr:from>
    <xdr:ext cx="866775" cy="952500"/>
    <xdr:pic macro="[0]!IR_CALCULADOR">
      <xdr:nvPicPr>
        <xdr:cNvPr id="24" name="image1.png" descr="Flecha: giro a la izquierda con relleno sólido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01400" y="9639300"/>
          <a:ext cx="866775" cy="9525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419615</xdr:colOff>
      <xdr:row>49</xdr:row>
      <xdr:rowOff>189159</xdr:rowOff>
    </xdr:from>
    <xdr:to>
      <xdr:col>2</xdr:col>
      <xdr:colOff>229333</xdr:colOff>
      <xdr:row>53</xdr:row>
      <xdr:rowOff>36977</xdr:rowOff>
    </xdr:to>
    <xdr:pic>
      <xdr:nvPicPr>
        <xdr:cNvPr id="25" name="Gráfico 24" descr="Flecha derecha contorno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780315">
          <a:off x="1133990" y="9390309"/>
          <a:ext cx="647918" cy="647918"/>
        </a:xfrm>
        <a:prstGeom prst="rect">
          <a:avLst/>
        </a:prstGeom>
      </xdr:spPr>
    </xdr:pic>
    <xdr:clientData/>
  </xdr:twoCellAnchor>
  <xdr:twoCellAnchor editAs="oneCell">
    <xdr:from>
      <xdr:col>4</xdr:col>
      <xdr:colOff>152916</xdr:colOff>
      <xdr:row>57</xdr:row>
      <xdr:rowOff>132008</xdr:rowOff>
    </xdr:from>
    <xdr:to>
      <xdr:col>4</xdr:col>
      <xdr:colOff>800834</xdr:colOff>
      <xdr:row>60</xdr:row>
      <xdr:rowOff>178582</xdr:rowOff>
    </xdr:to>
    <xdr:pic>
      <xdr:nvPicPr>
        <xdr:cNvPr id="26" name="Gráfico 25" descr="Flecha derecha contorno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752180">
          <a:off x="2991366" y="10933358"/>
          <a:ext cx="647918" cy="647918"/>
        </a:xfrm>
        <a:prstGeom prst="rect">
          <a:avLst/>
        </a:prstGeom>
      </xdr:spPr>
    </xdr:pic>
    <xdr:clientData/>
  </xdr:twoCellAnchor>
  <xdr:twoCellAnchor editAs="oneCell">
    <xdr:from>
      <xdr:col>5</xdr:col>
      <xdr:colOff>391042</xdr:colOff>
      <xdr:row>54</xdr:row>
      <xdr:rowOff>122483</xdr:rowOff>
    </xdr:from>
    <xdr:to>
      <xdr:col>6</xdr:col>
      <xdr:colOff>468730</xdr:colOff>
      <xdr:row>57</xdr:row>
      <xdr:rowOff>174135</xdr:rowOff>
    </xdr:to>
    <xdr:pic>
      <xdr:nvPicPr>
        <xdr:cNvPr id="27" name="Gráfico 26" descr="Flecha derecha contorno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752180">
          <a:off x="4086742" y="10323758"/>
          <a:ext cx="647918" cy="647918"/>
        </a:xfrm>
        <a:prstGeom prst="rect">
          <a:avLst/>
        </a:prstGeom>
      </xdr:spPr>
    </xdr:pic>
    <xdr:clientData/>
  </xdr:twoCellAnchor>
  <xdr:twoCellAnchor editAs="oneCell">
    <xdr:from>
      <xdr:col>5</xdr:col>
      <xdr:colOff>276743</xdr:colOff>
      <xdr:row>50</xdr:row>
      <xdr:rowOff>55808</xdr:rowOff>
    </xdr:from>
    <xdr:to>
      <xdr:col>6</xdr:col>
      <xdr:colOff>354431</xdr:colOff>
      <xdr:row>53</xdr:row>
      <xdr:rowOff>102382</xdr:rowOff>
    </xdr:to>
    <xdr:pic>
      <xdr:nvPicPr>
        <xdr:cNvPr id="28" name="Gráfico 27" descr="Flecha derecha contorno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752180">
          <a:off x="3972443" y="9456983"/>
          <a:ext cx="647918" cy="647918"/>
        </a:xfrm>
        <a:prstGeom prst="rect">
          <a:avLst/>
        </a:prstGeom>
      </xdr:spPr>
    </xdr:pic>
    <xdr:clientData/>
  </xdr:twoCellAnchor>
  <xdr:oneCellAnchor>
    <xdr:from>
      <xdr:col>15</xdr:col>
      <xdr:colOff>57150</xdr:colOff>
      <xdr:row>69</xdr:row>
      <xdr:rowOff>152400</xdr:rowOff>
    </xdr:from>
    <xdr:ext cx="866775" cy="952500"/>
    <xdr:pic macro="[0]!IR_CALCULADOR">
      <xdr:nvPicPr>
        <xdr:cNvPr id="20" name="image1.png" descr="Flecha: giro a la izquierda con relleno sólid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620375" y="13354050"/>
          <a:ext cx="866775" cy="952500"/>
        </a:xfrm>
        <a:prstGeom prst="rect">
          <a:avLst/>
        </a:prstGeom>
        <a:noFill/>
      </xdr:spPr>
    </xdr:pic>
    <xdr:clientData fLocksWithSheet="0"/>
  </xdr:oneCellAnchor>
  <xdr:twoCellAnchor>
    <xdr:from>
      <xdr:col>14</xdr:col>
      <xdr:colOff>447675</xdr:colOff>
      <xdr:row>15</xdr:row>
      <xdr:rowOff>123825</xdr:rowOff>
    </xdr:from>
    <xdr:to>
      <xdr:col>17</xdr:col>
      <xdr:colOff>85725</xdr:colOff>
      <xdr:row>24</xdr:row>
      <xdr:rowOff>47625</xdr:rowOff>
    </xdr:to>
    <xdr:sp macro="[0]!IR_COTIZADOR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34650" y="2981325"/>
          <a:ext cx="1657350" cy="1295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247650</xdr:colOff>
      <xdr:row>71</xdr:row>
      <xdr:rowOff>0</xdr:rowOff>
    </xdr:from>
    <xdr:ext cx="1190625" cy="0"/>
    <xdr:pic>
      <xdr:nvPicPr>
        <xdr:cNvPr id="3" name="image6.jpg" descr="LOGO GRUPO CIMS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86525" y="15087600"/>
          <a:ext cx="1190625" cy="0"/>
        </a:xfrm>
        <a:prstGeom prst="rect">
          <a:avLst/>
        </a:prstGeom>
        <a:noFill/>
      </xdr:spPr>
    </xdr:pic>
    <xdr:clientData fLocksWithSheet="0"/>
  </xdr:oneCellAnchor>
  <xdr:oneCellAnchor>
    <xdr:from>
      <xdr:col>8</xdr:col>
      <xdr:colOff>247650</xdr:colOff>
      <xdr:row>72</xdr:row>
      <xdr:rowOff>0</xdr:rowOff>
    </xdr:from>
    <xdr:ext cx="1190625" cy="0"/>
    <xdr:pic>
      <xdr:nvPicPr>
        <xdr:cNvPr id="4" name="image6.jpg" descr="LOGO GRUPO CIMSA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86525" y="15287625"/>
          <a:ext cx="1190625" cy="0"/>
        </a:xfrm>
        <a:prstGeom prst="rect">
          <a:avLst/>
        </a:prstGeom>
        <a:noFill/>
      </xdr:spPr>
    </xdr:pic>
    <xdr:clientData fLocksWithSheet="0"/>
  </xdr:oneCellAnchor>
  <xdr:oneCellAnchor>
    <xdr:from>
      <xdr:col>8</xdr:col>
      <xdr:colOff>190500</xdr:colOff>
      <xdr:row>33</xdr:row>
      <xdr:rowOff>86591</xdr:rowOff>
    </xdr:from>
    <xdr:ext cx="184731" cy="265265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8823614" y="5056909"/>
          <a:ext cx="184731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419" sz="1100"/>
        </a:p>
      </xdr:txBody>
    </xdr:sp>
    <xdr:clientData/>
  </xdr:oneCellAnchor>
  <xdr:twoCellAnchor>
    <xdr:from>
      <xdr:col>14</xdr:col>
      <xdr:colOff>69274</xdr:colOff>
      <xdr:row>23</xdr:row>
      <xdr:rowOff>69272</xdr:rowOff>
    </xdr:from>
    <xdr:to>
      <xdr:col>15</xdr:col>
      <xdr:colOff>701386</xdr:colOff>
      <xdr:row>24</xdr:row>
      <xdr:rowOff>173182</xdr:rowOff>
    </xdr:to>
    <xdr:sp macro="[0]!ELIMINAR_PARRILLA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13040592" y="4260272"/>
          <a:ext cx="1350817" cy="29441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>
              <a:latin typeface="Arial" panose="020B0604020202020204" pitchFamily="34" charset="0"/>
              <a:cs typeface="Arial" panose="020B0604020202020204" pitchFamily="34" charset="0"/>
            </a:rPr>
            <a:t>Eliminar</a:t>
          </a:r>
          <a:r>
            <a:rPr lang="es-419" sz="1100" baseline="0">
              <a:latin typeface="Arial" panose="020B0604020202020204" pitchFamily="34" charset="0"/>
              <a:cs typeface="Arial" panose="020B0604020202020204" pitchFamily="34" charset="0"/>
            </a:rPr>
            <a:t> Parrilla</a:t>
          </a:r>
        </a:p>
        <a:p>
          <a:endParaRPr lang="es-419" sz="1100"/>
        </a:p>
      </xdr:txBody>
    </xdr:sp>
    <xdr:clientData/>
  </xdr:twoCellAnchor>
  <xdr:twoCellAnchor>
    <xdr:from>
      <xdr:col>14</xdr:col>
      <xdr:colOff>77933</xdr:colOff>
      <xdr:row>25</xdr:row>
      <xdr:rowOff>60614</xdr:rowOff>
    </xdr:from>
    <xdr:to>
      <xdr:col>15</xdr:col>
      <xdr:colOff>710045</xdr:colOff>
      <xdr:row>26</xdr:row>
      <xdr:rowOff>155865</xdr:rowOff>
    </xdr:to>
    <xdr:sp macro="[0]!ELIMINAR_DISTAN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3049251" y="4632614"/>
          <a:ext cx="1350817" cy="29441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>
              <a:latin typeface="Arial" panose="020B0604020202020204" pitchFamily="34" charset="0"/>
              <a:cs typeface="Arial" panose="020B0604020202020204" pitchFamily="34" charset="0"/>
            </a:rPr>
            <a:t>Eliminar</a:t>
          </a:r>
          <a:r>
            <a:rPr lang="es-419" sz="1100" baseline="0">
              <a:latin typeface="Arial" panose="020B0604020202020204" pitchFamily="34" charset="0"/>
              <a:cs typeface="Arial" panose="020B0604020202020204" pitchFamily="34" charset="0"/>
            </a:rPr>
            <a:t> Distan</a:t>
          </a:r>
        </a:p>
        <a:p>
          <a:pPr algn="ctr"/>
          <a:endParaRPr lang="es-419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s-419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419" sz="1100"/>
        </a:p>
      </xdr:txBody>
    </xdr:sp>
    <xdr:clientData/>
  </xdr:twoCellAnchor>
  <xdr:twoCellAnchor editAs="oneCell">
    <xdr:from>
      <xdr:col>1</xdr:col>
      <xdr:colOff>60614</xdr:colOff>
      <xdr:row>0</xdr:row>
      <xdr:rowOff>92075</xdr:rowOff>
    </xdr:from>
    <xdr:to>
      <xdr:col>3</xdr:col>
      <xdr:colOff>663215</xdr:colOff>
      <xdr:row>5</xdr:row>
      <xdr:rowOff>17318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CADE1F3-FBC4-81E1-B333-1F4350C1C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567" b="25439"/>
        <a:stretch/>
      </xdr:blipFill>
      <xdr:spPr>
        <a:xfrm>
          <a:off x="415637" y="92075"/>
          <a:ext cx="1938410" cy="8777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861060</xdr:colOff>
          <xdr:row>35</xdr:row>
          <xdr:rowOff>0</xdr:rowOff>
        </xdr:from>
        <xdr:to>
          <xdr:col>5</xdr:col>
          <xdr:colOff>228600</xdr:colOff>
          <xdr:row>36</xdr:row>
          <xdr:rowOff>114300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Piso Liso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762000</xdr:colOff>
      <xdr:row>29</xdr:row>
      <xdr:rowOff>20782</xdr:rowOff>
    </xdr:from>
    <xdr:to>
      <xdr:col>11</xdr:col>
      <xdr:colOff>13855</xdr:colOff>
      <xdr:row>32</xdr:row>
      <xdr:rowOff>110837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4FFE531-2DBA-CD71-B1A6-272A6FE06A58}"/>
            </a:ext>
          </a:extLst>
        </xdr:cNvPr>
        <xdr:cNvSpPr txBox="1"/>
      </xdr:nvSpPr>
      <xdr:spPr>
        <a:xfrm>
          <a:off x="7183582" y="5237018"/>
          <a:ext cx="3117273" cy="651164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-Considerar</a:t>
          </a:r>
          <a:r>
            <a:rPr lang="es-MX" sz="1100" baseline="0"/>
            <a:t> calzas de nivelacion en extras</a:t>
          </a:r>
        </a:p>
        <a:p>
          <a:r>
            <a:rPr lang="es-MX" sz="1100" baseline="0"/>
            <a:t>-Considerar dos entradas de barandal abarible en extras.</a:t>
          </a:r>
          <a:endParaRPr lang="es-MX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28</xdr:row>
      <xdr:rowOff>9524</xdr:rowOff>
    </xdr:from>
    <xdr:to>
      <xdr:col>6</xdr:col>
      <xdr:colOff>723900</xdr:colOff>
      <xdr:row>31</xdr:row>
      <xdr:rowOff>152399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5343524"/>
          <a:ext cx="1428750" cy="7143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276225</xdr:colOff>
      <xdr:row>54</xdr:row>
      <xdr:rowOff>0</xdr:rowOff>
    </xdr:from>
    <xdr:ext cx="104775" cy="2000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2849880" y="10544175"/>
          <a:ext cx="104775" cy="200025"/>
          <a:chOff x="5293613" y="3679988"/>
          <a:chExt cx="104775" cy="200025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GrpSpPr/>
        </xdr:nvGrpSpPr>
        <xdr:grpSpPr>
          <a:xfrm>
            <a:off x="5293613" y="3679988"/>
            <a:ext cx="104775" cy="200025"/>
            <a:chOff x="5293613" y="3679988"/>
            <a:chExt cx="104775" cy="20002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SpPr/>
          </xdr:nvSpPr>
          <xdr:spPr>
            <a:xfrm>
              <a:off x="5293613" y="3679988"/>
              <a:ext cx="104775" cy="2000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CxnSpPr/>
          </xdr:nvCxnSpPr>
          <xdr:spPr>
            <a:xfrm rot="10800000" flipH="1">
              <a:off x="5293613" y="3679988"/>
              <a:ext cx="104775" cy="20002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238125</xdr:colOff>
      <xdr:row>54</xdr:row>
      <xdr:rowOff>95250</xdr:rowOff>
    </xdr:from>
    <xdr:ext cx="47625" cy="104775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2811780" y="10635615"/>
          <a:ext cx="47625" cy="104775"/>
          <a:chOff x="5322188" y="3727613"/>
          <a:chExt cx="47625" cy="104775"/>
        </a:xfrm>
      </xdr:grpSpPr>
      <xdr:grpSp>
        <xdr:nvGrpSpPr>
          <xdr:cNvPr id="7" name="Shap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GrpSpPr/>
        </xdr:nvGrpSpPr>
        <xdr:grpSpPr>
          <a:xfrm>
            <a:off x="5322188" y="3727613"/>
            <a:ext cx="47625" cy="104775"/>
            <a:chOff x="5322188" y="3732375"/>
            <a:chExt cx="47625" cy="95250"/>
          </a:xfrm>
        </xdr:grpSpPr>
        <xdr:sp macro="" textlink="">
          <xdr:nvSpPr>
            <xdr:cNvPr id="8" name="Shape 4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SpPr/>
          </xdr:nvSpPr>
          <xdr:spPr>
            <a:xfrm>
              <a:off x="5322188" y="3732375"/>
              <a:ext cx="47625" cy="95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" name="Shape 7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CxnSpPr/>
          </xdr:nvCxnSpPr>
          <xdr:spPr>
            <a:xfrm rot="10800000">
              <a:off x="5322188" y="3732375"/>
              <a:ext cx="47625" cy="9525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0</xdr:colOff>
      <xdr:row>54</xdr:row>
      <xdr:rowOff>0</xdr:rowOff>
    </xdr:from>
    <xdr:ext cx="28575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267200" y="10544175"/>
          <a:ext cx="28575" cy="38100"/>
          <a:chOff x="5331713" y="3760950"/>
          <a:chExt cx="28575" cy="38100"/>
        </a:xfrm>
      </xdr:grpSpPr>
      <xdr:grpSp>
        <xdr:nvGrpSpPr>
          <xdr:cNvPr id="11" name="Shape 8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5331713" y="3760950"/>
            <a:ext cx="28575" cy="38100"/>
            <a:chOff x="5331713" y="3760950"/>
            <a:chExt cx="28575" cy="38100"/>
          </a:xfrm>
        </xdr:grpSpPr>
        <xdr:sp macro="" textlink="">
          <xdr:nvSpPr>
            <xdr:cNvPr id="12" name="Shape 4">
              <a:extLst>
                <a:ext uri="{FF2B5EF4-FFF2-40B4-BE49-F238E27FC236}">
                  <a16:creationId xmlns:a16="http://schemas.microsoft.com/office/drawing/2014/main" id="{00000000-0008-0000-0B00-00000C000000}"/>
                </a:ext>
              </a:extLst>
            </xdr:cNvPr>
            <xdr:cNvSpPr/>
          </xdr:nvSpPr>
          <xdr:spPr>
            <a:xfrm>
              <a:off x="5331713" y="3760950"/>
              <a:ext cx="28575" cy="381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" name="Shape 9">
              <a:extLst>
                <a:ext uri="{FF2B5EF4-FFF2-40B4-BE49-F238E27FC236}">
                  <a16:creationId xmlns:a16="http://schemas.microsoft.com/office/drawing/2014/main" id="{00000000-0008-0000-0B00-00000D000000}"/>
                </a:ext>
              </a:extLst>
            </xdr:cNvPr>
            <xdr:cNvCxnSpPr/>
          </xdr:nvCxnSpPr>
          <xdr:spPr>
            <a:xfrm>
              <a:off x="5331713" y="3760950"/>
              <a:ext cx="28575" cy="3810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38100</xdr:colOff>
      <xdr:row>54</xdr:row>
      <xdr:rowOff>0</xdr:rowOff>
    </xdr:from>
    <xdr:ext cx="76200" cy="20955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pSpPr/>
      </xdr:nvGrpSpPr>
      <xdr:grpSpPr>
        <a:xfrm>
          <a:off x="4305300" y="10544175"/>
          <a:ext cx="76200" cy="209550"/>
          <a:chOff x="5307900" y="3675225"/>
          <a:chExt cx="76200" cy="209550"/>
        </a:xfrm>
      </xdr:grpSpPr>
      <xdr:grpSp>
        <xdr:nvGrpSpPr>
          <xdr:cNvPr id="15" name="Shape 10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GrpSpPr/>
        </xdr:nvGrpSpPr>
        <xdr:grpSpPr>
          <a:xfrm>
            <a:off x="5307900" y="3675225"/>
            <a:ext cx="76200" cy="209550"/>
            <a:chOff x="5307900" y="3675225"/>
            <a:chExt cx="76200" cy="209550"/>
          </a:xfrm>
        </xdr:grpSpPr>
        <xdr:sp macro="" textlink="">
          <xdr:nvSpPr>
            <xdr:cNvPr id="16" name="Shape 4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5307900" y="3675225"/>
              <a:ext cx="76200" cy="209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" name="Shape 11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CxnSpPr/>
          </xdr:nvCxnSpPr>
          <xdr:spPr>
            <a:xfrm rot="10800000" flipH="1">
              <a:off x="5307900" y="3675225"/>
              <a:ext cx="76200" cy="20955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19050</xdr:colOff>
      <xdr:row>54</xdr:row>
      <xdr:rowOff>133350</xdr:rowOff>
    </xdr:from>
    <xdr:ext cx="28575" cy="66675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282440" y="10673715"/>
          <a:ext cx="28575" cy="66675"/>
          <a:chOff x="5331713" y="3746663"/>
          <a:chExt cx="28575" cy="66675"/>
        </a:xfrm>
      </xdr:grpSpPr>
      <xdr:grpSp>
        <xdr:nvGrpSpPr>
          <xdr:cNvPr id="19" name="Shape 12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GrpSpPr/>
        </xdr:nvGrpSpPr>
        <xdr:grpSpPr>
          <a:xfrm>
            <a:off x="5331713" y="3746663"/>
            <a:ext cx="28575" cy="66675"/>
            <a:chOff x="5331713" y="3746663"/>
            <a:chExt cx="28575" cy="66675"/>
          </a:xfrm>
        </xdr:grpSpPr>
        <xdr:sp macro="" textlink="">
          <xdr:nvSpPr>
            <xdr:cNvPr id="20" name="Shape 4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5331713" y="3746663"/>
              <a:ext cx="28575" cy="66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1" name="Shape 13">
              <a:extLst>
                <a:ext uri="{FF2B5EF4-FFF2-40B4-BE49-F238E27FC236}">
                  <a16:creationId xmlns:a16="http://schemas.microsoft.com/office/drawing/2014/main" id="{00000000-0008-0000-0B00-000015000000}"/>
                </a:ext>
              </a:extLst>
            </xdr:cNvPr>
            <xdr:cNvCxnSpPr/>
          </xdr:nvCxnSpPr>
          <xdr:spPr>
            <a:xfrm rot="10800000">
              <a:off x="5331713" y="3746663"/>
              <a:ext cx="28575" cy="6667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276225</xdr:colOff>
      <xdr:row>159</xdr:row>
      <xdr:rowOff>0</xdr:rowOff>
    </xdr:from>
    <xdr:ext cx="104775" cy="200025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2849880" y="31546800"/>
          <a:ext cx="104775" cy="200025"/>
          <a:chOff x="5293613" y="3679988"/>
          <a:chExt cx="104775" cy="200025"/>
        </a:xfrm>
      </xdr:grpSpPr>
      <xdr:grpSp>
        <xdr:nvGrpSpPr>
          <xdr:cNvPr id="23" name="Shape 1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GrpSpPr/>
        </xdr:nvGrpSpPr>
        <xdr:grpSpPr>
          <a:xfrm>
            <a:off x="5293613" y="3679988"/>
            <a:ext cx="104775" cy="200025"/>
            <a:chOff x="5293613" y="3679988"/>
            <a:chExt cx="104775" cy="200025"/>
          </a:xfrm>
        </xdr:grpSpPr>
        <xdr:sp macro="" textlink="">
          <xdr:nvSpPr>
            <xdr:cNvPr id="24" name="Shape 4">
              <a:extLst>
                <a:ext uri="{FF2B5EF4-FFF2-40B4-BE49-F238E27FC236}">
                  <a16:creationId xmlns:a16="http://schemas.microsoft.com/office/drawing/2014/main" id="{00000000-0008-0000-0B00-000018000000}"/>
                </a:ext>
              </a:extLst>
            </xdr:cNvPr>
            <xdr:cNvSpPr/>
          </xdr:nvSpPr>
          <xdr:spPr>
            <a:xfrm>
              <a:off x="5293613" y="3679988"/>
              <a:ext cx="104775" cy="2000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5" name="Shape 15">
              <a:extLst>
                <a:ext uri="{FF2B5EF4-FFF2-40B4-BE49-F238E27FC236}">
                  <a16:creationId xmlns:a16="http://schemas.microsoft.com/office/drawing/2014/main" id="{00000000-0008-0000-0B00-000019000000}"/>
                </a:ext>
              </a:extLst>
            </xdr:cNvPr>
            <xdr:cNvCxnSpPr/>
          </xdr:nvCxnSpPr>
          <xdr:spPr>
            <a:xfrm rot="10800000" flipH="1">
              <a:off x="5293613" y="3679988"/>
              <a:ext cx="104775" cy="20002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238125</xdr:colOff>
      <xdr:row>159</xdr:row>
      <xdr:rowOff>95250</xdr:rowOff>
    </xdr:from>
    <xdr:ext cx="47625" cy="104775"/>
    <xdr:grpSp>
      <xdr:nvGrpSpPr>
        <xdr:cNvPr id="26" name="Shape 2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GrpSpPr/>
      </xdr:nvGrpSpPr>
      <xdr:grpSpPr>
        <a:xfrm>
          <a:off x="2811780" y="31638240"/>
          <a:ext cx="47625" cy="104775"/>
          <a:chOff x="5322188" y="3727613"/>
          <a:chExt cx="47625" cy="104775"/>
        </a:xfrm>
      </xdr:grpSpPr>
      <xdr:grpSp>
        <xdr:nvGrpSpPr>
          <xdr:cNvPr id="27" name="Shape 16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GrpSpPr/>
        </xdr:nvGrpSpPr>
        <xdr:grpSpPr>
          <a:xfrm>
            <a:off x="5322188" y="3727613"/>
            <a:ext cx="47625" cy="104775"/>
            <a:chOff x="5322188" y="3732375"/>
            <a:chExt cx="47625" cy="95250"/>
          </a:xfrm>
        </xdr:grpSpPr>
        <xdr:sp macro="" textlink="">
          <xdr:nvSpPr>
            <xdr:cNvPr id="28" name="Shape 4">
              <a:extLst>
                <a:ext uri="{FF2B5EF4-FFF2-40B4-BE49-F238E27FC236}">
                  <a16:creationId xmlns:a16="http://schemas.microsoft.com/office/drawing/2014/main" id="{00000000-0008-0000-0B00-00001C000000}"/>
                </a:ext>
              </a:extLst>
            </xdr:cNvPr>
            <xdr:cNvSpPr/>
          </xdr:nvSpPr>
          <xdr:spPr>
            <a:xfrm>
              <a:off x="5322188" y="3732375"/>
              <a:ext cx="47625" cy="95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9" name="Shape 17">
              <a:extLst>
                <a:ext uri="{FF2B5EF4-FFF2-40B4-BE49-F238E27FC236}">
                  <a16:creationId xmlns:a16="http://schemas.microsoft.com/office/drawing/2014/main" id="{00000000-0008-0000-0B00-00001D000000}"/>
                </a:ext>
              </a:extLst>
            </xdr:cNvPr>
            <xdr:cNvCxnSpPr/>
          </xdr:nvCxnSpPr>
          <xdr:spPr>
            <a:xfrm rot="10800000">
              <a:off x="5322188" y="3732375"/>
              <a:ext cx="47625" cy="9525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0</xdr:colOff>
      <xdr:row>159</xdr:row>
      <xdr:rowOff>0</xdr:rowOff>
    </xdr:from>
    <xdr:ext cx="28575" cy="38100"/>
    <xdr:grpSp>
      <xdr:nvGrpSpPr>
        <xdr:cNvPr id="30" name="Shape 2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pSpPr/>
      </xdr:nvGrpSpPr>
      <xdr:grpSpPr>
        <a:xfrm>
          <a:off x="4267200" y="31546800"/>
          <a:ext cx="28575" cy="38100"/>
          <a:chOff x="5331713" y="3760950"/>
          <a:chExt cx="28575" cy="38100"/>
        </a:xfrm>
      </xdr:grpSpPr>
      <xdr:grpSp>
        <xdr:nvGrpSpPr>
          <xdr:cNvPr id="31" name="Shape 18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GrpSpPr/>
        </xdr:nvGrpSpPr>
        <xdr:grpSpPr>
          <a:xfrm>
            <a:off x="5331713" y="3760950"/>
            <a:ext cx="28575" cy="38100"/>
            <a:chOff x="5331713" y="3760950"/>
            <a:chExt cx="28575" cy="38100"/>
          </a:xfrm>
        </xdr:grpSpPr>
        <xdr:sp macro="" textlink="">
          <xdr:nvSpPr>
            <xdr:cNvPr id="32" name="Shape 4"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5331713" y="3760950"/>
              <a:ext cx="28575" cy="381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3" name="Shape 19"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CxnSpPr/>
          </xdr:nvCxnSpPr>
          <xdr:spPr>
            <a:xfrm>
              <a:off x="5331713" y="3760950"/>
              <a:ext cx="28575" cy="3810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38100</xdr:colOff>
      <xdr:row>159</xdr:row>
      <xdr:rowOff>0</xdr:rowOff>
    </xdr:from>
    <xdr:ext cx="76200" cy="209550"/>
    <xdr:grpSp>
      <xdr:nvGrpSpPr>
        <xdr:cNvPr id="34" name="Shape 2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GrpSpPr/>
      </xdr:nvGrpSpPr>
      <xdr:grpSpPr>
        <a:xfrm>
          <a:off x="4305300" y="31546800"/>
          <a:ext cx="76200" cy="209550"/>
          <a:chOff x="5307900" y="3675225"/>
          <a:chExt cx="76200" cy="209550"/>
        </a:xfrm>
      </xdr:grpSpPr>
      <xdr:grpSp>
        <xdr:nvGrpSpPr>
          <xdr:cNvPr id="35" name="Shape 20"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GrpSpPr/>
        </xdr:nvGrpSpPr>
        <xdr:grpSpPr>
          <a:xfrm>
            <a:off x="5307900" y="3675225"/>
            <a:ext cx="76200" cy="209550"/>
            <a:chOff x="5307900" y="3675225"/>
            <a:chExt cx="76200" cy="209550"/>
          </a:xfrm>
        </xdr:grpSpPr>
        <xdr:sp macro="" textlink="">
          <xdr:nvSpPr>
            <xdr:cNvPr id="36" name="Shape 4"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5307900" y="3675225"/>
              <a:ext cx="76200" cy="209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7" name="Shape 21"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CxnSpPr/>
          </xdr:nvCxnSpPr>
          <xdr:spPr>
            <a:xfrm rot="10800000" flipH="1">
              <a:off x="5307900" y="3675225"/>
              <a:ext cx="76200" cy="20955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19050</xdr:colOff>
      <xdr:row>159</xdr:row>
      <xdr:rowOff>133350</xdr:rowOff>
    </xdr:from>
    <xdr:ext cx="28575" cy="66675"/>
    <xdr:grpSp>
      <xdr:nvGrpSpPr>
        <xdr:cNvPr id="38" name="Shape 2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GrpSpPr/>
      </xdr:nvGrpSpPr>
      <xdr:grpSpPr>
        <a:xfrm>
          <a:off x="4282440" y="31676340"/>
          <a:ext cx="28575" cy="66675"/>
          <a:chOff x="5331713" y="3746663"/>
          <a:chExt cx="28575" cy="66675"/>
        </a:xfrm>
      </xdr:grpSpPr>
      <xdr:grpSp>
        <xdr:nvGrpSpPr>
          <xdr:cNvPr id="39" name="Shape 22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GrpSpPr/>
        </xdr:nvGrpSpPr>
        <xdr:grpSpPr>
          <a:xfrm>
            <a:off x="5331713" y="3746663"/>
            <a:ext cx="28575" cy="66675"/>
            <a:chOff x="5331713" y="3746663"/>
            <a:chExt cx="28575" cy="66675"/>
          </a:xfrm>
        </xdr:grpSpPr>
        <xdr:sp macro="" textlink="">
          <xdr:nvSpPr>
            <xdr:cNvPr id="40" name="Shape 4"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5331713" y="3746663"/>
              <a:ext cx="28575" cy="66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1" name="Shape 23"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CxnSpPr/>
          </xdr:nvCxnSpPr>
          <xdr:spPr>
            <a:xfrm rot="10800000">
              <a:off x="5331713" y="3746663"/>
              <a:ext cx="28575" cy="6667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276225</xdr:colOff>
      <xdr:row>163</xdr:row>
      <xdr:rowOff>0</xdr:rowOff>
    </xdr:from>
    <xdr:ext cx="104775" cy="200025"/>
    <xdr:grpSp>
      <xdr:nvGrpSpPr>
        <xdr:cNvPr id="42" name="Shape 2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GrpSpPr/>
      </xdr:nvGrpSpPr>
      <xdr:grpSpPr>
        <a:xfrm>
          <a:off x="2849880" y="32346900"/>
          <a:ext cx="104775" cy="200025"/>
          <a:chOff x="5293613" y="3679988"/>
          <a:chExt cx="104775" cy="200025"/>
        </a:xfrm>
      </xdr:grpSpPr>
      <xdr:grpSp>
        <xdr:nvGrpSpPr>
          <xdr:cNvPr id="43" name="Shape 24">
            <a:extLst>
              <a:ext uri="{FF2B5EF4-FFF2-40B4-BE49-F238E27FC236}">
                <a16:creationId xmlns:a16="http://schemas.microsoft.com/office/drawing/2014/main" id="{00000000-0008-0000-0B00-00002B000000}"/>
              </a:ext>
            </a:extLst>
          </xdr:cNvPr>
          <xdr:cNvGrpSpPr/>
        </xdr:nvGrpSpPr>
        <xdr:grpSpPr>
          <a:xfrm>
            <a:off x="5293613" y="3679988"/>
            <a:ext cx="104775" cy="200025"/>
            <a:chOff x="5293613" y="3679988"/>
            <a:chExt cx="104775" cy="200025"/>
          </a:xfrm>
        </xdr:grpSpPr>
        <xdr:sp macro="" textlink="">
          <xdr:nvSpPr>
            <xdr:cNvPr id="44" name="Shape 4">
              <a:extLst>
                <a:ext uri="{FF2B5EF4-FFF2-40B4-BE49-F238E27FC236}">
                  <a16:creationId xmlns:a16="http://schemas.microsoft.com/office/drawing/2014/main" id="{00000000-0008-0000-0B00-00002C000000}"/>
                </a:ext>
              </a:extLst>
            </xdr:cNvPr>
            <xdr:cNvSpPr/>
          </xdr:nvSpPr>
          <xdr:spPr>
            <a:xfrm>
              <a:off x="5293613" y="3679988"/>
              <a:ext cx="104775" cy="2000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5" name="Shape 25">
              <a:extLst>
                <a:ext uri="{FF2B5EF4-FFF2-40B4-BE49-F238E27FC236}">
                  <a16:creationId xmlns:a16="http://schemas.microsoft.com/office/drawing/2014/main" id="{00000000-0008-0000-0B00-00002D000000}"/>
                </a:ext>
              </a:extLst>
            </xdr:cNvPr>
            <xdr:cNvCxnSpPr/>
          </xdr:nvCxnSpPr>
          <xdr:spPr>
            <a:xfrm rot="10800000" flipH="1">
              <a:off x="5293613" y="3679988"/>
              <a:ext cx="104775" cy="20002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238125</xdr:colOff>
      <xdr:row>163</xdr:row>
      <xdr:rowOff>95250</xdr:rowOff>
    </xdr:from>
    <xdr:ext cx="47625" cy="104775"/>
    <xdr:grpSp>
      <xdr:nvGrpSpPr>
        <xdr:cNvPr id="46" name="Shape 2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GrpSpPr/>
      </xdr:nvGrpSpPr>
      <xdr:grpSpPr>
        <a:xfrm>
          <a:off x="2811780" y="32438340"/>
          <a:ext cx="47625" cy="104775"/>
          <a:chOff x="5322188" y="3727613"/>
          <a:chExt cx="47625" cy="104775"/>
        </a:xfrm>
      </xdr:grpSpPr>
      <xdr:grpSp>
        <xdr:nvGrpSpPr>
          <xdr:cNvPr id="47" name="Shape 26">
            <a:extLst>
              <a:ext uri="{FF2B5EF4-FFF2-40B4-BE49-F238E27FC236}">
                <a16:creationId xmlns:a16="http://schemas.microsoft.com/office/drawing/2014/main" id="{00000000-0008-0000-0B00-00002F000000}"/>
              </a:ext>
            </a:extLst>
          </xdr:cNvPr>
          <xdr:cNvGrpSpPr/>
        </xdr:nvGrpSpPr>
        <xdr:grpSpPr>
          <a:xfrm>
            <a:off x="5322188" y="3727613"/>
            <a:ext cx="47625" cy="104775"/>
            <a:chOff x="5322188" y="3732375"/>
            <a:chExt cx="47625" cy="95250"/>
          </a:xfrm>
        </xdr:grpSpPr>
        <xdr:sp macro="" textlink="">
          <xdr:nvSpPr>
            <xdr:cNvPr id="48" name="Shape 4">
              <a:extLst>
                <a:ext uri="{FF2B5EF4-FFF2-40B4-BE49-F238E27FC236}">
                  <a16:creationId xmlns:a16="http://schemas.microsoft.com/office/drawing/2014/main" id="{00000000-0008-0000-0B00-000030000000}"/>
                </a:ext>
              </a:extLst>
            </xdr:cNvPr>
            <xdr:cNvSpPr/>
          </xdr:nvSpPr>
          <xdr:spPr>
            <a:xfrm>
              <a:off x="5322188" y="3732375"/>
              <a:ext cx="47625" cy="95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9" name="Shape 27">
              <a:extLst>
                <a:ext uri="{FF2B5EF4-FFF2-40B4-BE49-F238E27FC236}">
                  <a16:creationId xmlns:a16="http://schemas.microsoft.com/office/drawing/2014/main" id="{00000000-0008-0000-0B00-000031000000}"/>
                </a:ext>
              </a:extLst>
            </xdr:cNvPr>
            <xdr:cNvCxnSpPr/>
          </xdr:nvCxnSpPr>
          <xdr:spPr>
            <a:xfrm rot="10800000">
              <a:off x="5322188" y="3732375"/>
              <a:ext cx="47625" cy="9525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0</xdr:colOff>
      <xdr:row>163</xdr:row>
      <xdr:rowOff>0</xdr:rowOff>
    </xdr:from>
    <xdr:ext cx="28575" cy="38100"/>
    <xdr:grpSp>
      <xdr:nvGrpSpPr>
        <xdr:cNvPr id="50" name="Shape 2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GrpSpPr/>
      </xdr:nvGrpSpPr>
      <xdr:grpSpPr>
        <a:xfrm>
          <a:off x="4267200" y="32346900"/>
          <a:ext cx="28575" cy="38100"/>
          <a:chOff x="5331713" y="3760950"/>
          <a:chExt cx="28575" cy="38100"/>
        </a:xfrm>
      </xdr:grpSpPr>
      <xdr:grpSp>
        <xdr:nvGrpSpPr>
          <xdr:cNvPr id="51" name="Shape 28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GrpSpPr/>
        </xdr:nvGrpSpPr>
        <xdr:grpSpPr>
          <a:xfrm>
            <a:off x="5331713" y="3760950"/>
            <a:ext cx="28575" cy="38100"/>
            <a:chOff x="5331713" y="3760950"/>
            <a:chExt cx="28575" cy="38100"/>
          </a:xfrm>
        </xdr:grpSpPr>
        <xdr:sp macro="" textlink="">
          <xdr:nvSpPr>
            <xdr:cNvPr id="52" name="Shape 4">
              <a:extLst>
                <a:ext uri="{FF2B5EF4-FFF2-40B4-BE49-F238E27FC236}">
                  <a16:creationId xmlns:a16="http://schemas.microsoft.com/office/drawing/2014/main" id="{00000000-0008-0000-0B00-000034000000}"/>
                </a:ext>
              </a:extLst>
            </xdr:cNvPr>
            <xdr:cNvSpPr/>
          </xdr:nvSpPr>
          <xdr:spPr>
            <a:xfrm>
              <a:off x="5331713" y="3760950"/>
              <a:ext cx="28575" cy="381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3" name="Shape 29">
              <a:extLst>
                <a:ext uri="{FF2B5EF4-FFF2-40B4-BE49-F238E27FC236}">
                  <a16:creationId xmlns:a16="http://schemas.microsoft.com/office/drawing/2014/main" id="{00000000-0008-0000-0B00-000035000000}"/>
                </a:ext>
              </a:extLst>
            </xdr:cNvPr>
            <xdr:cNvCxnSpPr/>
          </xdr:nvCxnSpPr>
          <xdr:spPr>
            <a:xfrm>
              <a:off x="5331713" y="3760950"/>
              <a:ext cx="28575" cy="3810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38100</xdr:colOff>
      <xdr:row>163</xdr:row>
      <xdr:rowOff>0</xdr:rowOff>
    </xdr:from>
    <xdr:ext cx="76200" cy="209550"/>
    <xdr:grpSp>
      <xdr:nvGrpSpPr>
        <xdr:cNvPr id="54" name="Shape 2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GrpSpPr/>
      </xdr:nvGrpSpPr>
      <xdr:grpSpPr>
        <a:xfrm>
          <a:off x="4305300" y="32346900"/>
          <a:ext cx="76200" cy="209550"/>
          <a:chOff x="5307900" y="3675225"/>
          <a:chExt cx="76200" cy="209550"/>
        </a:xfrm>
      </xdr:grpSpPr>
      <xdr:grpSp>
        <xdr:nvGrpSpPr>
          <xdr:cNvPr id="55" name="Shape 30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GrpSpPr/>
        </xdr:nvGrpSpPr>
        <xdr:grpSpPr>
          <a:xfrm>
            <a:off x="5307900" y="3675225"/>
            <a:ext cx="76200" cy="209550"/>
            <a:chOff x="5307900" y="3675225"/>
            <a:chExt cx="76200" cy="209550"/>
          </a:xfrm>
        </xdr:grpSpPr>
        <xdr:sp macro="" textlink="">
          <xdr:nvSpPr>
            <xdr:cNvPr id="56" name="Shape 4">
              <a:extLst>
                <a:ext uri="{FF2B5EF4-FFF2-40B4-BE49-F238E27FC236}">
                  <a16:creationId xmlns:a16="http://schemas.microsoft.com/office/drawing/2014/main" id="{00000000-0008-0000-0B00-000038000000}"/>
                </a:ext>
              </a:extLst>
            </xdr:cNvPr>
            <xdr:cNvSpPr/>
          </xdr:nvSpPr>
          <xdr:spPr>
            <a:xfrm>
              <a:off x="5307900" y="3675225"/>
              <a:ext cx="76200" cy="209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7" name="Shape 31">
              <a:extLst>
                <a:ext uri="{FF2B5EF4-FFF2-40B4-BE49-F238E27FC236}">
                  <a16:creationId xmlns:a16="http://schemas.microsoft.com/office/drawing/2014/main" id="{00000000-0008-0000-0B00-000039000000}"/>
                </a:ext>
              </a:extLst>
            </xdr:cNvPr>
            <xdr:cNvCxnSpPr/>
          </xdr:nvCxnSpPr>
          <xdr:spPr>
            <a:xfrm rot="10800000" flipH="1">
              <a:off x="5307900" y="3675225"/>
              <a:ext cx="76200" cy="20955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6</xdr:col>
      <xdr:colOff>19050</xdr:colOff>
      <xdr:row>163</xdr:row>
      <xdr:rowOff>133350</xdr:rowOff>
    </xdr:from>
    <xdr:ext cx="28575" cy="66675"/>
    <xdr:grpSp>
      <xdr:nvGrpSpPr>
        <xdr:cNvPr id="58" name="Shape 2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GrpSpPr/>
      </xdr:nvGrpSpPr>
      <xdr:grpSpPr>
        <a:xfrm>
          <a:off x="4282440" y="32476440"/>
          <a:ext cx="28575" cy="66675"/>
          <a:chOff x="5331713" y="3746663"/>
          <a:chExt cx="28575" cy="66675"/>
        </a:xfrm>
      </xdr:grpSpPr>
      <xdr:grpSp>
        <xdr:nvGrpSpPr>
          <xdr:cNvPr id="59" name="Shape 32"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GrpSpPr/>
        </xdr:nvGrpSpPr>
        <xdr:grpSpPr>
          <a:xfrm>
            <a:off x="5331713" y="3746663"/>
            <a:ext cx="28575" cy="66675"/>
            <a:chOff x="5331713" y="3746663"/>
            <a:chExt cx="28575" cy="66675"/>
          </a:xfrm>
        </xdr:grpSpPr>
        <xdr:sp macro="" textlink="">
          <xdr:nvSpPr>
            <xdr:cNvPr id="60" name="Shape 4">
              <a:extLst>
                <a:ext uri="{FF2B5EF4-FFF2-40B4-BE49-F238E27FC236}">
                  <a16:creationId xmlns:a16="http://schemas.microsoft.com/office/drawing/2014/main" id="{00000000-0008-0000-0B00-00003C000000}"/>
                </a:ext>
              </a:extLst>
            </xdr:cNvPr>
            <xdr:cNvSpPr/>
          </xdr:nvSpPr>
          <xdr:spPr>
            <a:xfrm>
              <a:off x="5331713" y="3746663"/>
              <a:ext cx="28575" cy="66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1" name="Shape 33">
              <a:extLst>
                <a:ext uri="{FF2B5EF4-FFF2-40B4-BE49-F238E27FC236}">
                  <a16:creationId xmlns:a16="http://schemas.microsoft.com/office/drawing/2014/main" id="{00000000-0008-0000-0B00-00003D000000}"/>
                </a:ext>
              </a:extLst>
            </xdr:cNvPr>
            <xdr:cNvCxnSpPr/>
          </xdr:nvCxnSpPr>
          <xdr:spPr>
            <a:xfrm rot="10800000">
              <a:off x="5331713" y="3746663"/>
              <a:ext cx="28575" cy="6667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304800</xdr:colOff>
      <xdr:row>0</xdr:row>
      <xdr:rowOff>95250</xdr:rowOff>
    </xdr:from>
    <xdr:ext cx="1676400" cy="952500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4800" y="95250"/>
          <a:ext cx="1676400" cy="952500"/>
        </a:xfrm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285750</xdr:colOff>
      <xdr:row>22</xdr:row>
      <xdr:rowOff>0</xdr:rowOff>
    </xdr:from>
    <xdr:ext cx="114300" cy="1619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2758440" y="3562350"/>
          <a:ext cx="114300" cy="161925"/>
          <a:chOff x="5288850" y="3699038"/>
          <a:chExt cx="114300" cy="161925"/>
        </a:xfrm>
      </xdr:grpSpPr>
      <xdr:grpSp>
        <xdr:nvGrpSpPr>
          <xdr:cNvPr id="34" name="Shape 34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GrpSpPr/>
        </xdr:nvGrpSpPr>
        <xdr:grpSpPr>
          <a:xfrm>
            <a:off x="5288850" y="3699038"/>
            <a:ext cx="114300" cy="161925"/>
            <a:chOff x="5293613" y="3699038"/>
            <a:chExt cx="104775" cy="16192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SpPr/>
          </xdr:nvSpPr>
          <xdr:spPr>
            <a:xfrm>
              <a:off x="5293613" y="3699038"/>
              <a:ext cx="104775" cy="161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5" name="Shape 35">
              <a:extLst>
                <a:ext uri="{FF2B5EF4-FFF2-40B4-BE49-F238E27FC236}">
                  <a16:creationId xmlns:a16="http://schemas.microsoft.com/office/drawing/2014/main" id="{00000000-0008-0000-0F00-000023000000}"/>
                </a:ext>
              </a:extLst>
            </xdr:cNvPr>
            <xdr:cNvCxnSpPr/>
          </xdr:nvCxnSpPr>
          <xdr:spPr>
            <a:xfrm rot="10800000" flipH="1">
              <a:off x="5293613" y="3699038"/>
              <a:ext cx="104775" cy="16192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238125</xdr:colOff>
      <xdr:row>22</xdr:row>
      <xdr:rowOff>95250</xdr:rowOff>
    </xdr:from>
    <xdr:ext cx="57150" cy="6667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pSpPr/>
      </xdr:nvGrpSpPr>
      <xdr:grpSpPr>
        <a:xfrm>
          <a:off x="2716530" y="3653790"/>
          <a:ext cx="57150" cy="66675"/>
          <a:chOff x="5317425" y="3746663"/>
          <a:chExt cx="57150" cy="66675"/>
        </a:xfrm>
      </xdr:grpSpPr>
      <xdr:grpSp>
        <xdr:nvGrpSpPr>
          <xdr:cNvPr id="36" name="Shape 36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GrpSpPr/>
        </xdr:nvGrpSpPr>
        <xdr:grpSpPr>
          <a:xfrm>
            <a:off x="5317425" y="3746663"/>
            <a:ext cx="57150" cy="66675"/>
            <a:chOff x="5322188" y="3751425"/>
            <a:chExt cx="47625" cy="57150"/>
          </a:xfrm>
        </xdr:grpSpPr>
        <xdr:sp macro="" textlink="">
          <xdr:nvSpPr>
            <xdr:cNvPr id="5" name="Shape 4"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5322188" y="3751425"/>
              <a:ext cx="47625" cy="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7" name="Shape 37">
              <a:extLst>
                <a:ext uri="{FF2B5EF4-FFF2-40B4-BE49-F238E27FC236}">
                  <a16:creationId xmlns:a16="http://schemas.microsoft.com/office/drawing/2014/main" id="{00000000-0008-0000-0F00-000025000000}"/>
                </a:ext>
              </a:extLst>
            </xdr:cNvPr>
            <xdr:cNvCxnSpPr/>
          </xdr:nvCxnSpPr>
          <xdr:spPr>
            <a:xfrm rot="10800000">
              <a:off x="5322188" y="3751425"/>
              <a:ext cx="47625" cy="5715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1066800</xdr:colOff>
      <xdr:row>22</xdr:row>
      <xdr:rowOff>0</xdr:rowOff>
    </xdr:from>
    <xdr:ext cx="381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133850" y="3562350"/>
          <a:ext cx="38100" cy="38100"/>
          <a:chOff x="5326950" y="3760950"/>
          <a:chExt cx="38100" cy="38100"/>
        </a:xfrm>
      </xdr:grpSpPr>
      <xdr:grpSp>
        <xdr:nvGrpSpPr>
          <xdr:cNvPr id="38" name="Shape 38">
            <a:extLst>
              <a:ext uri="{FF2B5EF4-FFF2-40B4-BE49-F238E27FC236}">
                <a16:creationId xmlns:a16="http://schemas.microsoft.com/office/drawing/2014/main" id="{00000000-0008-0000-0F00-000026000000}"/>
              </a:ext>
            </a:extLst>
          </xdr:cNvPr>
          <xdr:cNvGrpSpPr/>
        </xdr:nvGrpSpPr>
        <xdr:grpSpPr>
          <a:xfrm>
            <a:off x="5326950" y="3760950"/>
            <a:ext cx="38100" cy="38100"/>
            <a:chOff x="5331713" y="3760950"/>
            <a:chExt cx="28575" cy="38100"/>
          </a:xfrm>
        </xdr:grpSpPr>
        <xdr:sp macro="" textlink="">
          <xdr:nvSpPr>
            <xdr:cNvPr id="7" name="Shape 4"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5331713" y="3760950"/>
              <a:ext cx="28575" cy="381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9" name="Shape 39">
              <a:extLst>
                <a:ext uri="{FF2B5EF4-FFF2-40B4-BE49-F238E27FC236}">
                  <a16:creationId xmlns:a16="http://schemas.microsoft.com/office/drawing/2014/main" id="{00000000-0008-0000-0F00-000027000000}"/>
                </a:ext>
              </a:extLst>
            </xdr:cNvPr>
            <xdr:cNvCxnSpPr/>
          </xdr:nvCxnSpPr>
          <xdr:spPr>
            <a:xfrm>
              <a:off x="5331713" y="3760950"/>
              <a:ext cx="28575" cy="38100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5</xdr:col>
      <xdr:colOff>38100</xdr:colOff>
      <xdr:row>22</xdr:row>
      <xdr:rowOff>0</xdr:rowOff>
    </xdr:from>
    <xdr:ext cx="85725" cy="17145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4495800" y="3562350"/>
          <a:ext cx="85725" cy="171450"/>
          <a:chOff x="5303138" y="3694275"/>
          <a:chExt cx="85725" cy="171450"/>
        </a:xfrm>
      </xdr:grpSpPr>
      <xdr:grpSp>
        <xdr:nvGrpSpPr>
          <xdr:cNvPr id="40" name="Shape 40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GrpSpPr/>
        </xdr:nvGrpSpPr>
        <xdr:grpSpPr>
          <a:xfrm>
            <a:off x="5303138" y="3694275"/>
            <a:ext cx="85725" cy="171450"/>
            <a:chOff x="5307900" y="3699038"/>
            <a:chExt cx="76200" cy="161925"/>
          </a:xfrm>
        </xdr:grpSpPr>
        <xdr:sp macro="" textlink="">
          <xdr:nvSpPr>
            <xdr:cNvPr id="9" name="Shape 4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/>
          </xdr:nvSpPr>
          <xdr:spPr>
            <a:xfrm>
              <a:off x="5307900" y="3699038"/>
              <a:ext cx="76200" cy="1619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1" name="Shape 41">
              <a:extLst>
                <a:ext uri="{FF2B5EF4-FFF2-40B4-BE49-F238E27FC236}">
                  <a16:creationId xmlns:a16="http://schemas.microsoft.com/office/drawing/2014/main" id="{00000000-0008-0000-0F00-000029000000}"/>
                </a:ext>
              </a:extLst>
            </xdr:cNvPr>
            <xdr:cNvCxnSpPr/>
          </xdr:nvCxnSpPr>
          <xdr:spPr>
            <a:xfrm rot="10800000" flipH="1">
              <a:off x="5307900" y="3699038"/>
              <a:ext cx="76200" cy="16192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5</xdr:col>
      <xdr:colOff>19050</xdr:colOff>
      <xdr:row>22</xdr:row>
      <xdr:rowOff>133350</xdr:rowOff>
    </xdr:from>
    <xdr:ext cx="38100" cy="28575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472940" y="3691890"/>
          <a:ext cx="38100" cy="28575"/>
          <a:chOff x="5326950" y="3765713"/>
          <a:chExt cx="38100" cy="28575"/>
        </a:xfrm>
      </xdr:grpSpPr>
      <xdr:grpSp>
        <xdr:nvGrpSpPr>
          <xdr:cNvPr id="42" name="Shape 42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GrpSpPr/>
        </xdr:nvGrpSpPr>
        <xdr:grpSpPr>
          <a:xfrm>
            <a:off x="5326950" y="3765713"/>
            <a:ext cx="38100" cy="28575"/>
            <a:chOff x="5331713" y="3765713"/>
            <a:chExt cx="28575" cy="28575"/>
          </a:xfrm>
        </xdr:grpSpPr>
        <xdr:sp macro="" textlink="">
          <xdr:nvSpPr>
            <xdr:cNvPr id="11" name="Shape 4"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/>
          </xdr:nvSpPr>
          <xdr:spPr>
            <a:xfrm>
              <a:off x="5331713" y="3765713"/>
              <a:ext cx="28575" cy="2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3" name="Shape 43">
              <a:extLst>
                <a:ext uri="{FF2B5EF4-FFF2-40B4-BE49-F238E27FC236}">
                  <a16:creationId xmlns:a16="http://schemas.microsoft.com/office/drawing/2014/main" id="{00000000-0008-0000-0F00-00002B000000}"/>
                </a:ext>
              </a:extLst>
            </xdr:cNvPr>
            <xdr:cNvCxnSpPr/>
          </xdr:nvCxnSpPr>
          <xdr:spPr>
            <a:xfrm rot="10800000">
              <a:off x="5331713" y="3765713"/>
              <a:ext cx="28575" cy="28575"/>
            </a:xfrm>
            <a:prstGeom prst="straightConnector1">
              <a:avLst/>
            </a:prstGeom>
            <a:noFill/>
            <a:ln w="9525" cap="flat" cmpd="sng">
              <a:solidFill>
                <a:srgbClr val="000000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Mi%20unidad/Cotizaciones%20Generales/COTIZACIONES%202025/257%20Voz%20Estudio/5257.xlsm" TargetMode="External"/><Relationship Id="rId2" Type="http://schemas.openxmlformats.org/officeDocument/2006/relationships/externalLinkPath" Target="file:///G:\Mi%20unidad\Cotizaciones%20Generales\COTIZACIONES%202025\257%20Voz%20Estudio\5257.xlsm" TargetMode="External"/><Relationship Id="rId1" Type="http://schemas.openxmlformats.org/officeDocument/2006/relationships/externalLinkPath" Target="/Mi%20unidad/Cotizaciones%20Generales/COTIZACIONES%202025/257%20Voz%20Estudio/525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oyja\Mi%20unidad\Cotizaciones%20Generales\COTIZACIONES%202022\029%20Patricia%20Gutierrez\Cotm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istanciadores (2)"/>
      <sheetName val="Datos (2)"/>
      <sheetName val="Cálculo Drive Thru"/>
      <sheetName val="Marco de Lámina con Refuerzo"/>
      <sheetName val="Marco Estructural (2)"/>
      <sheetName val="Intro"/>
      <sheetName val="Calculador Selectivo"/>
      <sheetName val="Cotizador Selectivo"/>
      <sheetName val="Dibujos"/>
      <sheetName val="Vigas (2)"/>
      <sheetName val="Capacidades"/>
      <sheetName val="Pesos"/>
      <sheetName val="Distribuidores"/>
      <sheetName val="CalEstant"/>
      <sheetName val="Calculos"/>
      <sheetName val="Marco Estructural"/>
      <sheetName val="Vigas"/>
      <sheetName val="Distanciadores"/>
      <sheetName val="Panel"/>
      <sheetName val="Datos"/>
      <sheetName val="5257"/>
    </sheetNames>
    <definedNames>
      <definedName name="PisoLis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dor"/>
      <sheetName val="Cotizador"/>
      <sheetName val="Minirack"/>
      <sheetName val="Estantería"/>
      <sheetName val="Convertidor"/>
      <sheetName val="CalMini"/>
      <sheetName val="CalEstant"/>
      <sheetName val="Calculos"/>
      <sheetName val="Datos"/>
      <sheetName val="Calculo malla anticaida"/>
      <sheetName val="Pesos"/>
      <sheetName val="Marco Estructural"/>
      <sheetName val="Vigas"/>
      <sheetName val="Distanciadores"/>
      <sheetName val="Panel"/>
      <sheetName val="PRECIO MALL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5">
          <cell r="B15" t="e">
            <v>#REF!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Ion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ortacero.com/cat_lamantiderrapa/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https://www.fortacero.com/cat_angulos/" TargetMode="External"/><Relationship Id="rId7" Type="http://schemas.openxmlformats.org/officeDocument/2006/relationships/hyperlink" Target="https://www.fortacero.com/cat_canales/" TargetMode="External"/><Relationship Id="rId12" Type="http://schemas.openxmlformats.org/officeDocument/2006/relationships/vmlDrawing" Target="../drawings/vmlDrawing2.vml"/><Relationship Id="rId2" Type="http://schemas.openxmlformats.org/officeDocument/2006/relationships/hyperlink" Target="https://www.fortacero.com/cat_vigaipr/" TargetMode="External"/><Relationship Id="rId1" Type="http://schemas.openxmlformats.org/officeDocument/2006/relationships/hyperlink" Target="https://www.fortacero.com/cat_ptr/" TargetMode="External"/><Relationship Id="rId6" Type="http://schemas.openxmlformats.org/officeDocument/2006/relationships/hyperlink" Target="https://www.fortacero.com/polin-c-3/" TargetMode="External"/><Relationship Id="rId11" Type="http://schemas.openxmlformats.org/officeDocument/2006/relationships/drawing" Target="../drawings/drawing6.xml"/><Relationship Id="rId5" Type="http://schemas.openxmlformats.org/officeDocument/2006/relationships/hyperlink" Target="https://www.fortacero.com/cat_hss/" TargetMode="External"/><Relationship Id="rId10" Type="http://schemas.openxmlformats.org/officeDocument/2006/relationships/printerSettings" Target="../printerSettings/printerSettings6.bin"/><Relationship Id="rId4" Type="http://schemas.openxmlformats.org/officeDocument/2006/relationships/hyperlink" Target="https://www.fortacero.com/cat_soleras/" TargetMode="External"/><Relationship Id="rId9" Type="http://schemas.openxmlformats.org/officeDocument/2006/relationships/hyperlink" Target="https://www.fortacero.com/cat_lamfria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galvarado@stocker.mx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D983-6900-4FCE-A3B7-00BB8F8E6B5F}">
  <sheetPr codeName="Hoja14"/>
  <dimension ref="A1:G5"/>
  <sheetViews>
    <sheetView workbookViewId="0">
      <selection activeCell="A2" sqref="A2:K6"/>
    </sheetView>
  </sheetViews>
  <sheetFormatPr baseColWidth="10" defaultColWidth="11.44140625" defaultRowHeight="13.2"/>
  <cols>
    <col min="1" max="16384" width="11.44140625" style="448"/>
  </cols>
  <sheetData>
    <row r="1" spans="1:7">
      <c r="A1" s="448" t="e">
        <f>#REF!</f>
        <v>#REF!</v>
      </c>
    </row>
    <row r="2" spans="1:7">
      <c r="A2" s="448" t="e">
        <f>SUM(G3:G5)</f>
        <v>#REF!</v>
      </c>
    </row>
    <row r="3" spans="1:7">
      <c r="B3" s="448" t="s">
        <v>844</v>
      </c>
      <c r="C3" s="448">
        <v>1.8</v>
      </c>
      <c r="D3" s="448">
        <v>0.32</v>
      </c>
      <c r="E3" s="448" t="e">
        <f>((C3*$A$1)/1000)+D3*2</f>
        <v>#REF!</v>
      </c>
      <c r="F3" s="448" t="e">
        <f>IF(#REF!="M92",1,0)</f>
        <v>#REF!</v>
      </c>
      <c r="G3" s="448" t="e">
        <f>+E3*F3</f>
        <v>#REF!</v>
      </c>
    </row>
    <row r="4" spans="1:7">
      <c r="B4" s="448" t="s">
        <v>845</v>
      </c>
      <c r="C4" s="448">
        <v>1.83</v>
      </c>
      <c r="D4" s="448">
        <v>0.56999999999999995</v>
      </c>
      <c r="E4" s="448" t="e">
        <f t="shared" ref="E4:E5" si="0">((C4*$A$1)/1000)+D4*2</f>
        <v>#REF!</v>
      </c>
      <c r="F4" s="448" t="e">
        <f>IF(#REF!="M3L",1,IF(#REF!="M3P",1,0))</f>
        <v>#REF!</v>
      </c>
      <c r="G4" s="448" t="e">
        <f t="shared" ref="G4:G5" si="1">+E4*F4</f>
        <v>#REF!</v>
      </c>
    </row>
    <row r="5" spans="1:7">
      <c r="B5" s="448" t="s">
        <v>846</v>
      </c>
      <c r="C5" s="448">
        <v>1.83</v>
      </c>
      <c r="D5" s="448">
        <v>0.76</v>
      </c>
      <c r="E5" s="448" t="e">
        <f t="shared" si="0"/>
        <v>#REF!</v>
      </c>
      <c r="F5" s="448" t="e">
        <f>IF(#REF!="M4L",1,IF(#REF!="M4P",1,0))</f>
        <v>#REF!</v>
      </c>
      <c r="G5" s="448" t="e">
        <f t="shared" si="1"/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45AF-1C68-405A-A267-8861E6F3CEBD}">
  <sheetPr codeName="Hoja15"/>
  <dimension ref="A1:O23"/>
  <sheetViews>
    <sheetView workbookViewId="0">
      <selection activeCell="K8" sqref="K8"/>
    </sheetView>
  </sheetViews>
  <sheetFormatPr baseColWidth="10" defaultColWidth="11.44140625" defaultRowHeight="13.2"/>
  <cols>
    <col min="1" max="7" width="11.44140625" style="448"/>
    <col min="8" max="8" width="32.6640625" style="448" bestFit="1" customWidth="1"/>
    <col min="9" max="11" width="11.44140625" style="448"/>
    <col min="12" max="12" width="6.33203125" style="448" bestFit="1" customWidth="1"/>
    <col min="13" max="13" width="26.33203125" style="448" bestFit="1" customWidth="1"/>
    <col min="14" max="15" width="9.33203125" style="448" bestFit="1" customWidth="1"/>
    <col min="16" max="16384" width="11.44140625" style="448"/>
  </cols>
  <sheetData>
    <row r="1" spans="1:15">
      <c r="A1" s="449" t="s">
        <v>847</v>
      </c>
      <c r="B1" s="449"/>
      <c r="C1" s="449"/>
      <c r="D1" s="449"/>
      <c r="E1" s="449"/>
      <c r="F1" s="449"/>
      <c r="H1" s="448" t="s">
        <v>848</v>
      </c>
      <c r="I1" s="448" t="e">
        <f>+#REF!</f>
        <v>#REF!</v>
      </c>
    </row>
    <row r="2" spans="1:15">
      <c r="A2" s="449"/>
      <c r="B2" s="449"/>
      <c r="C2" s="449"/>
      <c r="D2" s="449"/>
      <c r="E2" s="449" t="s">
        <v>849</v>
      </c>
      <c r="F2" s="449" t="s">
        <v>850</v>
      </c>
      <c r="H2" s="448" t="s">
        <v>851</v>
      </c>
      <c r="I2" s="448" t="e">
        <f>+#REF!</f>
        <v>#REF!</v>
      </c>
    </row>
    <row r="3" spans="1:15">
      <c r="A3" s="449" t="s">
        <v>86</v>
      </c>
      <c r="B3" s="449"/>
      <c r="C3" s="449" t="s">
        <v>146</v>
      </c>
      <c r="D3" s="449"/>
      <c r="E3" s="450">
        <f>'Marco Estructural (2)'!J33</f>
        <v>0</v>
      </c>
      <c r="F3" s="450">
        <f>'Marco Estructural (2)'!J34</f>
        <v>0</v>
      </c>
    </row>
    <row r="4" spans="1:15">
      <c r="A4" s="449" t="s">
        <v>99</v>
      </c>
      <c r="B4" s="449"/>
      <c r="C4" s="449" t="s">
        <v>145</v>
      </c>
      <c r="D4" s="449"/>
      <c r="E4" s="450">
        <f>'Marco de Lámina con Refuerzo'!H37</f>
        <v>0</v>
      </c>
      <c r="F4" s="449">
        <f>'Marco de Lámina con Refuerzo'!H38</f>
        <v>0</v>
      </c>
    </row>
    <row r="5" spans="1:15">
      <c r="A5" s="449" t="s">
        <v>852</v>
      </c>
      <c r="B5" s="449"/>
      <c r="C5" s="449"/>
      <c r="D5" s="449"/>
      <c r="E5" s="450">
        <f>SUM(E3:E4)</f>
        <v>0</v>
      </c>
      <c r="F5" s="450">
        <f>SUM(F3:F4)</f>
        <v>0</v>
      </c>
    </row>
    <row r="6" spans="1:15">
      <c r="A6" s="449" t="s">
        <v>106</v>
      </c>
      <c r="B6" s="449"/>
      <c r="C6" s="449" t="s">
        <v>853</v>
      </c>
      <c r="D6" s="449"/>
      <c r="E6" s="449"/>
      <c r="F6" s="449"/>
    </row>
    <row r="7" spans="1:15">
      <c r="A7" s="449" t="s">
        <v>854</v>
      </c>
      <c r="B7" s="449"/>
      <c r="C7" s="449" t="s">
        <v>855</v>
      </c>
      <c r="D7" s="449"/>
      <c r="E7" s="449"/>
      <c r="F7" s="449"/>
    </row>
    <row r="10" spans="1:15" ht="13.8" thickBot="1"/>
    <row r="11" spans="1:15">
      <c r="A11" s="451">
        <v>2</v>
      </c>
      <c r="B11" s="451"/>
      <c r="C11" s="451" t="s">
        <v>856</v>
      </c>
      <c r="D11" s="451" t="e">
        <f>#REF!</f>
        <v>#REF!</v>
      </c>
      <c r="E11" s="452" t="e">
        <f>D11/1000*0.275*15.262</f>
        <v>#REF!</v>
      </c>
      <c r="G11" s="453">
        <v>1</v>
      </c>
      <c r="H11" s="454" t="s">
        <v>857</v>
      </c>
      <c r="I11" s="455"/>
      <c r="J11" s="456">
        <v>0.72</v>
      </c>
      <c r="L11" s="457">
        <v>2</v>
      </c>
      <c r="M11" s="458" t="s">
        <v>858</v>
      </c>
      <c r="N11" s="459"/>
      <c r="O11" s="460">
        <v>0.13</v>
      </c>
    </row>
    <row r="12" spans="1:15">
      <c r="A12" s="451">
        <v>3</v>
      </c>
      <c r="B12" s="451"/>
      <c r="C12" s="451" t="s">
        <v>859</v>
      </c>
      <c r="D12" s="451" t="e">
        <f>#REF!</f>
        <v>#REF!</v>
      </c>
      <c r="E12" s="452" t="e">
        <f>D12/1000*0.262*21.367</f>
        <v>#REF!</v>
      </c>
      <c r="G12" s="461">
        <v>1</v>
      </c>
      <c r="H12" s="462" t="s">
        <v>857</v>
      </c>
      <c r="I12" s="463"/>
      <c r="J12" s="464">
        <v>0.72</v>
      </c>
      <c r="L12" s="465">
        <v>1</v>
      </c>
      <c r="M12" s="466" t="s">
        <v>857</v>
      </c>
      <c r="N12" s="467"/>
      <c r="O12" s="468">
        <v>0.62</v>
      </c>
    </row>
    <row r="13" spans="1:15">
      <c r="A13" s="451">
        <v>4</v>
      </c>
      <c r="B13" s="451"/>
      <c r="C13" s="451" t="s">
        <v>86</v>
      </c>
      <c r="D13" s="451" t="e">
        <f>#REF!</f>
        <v>#REF!</v>
      </c>
      <c r="E13" s="452" t="e">
        <f>(D13*3.72)/1000</f>
        <v>#REF!</v>
      </c>
      <c r="G13" s="461">
        <v>1</v>
      </c>
      <c r="H13" s="469" t="s">
        <v>860</v>
      </c>
      <c r="I13" s="470" t="e">
        <f>#REF!-9</f>
        <v>#REF!</v>
      </c>
      <c r="J13" s="471" t="e">
        <f>+I13/1000*0.169*21.367</f>
        <v>#REF!</v>
      </c>
      <c r="L13" s="465">
        <v>1</v>
      </c>
      <c r="M13" s="472" t="s">
        <v>857</v>
      </c>
      <c r="N13" s="467"/>
      <c r="O13" s="468">
        <v>0.62</v>
      </c>
    </row>
    <row r="14" spans="1:15" ht="13.8" thickBot="1">
      <c r="A14" s="451">
        <v>5</v>
      </c>
      <c r="B14" s="451"/>
      <c r="C14" s="451" t="s">
        <v>843</v>
      </c>
      <c r="D14" s="451" t="e">
        <f>#REF!</f>
        <v>#REF!</v>
      </c>
      <c r="E14" s="452" t="e">
        <f>7.29*D14/1000</f>
        <v>#REF!</v>
      </c>
      <c r="G14" s="473" t="s">
        <v>861</v>
      </c>
      <c r="H14" s="474" t="s">
        <v>862</v>
      </c>
      <c r="I14" s="474" t="s">
        <v>20</v>
      </c>
      <c r="J14" s="475" t="e">
        <f>SUM(J11:J13)</f>
        <v>#REF!</v>
      </c>
      <c r="L14" s="465">
        <v>2</v>
      </c>
      <c r="M14" s="476" t="s">
        <v>863</v>
      </c>
      <c r="N14" s="467" t="e">
        <f>I2-9</f>
        <v>#REF!</v>
      </c>
      <c r="O14" s="477" t="e">
        <f>+(4.04*N14)/1000/2</f>
        <v>#REF!</v>
      </c>
    </row>
    <row r="15" spans="1:15" ht="14.4" thickTop="1" thickBot="1">
      <c r="A15" s="451">
        <v>6</v>
      </c>
      <c r="B15" s="451"/>
      <c r="C15" s="451"/>
      <c r="D15" s="451"/>
      <c r="E15" s="451"/>
      <c r="G15" s="478"/>
      <c r="H15" s="478"/>
      <c r="I15" s="478" t="e">
        <f>IF(C4=#REF!,1,0)</f>
        <v>#REF!</v>
      </c>
      <c r="J15" s="478"/>
      <c r="L15" s="479"/>
      <c r="M15" s="479"/>
      <c r="N15" s="479" t="e">
        <f>IF(C4=#REF!,1,0)</f>
        <v>#REF!</v>
      </c>
      <c r="O15" s="479" t="e">
        <f>+O11*L11+O12+O13+O14*L14</f>
        <v>#REF!</v>
      </c>
    </row>
    <row r="16" spans="1:15">
      <c r="A16" s="451">
        <v>7</v>
      </c>
      <c r="B16" s="451"/>
      <c r="C16" s="451"/>
      <c r="D16" s="451"/>
      <c r="E16" s="451"/>
      <c r="G16" s="453"/>
      <c r="H16" s="454"/>
      <c r="I16" s="455"/>
      <c r="J16" s="480"/>
      <c r="L16" s="481"/>
      <c r="M16" s="482"/>
      <c r="N16" s="483"/>
      <c r="O16" s="484"/>
    </row>
    <row r="17" spans="1:15">
      <c r="A17" s="451">
        <v>8</v>
      </c>
      <c r="B17" s="451"/>
      <c r="C17" s="451"/>
      <c r="D17" s="451"/>
      <c r="E17" s="451"/>
      <c r="G17" s="461">
        <v>2</v>
      </c>
      <c r="H17" s="462" t="s">
        <v>864</v>
      </c>
      <c r="I17" s="463"/>
      <c r="J17" s="485">
        <f>1.1*G17</f>
        <v>2.2000000000000002</v>
      </c>
      <c r="L17" s="486">
        <v>2</v>
      </c>
      <c r="M17" s="487" t="s">
        <v>865</v>
      </c>
      <c r="N17" s="488"/>
      <c r="O17" s="489">
        <f>0.73*L17</f>
        <v>1.46</v>
      </c>
    </row>
    <row r="18" spans="1:15">
      <c r="A18" s="451">
        <v>9</v>
      </c>
      <c r="B18" s="451"/>
      <c r="C18" s="451" t="s">
        <v>866</v>
      </c>
      <c r="D18" s="451"/>
      <c r="E18" s="452"/>
      <c r="G18" s="461">
        <v>1</v>
      </c>
      <c r="H18" s="462" t="s">
        <v>867</v>
      </c>
      <c r="I18" s="463" t="e">
        <f>#REF!-19</f>
        <v>#REF!</v>
      </c>
      <c r="J18" s="485" t="e">
        <f>(I18/1000)*5.21</f>
        <v>#REF!</v>
      </c>
      <c r="L18" s="486">
        <v>1</v>
      </c>
      <c r="M18" s="487" t="s">
        <v>867</v>
      </c>
      <c r="N18" s="488" t="e">
        <f>I2-19</f>
        <v>#REF!</v>
      </c>
      <c r="O18" s="489" t="e">
        <f>(N18/1000)*5.21</f>
        <v>#REF!</v>
      </c>
    </row>
    <row r="19" spans="1:15" ht="13.8" thickBot="1">
      <c r="A19" s="451">
        <v>10</v>
      </c>
      <c r="B19" s="451"/>
      <c r="C19" s="451"/>
      <c r="D19" s="451"/>
      <c r="E19" s="452"/>
      <c r="G19" s="490" t="s">
        <v>861</v>
      </c>
      <c r="H19" s="491" t="s">
        <v>862</v>
      </c>
      <c r="I19" s="491"/>
      <c r="J19" s="492" t="e">
        <f>SUM(J17:J18)</f>
        <v>#REF!</v>
      </c>
      <c r="L19" s="493" t="s">
        <v>861</v>
      </c>
      <c r="M19" s="494" t="s">
        <v>862</v>
      </c>
      <c r="N19" s="494"/>
      <c r="O19" s="495" t="e">
        <f>SUM(O17:O18)</f>
        <v>#REF!</v>
      </c>
    </row>
    <row r="20" spans="1:15" ht="13.8" thickTop="1">
      <c r="A20" s="451">
        <v>11</v>
      </c>
      <c r="B20" s="451"/>
      <c r="C20" s="451"/>
      <c r="D20" s="451"/>
      <c r="E20" s="452"/>
      <c r="G20" s="478"/>
      <c r="H20" s="478"/>
      <c r="I20" s="478" t="e">
        <f>IF(C3=#REF!,1,0)</f>
        <v>#REF!</v>
      </c>
      <c r="J20" s="478"/>
      <c r="L20" s="479"/>
      <c r="M20" s="479"/>
      <c r="N20" s="479" t="e">
        <f>IF(C3=#REF!,1,0)</f>
        <v>#REF!</v>
      </c>
      <c r="O20" s="496" t="e">
        <f>+O19</f>
        <v>#REF!</v>
      </c>
    </row>
    <row r="21" spans="1:15">
      <c r="A21" s="451">
        <v>12</v>
      </c>
      <c r="B21" s="451"/>
      <c r="C21" s="451"/>
      <c r="D21" s="451"/>
      <c r="E21" s="451"/>
      <c r="G21" s="478"/>
      <c r="H21" s="478"/>
      <c r="I21" s="478"/>
      <c r="J21" s="478"/>
      <c r="L21" s="479"/>
      <c r="M21" s="479"/>
      <c r="N21" s="479"/>
      <c r="O21" s="479"/>
    </row>
    <row r="22" spans="1:15">
      <c r="A22" s="451">
        <v>13</v>
      </c>
      <c r="B22" s="451"/>
      <c r="C22" s="451"/>
      <c r="D22" s="451"/>
      <c r="E22" s="451"/>
      <c r="G22" s="478"/>
      <c r="H22" s="478"/>
      <c r="I22" s="478"/>
      <c r="J22" s="478"/>
      <c r="L22" s="479"/>
      <c r="M22" s="479"/>
      <c r="N22" s="479"/>
      <c r="O22" s="479"/>
    </row>
    <row r="23" spans="1:15">
      <c r="A23" s="451">
        <v>14</v>
      </c>
      <c r="B23" s="451"/>
      <c r="C23" s="451"/>
      <c r="D23" s="451"/>
      <c r="E23" s="451"/>
      <c r="G23" s="478"/>
      <c r="H23" s="478" t="s">
        <v>868</v>
      </c>
      <c r="I23" s="478" t="e">
        <f>+I20*J19+I15*J14</f>
        <v>#REF!</v>
      </c>
      <c r="J23" s="478"/>
      <c r="L23" s="479"/>
      <c r="M23" s="479" t="s">
        <v>869</v>
      </c>
      <c r="N23" s="479" t="e">
        <f>+N20*O20+N15*O15</f>
        <v>#REF!</v>
      </c>
      <c r="O23" s="47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8DC0D-BB87-45F3-A3EE-1AFE09977930}">
  <sheetPr codeName="Hoja16">
    <pageSetUpPr fitToPage="1"/>
  </sheetPr>
  <dimension ref="A1:Y92"/>
  <sheetViews>
    <sheetView view="pageBreakPreview" topLeftCell="A9" zoomScale="80" zoomScaleNormal="75" zoomScaleSheetLayoutView="80" workbookViewId="0">
      <selection activeCell="K37" sqref="K37"/>
    </sheetView>
  </sheetViews>
  <sheetFormatPr baseColWidth="10" defaultColWidth="11.44140625" defaultRowHeight="13.2"/>
  <cols>
    <col min="1" max="1" width="13" style="448" customWidth="1"/>
    <col min="2" max="2" width="18" style="448" customWidth="1"/>
    <col min="3" max="3" width="12.6640625" style="448" customWidth="1"/>
    <col min="4" max="4" width="14.5546875" style="448" bestFit="1" customWidth="1"/>
    <col min="5" max="5" width="16.6640625" style="448" customWidth="1"/>
    <col min="6" max="6" width="11.5546875" style="448" bestFit="1" customWidth="1"/>
    <col min="7" max="7" width="14.6640625" style="448" customWidth="1"/>
    <col min="8" max="8" width="14" style="448" bestFit="1" customWidth="1"/>
    <col min="9" max="10" width="11.5546875" style="448" bestFit="1" customWidth="1"/>
    <col min="11" max="11" width="14.5546875" style="448" bestFit="1" customWidth="1"/>
    <col min="12" max="13" width="11.5546875" style="448" bestFit="1" customWidth="1"/>
    <col min="14" max="16" width="11.44140625" style="448"/>
    <col min="17" max="17" width="17.6640625" style="448" customWidth="1"/>
    <col min="18" max="20" width="11.44140625" style="448"/>
    <col min="21" max="21" width="19.33203125" style="448" customWidth="1"/>
    <col min="22" max="22" width="11.5546875" style="448" customWidth="1"/>
    <col min="23" max="16384" width="11.44140625" style="448"/>
  </cols>
  <sheetData>
    <row r="1" spans="1:21" ht="13.8" thickBot="1">
      <c r="A1" s="497"/>
      <c r="B1" s="498" t="s">
        <v>870</v>
      </c>
    </row>
    <row r="2" spans="1:21" ht="13.8" thickBot="1">
      <c r="O2" s="499"/>
      <c r="P2" s="500"/>
      <c r="Q2" s="501"/>
      <c r="R2" s="502" t="s">
        <v>871</v>
      </c>
      <c r="S2" s="501"/>
      <c r="T2" s="500"/>
      <c r="U2" s="503"/>
    </row>
    <row r="3" spans="1:21" ht="13.8" thickBot="1">
      <c r="E3" s="504"/>
      <c r="F3" s="504"/>
      <c r="G3" s="504"/>
      <c r="H3" s="505" t="s">
        <v>872</v>
      </c>
      <c r="I3" s="504"/>
      <c r="J3" s="504"/>
      <c r="K3" s="504"/>
      <c r="O3" s="506"/>
      <c r="P3" s="507"/>
      <c r="Q3" s="507"/>
      <c r="R3" s="508"/>
      <c r="S3" s="507"/>
      <c r="T3" s="506"/>
      <c r="U3" s="506"/>
    </row>
    <row r="4" spans="1:21">
      <c r="E4" s="509"/>
      <c r="F4" s="509"/>
      <c r="G4" s="509"/>
      <c r="H4" s="510"/>
      <c r="I4" s="509"/>
      <c r="J4" s="509"/>
      <c r="K4" s="509"/>
      <c r="P4" s="511" t="s">
        <v>873</v>
      </c>
      <c r="Q4" s="512" t="s">
        <v>874</v>
      </c>
      <c r="R4" s="513">
        <v>49.16</v>
      </c>
      <c r="S4" s="514" t="s">
        <v>875</v>
      </c>
      <c r="T4" s="515" t="s">
        <v>876</v>
      </c>
    </row>
    <row r="5" spans="1:21" ht="13.8" thickBot="1">
      <c r="P5" s="516"/>
      <c r="Q5" s="517" t="s">
        <v>877</v>
      </c>
      <c r="R5" s="518">
        <v>46.1</v>
      </c>
      <c r="S5" s="519" t="s">
        <v>875</v>
      </c>
    </row>
    <row r="6" spans="1:21" ht="13.8" thickBot="1">
      <c r="B6" s="1033" t="s">
        <v>878</v>
      </c>
      <c r="C6" s="1034"/>
      <c r="G6" s="1033" t="s">
        <v>879</v>
      </c>
      <c r="H6" s="1035"/>
      <c r="I6" s="1035"/>
      <c r="J6" s="1034"/>
      <c r="P6" s="516"/>
      <c r="Q6" s="517" t="s">
        <v>880</v>
      </c>
      <c r="R6" s="518">
        <v>2.99</v>
      </c>
      <c r="S6" s="519" t="s">
        <v>875</v>
      </c>
    </row>
    <row r="7" spans="1:21" ht="13.8" thickBot="1">
      <c r="A7" s="520" t="s">
        <v>613</v>
      </c>
      <c r="B7" s="521" t="s">
        <v>881</v>
      </c>
      <c r="C7" s="522" t="s">
        <v>882</v>
      </c>
      <c r="F7" s="523" t="e">
        <f>#REF!</f>
        <v>#REF!</v>
      </c>
      <c r="G7" s="524" t="s">
        <v>881</v>
      </c>
      <c r="H7" s="525" t="s">
        <v>883</v>
      </c>
      <c r="I7" s="525" t="s">
        <v>884</v>
      </c>
      <c r="J7" s="525" t="s">
        <v>885</v>
      </c>
      <c r="P7" s="516"/>
      <c r="Q7" s="517" t="s">
        <v>886</v>
      </c>
      <c r="R7" s="518">
        <v>5.14</v>
      </c>
      <c r="S7" s="519" t="s">
        <v>875</v>
      </c>
    </row>
    <row r="8" spans="1:21" ht="13.8" thickBot="1">
      <c r="B8" s="526">
        <f>VLOOKUP(CONCATENATE(A7,B7),Q4:S36,2,FALSE)</f>
        <v>61.87</v>
      </c>
      <c r="C8" s="527">
        <v>142.30000000000001</v>
      </c>
      <c r="G8" s="528" t="e">
        <f>VLOOKUP(CONCATENATE(F7,G7),Q5:S56,2,FALSE)</f>
        <v>#REF!</v>
      </c>
      <c r="H8" s="527" t="e">
        <f>(#REF!/10)-(#REF!/10)</f>
        <v>#REF!</v>
      </c>
      <c r="I8" s="529" t="e">
        <f>VLOOKUP(CONCATENATE(F7,I7),Q5:S56,2,FALSE)</f>
        <v>#REF!</v>
      </c>
      <c r="J8" s="530" t="e">
        <f>VLOOKUP(CONCATENATE(F7,J7),Q5:S56,2,FALSE)</f>
        <v>#REF!</v>
      </c>
      <c r="P8" s="516"/>
      <c r="Q8" s="531" t="s">
        <v>887</v>
      </c>
      <c r="R8" s="532">
        <v>4.0599999999999996</v>
      </c>
      <c r="S8" s="533" t="s">
        <v>875</v>
      </c>
    </row>
    <row r="9" spans="1:21">
      <c r="P9" s="516"/>
      <c r="Q9" s="534" t="s">
        <v>888</v>
      </c>
      <c r="R9" s="535">
        <v>61.87</v>
      </c>
      <c r="S9" s="536" t="s">
        <v>875</v>
      </c>
    </row>
    <row r="10" spans="1:21" ht="13.8" thickBot="1">
      <c r="B10" s="537"/>
      <c r="C10" s="537"/>
      <c r="G10" s="538"/>
      <c r="H10" s="538" t="s">
        <v>889</v>
      </c>
      <c r="I10" s="537"/>
      <c r="J10" s="538"/>
      <c r="P10" s="516"/>
      <c r="Q10" s="517" t="s">
        <v>890</v>
      </c>
      <c r="R10" s="518">
        <v>3.06</v>
      </c>
      <c r="S10" s="519" t="s">
        <v>875</v>
      </c>
    </row>
    <row r="11" spans="1:21" ht="16.2" thickBot="1">
      <c r="A11" s="539" t="s">
        <v>891</v>
      </c>
      <c r="B11" s="540" t="s">
        <v>892</v>
      </c>
      <c r="C11" s="540" t="s">
        <v>882</v>
      </c>
      <c r="D11" s="541" t="s">
        <v>893</v>
      </c>
      <c r="E11" s="542"/>
      <c r="G11" s="538"/>
      <c r="H11" s="538"/>
      <c r="I11" s="537"/>
      <c r="J11" s="538"/>
      <c r="P11" s="516"/>
      <c r="Q11" s="517" t="s">
        <v>894</v>
      </c>
      <c r="R11" s="518">
        <v>6.67</v>
      </c>
      <c r="S11" s="519" t="s">
        <v>875</v>
      </c>
    </row>
    <row r="12" spans="1:21">
      <c r="A12" s="543" t="s">
        <v>895</v>
      </c>
      <c r="B12" s="544" t="e">
        <f>$G$8</f>
        <v>#REF!</v>
      </c>
      <c r="C12" s="544" t="e">
        <f>$H$8</f>
        <v>#REF!</v>
      </c>
      <c r="D12" s="545" t="e">
        <f>$B$12/$C$12</f>
        <v>#REF!</v>
      </c>
      <c r="P12" s="516"/>
      <c r="Q12" s="517" t="s">
        <v>896</v>
      </c>
      <c r="R12" s="518">
        <v>5.21</v>
      </c>
      <c r="S12" s="519" t="s">
        <v>875</v>
      </c>
    </row>
    <row r="13" spans="1:21">
      <c r="A13" s="546" t="s">
        <v>897</v>
      </c>
      <c r="B13" s="547">
        <f>$B$8</f>
        <v>61.87</v>
      </c>
      <c r="C13" s="547">
        <f>$C$8</f>
        <v>142.30000000000001</v>
      </c>
      <c r="D13" s="548">
        <f>$B$13/$C$13</f>
        <v>0.43478566408995073</v>
      </c>
      <c r="H13" s="549"/>
      <c r="P13" s="516"/>
      <c r="Q13" s="534" t="s">
        <v>898</v>
      </c>
      <c r="R13" s="535">
        <v>68.099999999999994</v>
      </c>
      <c r="S13" s="536" t="s">
        <v>875</v>
      </c>
    </row>
    <row r="14" spans="1:21" ht="13.8" thickBot="1">
      <c r="A14" s="550" t="s">
        <v>899</v>
      </c>
      <c r="B14" s="551" t="e">
        <f>$G$8</f>
        <v>#REF!</v>
      </c>
      <c r="C14" s="551" t="e">
        <f>$H$8</f>
        <v>#REF!</v>
      </c>
      <c r="D14" s="552" t="e">
        <f>$B$14/$C$14</f>
        <v>#REF!</v>
      </c>
      <c r="H14" s="549"/>
      <c r="J14" s="553"/>
      <c r="K14" s="554" t="s">
        <v>900</v>
      </c>
      <c r="L14" s="553"/>
      <c r="P14" s="516"/>
      <c r="Q14" s="517" t="s">
        <v>901</v>
      </c>
      <c r="R14" s="518">
        <v>2.97</v>
      </c>
      <c r="S14" s="519" t="s">
        <v>875</v>
      </c>
    </row>
    <row r="15" spans="1:21">
      <c r="H15" s="549"/>
      <c r="J15" s="537" t="s">
        <v>159</v>
      </c>
      <c r="L15" s="537" t="s">
        <v>158</v>
      </c>
      <c r="P15" s="516"/>
      <c r="Q15" s="517" t="s">
        <v>902</v>
      </c>
      <c r="R15" s="518">
        <v>7.68</v>
      </c>
      <c r="S15" s="519" t="s">
        <v>875</v>
      </c>
    </row>
    <row r="16" spans="1:21" ht="13.8" thickBot="1">
      <c r="F16" s="537"/>
      <c r="G16" s="537"/>
      <c r="H16" s="549"/>
      <c r="P16" s="516"/>
      <c r="Q16" s="531" t="s">
        <v>903</v>
      </c>
      <c r="R16" s="532">
        <v>6.1</v>
      </c>
      <c r="S16" s="533" t="s">
        <v>875</v>
      </c>
    </row>
    <row r="17" spans="1:25">
      <c r="A17" s="555"/>
      <c r="B17" s="556"/>
      <c r="C17" s="557" t="s">
        <v>904</v>
      </c>
      <c r="D17" s="558"/>
      <c r="E17" s="555"/>
      <c r="F17" s="537"/>
      <c r="G17" s="537"/>
      <c r="H17" s="549"/>
      <c r="P17" s="516"/>
      <c r="Q17" s="534" t="s">
        <v>905</v>
      </c>
      <c r="R17" s="535">
        <v>128.12</v>
      </c>
      <c r="S17" s="536" t="s">
        <v>875</v>
      </c>
    </row>
    <row r="18" spans="1:25" ht="13.8" thickBot="1">
      <c r="A18" s="559" t="s">
        <v>906</v>
      </c>
      <c r="B18" s="560" t="s">
        <v>907</v>
      </c>
      <c r="C18" s="561"/>
      <c r="D18" s="562" t="s">
        <v>908</v>
      </c>
      <c r="E18" s="563" t="s">
        <v>909</v>
      </c>
      <c r="H18" s="549"/>
      <c r="P18" s="516"/>
      <c r="Q18" s="517" t="s">
        <v>910</v>
      </c>
      <c r="R18" s="518">
        <v>3.89</v>
      </c>
      <c r="S18" s="519" t="s">
        <v>875</v>
      </c>
    </row>
    <row r="19" spans="1:25">
      <c r="A19" s="564" t="s">
        <v>895</v>
      </c>
      <c r="B19" s="565">
        <v>1</v>
      </c>
      <c r="C19" s="565"/>
      <c r="D19" s="566" t="e">
        <f>$D$14/$D$13</f>
        <v>#REF!</v>
      </c>
      <c r="E19" s="567"/>
      <c r="H19" s="549"/>
      <c r="P19" s="516"/>
      <c r="Q19" s="517" t="s">
        <v>911</v>
      </c>
      <c r="R19" s="518">
        <v>8.5399999999999991</v>
      </c>
      <c r="S19" s="519" t="s">
        <v>875</v>
      </c>
    </row>
    <row r="20" spans="1:25" ht="13.8" thickBot="1">
      <c r="A20" s="568" t="s">
        <v>899</v>
      </c>
      <c r="B20" s="569" t="e">
        <f>$D$12/$D$13</f>
        <v>#REF!</v>
      </c>
      <c r="C20" s="570"/>
      <c r="D20" s="570">
        <v>1</v>
      </c>
      <c r="E20" s="571"/>
      <c r="H20" s="549"/>
      <c r="P20" s="516"/>
      <c r="Q20" s="531" t="s">
        <v>912</v>
      </c>
      <c r="R20" s="532">
        <v>6.7</v>
      </c>
      <c r="S20" s="533" t="s">
        <v>875</v>
      </c>
    </row>
    <row r="21" spans="1:25">
      <c r="H21" s="549"/>
      <c r="P21" s="516"/>
      <c r="Q21" s="534" t="s">
        <v>913</v>
      </c>
      <c r="R21" s="535">
        <v>157.9</v>
      </c>
      <c r="S21" s="536" t="s">
        <v>875</v>
      </c>
    </row>
    <row r="22" spans="1:25">
      <c r="A22" s="498" t="s">
        <v>914</v>
      </c>
      <c r="H22" s="549"/>
      <c r="P22" s="516"/>
      <c r="Q22" s="517" t="s">
        <v>915</v>
      </c>
      <c r="R22" s="518">
        <v>3.97</v>
      </c>
      <c r="S22" s="519" t="s">
        <v>875</v>
      </c>
    </row>
    <row r="23" spans="1:25" ht="13.8" thickBot="1">
      <c r="H23" s="549"/>
      <c r="P23" s="516"/>
      <c r="Q23" s="517" t="s">
        <v>916</v>
      </c>
      <c r="R23" s="518">
        <v>10.3</v>
      </c>
      <c r="S23" s="519" t="s">
        <v>875</v>
      </c>
    </row>
    <row r="24" spans="1:25" ht="13.8" thickBot="1">
      <c r="A24" s="1033" t="s">
        <v>917</v>
      </c>
      <c r="B24" s="1034"/>
      <c r="D24" s="572" t="s">
        <v>918</v>
      </c>
      <c r="H24" s="549"/>
      <c r="I24" s="549"/>
      <c r="P24" s="573"/>
      <c r="Q24" s="574" t="s">
        <v>919</v>
      </c>
      <c r="R24" s="575">
        <v>8.0399999999999991</v>
      </c>
      <c r="S24" s="576" t="s">
        <v>875</v>
      </c>
    </row>
    <row r="25" spans="1:25" ht="15" customHeight="1">
      <c r="A25" s="577" t="s">
        <v>920</v>
      </c>
      <c r="B25" s="578" t="e">
        <f>(D26*H8)/I8</f>
        <v>#REF!</v>
      </c>
      <c r="D25" s="579" t="s">
        <v>909</v>
      </c>
      <c r="H25" s="549"/>
      <c r="I25" s="549"/>
      <c r="P25" s="511" t="s">
        <v>921</v>
      </c>
      <c r="Q25" s="580" t="s">
        <v>922</v>
      </c>
      <c r="R25" s="581">
        <v>40.56</v>
      </c>
      <c r="S25" s="582" t="s">
        <v>875</v>
      </c>
      <c r="U25" s="580" t="s">
        <v>923</v>
      </c>
      <c r="V25" s="581">
        <v>4.38</v>
      </c>
      <c r="W25" s="583" t="s">
        <v>924</v>
      </c>
      <c r="Y25" s="584"/>
    </row>
    <row r="26" spans="1:25" ht="18" thickBot="1">
      <c r="A26" s="585" t="s">
        <v>925</v>
      </c>
      <c r="B26" s="586" t="e">
        <f>B25^2</f>
        <v>#REF!</v>
      </c>
      <c r="C26" s="587"/>
      <c r="D26" s="529">
        <v>1.25</v>
      </c>
      <c r="H26" s="549"/>
      <c r="I26" s="549"/>
      <c r="P26" s="516"/>
      <c r="Q26" s="517" t="s">
        <v>926</v>
      </c>
      <c r="R26" s="518">
        <v>3</v>
      </c>
      <c r="S26" s="519" t="s">
        <v>875</v>
      </c>
      <c r="U26" s="517" t="s">
        <v>927</v>
      </c>
      <c r="V26" s="518">
        <v>2.66</v>
      </c>
      <c r="W26" s="588" t="s">
        <v>928</v>
      </c>
      <c r="Y26" s="589"/>
    </row>
    <row r="27" spans="1:25">
      <c r="H27" s="549"/>
      <c r="I27" s="549"/>
      <c r="P27" s="516"/>
      <c r="Q27" s="517" t="s">
        <v>929</v>
      </c>
      <c r="R27" s="518">
        <v>4.47</v>
      </c>
      <c r="S27" s="519" t="s">
        <v>875</v>
      </c>
      <c r="U27" s="517" t="s">
        <v>930</v>
      </c>
      <c r="V27" s="518">
        <v>1.27</v>
      </c>
      <c r="W27" s="588" t="s">
        <v>875</v>
      </c>
      <c r="Y27" s="589"/>
    </row>
    <row r="28" spans="1:25" ht="13.8" thickBot="1">
      <c r="H28" s="549"/>
      <c r="I28" s="549"/>
      <c r="P28" s="516"/>
      <c r="Q28" s="531" t="s">
        <v>931</v>
      </c>
      <c r="R28" s="532">
        <v>3.64</v>
      </c>
      <c r="S28" s="533" t="s">
        <v>875</v>
      </c>
      <c r="U28" s="517" t="s">
        <v>932</v>
      </c>
      <c r="V28" s="518">
        <v>2.71</v>
      </c>
      <c r="W28" s="588" t="s">
        <v>933</v>
      </c>
      <c r="Y28" s="589"/>
    </row>
    <row r="29" spans="1:25" ht="13.8" thickBot="1">
      <c r="A29" s="1033" t="s">
        <v>934</v>
      </c>
      <c r="B29" s="1034"/>
      <c r="H29" s="549"/>
      <c r="I29" s="549"/>
      <c r="P29" s="516"/>
      <c r="Q29" s="534" t="s">
        <v>935</v>
      </c>
      <c r="R29" s="535">
        <v>81.8</v>
      </c>
      <c r="S29" s="536" t="s">
        <v>875</v>
      </c>
      <c r="U29" s="531" t="s">
        <v>936</v>
      </c>
      <c r="V29" s="532">
        <v>2.59</v>
      </c>
      <c r="W29" s="590" t="s">
        <v>937</v>
      </c>
      <c r="Y29" s="589"/>
    </row>
    <row r="30" spans="1:25" ht="18.75" customHeight="1" thickBot="1">
      <c r="A30" s="591" t="s">
        <v>938</v>
      </c>
      <c r="B30" s="592" t="s">
        <v>939</v>
      </c>
      <c r="C30" s="537" t="s">
        <v>189</v>
      </c>
      <c r="D30" s="593">
        <v>12</v>
      </c>
      <c r="E30" s="593">
        <f>3.1416^2</f>
        <v>9.8696505600000002</v>
      </c>
      <c r="F30" s="594">
        <f>E48</f>
        <v>2100000</v>
      </c>
      <c r="G30" s="537" t="s">
        <v>189</v>
      </c>
      <c r="H30" s="595" t="e">
        <f>(D30*E30*F30)/(D31*E31)</f>
        <v>#REF!</v>
      </c>
      <c r="I30" s="596" t="s">
        <v>940</v>
      </c>
      <c r="P30" s="516"/>
      <c r="Q30" s="517" t="s">
        <v>941</v>
      </c>
      <c r="R30" s="518">
        <v>4</v>
      </c>
      <c r="S30" s="519" t="s">
        <v>875</v>
      </c>
      <c r="U30" s="534" t="s">
        <v>942</v>
      </c>
      <c r="V30" s="535">
        <v>7.61</v>
      </c>
      <c r="W30" s="597" t="s">
        <v>924</v>
      </c>
    </row>
    <row r="31" spans="1:25" ht="17.399999999999999">
      <c r="B31" s="537" t="s">
        <v>943</v>
      </c>
      <c r="D31" s="448">
        <v>23</v>
      </c>
      <c r="E31" s="1036" t="e">
        <f>B25^2</f>
        <v>#REF!</v>
      </c>
      <c r="F31" s="1037"/>
      <c r="G31" s="538"/>
      <c r="P31" s="516"/>
      <c r="Q31" s="517" t="s">
        <v>944</v>
      </c>
      <c r="R31" s="518">
        <v>4.97</v>
      </c>
      <c r="S31" s="519" t="s">
        <v>875</v>
      </c>
      <c r="U31" s="517" t="s">
        <v>945</v>
      </c>
      <c r="V31" s="518">
        <v>3.66</v>
      </c>
      <c r="W31" s="588" t="s">
        <v>928</v>
      </c>
    </row>
    <row r="32" spans="1:25" ht="13.8" thickBot="1">
      <c r="P32" s="516"/>
      <c r="Q32" s="531" t="s">
        <v>946</v>
      </c>
      <c r="R32" s="532">
        <v>3.91</v>
      </c>
      <c r="S32" s="533" t="s">
        <v>875</v>
      </c>
      <c r="U32" s="517" t="s">
        <v>947</v>
      </c>
      <c r="V32" s="518">
        <v>1.58</v>
      </c>
      <c r="W32" s="588" t="s">
        <v>875</v>
      </c>
    </row>
    <row r="33" spans="1:23" ht="13.8" thickBot="1">
      <c r="A33" s="591" t="s">
        <v>948</v>
      </c>
      <c r="B33" s="598" t="s">
        <v>949</v>
      </c>
      <c r="C33" s="537" t="s">
        <v>189</v>
      </c>
      <c r="D33" s="599" t="e">
        <f>#REF!*#REF!</f>
        <v>#REF!</v>
      </c>
      <c r="E33" s="537" t="s">
        <v>189</v>
      </c>
      <c r="F33" s="595" t="e">
        <f>D33/D34</f>
        <v>#REF!</v>
      </c>
      <c r="G33" s="596" t="s">
        <v>940</v>
      </c>
      <c r="P33" s="516"/>
      <c r="Q33" s="534" t="s">
        <v>950</v>
      </c>
      <c r="R33" s="535">
        <v>43.92</v>
      </c>
      <c r="S33" s="536" t="s">
        <v>875</v>
      </c>
      <c r="U33" s="517" t="s">
        <v>951</v>
      </c>
      <c r="V33" s="518">
        <v>3.03</v>
      </c>
      <c r="W33" s="588" t="s">
        <v>933</v>
      </c>
    </row>
    <row r="34" spans="1:23">
      <c r="B34" s="537" t="s">
        <v>157</v>
      </c>
      <c r="C34" s="537"/>
      <c r="D34" s="600" t="e">
        <f>J8</f>
        <v>#REF!</v>
      </c>
      <c r="E34" s="537"/>
      <c r="J34" s="537" t="s">
        <v>160</v>
      </c>
      <c r="L34" s="537" t="s">
        <v>157</v>
      </c>
      <c r="P34" s="516"/>
      <c r="Q34" s="517" t="s">
        <v>952</v>
      </c>
      <c r="R34" s="518">
        <v>3.26</v>
      </c>
      <c r="S34" s="519" t="s">
        <v>875</v>
      </c>
      <c r="U34" s="531" t="s">
        <v>953</v>
      </c>
      <c r="V34" s="532">
        <v>2.81</v>
      </c>
      <c r="W34" s="590" t="s">
        <v>937</v>
      </c>
    </row>
    <row r="35" spans="1:23" ht="13.5" customHeight="1" thickBot="1">
      <c r="C35" s="537"/>
      <c r="E35" s="537"/>
      <c r="P35" s="516"/>
      <c r="Q35" s="517" t="s">
        <v>954</v>
      </c>
      <c r="R35" s="518">
        <v>4.1399999999999997</v>
      </c>
      <c r="S35" s="519" t="s">
        <v>875</v>
      </c>
      <c r="U35" s="534" t="s">
        <v>955</v>
      </c>
      <c r="V35" s="535">
        <v>27.8</v>
      </c>
      <c r="W35" s="597" t="s">
        <v>924</v>
      </c>
    </row>
    <row r="36" spans="1:23" ht="16.8" thickBot="1">
      <c r="A36" s="591" t="s">
        <v>956</v>
      </c>
      <c r="B36" s="598" t="s">
        <v>957</v>
      </c>
      <c r="C36" s="537" t="s">
        <v>189</v>
      </c>
      <c r="D36" s="593" t="e">
        <f>F33</f>
        <v>#REF!</v>
      </c>
      <c r="E36" s="537" t="s">
        <v>189</v>
      </c>
      <c r="F36" s="601" t="e">
        <f>D36/D37</f>
        <v>#REF!</v>
      </c>
      <c r="G36" s="602" t="e">
        <f>IF(F36&lt;H36,"&lt;","&gt;")</f>
        <v>#REF!</v>
      </c>
      <c r="H36" s="602">
        <v>1</v>
      </c>
      <c r="P36" s="516"/>
      <c r="Q36" s="531" t="s">
        <v>958</v>
      </c>
      <c r="R36" s="532">
        <v>3.72</v>
      </c>
      <c r="S36" s="533" t="s">
        <v>875</v>
      </c>
      <c r="U36" s="517" t="s">
        <v>959</v>
      </c>
      <c r="V36" s="518">
        <v>7.82</v>
      </c>
      <c r="W36" s="588" t="s">
        <v>928</v>
      </c>
    </row>
    <row r="37" spans="1:23" ht="15" thickBot="1">
      <c r="B37" s="537" t="s">
        <v>960</v>
      </c>
      <c r="D37" s="603" t="e">
        <f>H30</f>
        <v>#REF!</v>
      </c>
      <c r="E37" s="604"/>
      <c r="P37" s="516"/>
      <c r="Q37" s="534" t="s">
        <v>961</v>
      </c>
      <c r="R37" s="535">
        <v>46.1</v>
      </c>
      <c r="S37" s="536" t="s">
        <v>875</v>
      </c>
      <c r="U37" s="517" t="s">
        <v>962</v>
      </c>
      <c r="V37" s="518">
        <v>2.59</v>
      </c>
      <c r="W37" s="588" t="s">
        <v>875</v>
      </c>
    </row>
    <row r="38" spans="1:23" ht="13.8" thickBot="1">
      <c r="F38" s="1030" t="e">
        <f>IF(F36&lt;H36,"Correcto","Incorrecto")</f>
        <v>#REF!</v>
      </c>
      <c r="G38" s="1031"/>
      <c r="H38" s="1032"/>
      <c r="I38" s="448" t="e">
        <f>F38</f>
        <v>#REF!</v>
      </c>
      <c r="P38" s="516"/>
      <c r="Q38" s="517" t="s">
        <v>963</v>
      </c>
      <c r="R38" s="518">
        <v>3.31</v>
      </c>
      <c r="S38" s="519" t="s">
        <v>875</v>
      </c>
      <c r="U38" s="517" t="s">
        <v>964</v>
      </c>
      <c r="V38" s="518">
        <v>4.1399999999999997</v>
      </c>
      <c r="W38" s="588" t="s">
        <v>933</v>
      </c>
    </row>
    <row r="39" spans="1:23" ht="13.8" thickBot="1">
      <c r="D39" s="591"/>
      <c r="E39" s="603"/>
      <c r="P39" s="516"/>
      <c r="Q39" s="517" t="s">
        <v>965</v>
      </c>
      <c r="R39" s="518">
        <v>4.2</v>
      </c>
      <c r="S39" s="519" t="s">
        <v>875</v>
      </c>
      <c r="U39" s="531" t="s">
        <v>966</v>
      </c>
      <c r="V39" s="532">
        <v>3.72</v>
      </c>
      <c r="W39" s="590" t="s">
        <v>937</v>
      </c>
    </row>
    <row r="40" spans="1:23" ht="15" customHeight="1" thickBot="1">
      <c r="A40" s="591" t="s">
        <v>967</v>
      </c>
      <c r="B40" s="537" t="s">
        <v>968</v>
      </c>
      <c r="C40" s="537" t="s">
        <v>189</v>
      </c>
      <c r="D40" s="605" t="e">
        <f>H30*J8</f>
        <v>#REF!</v>
      </c>
      <c r="E40" s="606" t="s">
        <v>204</v>
      </c>
      <c r="P40" s="516"/>
      <c r="Q40" s="531" t="s">
        <v>969</v>
      </c>
      <c r="R40" s="532">
        <v>4.22</v>
      </c>
      <c r="S40" s="533" t="s">
        <v>875</v>
      </c>
      <c r="U40" s="534" t="s">
        <v>970</v>
      </c>
      <c r="V40" s="535">
        <v>40.4</v>
      </c>
      <c r="W40" s="597" t="s">
        <v>924</v>
      </c>
    </row>
    <row r="41" spans="1:23" ht="16.2">
      <c r="P41" s="516"/>
      <c r="Q41" s="534" t="s">
        <v>971</v>
      </c>
      <c r="R41" s="535">
        <v>61.87</v>
      </c>
      <c r="S41" s="536" t="s">
        <v>875</v>
      </c>
      <c r="U41" s="517" t="s">
        <v>972</v>
      </c>
      <c r="V41" s="518">
        <v>7.23</v>
      </c>
      <c r="W41" s="588" t="s">
        <v>928</v>
      </c>
    </row>
    <row r="42" spans="1:23">
      <c r="E42" s="538"/>
      <c r="P42" s="516"/>
      <c r="Q42" s="517" t="s">
        <v>973</v>
      </c>
      <c r="R42" s="518">
        <v>3.06</v>
      </c>
      <c r="S42" s="519" t="s">
        <v>875</v>
      </c>
      <c r="U42" s="517" t="s">
        <v>974</v>
      </c>
      <c r="V42" s="518">
        <v>2.38</v>
      </c>
      <c r="W42" s="588" t="s">
        <v>875</v>
      </c>
    </row>
    <row r="43" spans="1:23">
      <c r="P43" s="516"/>
      <c r="Q43" s="517" t="s">
        <v>975</v>
      </c>
      <c r="R43" s="518">
        <v>6.67</v>
      </c>
      <c r="S43" s="519" t="s">
        <v>875</v>
      </c>
      <c r="U43" s="517" t="s">
        <v>976</v>
      </c>
      <c r="V43" s="518">
        <v>7.03</v>
      </c>
      <c r="W43" s="588" t="s">
        <v>933</v>
      </c>
    </row>
    <row r="44" spans="1:23">
      <c r="P44" s="516"/>
      <c r="Q44" s="531" t="s">
        <v>977</v>
      </c>
      <c r="R44" s="532">
        <v>5.21</v>
      </c>
      <c r="S44" s="533" t="s">
        <v>875</v>
      </c>
      <c r="U44" s="531" t="s">
        <v>978</v>
      </c>
      <c r="V44" s="532">
        <v>5.52</v>
      </c>
      <c r="W44" s="590" t="s">
        <v>937</v>
      </c>
    </row>
    <row r="45" spans="1:23" ht="18" thickBot="1">
      <c r="B45" s="504"/>
      <c r="C45" s="504"/>
      <c r="D45" s="505" t="s">
        <v>979</v>
      </c>
      <c r="E45" s="504"/>
      <c r="F45" s="504"/>
      <c r="P45" s="516"/>
      <c r="Q45" s="534" t="s">
        <v>980</v>
      </c>
      <c r="R45" s="535">
        <v>68.099999999999994</v>
      </c>
      <c r="S45" s="536" t="s">
        <v>875</v>
      </c>
      <c r="U45" s="534" t="s">
        <v>981</v>
      </c>
      <c r="V45" s="535">
        <v>51.6</v>
      </c>
      <c r="W45" s="597" t="s">
        <v>924</v>
      </c>
    </row>
    <row r="46" spans="1:23" ht="16.2">
      <c r="I46" s="591" t="s">
        <v>982</v>
      </c>
      <c r="J46" s="607" t="s">
        <v>983</v>
      </c>
      <c r="P46" s="516"/>
      <c r="Q46" s="517" t="s">
        <v>984</v>
      </c>
      <c r="R46" s="518">
        <v>2.97</v>
      </c>
      <c r="S46" s="519" t="s">
        <v>875</v>
      </c>
      <c r="U46" s="517" t="s">
        <v>985</v>
      </c>
      <c r="V46" s="518">
        <v>9.5</v>
      </c>
      <c r="W46" s="588" t="s">
        <v>928</v>
      </c>
    </row>
    <row r="47" spans="1:23" ht="15" thickBot="1">
      <c r="A47" s="608" t="s">
        <v>986</v>
      </c>
      <c r="B47" s="448" t="s">
        <v>987</v>
      </c>
      <c r="D47" s="603" t="s">
        <v>189</v>
      </c>
      <c r="E47" s="609">
        <v>2105</v>
      </c>
      <c r="F47" s="589" t="s">
        <v>940</v>
      </c>
      <c r="P47" s="516"/>
      <c r="Q47" s="517" t="s">
        <v>988</v>
      </c>
      <c r="R47" s="518">
        <v>7.68</v>
      </c>
      <c r="S47" s="519" t="s">
        <v>875</v>
      </c>
      <c r="U47" s="517" t="s">
        <v>989</v>
      </c>
      <c r="V47" s="518">
        <v>2.36</v>
      </c>
      <c r="W47" s="588" t="s">
        <v>875</v>
      </c>
    </row>
    <row r="48" spans="1:23" ht="14.4">
      <c r="A48" s="542" t="s">
        <v>990</v>
      </c>
      <c r="B48" s="448" t="s">
        <v>991</v>
      </c>
      <c r="D48" s="603" t="s">
        <v>189</v>
      </c>
      <c r="E48" s="609">
        <v>2100000</v>
      </c>
      <c r="F48" s="589" t="s">
        <v>940</v>
      </c>
      <c r="H48" s="1024" t="s">
        <v>992</v>
      </c>
      <c r="I48" s="1025"/>
      <c r="J48" s="1025"/>
      <c r="K48" s="1025"/>
      <c r="L48" s="1025"/>
      <c r="M48" s="1026"/>
      <c r="P48" s="516"/>
      <c r="Q48" s="531" t="s">
        <v>993</v>
      </c>
      <c r="R48" s="532">
        <v>6.1</v>
      </c>
      <c r="S48" s="533" t="s">
        <v>875</v>
      </c>
      <c r="U48" s="517" t="s">
        <v>994</v>
      </c>
      <c r="V48" s="518">
        <v>9.2899999999999991</v>
      </c>
      <c r="W48" s="588" t="s">
        <v>933</v>
      </c>
    </row>
    <row r="49" spans="1:23" ht="15" thickBot="1">
      <c r="A49" s="608" t="s">
        <v>383</v>
      </c>
      <c r="B49" s="448" t="s">
        <v>995</v>
      </c>
      <c r="D49" s="603" t="s">
        <v>189</v>
      </c>
      <c r="E49" s="609"/>
      <c r="F49" s="448" t="s">
        <v>996</v>
      </c>
      <c r="H49" s="1027" t="s">
        <v>997</v>
      </c>
      <c r="I49" s="1028"/>
      <c r="J49" s="1028"/>
      <c r="K49" s="1028"/>
      <c r="L49" s="1028"/>
      <c r="M49" s="1029"/>
      <c r="P49" s="516"/>
      <c r="Q49" s="534" t="s">
        <v>998</v>
      </c>
      <c r="R49" s="535">
        <v>128.12</v>
      </c>
      <c r="S49" s="536" t="s">
        <v>875</v>
      </c>
      <c r="U49" s="574" t="s">
        <v>999</v>
      </c>
      <c r="V49" s="575">
        <v>7.29</v>
      </c>
      <c r="W49" s="610" t="s">
        <v>937</v>
      </c>
    </row>
    <row r="50" spans="1:23" ht="15" thickBot="1">
      <c r="A50" s="608" t="s">
        <v>1000</v>
      </c>
      <c r="B50" s="448" t="s">
        <v>1001</v>
      </c>
      <c r="D50" s="603" t="s">
        <v>189</v>
      </c>
      <c r="E50" s="609"/>
      <c r="F50" s="589" t="s">
        <v>1002</v>
      </c>
      <c r="H50" s="611" t="s">
        <v>1003</v>
      </c>
      <c r="I50" s="611" t="s">
        <v>1004</v>
      </c>
      <c r="J50" s="611" t="s">
        <v>1005</v>
      </c>
      <c r="K50" s="611" t="s">
        <v>1006</v>
      </c>
      <c r="L50" s="611" t="s">
        <v>1007</v>
      </c>
      <c r="M50" s="611" t="s">
        <v>1008</v>
      </c>
      <c r="P50" s="516"/>
      <c r="Q50" s="517" t="s">
        <v>1009</v>
      </c>
      <c r="R50" s="518">
        <v>3.89</v>
      </c>
      <c r="S50" s="519" t="s">
        <v>875</v>
      </c>
    </row>
    <row r="51" spans="1:23" ht="13.8" thickBot="1">
      <c r="D51" s="603"/>
      <c r="H51" s="611"/>
      <c r="I51" s="611" t="s">
        <v>1010</v>
      </c>
      <c r="J51" s="611" t="s">
        <v>1011</v>
      </c>
      <c r="K51" s="611" t="s">
        <v>1012</v>
      </c>
      <c r="L51" s="611" t="s">
        <v>157</v>
      </c>
      <c r="M51" s="611" t="s">
        <v>32</v>
      </c>
      <c r="P51" s="516"/>
      <c r="Q51" s="517" t="s">
        <v>1013</v>
      </c>
      <c r="R51" s="518">
        <v>8.5399999999999991</v>
      </c>
      <c r="S51" s="519" t="s">
        <v>875</v>
      </c>
    </row>
    <row r="52" spans="1:23" ht="15" customHeight="1">
      <c r="A52" s="603" t="s">
        <v>1010</v>
      </c>
      <c r="B52" s="448" t="s">
        <v>1014</v>
      </c>
      <c r="D52" s="603" t="s">
        <v>189</v>
      </c>
      <c r="E52" s="612">
        <f>VLOOKUP(CONCATENATE($J$46,$A$52),$U$25:$W$49,2,FALSE)</f>
        <v>40.4</v>
      </c>
      <c r="F52" s="584" t="s">
        <v>924</v>
      </c>
      <c r="H52" s="512" t="s">
        <v>1015</v>
      </c>
      <c r="I52" s="613">
        <v>4.38</v>
      </c>
      <c r="J52" s="613">
        <v>2.66</v>
      </c>
      <c r="K52" s="613">
        <v>1.27</v>
      </c>
      <c r="L52" s="613">
        <v>2.71</v>
      </c>
      <c r="M52" s="614">
        <v>2.59</v>
      </c>
      <c r="P52" s="516"/>
      <c r="Q52" s="531" t="s">
        <v>1016</v>
      </c>
      <c r="R52" s="532">
        <v>6.7</v>
      </c>
      <c r="S52" s="533" t="s">
        <v>875</v>
      </c>
    </row>
    <row r="53" spans="1:23" ht="15" customHeight="1">
      <c r="A53" s="603" t="s">
        <v>1011</v>
      </c>
      <c r="B53" s="448" t="s">
        <v>1017</v>
      </c>
      <c r="D53" s="603" t="s">
        <v>189</v>
      </c>
      <c r="E53" s="612">
        <f>VLOOKUP(CONCATENATE($J$46,$A$53),$U$25:$W$49,2,FALSE)</f>
        <v>7.23</v>
      </c>
      <c r="F53" s="589" t="s">
        <v>928</v>
      </c>
      <c r="H53" s="615" t="s">
        <v>712</v>
      </c>
      <c r="I53" s="616">
        <v>7.61</v>
      </c>
      <c r="J53" s="616">
        <v>3.66</v>
      </c>
      <c r="K53" s="616">
        <v>1.58</v>
      </c>
      <c r="L53" s="616">
        <v>3.03</v>
      </c>
      <c r="M53" s="617">
        <v>2.81</v>
      </c>
      <c r="P53" s="516"/>
      <c r="Q53" s="534" t="s">
        <v>1018</v>
      </c>
      <c r="R53" s="535">
        <v>157.9</v>
      </c>
      <c r="S53" s="536" t="s">
        <v>875</v>
      </c>
    </row>
    <row r="54" spans="1:23" ht="14.4">
      <c r="A54" s="618" t="s">
        <v>402</v>
      </c>
      <c r="B54" s="448" t="s">
        <v>1019</v>
      </c>
      <c r="D54" s="603" t="s">
        <v>189</v>
      </c>
      <c r="E54" s="619">
        <v>102</v>
      </c>
      <c r="F54" s="589" t="s">
        <v>875</v>
      </c>
      <c r="H54" s="615" t="s">
        <v>86</v>
      </c>
      <c r="I54" s="616">
        <v>27.8</v>
      </c>
      <c r="J54" s="616">
        <v>7.82</v>
      </c>
      <c r="K54" s="616">
        <v>2.59</v>
      </c>
      <c r="L54" s="616">
        <v>4.1399999999999997</v>
      </c>
      <c r="M54" s="617">
        <v>3.72</v>
      </c>
      <c r="P54" s="516"/>
      <c r="Q54" s="517" t="s">
        <v>1020</v>
      </c>
      <c r="R54" s="518">
        <v>3.97</v>
      </c>
      <c r="S54" s="519" t="s">
        <v>875</v>
      </c>
    </row>
    <row r="55" spans="1:23">
      <c r="A55" s="603" t="s">
        <v>1021</v>
      </c>
      <c r="B55" s="448" t="s">
        <v>1022</v>
      </c>
      <c r="D55" s="603" t="s">
        <v>189</v>
      </c>
      <c r="E55" s="620">
        <v>500</v>
      </c>
      <c r="F55" s="589" t="s">
        <v>204</v>
      </c>
      <c r="H55" s="615" t="s">
        <v>1023</v>
      </c>
      <c r="I55" s="616">
        <v>40.04</v>
      </c>
      <c r="J55" s="616">
        <v>7.22</v>
      </c>
      <c r="K55" s="616">
        <v>2.38</v>
      </c>
      <c r="L55" s="616">
        <v>7.03</v>
      </c>
      <c r="M55" s="617">
        <v>5.52</v>
      </c>
      <c r="P55" s="516"/>
      <c r="Q55" s="517" t="s">
        <v>1024</v>
      </c>
      <c r="R55" s="518">
        <v>10</v>
      </c>
      <c r="S55" s="519" t="s">
        <v>875</v>
      </c>
    </row>
    <row r="56" spans="1:23" ht="13.8" thickBot="1">
      <c r="D56" s="603"/>
      <c r="H56" s="621" t="s">
        <v>1025</v>
      </c>
      <c r="I56" s="570">
        <v>51.6</v>
      </c>
      <c r="J56" s="570">
        <v>9.5</v>
      </c>
      <c r="K56" s="570">
        <v>2.36</v>
      </c>
      <c r="L56" s="570">
        <v>9.2899999999999991</v>
      </c>
      <c r="M56" s="622">
        <v>7.29</v>
      </c>
      <c r="P56" s="573"/>
      <c r="Q56" s="574" t="s">
        <v>1026</v>
      </c>
      <c r="R56" s="575">
        <v>8.0399999999999991</v>
      </c>
      <c r="S56" s="576" t="s">
        <v>875</v>
      </c>
    </row>
    <row r="57" spans="1:23" ht="13.8" thickBot="1">
      <c r="A57" s="623" t="s">
        <v>1027</v>
      </c>
      <c r="D57" s="603"/>
    </row>
    <row r="58" spans="1:23" ht="14.4" thickTop="1" thickBot="1">
      <c r="D58" s="603"/>
    </row>
    <row r="59" spans="1:23" ht="18" thickBot="1">
      <c r="A59" s="608" t="s">
        <v>383</v>
      </c>
      <c r="B59" s="624" t="s">
        <v>1028</v>
      </c>
      <c r="C59" s="603" t="s">
        <v>1029</v>
      </c>
      <c r="D59" s="542" t="s">
        <v>1030</v>
      </c>
      <c r="E59" s="625" t="s">
        <v>1031</v>
      </c>
      <c r="F59" s="448" t="s">
        <v>1032</v>
      </c>
      <c r="G59" s="624" t="s">
        <v>1033</v>
      </c>
      <c r="H59" s="448" t="s">
        <v>1034</v>
      </c>
      <c r="J59" s="626" t="s">
        <v>383</v>
      </c>
      <c r="K59" s="627" t="s">
        <v>1035</v>
      </c>
    </row>
    <row r="60" spans="1:23" ht="14.4" thickBot="1">
      <c r="B60" s="628" t="s">
        <v>388</v>
      </c>
      <c r="D60" s="603"/>
      <c r="G60" s="628" t="s">
        <v>388</v>
      </c>
      <c r="J60" s="629"/>
      <c r="K60" s="630" t="s">
        <v>388</v>
      </c>
    </row>
    <row r="61" spans="1:23">
      <c r="D61" s="603"/>
    </row>
    <row r="62" spans="1:23" ht="13.8" thickBot="1">
      <c r="D62" s="603"/>
    </row>
    <row r="63" spans="1:23" ht="15" thickBot="1">
      <c r="A63" s="608" t="s">
        <v>383</v>
      </c>
      <c r="B63" s="631">
        <f>5*E55*(E54^3)</f>
        <v>2653020000</v>
      </c>
      <c r="D63" s="603" t="s">
        <v>189</v>
      </c>
      <c r="E63" s="632">
        <f>B63/B64</f>
        <v>8.1434538543140034E-2</v>
      </c>
      <c r="F63" s="633" t="s">
        <v>875</v>
      </c>
    </row>
    <row r="64" spans="1:23" ht="14.4">
      <c r="B64" s="609">
        <f>384*E48*E52</f>
        <v>32578560000</v>
      </c>
      <c r="D64" s="603"/>
    </row>
    <row r="65" spans="1:11">
      <c r="D65" s="603"/>
    </row>
    <row r="66" spans="1:11" ht="13.8" thickBot="1">
      <c r="A66" s="623" t="s">
        <v>1036</v>
      </c>
      <c r="D66" s="603"/>
    </row>
    <row r="67" spans="1:11" ht="13.8" thickTop="1">
      <c r="D67" s="603"/>
    </row>
    <row r="68" spans="1:11" ht="13.8" thickBot="1">
      <c r="A68" s="448" t="s">
        <v>1037</v>
      </c>
    </row>
    <row r="69" spans="1:11" ht="13.8" thickBot="1">
      <c r="B69" s="608" t="s">
        <v>1038</v>
      </c>
      <c r="C69" s="634" t="s">
        <v>402</v>
      </c>
      <c r="D69" s="603" t="s">
        <v>189</v>
      </c>
      <c r="E69" s="634">
        <f>E54</f>
        <v>102</v>
      </c>
      <c r="F69" s="603" t="s">
        <v>189</v>
      </c>
      <c r="G69" s="635">
        <f>E69/E70</f>
        <v>0.56666666666666665</v>
      </c>
      <c r="H69" s="636" t="s">
        <v>875</v>
      </c>
      <c r="I69" s="537" t="str">
        <f>IF(G69&gt;J69,"&gt;","&lt;")</f>
        <v>&gt;</v>
      </c>
      <c r="J69" s="635">
        <f>E63</f>
        <v>8.1434538543140034E-2</v>
      </c>
      <c r="K69" s="636" t="s">
        <v>875</v>
      </c>
    </row>
    <row r="70" spans="1:11" ht="13.8" thickBot="1">
      <c r="C70" s="603">
        <v>180</v>
      </c>
      <c r="D70" s="603"/>
      <c r="E70" s="603">
        <v>180</v>
      </c>
    </row>
    <row r="71" spans="1:11" ht="13.8" thickBot="1">
      <c r="A71" s="623" t="s">
        <v>1039</v>
      </c>
      <c r="D71" s="603"/>
      <c r="G71" s="1030" t="str">
        <f>IF(G69&gt;J69,"Correcto","Incorrecto")</f>
        <v>Correcto</v>
      </c>
      <c r="H71" s="1031"/>
      <c r="I71" s="1031"/>
      <c r="J71" s="1031"/>
      <c r="K71" s="1032"/>
    </row>
    <row r="72" spans="1:11" ht="14.4" thickTop="1" thickBot="1">
      <c r="D72" s="603"/>
    </row>
    <row r="73" spans="1:11" ht="13.8" thickBot="1">
      <c r="B73" s="542" t="s">
        <v>1040</v>
      </c>
      <c r="C73" s="603" t="s">
        <v>1041</v>
      </c>
      <c r="D73" s="603" t="s">
        <v>189</v>
      </c>
      <c r="E73" s="637">
        <f>E53</f>
        <v>7.23</v>
      </c>
      <c r="F73" s="448">
        <v>2105</v>
      </c>
      <c r="G73" s="603" t="s">
        <v>189</v>
      </c>
      <c r="H73" s="638">
        <f>E53*E47</f>
        <v>15219.150000000001</v>
      </c>
      <c r="I73" s="596" t="s">
        <v>1002</v>
      </c>
    </row>
    <row r="74" spans="1:11">
      <c r="D74" s="603"/>
    </row>
    <row r="75" spans="1:11">
      <c r="D75" s="603"/>
    </row>
    <row r="76" spans="1:11" ht="13.8" thickBot="1">
      <c r="A76" s="623" t="s">
        <v>1042</v>
      </c>
      <c r="D76" s="603"/>
    </row>
    <row r="77" spans="1:11" ht="14.4" thickTop="1" thickBot="1">
      <c r="B77" s="542" t="s">
        <v>1043</v>
      </c>
      <c r="C77" s="634" t="s">
        <v>1044</v>
      </c>
      <c r="D77" s="603" t="s">
        <v>189</v>
      </c>
      <c r="E77" s="639">
        <f>8*H73</f>
        <v>121753.20000000001</v>
      </c>
      <c r="F77" s="603" t="s">
        <v>189</v>
      </c>
      <c r="G77" s="640">
        <f>E77/E78</f>
        <v>11.70253748558247</v>
      </c>
      <c r="H77" s="641" t="s">
        <v>1045</v>
      </c>
    </row>
    <row r="78" spans="1:11" ht="16.2">
      <c r="C78" s="618" t="s">
        <v>1046</v>
      </c>
      <c r="D78" s="603"/>
      <c r="E78" s="642">
        <f>E54^2</f>
        <v>10404</v>
      </c>
    </row>
    <row r="79" spans="1:11">
      <c r="D79" s="603"/>
    </row>
    <row r="80" spans="1:11" ht="13.8" thickBot="1">
      <c r="A80" s="623" t="s">
        <v>1047</v>
      </c>
      <c r="D80" s="603"/>
    </row>
    <row r="81" spans="1:8" ht="14.4" thickTop="1" thickBot="1">
      <c r="D81" s="603"/>
    </row>
    <row r="82" spans="1:8" ht="13.8" thickBot="1">
      <c r="B82" s="542" t="s">
        <v>1030</v>
      </c>
      <c r="C82" s="603" t="s">
        <v>1048</v>
      </c>
      <c r="D82" s="603" t="s">
        <v>189</v>
      </c>
      <c r="E82" s="595">
        <f>G77*E54</f>
        <v>1193.6588235294118</v>
      </c>
      <c r="F82" s="636" t="s">
        <v>204</v>
      </c>
      <c r="G82" s="448" t="s">
        <v>1049</v>
      </c>
    </row>
    <row r="83" spans="1:8">
      <c r="D83" s="603"/>
    </row>
    <row r="84" spans="1:8">
      <c r="D84" s="603"/>
    </row>
    <row r="85" spans="1:8" ht="13.8" thickBot="1">
      <c r="A85" s="623" t="s">
        <v>1050</v>
      </c>
      <c r="D85" s="603"/>
    </row>
    <row r="86" spans="1:8" ht="14.4" thickTop="1" thickBot="1">
      <c r="D86" s="603"/>
    </row>
    <row r="87" spans="1:8" ht="13.8" thickBot="1">
      <c r="A87" s="448" t="s">
        <v>1037</v>
      </c>
      <c r="B87" s="542" t="s">
        <v>1030</v>
      </c>
      <c r="C87" s="634" t="s">
        <v>1044</v>
      </c>
      <c r="D87" s="603" t="s">
        <v>189</v>
      </c>
      <c r="E87" s="643">
        <f>8*H73</f>
        <v>121753.20000000001</v>
      </c>
      <c r="F87" s="603" t="s">
        <v>189</v>
      </c>
      <c r="G87" s="595">
        <f>E87/E88</f>
        <v>1193.6588235294118</v>
      </c>
      <c r="H87" s="641" t="s">
        <v>204</v>
      </c>
    </row>
    <row r="88" spans="1:8">
      <c r="C88" s="603" t="s">
        <v>402</v>
      </c>
      <c r="D88" s="603"/>
      <c r="E88" s="637">
        <f>E54</f>
        <v>102</v>
      </c>
    </row>
    <row r="89" spans="1:8">
      <c r="D89" s="603"/>
    </row>
    <row r="90" spans="1:8">
      <c r="D90" s="603"/>
    </row>
    <row r="91" spans="1:8">
      <c r="A91" s="608" t="s">
        <v>1051</v>
      </c>
      <c r="B91" s="448" t="s">
        <v>1052</v>
      </c>
      <c r="C91" s="603" t="s">
        <v>1053</v>
      </c>
      <c r="D91" s="603"/>
    </row>
    <row r="92" spans="1:8">
      <c r="A92" s="608" t="s">
        <v>1051</v>
      </c>
      <c r="B92" s="448" t="s">
        <v>1054</v>
      </c>
      <c r="C92" s="603" t="s">
        <v>1055</v>
      </c>
      <c r="D92" s="603"/>
    </row>
  </sheetData>
  <mergeCells count="9">
    <mergeCell ref="H48:M48"/>
    <mergeCell ref="H49:M49"/>
    <mergeCell ref="G71:K71"/>
    <mergeCell ref="B6:C6"/>
    <mergeCell ref="G6:J6"/>
    <mergeCell ref="A24:B24"/>
    <mergeCell ref="A29:B29"/>
    <mergeCell ref="E31:F31"/>
    <mergeCell ref="F38:H38"/>
  </mergeCells>
  <conditionalFormatting sqref="F38:H38">
    <cfRule type="cellIs" dxfId="23" priority="1" stopIfTrue="1" operator="equal">
      <formula>"Modo de Falla Elástico"</formula>
    </cfRule>
  </conditionalFormatting>
  <pageMargins left="0.39370078740157483" right="0.39370078740157483" top="0.39370078740157483" bottom="0.39370078740157483" header="0.39370078740157483" footer="0.39370078740157483"/>
  <pageSetup scale="55" orientation="portrait" horizontalDpi="300" verticalDpi="3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BEFEF-BCFE-4794-8666-4545FAD8F750}">
  <sheetPr codeName="Hoja17"/>
  <dimension ref="A1:Z421"/>
  <sheetViews>
    <sheetView view="pageBreakPreview" zoomScale="85" zoomScaleNormal="85" zoomScaleSheetLayoutView="100" workbookViewId="0">
      <pane ySplit="15" topLeftCell="A24" activePane="bottomLeft" state="frozen"/>
      <selection activeCell="A2" sqref="A2:K6"/>
      <selection pane="bottomLeft" activeCell="M34" sqref="M34"/>
    </sheetView>
  </sheetViews>
  <sheetFormatPr baseColWidth="10" defaultColWidth="11.44140625" defaultRowHeight="13.2"/>
  <cols>
    <col min="1" max="1" width="12.33203125" style="644" customWidth="1"/>
    <col min="2" max="2" width="12.6640625" style="644" customWidth="1"/>
    <col min="3" max="3" width="11.5546875" style="644" bestFit="1" customWidth="1"/>
    <col min="4" max="4" width="8.5546875" style="644" customWidth="1"/>
    <col min="5" max="5" width="21.33203125" style="644" customWidth="1"/>
    <col min="6" max="6" width="10.33203125" style="644" customWidth="1"/>
    <col min="7" max="7" width="3.33203125" style="644" customWidth="1"/>
    <col min="8" max="8" width="8.33203125" style="644" customWidth="1"/>
    <col min="9" max="9" width="4.44140625" style="644" customWidth="1"/>
    <col min="10" max="10" width="8.6640625" style="644" customWidth="1"/>
    <col min="11" max="11" width="4.6640625" style="644" customWidth="1"/>
    <col min="12" max="12" width="10" style="644" customWidth="1"/>
    <col min="13" max="13" width="11.44140625" style="644"/>
    <col min="14" max="14" width="12.6640625" style="644" customWidth="1"/>
    <col min="15" max="15" width="12.44140625" style="644" customWidth="1"/>
    <col min="16" max="16" width="10.6640625" style="644" customWidth="1"/>
    <col min="17" max="17" width="12.6640625" style="644" customWidth="1"/>
    <col min="18" max="18" width="12.5546875" style="644" customWidth="1"/>
    <col min="19" max="19" width="11.44140625" style="644"/>
    <col min="20" max="20" width="9.5546875" style="644" customWidth="1"/>
    <col min="21" max="22" width="11.44140625" style="644"/>
    <col min="23" max="23" width="10.44140625" style="644" customWidth="1"/>
    <col min="24" max="24" width="11.44140625" style="644"/>
    <col min="25" max="26" width="13.5546875" style="644" customWidth="1"/>
    <col min="27" max="16384" width="11.44140625" style="644"/>
  </cols>
  <sheetData>
    <row r="1" spans="1:24" ht="15.6">
      <c r="B1" s="1038" t="s">
        <v>1056</v>
      </c>
      <c r="C1" s="1038"/>
      <c r="D1" s="1038"/>
    </row>
    <row r="2" spans="1:24">
      <c r="B2" s="645" t="s">
        <v>278</v>
      </c>
      <c r="C2" s="646" t="e">
        <f>#REF!</f>
        <v>#REF!</v>
      </c>
    </row>
    <row r="3" spans="1:24">
      <c r="B3" s="645" t="s">
        <v>279</v>
      </c>
      <c r="C3" s="647" t="e">
        <f>#REF!</f>
        <v>#REF!</v>
      </c>
      <c r="D3" s="648" t="s">
        <v>140</v>
      </c>
    </row>
    <row r="4" spans="1:24">
      <c r="B4" s="645" t="s">
        <v>161</v>
      </c>
      <c r="C4" s="647" t="e">
        <f>#REF!</f>
        <v>#REF!</v>
      </c>
      <c r="D4" s="648" t="s">
        <v>140</v>
      </c>
      <c r="E4" s="649" t="s">
        <v>220</v>
      </c>
      <c r="P4" s="650" t="s">
        <v>151</v>
      </c>
    </row>
    <row r="5" spans="1:24" ht="13.8" thickBot="1">
      <c r="B5" s="645" t="s">
        <v>1057</v>
      </c>
      <c r="C5" s="647" t="e">
        <f>#REF!</f>
        <v>#REF!</v>
      </c>
      <c r="D5" s="648" t="s">
        <v>140</v>
      </c>
      <c r="E5" s="651" t="s">
        <v>1058</v>
      </c>
    </row>
    <row r="6" spans="1:24">
      <c r="B6" s="645" t="s">
        <v>1059</v>
      </c>
      <c r="C6" s="647">
        <v>2</v>
      </c>
      <c r="D6" s="648"/>
      <c r="E6" s="651" t="s">
        <v>1060</v>
      </c>
      <c r="M6" s="652" t="s">
        <v>3</v>
      </c>
      <c r="N6" s="652" t="s">
        <v>155</v>
      </c>
      <c r="O6" s="652" t="s">
        <v>156</v>
      </c>
      <c r="P6" s="652" t="s">
        <v>157</v>
      </c>
      <c r="Q6" s="652" t="s">
        <v>158</v>
      </c>
      <c r="R6" s="652" t="s">
        <v>159</v>
      </c>
      <c r="S6" s="653" t="s">
        <v>160</v>
      </c>
    </row>
    <row r="7" spans="1:24">
      <c r="A7" s="654"/>
      <c r="M7" s="655" t="s">
        <v>163</v>
      </c>
      <c r="N7" s="655" t="s">
        <v>163</v>
      </c>
      <c r="O7" s="655" t="s">
        <v>163</v>
      </c>
      <c r="P7" s="655" t="s">
        <v>153</v>
      </c>
      <c r="Q7" s="655" t="s">
        <v>153</v>
      </c>
      <c r="R7" s="655" t="s">
        <v>153</v>
      </c>
      <c r="S7" s="656" t="s">
        <v>153</v>
      </c>
    </row>
    <row r="8" spans="1:24" ht="13.8" thickBot="1">
      <c r="M8" s="657"/>
      <c r="N8" s="657"/>
      <c r="O8" s="657"/>
      <c r="P8" s="657"/>
      <c r="Q8" s="657"/>
      <c r="R8" s="657" t="s">
        <v>166</v>
      </c>
      <c r="S8" s="658" t="s">
        <v>167</v>
      </c>
    </row>
    <row r="9" spans="1:24" ht="13.8" thickBot="1">
      <c r="C9" s="659" t="s">
        <v>152</v>
      </c>
      <c r="D9" s="652" t="s">
        <v>153</v>
      </c>
      <c r="E9" s="653" t="s">
        <v>154</v>
      </c>
      <c r="M9" s="660" t="s">
        <v>1061</v>
      </c>
      <c r="N9" s="661" t="s">
        <v>170</v>
      </c>
      <c r="O9" s="661" t="s">
        <v>171</v>
      </c>
      <c r="P9" s="661">
        <v>125</v>
      </c>
      <c r="Q9" s="661">
        <v>950</v>
      </c>
      <c r="R9" s="661">
        <v>950</v>
      </c>
      <c r="S9" s="662">
        <v>325</v>
      </c>
    </row>
    <row r="10" spans="1:24">
      <c r="A10" s="663"/>
      <c r="B10" s="664" t="s">
        <v>161</v>
      </c>
      <c r="C10" s="660" t="s">
        <v>162</v>
      </c>
      <c r="D10" s="665" t="e">
        <f>$C$4</f>
        <v>#REF!</v>
      </c>
      <c r="E10" s="666" t="e">
        <f>D10/25.4</f>
        <v>#REF!</v>
      </c>
      <c r="M10" s="667" t="s">
        <v>1062</v>
      </c>
      <c r="N10" s="668" t="s">
        <v>170</v>
      </c>
      <c r="O10" s="668" t="s">
        <v>171</v>
      </c>
      <c r="P10" s="668">
        <v>170</v>
      </c>
      <c r="Q10" s="668">
        <v>1160</v>
      </c>
      <c r="R10" s="668">
        <v>1160</v>
      </c>
      <c r="S10" s="669">
        <v>480</v>
      </c>
    </row>
    <row r="11" spans="1:24">
      <c r="A11" s="670"/>
      <c r="B11" s="671" t="s">
        <v>164</v>
      </c>
      <c r="C11" s="667" t="s">
        <v>165</v>
      </c>
      <c r="D11" s="668" t="e">
        <f>VLOOKUP(CONCATENATE($C$2,C11),$A$21:$B$55,2,FALSE)</f>
        <v>#REF!</v>
      </c>
      <c r="E11" s="672" t="e">
        <f>D11/25.4</f>
        <v>#REF!</v>
      </c>
      <c r="M11" s="667" t="s">
        <v>1063</v>
      </c>
      <c r="N11" s="668" t="s">
        <v>175</v>
      </c>
      <c r="O11" s="668" t="s">
        <v>170</v>
      </c>
      <c r="P11" s="668">
        <v>170</v>
      </c>
      <c r="Q11" s="668">
        <v>1160</v>
      </c>
      <c r="R11" s="668">
        <v>1160</v>
      </c>
      <c r="S11" s="669">
        <v>480</v>
      </c>
    </row>
    <row r="12" spans="1:24">
      <c r="A12" s="670"/>
      <c r="B12" s="671" t="s">
        <v>168</v>
      </c>
      <c r="C12" s="667" t="s">
        <v>169</v>
      </c>
      <c r="D12" s="668" t="e">
        <f>VLOOKUP(CONCATENATE($C$2,C12),$A$21:$B$55,2,FALSE)</f>
        <v>#REF!</v>
      </c>
      <c r="E12" s="672" t="e">
        <f>D12/25.4</f>
        <v>#REF!</v>
      </c>
      <c r="M12" s="667" t="s">
        <v>1015</v>
      </c>
      <c r="N12" s="668" t="s">
        <v>175</v>
      </c>
      <c r="O12" s="668" t="s">
        <v>171</v>
      </c>
      <c r="P12" s="668">
        <v>170</v>
      </c>
      <c r="Q12" s="668">
        <v>1160</v>
      </c>
      <c r="R12" s="668">
        <v>1160</v>
      </c>
      <c r="S12" s="669">
        <v>480</v>
      </c>
    </row>
    <row r="13" spans="1:24">
      <c r="A13" s="670"/>
      <c r="B13" s="671" t="s">
        <v>172</v>
      </c>
      <c r="C13" s="667" t="s">
        <v>173</v>
      </c>
      <c r="D13" s="668" t="e">
        <f>VLOOKUP(CONCATENATE($C$2,C13),$A$21:$B$55,2,FALSE)</f>
        <v>#REF!</v>
      </c>
      <c r="E13" s="672" t="e">
        <f>D13/25.4</f>
        <v>#REF!</v>
      </c>
      <c r="M13" s="667" t="s">
        <v>1064</v>
      </c>
      <c r="N13" s="668" t="s">
        <v>175</v>
      </c>
      <c r="O13" s="668" t="s">
        <v>171</v>
      </c>
      <c r="P13" s="668">
        <v>170</v>
      </c>
      <c r="Q13" s="668">
        <v>1160</v>
      </c>
      <c r="R13" s="668">
        <v>1160</v>
      </c>
      <c r="S13" s="669">
        <v>480</v>
      </c>
    </row>
    <row r="14" spans="1:24" ht="13.8" thickBot="1">
      <c r="A14" s="673"/>
      <c r="B14" s="674" t="s">
        <v>176</v>
      </c>
      <c r="C14" s="675" t="s">
        <v>177</v>
      </c>
      <c r="D14" s="676" t="e">
        <f>VLOOKUP(CONCATENATE($C$2,C14),$A$21:$B$55,2,FALSE)</f>
        <v>#REF!</v>
      </c>
      <c r="E14" s="677" t="e">
        <f>D14/25.4</f>
        <v>#REF!</v>
      </c>
      <c r="M14" s="675" t="s">
        <v>1065</v>
      </c>
      <c r="N14" s="676" t="s">
        <v>175</v>
      </c>
      <c r="O14" s="676" t="s">
        <v>171</v>
      </c>
      <c r="P14" s="676">
        <v>170</v>
      </c>
      <c r="Q14" s="676">
        <v>1160</v>
      </c>
      <c r="R14" s="676">
        <v>1160</v>
      </c>
      <c r="S14" s="678">
        <v>480</v>
      </c>
    </row>
    <row r="16" spans="1:24">
      <c r="X16" s="650"/>
    </row>
    <row r="17" spans="1:26">
      <c r="X17" s="650" t="s">
        <v>293</v>
      </c>
    </row>
    <row r="18" spans="1:26">
      <c r="P18" s="650" t="s">
        <v>294</v>
      </c>
      <c r="X18" s="650" t="s">
        <v>1066</v>
      </c>
    </row>
    <row r="19" spans="1:26" ht="13.8" thickBot="1"/>
    <row r="20" spans="1:26" ht="13.8" thickBot="1">
      <c r="M20" s="679"/>
      <c r="N20" s="652" t="s">
        <v>15</v>
      </c>
      <c r="O20" s="652" t="s">
        <v>159</v>
      </c>
      <c r="P20" s="652" t="s">
        <v>160</v>
      </c>
      <c r="Q20" s="652" t="s">
        <v>182</v>
      </c>
      <c r="R20" s="652" t="s">
        <v>182</v>
      </c>
      <c r="V20" s="652" t="s">
        <v>15</v>
      </c>
      <c r="W20" s="652" t="s">
        <v>159</v>
      </c>
      <c r="X20" s="652" t="s">
        <v>160</v>
      </c>
      <c r="Y20" s="652" t="s">
        <v>182</v>
      </c>
      <c r="Z20" s="652" t="s">
        <v>182</v>
      </c>
    </row>
    <row r="21" spans="1:26" ht="13.8" thickBot="1">
      <c r="A21" s="652" t="s">
        <v>183</v>
      </c>
      <c r="B21" s="652" t="s">
        <v>184</v>
      </c>
      <c r="C21" s="680"/>
      <c r="D21" s="645" t="s">
        <v>185</v>
      </c>
      <c r="N21" s="657" t="s">
        <v>186</v>
      </c>
      <c r="O21" s="657" t="s">
        <v>153</v>
      </c>
      <c r="P21" s="657" t="s">
        <v>153</v>
      </c>
      <c r="Q21" s="657" t="s">
        <v>155</v>
      </c>
      <c r="R21" s="657" t="s">
        <v>156</v>
      </c>
      <c r="V21" s="657" t="s">
        <v>186</v>
      </c>
      <c r="W21" s="657" t="s">
        <v>153</v>
      </c>
      <c r="X21" s="657" t="s">
        <v>153</v>
      </c>
      <c r="Y21" s="657" t="s">
        <v>155</v>
      </c>
      <c r="Z21" s="657" t="s">
        <v>156</v>
      </c>
    </row>
    <row r="22" spans="1:26" ht="13.8" thickBot="1">
      <c r="A22" s="681"/>
      <c r="B22" s="657" t="s">
        <v>153</v>
      </c>
      <c r="D22" s="680"/>
      <c r="E22" s="654" t="s">
        <v>188</v>
      </c>
      <c r="F22" s="680" t="e">
        <f>$D$10</f>
        <v>#REF!</v>
      </c>
      <c r="G22" s="650" t="s">
        <v>132</v>
      </c>
      <c r="H22" s="680" t="e">
        <f>2*$D$11</f>
        <v>#REF!</v>
      </c>
      <c r="I22" s="680" t="s">
        <v>189</v>
      </c>
      <c r="J22" s="682" t="e">
        <f>$F$22-$H$22</f>
        <v>#REF!</v>
      </c>
      <c r="K22" s="648" t="s">
        <v>297</v>
      </c>
      <c r="N22" s="660">
        <v>1099</v>
      </c>
      <c r="O22" s="683">
        <f t="shared" ref="O22:O85" si="0">IF(N22-$P$9-($Q$9*R22)&gt;$S$9,N22-$P$9-($Q$9*R22)-40,0)</f>
        <v>0</v>
      </c>
      <c r="P22" s="683">
        <f t="shared" ref="P22:P85" si="1">N22-$P$9-($Q$9*R22)-O22</f>
        <v>24</v>
      </c>
      <c r="Q22" s="683">
        <f t="shared" ref="Q22:Q85" si="2">ROUNDUP((N22/$Q$9),0)-IF(N22-$P$9-($Q$9*(ROUNDUP((N22/$Q$9),0)-1))&lt;0,1,0)+IF(O22&lt;&gt;0,1,0)</f>
        <v>2</v>
      </c>
      <c r="R22" s="684">
        <f t="shared" ref="R22:R85" si="3">ROUNDUP((N22/$Q$9),0)-IF(N22-$P$9-($Q$9*(ROUNDUP((N22/$Q$9),0)-1))&lt;0,2,1)</f>
        <v>1</v>
      </c>
      <c r="V22" s="660">
        <v>1350</v>
      </c>
      <c r="W22" s="683">
        <f t="shared" ref="W22:W85" si="4">IF(V22-$P$10-($Q$10*Z22)&gt;$S$10,V22-$P$10-($Q$10*Z22)-100,0)</f>
        <v>0</v>
      </c>
      <c r="X22" s="683">
        <f t="shared" ref="X22:X85" si="5">V22-$P$10-($Q$10*Z22)-W22</f>
        <v>20</v>
      </c>
      <c r="Y22" s="683">
        <f t="shared" ref="Y22:Y85" si="6">ROUNDUP((V22/$Q$10),0)-IF(V22-$P$10-($Q$10*(ROUNDUP((V22/$Q$10),0)-1))&lt;0,1,0)+IF(W22&lt;&gt;0,1,0)</f>
        <v>2</v>
      </c>
      <c r="Z22" s="684">
        <f t="shared" ref="Z22:Z85" si="7">ROUNDUP((V22/$Q$10),0)-IF(V22-$P$10-($Q$10*(ROUNDUP((V22/$Q$10),0)-1))&lt;0,2,1)</f>
        <v>1</v>
      </c>
    </row>
    <row r="23" spans="1:26">
      <c r="A23" s="660" t="s">
        <v>1067</v>
      </c>
      <c r="B23" s="685">
        <v>32</v>
      </c>
      <c r="N23" s="667">
        <v>1132</v>
      </c>
      <c r="O23" s="686">
        <f t="shared" si="0"/>
        <v>0</v>
      </c>
      <c r="P23" s="686">
        <f t="shared" si="1"/>
        <v>57</v>
      </c>
      <c r="Q23" s="686">
        <f t="shared" si="2"/>
        <v>2</v>
      </c>
      <c r="R23" s="687">
        <f t="shared" si="3"/>
        <v>1</v>
      </c>
      <c r="V23" s="667">
        <v>1400</v>
      </c>
      <c r="W23" s="686">
        <f t="shared" si="4"/>
        <v>0</v>
      </c>
      <c r="X23" s="686">
        <f t="shared" si="5"/>
        <v>70</v>
      </c>
      <c r="Y23" s="686">
        <f t="shared" si="6"/>
        <v>2</v>
      </c>
      <c r="Z23" s="687">
        <f t="shared" si="7"/>
        <v>1</v>
      </c>
    </row>
    <row r="24" spans="1:26">
      <c r="A24" s="667" t="s">
        <v>1068</v>
      </c>
      <c r="B24" s="688">
        <v>1160</v>
      </c>
      <c r="D24" s="645" t="s">
        <v>192</v>
      </c>
      <c r="N24" s="667">
        <v>1166</v>
      </c>
      <c r="O24" s="686">
        <f t="shared" si="0"/>
        <v>0</v>
      </c>
      <c r="P24" s="686">
        <f t="shared" si="1"/>
        <v>91</v>
      </c>
      <c r="Q24" s="686">
        <f t="shared" si="2"/>
        <v>2</v>
      </c>
      <c r="R24" s="687">
        <f t="shared" si="3"/>
        <v>1</v>
      </c>
      <c r="V24" s="667">
        <v>1450</v>
      </c>
      <c r="W24" s="686">
        <f t="shared" si="4"/>
        <v>0</v>
      </c>
      <c r="X24" s="686">
        <f t="shared" si="5"/>
        <v>120</v>
      </c>
      <c r="Y24" s="686">
        <f t="shared" si="6"/>
        <v>2</v>
      </c>
      <c r="Z24" s="687">
        <f t="shared" si="7"/>
        <v>1</v>
      </c>
    </row>
    <row r="25" spans="1:26" ht="13.8" thickBot="1">
      <c r="A25" s="667" t="s">
        <v>1069</v>
      </c>
      <c r="B25" s="688">
        <v>21</v>
      </c>
      <c r="N25" s="667">
        <v>1199</v>
      </c>
      <c r="O25" s="686">
        <f t="shared" si="0"/>
        <v>0</v>
      </c>
      <c r="P25" s="686">
        <f t="shared" si="1"/>
        <v>124</v>
      </c>
      <c r="Q25" s="686">
        <f t="shared" si="2"/>
        <v>2</v>
      </c>
      <c r="R25" s="687">
        <f t="shared" si="3"/>
        <v>1</v>
      </c>
      <c r="V25" s="667">
        <v>1500</v>
      </c>
      <c r="W25" s="686">
        <f t="shared" si="4"/>
        <v>0</v>
      </c>
      <c r="X25" s="686">
        <f t="shared" si="5"/>
        <v>170</v>
      </c>
      <c r="Y25" s="686">
        <f t="shared" si="6"/>
        <v>2</v>
      </c>
      <c r="Z25" s="687">
        <f t="shared" si="7"/>
        <v>1</v>
      </c>
    </row>
    <row r="26" spans="1:26" ht="13.8" thickBot="1">
      <c r="A26" s="667" t="s">
        <v>1070</v>
      </c>
      <c r="B26" s="688">
        <v>25</v>
      </c>
      <c r="E26" s="654" t="s">
        <v>195</v>
      </c>
      <c r="F26" s="680" t="e">
        <f>$J$22^2</f>
        <v>#REF!</v>
      </c>
      <c r="G26" s="680" t="s">
        <v>196</v>
      </c>
      <c r="H26" s="680" t="e">
        <f>($D$12-$D$13-40)^2</f>
        <v>#REF!</v>
      </c>
      <c r="I26" s="680" t="s">
        <v>189</v>
      </c>
      <c r="J26" s="689" t="e">
        <f>SQRT($F$26+$H$26-(25*25))</f>
        <v>#REF!</v>
      </c>
      <c r="K26" s="648" t="s">
        <v>140</v>
      </c>
      <c r="N26" s="667">
        <v>1232</v>
      </c>
      <c r="O26" s="686">
        <f t="shared" si="0"/>
        <v>0</v>
      </c>
      <c r="P26" s="686">
        <f t="shared" si="1"/>
        <v>157</v>
      </c>
      <c r="Q26" s="686">
        <f t="shared" si="2"/>
        <v>2</v>
      </c>
      <c r="R26" s="687">
        <f t="shared" si="3"/>
        <v>1</v>
      </c>
      <c r="V26" s="667">
        <v>1550</v>
      </c>
      <c r="W26" s="686">
        <f t="shared" si="4"/>
        <v>0</v>
      </c>
      <c r="X26" s="686">
        <f t="shared" si="5"/>
        <v>220</v>
      </c>
      <c r="Y26" s="686">
        <f t="shared" si="6"/>
        <v>2</v>
      </c>
      <c r="Z26" s="687">
        <f t="shared" si="7"/>
        <v>1</v>
      </c>
    </row>
    <row r="27" spans="1:26">
      <c r="A27" s="667" t="s">
        <v>936</v>
      </c>
      <c r="B27" s="688">
        <v>2.59</v>
      </c>
      <c r="K27" s="690"/>
      <c r="N27" s="667">
        <v>1266</v>
      </c>
      <c r="O27" s="686">
        <f t="shared" si="0"/>
        <v>0</v>
      </c>
      <c r="P27" s="686">
        <f t="shared" si="1"/>
        <v>191</v>
      </c>
      <c r="Q27" s="686">
        <f t="shared" si="2"/>
        <v>2</v>
      </c>
      <c r="R27" s="687">
        <f t="shared" si="3"/>
        <v>1</v>
      </c>
      <c r="V27" s="667">
        <v>1600</v>
      </c>
      <c r="W27" s="686">
        <f t="shared" si="4"/>
        <v>0</v>
      </c>
      <c r="X27" s="686">
        <f t="shared" si="5"/>
        <v>270</v>
      </c>
      <c r="Y27" s="686">
        <f t="shared" si="6"/>
        <v>2</v>
      </c>
      <c r="Z27" s="687">
        <f t="shared" si="7"/>
        <v>1</v>
      </c>
    </row>
    <row r="28" spans="1:26" ht="13.8" thickBot="1">
      <c r="A28" s="667" t="s">
        <v>1071</v>
      </c>
      <c r="B28" s="688">
        <v>1.36</v>
      </c>
      <c r="C28" s="680"/>
      <c r="D28" s="680"/>
      <c r="N28" s="667">
        <v>1299</v>
      </c>
      <c r="O28" s="686">
        <f t="shared" si="0"/>
        <v>0</v>
      </c>
      <c r="P28" s="686">
        <f t="shared" si="1"/>
        <v>224</v>
      </c>
      <c r="Q28" s="686">
        <f t="shared" si="2"/>
        <v>2</v>
      </c>
      <c r="R28" s="687">
        <f t="shared" si="3"/>
        <v>1</v>
      </c>
      <c r="V28" s="667">
        <v>1650</v>
      </c>
      <c r="W28" s="686">
        <f t="shared" si="4"/>
        <v>0</v>
      </c>
      <c r="X28" s="686">
        <f t="shared" si="5"/>
        <v>320</v>
      </c>
      <c r="Y28" s="686">
        <f t="shared" si="6"/>
        <v>2</v>
      </c>
      <c r="Z28" s="687">
        <f t="shared" si="7"/>
        <v>1</v>
      </c>
    </row>
    <row r="29" spans="1:26" ht="13.8" thickBot="1">
      <c r="A29" s="691" t="s">
        <v>1072</v>
      </c>
      <c r="B29" s="692">
        <v>1.47</v>
      </c>
      <c r="C29" s="680"/>
      <c r="D29" s="645" t="s">
        <v>200</v>
      </c>
      <c r="E29" s="682" t="e">
        <f>$C$2</f>
        <v>#REF!</v>
      </c>
      <c r="F29" s="690"/>
      <c r="N29" s="667">
        <v>1332</v>
      </c>
      <c r="O29" s="686">
        <f t="shared" si="0"/>
        <v>0</v>
      </c>
      <c r="P29" s="686">
        <f t="shared" si="1"/>
        <v>257</v>
      </c>
      <c r="Q29" s="686">
        <f t="shared" si="2"/>
        <v>2</v>
      </c>
      <c r="R29" s="687">
        <f t="shared" si="3"/>
        <v>1</v>
      </c>
      <c r="V29" s="667">
        <v>1700</v>
      </c>
      <c r="W29" s="686">
        <f t="shared" si="4"/>
        <v>0</v>
      </c>
      <c r="X29" s="686">
        <f t="shared" si="5"/>
        <v>370</v>
      </c>
      <c r="Y29" s="686">
        <f t="shared" si="6"/>
        <v>2</v>
      </c>
      <c r="Z29" s="687">
        <f t="shared" si="7"/>
        <v>1</v>
      </c>
    </row>
    <row r="30" spans="1:26" ht="13.8" thickBot="1">
      <c r="A30" s="693" t="s">
        <v>1073</v>
      </c>
      <c r="B30" s="694">
        <v>1.3</v>
      </c>
      <c r="C30" s="680"/>
      <c r="D30" s="680"/>
      <c r="E30" s="680"/>
      <c r="F30" s="680"/>
      <c r="N30" s="667">
        <v>1365</v>
      </c>
      <c r="O30" s="686">
        <f t="shared" si="0"/>
        <v>0</v>
      </c>
      <c r="P30" s="686">
        <f t="shared" si="1"/>
        <v>290</v>
      </c>
      <c r="Q30" s="686">
        <f t="shared" si="2"/>
        <v>2</v>
      </c>
      <c r="R30" s="687">
        <f t="shared" si="3"/>
        <v>1</v>
      </c>
      <c r="V30" s="667">
        <v>1750</v>
      </c>
      <c r="W30" s="686">
        <f t="shared" si="4"/>
        <v>0</v>
      </c>
      <c r="X30" s="686">
        <f t="shared" si="5"/>
        <v>420</v>
      </c>
      <c r="Y30" s="686">
        <f t="shared" si="6"/>
        <v>2</v>
      </c>
      <c r="Z30" s="687">
        <f t="shared" si="7"/>
        <v>1</v>
      </c>
    </row>
    <row r="31" spans="1:26" ht="13.8" thickBot="1">
      <c r="A31" s="660" t="s">
        <v>1074</v>
      </c>
      <c r="B31" s="685">
        <v>40.4</v>
      </c>
      <c r="C31" s="680"/>
      <c r="D31" s="654" t="s">
        <v>32</v>
      </c>
      <c r="E31" s="695" t="s">
        <v>203</v>
      </c>
      <c r="F31" s="696" t="e">
        <f>VLOOKUP(CONCATENATE($E$29,D31),$A$21:$B$55,2,FALSE)</f>
        <v>#REF!</v>
      </c>
      <c r="G31" s="680" t="s">
        <v>189</v>
      </c>
      <c r="H31" s="697" t="e">
        <f>2*$F$31*($C$3/1000)</f>
        <v>#REF!</v>
      </c>
      <c r="I31" s="648" t="s">
        <v>204</v>
      </c>
      <c r="N31" s="667">
        <v>1399</v>
      </c>
      <c r="O31" s="686">
        <f t="shared" si="0"/>
        <v>0</v>
      </c>
      <c r="P31" s="686">
        <f t="shared" si="1"/>
        <v>324</v>
      </c>
      <c r="Q31" s="686">
        <f t="shared" si="2"/>
        <v>2</v>
      </c>
      <c r="R31" s="687">
        <f t="shared" si="3"/>
        <v>1</v>
      </c>
      <c r="V31" s="667">
        <v>1800</v>
      </c>
      <c r="W31" s="686">
        <f t="shared" si="4"/>
        <v>0</v>
      </c>
      <c r="X31" s="686">
        <f t="shared" si="5"/>
        <v>470</v>
      </c>
      <c r="Y31" s="686">
        <f t="shared" si="6"/>
        <v>2</v>
      </c>
      <c r="Z31" s="687">
        <f t="shared" si="7"/>
        <v>1</v>
      </c>
    </row>
    <row r="32" spans="1:26" ht="13.8" thickBot="1">
      <c r="A32" s="667" t="s">
        <v>1075</v>
      </c>
      <c r="B32" s="688">
        <v>1160</v>
      </c>
      <c r="C32" s="680"/>
      <c r="D32" s="654" t="s">
        <v>1076</v>
      </c>
      <c r="E32" s="695" t="s">
        <v>1077</v>
      </c>
      <c r="F32" s="696" t="e">
        <f>+F31</f>
        <v>#REF!</v>
      </c>
      <c r="G32" s="680" t="s">
        <v>189</v>
      </c>
      <c r="H32" s="697" t="e">
        <f>$C$6*$F$32*($C$5/1000)</f>
        <v>#REF!</v>
      </c>
      <c r="I32" s="648" t="s">
        <v>204</v>
      </c>
      <c r="N32" s="667">
        <v>1432</v>
      </c>
      <c r="O32" s="686">
        <f t="shared" si="0"/>
        <v>317</v>
      </c>
      <c r="P32" s="686">
        <f t="shared" si="1"/>
        <v>40</v>
      </c>
      <c r="Q32" s="686">
        <f t="shared" si="2"/>
        <v>3</v>
      </c>
      <c r="R32" s="687">
        <f t="shared" si="3"/>
        <v>1</v>
      </c>
      <c r="V32" s="667">
        <v>1850</v>
      </c>
      <c r="W32" s="686">
        <f t="shared" si="4"/>
        <v>420</v>
      </c>
      <c r="X32" s="686">
        <f t="shared" si="5"/>
        <v>100</v>
      </c>
      <c r="Y32" s="686">
        <f t="shared" si="6"/>
        <v>3</v>
      </c>
      <c r="Z32" s="687">
        <f t="shared" si="7"/>
        <v>1</v>
      </c>
    </row>
    <row r="33" spans="1:26" ht="13.8" thickBot="1">
      <c r="A33" s="667" t="s">
        <v>1078</v>
      </c>
      <c r="B33" s="688">
        <v>25</v>
      </c>
      <c r="D33" s="654" t="s">
        <v>206</v>
      </c>
      <c r="E33" s="695" t="s">
        <v>207</v>
      </c>
      <c r="F33" s="696" t="e">
        <f>VLOOKUP(CONCATENATE($E$29,D33),$A$21:$B$55,2,FALSE)</f>
        <v>#REF!</v>
      </c>
      <c r="G33" s="680" t="s">
        <v>189</v>
      </c>
      <c r="H33" s="697" t="e">
        <f>2*$F$33</f>
        <v>#REF!</v>
      </c>
      <c r="I33" s="648" t="s">
        <v>204</v>
      </c>
      <c r="N33" s="667">
        <v>1465</v>
      </c>
      <c r="O33" s="686">
        <f t="shared" si="0"/>
        <v>350</v>
      </c>
      <c r="P33" s="686">
        <f t="shared" si="1"/>
        <v>40</v>
      </c>
      <c r="Q33" s="686">
        <f t="shared" si="2"/>
        <v>3</v>
      </c>
      <c r="R33" s="687">
        <f t="shared" si="3"/>
        <v>1</v>
      </c>
      <c r="V33" s="667">
        <v>1900</v>
      </c>
      <c r="W33" s="686">
        <f t="shared" si="4"/>
        <v>470</v>
      </c>
      <c r="X33" s="686">
        <f t="shared" si="5"/>
        <v>100</v>
      </c>
      <c r="Y33" s="686">
        <f t="shared" si="6"/>
        <v>3</v>
      </c>
      <c r="Z33" s="687">
        <f t="shared" si="7"/>
        <v>1</v>
      </c>
    </row>
    <row r="34" spans="1:26" ht="13.8" thickBot="1">
      <c r="A34" s="667" t="s">
        <v>1079</v>
      </c>
      <c r="B34" s="688">
        <v>25</v>
      </c>
      <c r="D34" s="654" t="s">
        <v>155</v>
      </c>
      <c r="E34" s="695" t="s">
        <v>209</v>
      </c>
      <c r="F34" s="696" t="e">
        <f>VLOOKUP(CONCATENATE($E$29,D34),$A$21:$B$55,2,FALSE)</f>
        <v>#REF!</v>
      </c>
      <c r="G34" s="680" t="s">
        <v>189</v>
      </c>
      <c r="H34" s="698" t="e">
        <f>($F$34*($J$22/1000))*VLOOKUP(C3,IF(E29="M50",N22:R200,V22:Z195),4,1)</f>
        <v>#REF!</v>
      </c>
      <c r="I34" s="648" t="s">
        <v>204</v>
      </c>
      <c r="K34" s="644" t="e">
        <f>VLOOKUP(C3,IF(E29="M50",N22:R200,V22:Z195),4,1)</f>
        <v>#REF!</v>
      </c>
      <c r="N34" s="667">
        <v>1499</v>
      </c>
      <c r="O34" s="686">
        <f t="shared" si="0"/>
        <v>384</v>
      </c>
      <c r="P34" s="686">
        <f t="shared" si="1"/>
        <v>40</v>
      </c>
      <c r="Q34" s="686">
        <f t="shared" si="2"/>
        <v>3</v>
      </c>
      <c r="R34" s="687">
        <f t="shared" si="3"/>
        <v>1</v>
      </c>
      <c r="V34" s="667">
        <v>1950</v>
      </c>
      <c r="W34" s="686">
        <f t="shared" si="4"/>
        <v>520</v>
      </c>
      <c r="X34" s="686">
        <f t="shared" si="5"/>
        <v>100</v>
      </c>
      <c r="Y34" s="686">
        <f t="shared" si="6"/>
        <v>3</v>
      </c>
      <c r="Z34" s="687">
        <f t="shared" si="7"/>
        <v>1</v>
      </c>
    </row>
    <row r="35" spans="1:26" ht="13.8" thickBot="1">
      <c r="A35" s="667" t="s">
        <v>953</v>
      </c>
      <c r="B35" s="688">
        <v>2.81</v>
      </c>
      <c r="D35" s="654" t="s">
        <v>156</v>
      </c>
      <c r="E35" s="695" t="s">
        <v>211</v>
      </c>
      <c r="F35" s="696" t="e">
        <f>VLOOKUP(CONCATENATE($E$29,D35),$A$21:$B$55,2,FALSE)</f>
        <v>#REF!</v>
      </c>
      <c r="G35" s="680" t="s">
        <v>189</v>
      </c>
      <c r="H35" s="698" t="e">
        <f>($F$35*($J$26/1000))*VLOOKUP(C3,IF(E29="M50",N22:R200,V22:Z195),5,1)</f>
        <v>#REF!</v>
      </c>
      <c r="I35" s="648" t="s">
        <v>204</v>
      </c>
      <c r="K35" s="644" t="e">
        <f>VLOOKUP(C3,IF(E29="M50",N22:R200,V22:Z195),5,1)</f>
        <v>#REF!</v>
      </c>
      <c r="N35" s="667">
        <v>1532</v>
      </c>
      <c r="O35" s="686">
        <f t="shared" si="0"/>
        <v>417</v>
      </c>
      <c r="P35" s="686">
        <f t="shared" si="1"/>
        <v>40</v>
      </c>
      <c r="Q35" s="686">
        <f t="shared" si="2"/>
        <v>3</v>
      </c>
      <c r="R35" s="687">
        <f t="shared" si="3"/>
        <v>1</v>
      </c>
      <c r="V35" s="667">
        <v>2000</v>
      </c>
      <c r="W35" s="686">
        <f t="shared" si="4"/>
        <v>570</v>
      </c>
      <c r="X35" s="686">
        <f t="shared" si="5"/>
        <v>100</v>
      </c>
      <c r="Y35" s="686">
        <f t="shared" si="6"/>
        <v>3</v>
      </c>
      <c r="Z35" s="687">
        <f t="shared" si="7"/>
        <v>1</v>
      </c>
    </row>
    <row r="36" spans="1:26" ht="13.8" thickBot="1">
      <c r="A36" s="667" t="s">
        <v>1080</v>
      </c>
      <c r="B36" s="688">
        <v>1.72</v>
      </c>
      <c r="D36" s="654"/>
      <c r="E36" s="699"/>
      <c r="G36" s="680"/>
      <c r="J36" s="690"/>
      <c r="K36" s="690"/>
      <c r="L36" s="690"/>
      <c r="N36" s="667">
        <v>1565</v>
      </c>
      <c r="O36" s="686">
        <f t="shared" si="0"/>
        <v>450</v>
      </c>
      <c r="P36" s="686">
        <f t="shared" si="1"/>
        <v>40</v>
      </c>
      <c r="Q36" s="686">
        <f t="shared" si="2"/>
        <v>3</v>
      </c>
      <c r="R36" s="687">
        <f t="shared" si="3"/>
        <v>1</v>
      </c>
      <c r="V36" s="667">
        <v>2050</v>
      </c>
      <c r="W36" s="686">
        <f t="shared" si="4"/>
        <v>620</v>
      </c>
      <c r="X36" s="686">
        <f t="shared" si="5"/>
        <v>100</v>
      </c>
      <c r="Y36" s="686">
        <f t="shared" si="6"/>
        <v>3</v>
      </c>
      <c r="Z36" s="687">
        <f t="shared" si="7"/>
        <v>1</v>
      </c>
    </row>
    <row r="37" spans="1:26" ht="13.8" thickBot="1">
      <c r="A37" s="691" t="s">
        <v>1081</v>
      </c>
      <c r="B37" s="692">
        <v>1.1399999999999999</v>
      </c>
      <c r="D37" s="654"/>
      <c r="E37" s="700"/>
      <c r="F37" s="701"/>
      <c r="G37" s="702" t="s">
        <v>217</v>
      </c>
      <c r="H37" s="703">
        <f>IFERROR(SUM($H$31:$H$36),0)</f>
        <v>0</v>
      </c>
      <c r="I37" s="704" t="s">
        <v>204</v>
      </c>
      <c r="J37" s="701"/>
      <c r="K37" s="701"/>
      <c r="L37" s="705"/>
      <c r="N37" s="667">
        <v>1599</v>
      </c>
      <c r="O37" s="686">
        <f t="shared" si="0"/>
        <v>484</v>
      </c>
      <c r="P37" s="686">
        <f t="shared" si="1"/>
        <v>40</v>
      </c>
      <c r="Q37" s="686">
        <f t="shared" si="2"/>
        <v>3</v>
      </c>
      <c r="R37" s="687">
        <f t="shared" si="3"/>
        <v>1</v>
      </c>
      <c r="V37" s="667">
        <v>2100</v>
      </c>
      <c r="W37" s="686">
        <f t="shared" si="4"/>
        <v>670</v>
      </c>
      <c r="X37" s="686">
        <f t="shared" si="5"/>
        <v>100</v>
      </c>
      <c r="Y37" s="686">
        <f t="shared" si="6"/>
        <v>3</v>
      </c>
      <c r="Z37" s="687">
        <f t="shared" si="7"/>
        <v>1</v>
      </c>
    </row>
    <row r="38" spans="1:26" ht="13.8" thickBot="1">
      <c r="A38" s="693" t="s">
        <v>1082</v>
      </c>
      <c r="B38" s="694">
        <v>1.1399999999999999</v>
      </c>
      <c r="D38" s="654"/>
      <c r="H38" s="644">
        <f>IFERROR(H31/2+H32/2+H33/2,0)</f>
        <v>0</v>
      </c>
      <c r="N38" s="667">
        <v>1632</v>
      </c>
      <c r="O38" s="686">
        <f t="shared" si="0"/>
        <v>517</v>
      </c>
      <c r="P38" s="686">
        <f t="shared" si="1"/>
        <v>40</v>
      </c>
      <c r="Q38" s="686">
        <f t="shared" si="2"/>
        <v>3</v>
      </c>
      <c r="R38" s="687">
        <f t="shared" si="3"/>
        <v>1</v>
      </c>
      <c r="V38" s="667">
        <v>2150</v>
      </c>
      <c r="W38" s="686">
        <f t="shared" si="4"/>
        <v>720</v>
      </c>
      <c r="X38" s="686">
        <f t="shared" si="5"/>
        <v>100</v>
      </c>
      <c r="Y38" s="686">
        <f t="shared" si="6"/>
        <v>3</v>
      </c>
      <c r="Z38" s="687">
        <f t="shared" si="7"/>
        <v>1</v>
      </c>
    </row>
    <row r="39" spans="1:26">
      <c r="A39" s="706" t="s">
        <v>1083</v>
      </c>
      <c r="B39" s="707">
        <v>70</v>
      </c>
      <c r="D39" s="654"/>
      <c r="N39" s="667">
        <v>1665</v>
      </c>
      <c r="O39" s="686">
        <f t="shared" si="0"/>
        <v>550</v>
      </c>
      <c r="P39" s="686">
        <f t="shared" si="1"/>
        <v>40</v>
      </c>
      <c r="Q39" s="686">
        <f t="shared" si="2"/>
        <v>3</v>
      </c>
      <c r="R39" s="687">
        <f t="shared" si="3"/>
        <v>1</v>
      </c>
      <c r="V39" s="667">
        <v>2200</v>
      </c>
      <c r="W39" s="686">
        <f t="shared" si="4"/>
        <v>770</v>
      </c>
      <c r="X39" s="686">
        <f t="shared" si="5"/>
        <v>100</v>
      </c>
      <c r="Y39" s="686">
        <f t="shared" si="6"/>
        <v>3</v>
      </c>
      <c r="Z39" s="687">
        <f t="shared" si="7"/>
        <v>1</v>
      </c>
    </row>
    <row r="40" spans="1:26">
      <c r="A40" s="708" t="s">
        <v>1084</v>
      </c>
      <c r="B40" s="709">
        <v>1160</v>
      </c>
      <c r="D40" s="649" t="s">
        <v>220</v>
      </c>
      <c r="N40" s="667">
        <v>1698</v>
      </c>
      <c r="O40" s="686">
        <f t="shared" si="0"/>
        <v>583</v>
      </c>
      <c r="P40" s="686">
        <f t="shared" si="1"/>
        <v>40</v>
      </c>
      <c r="Q40" s="686">
        <f t="shared" si="2"/>
        <v>3</v>
      </c>
      <c r="R40" s="687">
        <f t="shared" si="3"/>
        <v>1</v>
      </c>
      <c r="V40" s="667">
        <v>2250</v>
      </c>
      <c r="W40" s="686">
        <f t="shared" si="4"/>
        <v>820</v>
      </c>
      <c r="X40" s="686">
        <f t="shared" si="5"/>
        <v>100</v>
      </c>
      <c r="Y40" s="686">
        <f t="shared" si="6"/>
        <v>3</v>
      </c>
      <c r="Z40" s="687">
        <f t="shared" si="7"/>
        <v>1</v>
      </c>
    </row>
    <row r="41" spans="1:26">
      <c r="A41" s="708" t="s">
        <v>1085</v>
      </c>
      <c r="B41" s="709">
        <v>30</v>
      </c>
      <c r="D41" s="651" t="s">
        <v>222</v>
      </c>
      <c r="E41" s="651"/>
      <c r="N41" s="667">
        <v>1732</v>
      </c>
      <c r="O41" s="686">
        <f t="shared" si="0"/>
        <v>617</v>
      </c>
      <c r="P41" s="686">
        <f t="shared" si="1"/>
        <v>40</v>
      </c>
      <c r="Q41" s="686">
        <f t="shared" si="2"/>
        <v>3</v>
      </c>
      <c r="R41" s="687">
        <f t="shared" si="3"/>
        <v>1</v>
      </c>
      <c r="V41" s="667">
        <v>2300</v>
      </c>
      <c r="W41" s="686">
        <f t="shared" si="4"/>
        <v>870</v>
      </c>
      <c r="X41" s="686">
        <f t="shared" si="5"/>
        <v>100</v>
      </c>
      <c r="Y41" s="686">
        <f t="shared" si="6"/>
        <v>3</v>
      </c>
      <c r="Z41" s="687">
        <f t="shared" si="7"/>
        <v>1</v>
      </c>
    </row>
    <row r="42" spans="1:26">
      <c r="A42" s="708" t="s">
        <v>1086</v>
      </c>
      <c r="B42" s="709">
        <v>30</v>
      </c>
      <c r="D42" s="651" t="s">
        <v>224</v>
      </c>
      <c r="E42" s="651"/>
      <c r="N42" s="667">
        <v>1765</v>
      </c>
      <c r="O42" s="686">
        <f t="shared" si="0"/>
        <v>650</v>
      </c>
      <c r="P42" s="686">
        <f t="shared" si="1"/>
        <v>40</v>
      </c>
      <c r="Q42" s="686">
        <f t="shared" si="2"/>
        <v>3</v>
      </c>
      <c r="R42" s="687">
        <f t="shared" si="3"/>
        <v>1</v>
      </c>
      <c r="V42" s="667">
        <v>2350</v>
      </c>
      <c r="W42" s="686">
        <f t="shared" si="4"/>
        <v>920</v>
      </c>
      <c r="X42" s="686">
        <f t="shared" si="5"/>
        <v>100</v>
      </c>
      <c r="Y42" s="686">
        <f t="shared" si="6"/>
        <v>3</v>
      </c>
      <c r="Z42" s="687">
        <f t="shared" si="7"/>
        <v>1</v>
      </c>
    </row>
    <row r="43" spans="1:26">
      <c r="A43" s="708" t="s">
        <v>1087</v>
      </c>
      <c r="B43" s="709">
        <v>4.24</v>
      </c>
      <c r="D43" s="654"/>
      <c r="E43" s="651"/>
      <c r="N43" s="667">
        <v>1798</v>
      </c>
      <c r="O43" s="686">
        <f t="shared" si="0"/>
        <v>683</v>
      </c>
      <c r="P43" s="686">
        <f t="shared" si="1"/>
        <v>40</v>
      </c>
      <c r="Q43" s="686">
        <f t="shared" si="2"/>
        <v>3</v>
      </c>
      <c r="R43" s="687">
        <f t="shared" si="3"/>
        <v>1</v>
      </c>
      <c r="V43" s="667">
        <v>2400</v>
      </c>
      <c r="W43" s="686">
        <f t="shared" si="4"/>
        <v>970</v>
      </c>
      <c r="X43" s="686">
        <f t="shared" si="5"/>
        <v>100</v>
      </c>
      <c r="Y43" s="686">
        <f t="shared" si="6"/>
        <v>3</v>
      </c>
      <c r="Z43" s="687">
        <f t="shared" si="7"/>
        <v>1</v>
      </c>
    </row>
    <row r="44" spans="1:26">
      <c r="A44" s="708" t="s">
        <v>1088</v>
      </c>
      <c r="B44" s="709">
        <v>2.23</v>
      </c>
      <c r="D44" s="654"/>
      <c r="N44" s="667">
        <v>1832</v>
      </c>
      <c r="O44" s="686">
        <f t="shared" si="0"/>
        <v>717</v>
      </c>
      <c r="P44" s="686">
        <f t="shared" si="1"/>
        <v>40</v>
      </c>
      <c r="Q44" s="686">
        <f t="shared" si="2"/>
        <v>3</v>
      </c>
      <c r="R44" s="687">
        <f t="shared" si="3"/>
        <v>1</v>
      </c>
      <c r="T44" s="710"/>
      <c r="V44" s="667">
        <v>2450</v>
      </c>
      <c r="W44" s="686">
        <f t="shared" si="4"/>
        <v>1020</v>
      </c>
      <c r="X44" s="686">
        <f t="shared" si="5"/>
        <v>100</v>
      </c>
      <c r="Y44" s="686">
        <f t="shared" si="6"/>
        <v>3</v>
      </c>
      <c r="Z44" s="687">
        <f t="shared" si="7"/>
        <v>1</v>
      </c>
    </row>
    <row r="45" spans="1:26">
      <c r="A45" s="711" t="s">
        <v>1089</v>
      </c>
      <c r="B45" s="712">
        <v>1.8</v>
      </c>
      <c r="D45" s="654"/>
      <c r="N45" s="667">
        <v>1865</v>
      </c>
      <c r="O45" s="686">
        <f t="shared" si="0"/>
        <v>750</v>
      </c>
      <c r="P45" s="686">
        <f t="shared" si="1"/>
        <v>40</v>
      </c>
      <c r="Q45" s="686">
        <f t="shared" si="2"/>
        <v>3</v>
      </c>
      <c r="R45" s="687">
        <f t="shared" si="3"/>
        <v>1</v>
      </c>
      <c r="T45" s="710"/>
      <c r="V45" s="667">
        <v>2500</v>
      </c>
      <c r="W45" s="686">
        <f t="shared" si="4"/>
        <v>0</v>
      </c>
      <c r="X45" s="686">
        <f t="shared" si="5"/>
        <v>10</v>
      </c>
      <c r="Y45" s="686">
        <f t="shared" si="6"/>
        <v>3</v>
      </c>
      <c r="Z45" s="687">
        <f t="shared" si="7"/>
        <v>2</v>
      </c>
    </row>
    <row r="46" spans="1:26" ht="13.8" thickBot="1">
      <c r="A46" s="713" t="s">
        <v>1090</v>
      </c>
      <c r="B46" s="714">
        <v>1.8</v>
      </c>
      <c r="D46" s="654"/>
      <c r="N46" s="667">
        <v>1898</v>
      </c>
      <c r="O46" s="686">
        <f t="shared" si="0"/>
        <v>783</v>
      </c>
      <c r="P46" s="686">
        <f t="shared" si="1"/>
        <v>40</v>
      </c>
      <c r="Q46" s="686">
        <f t="shared" si="2"/>
        <v>3</v>
      </c>
      <c r="R46" s="687">
        <f t="shared" si="3"/>
        <v>1</v>
      </c>
      <c r="V46" s="667">
        <v>2550</v>
      </c>
      <c r="W46" s="686">
        <f t="shared" si="4"/>
        <v>0</v>
      </c>
      <c r="X46" s="686">
        <f t="shared" si="5"/>
        <v>60</v>
      </c>
      <c r="Y46" s="686">
        <f t="shared" si="6"/>
        <v>3</v>
      </c>
      <c r="Z46" s="687">
        <f t="shared" si="7"/>
        <v>2</v>
      </c>
    </row>
    <row r="47" spans="1:26">
      <c r="A47" s="715" t="s">
        <v>1091</v>
      </c>
      <c r="B47" s="716">
        <v>69.7</v>
      </c>
      <c r="D47" s="654"/>
      <c r="N47" s="667">
        <v>1932</v>
      </c>
      <c r="O47" s="686">
        <f t="shared" si="0"/>
        <v>817</v>
      </c>
      <c r="P47" s="686">
        <f t="shared" si="1"/>
        <v>40</v>
      </c>
      <c r="Q47" s="686">
        <f t="shared" si="2"/>
        <v>3</v>
      </c>
      <c r="R47" s="687">
        <f t="shared" si="3"/>
        <v>1</v>
      </c>
      <c r="S47" s="717"/>
      <c r="V47" s="667">
        <v>2600</v>
      </c>
      <c r="W47" s="686">
        <f t="shared" si="4"/>
        <v>0</v>
      </c>
      <c r="X47" s="686">
        <f t="shared" si="5"/>
        <v>110</v>
      </c>
      <c r="Y47" s="686">
        <f t="shared" si="6"/>
        <v>3</v>
      </c>
      <c r="Z47" s="687">
        <f t="shared" si="7"/>
        <v>2</v>
      </c>
    </row>
    <row r="48" spans="1:26">
      <c r="A48" s="667" t="s">
        <v>1092</v>
      </c>
      <c r="B48" s="688">
        <v>1160</v>
      </c>
      <c r="N48" s="667">
        <v>1965</v>
      </c>
      <c r="O48" s="686">
        <f t="shared" si="0"/>
        <v>850</v>
      </c>
      <c r="P48" s="686">
        <f t="shared" si="1"/>
        <v>40</v>
      </c>
      <c r="Q48" s="686">
        <f t="shared" si="2"/>
        <v>3</v>
      </c>
      <c r="R48" s="687">
        <f t="shared" si="3"/>
        <v>1</v>
      </c>
      <c r="V48" s="667">
        <v>2650</v>
      </c>
      <c r="W48" s="686">
        <f t="shared" si="4"/>
        <v>0</v>
      </c>
      <c r="X48" s="686">
        <f t="shared" si="5"/>
        <v>160</v>
      </c>
      <c r="Y48" s="686">
        <f t="shared" si="6"/>
        <v>3</v>
      </c>
      <c r="Z48" s="687">
        <f t="shared" si="7"/>
        <v>2</v>
      </c>
    </row>
    <row r="49" spans="1:26">
      <c r="A49" s="667" t="s">
        <v>1093</v>
      </c>
      <c r="B49" s="688">
        <v>25</v>
      </c>
      <c r="N49" s="667">
        <v>1998</v>
      </c>
      <c r="O49" s="686">
        <f t="shared" si="0"/>
        <v>883</v>
      </c>
      <c r="P49" s="686">
        <f t="shared" si="1"/>
        <v>40</v>
      </c>
      <c r="Q49" s="686">
        <f t="shared" si="2"/>
        <v>3</v>
      </c>
      <c r="R49" s="687">
        <f t="shared" si="3"/>
        <v>1</v>
      </c>
      <c r="V49" s="667">
        <v>2700</v>
      </c>
      <c r="W49" s="686">
        <f t="shared" si="4"/>
        <v>0</v>
      </c>
      <c r="X49" s="686">
        <f t="shared" si="5"/>
        <v>210</v>
      </c>
      <c r="Y49" s="686">
        <f t="shared" si="6"/>
        <v>3</v>
      </c>
      <c r="Z49" s="687">
        <f t="shared" si="7"/>
        <v>2</v>
      </c>
    </row>
    <row r="50" spans="1:26">
      <c r="A50" s="667" t="s">
        <v>1094</v>
      </c>
      <c r="B50" s="688">
        <v>25</v>
      </c>
      <c r="N50" s="667">
        <v>2031</v>
      </c>
      <c r="O50" s="686">
        <f t="shared" si="0"/>
        <v>0</v>
      </c>
      <c r="P50" s="686">
        <f t="shared" si="1"/>
        <v>6</v>
      </c>
      <c r="Q50" s="686">
        <f t="shared" si="2"/>
        <v>3</v>
      </c>
      <c r="R50" s="687">
        <f t="shared" si="3"/>
        <v>2</v>
      </c>
      <c r="V50" s="667">
        <v>2750</v>
      </c>
      <c r="W50" s="686">
        <f t="shared" si="4"/>
        <v>0</v>
      </c>
      <c r="X50" s="686">
        <f t="shared" si="5"/>
        <v>260</v>
      </c>
      <c r="Y50" s="686">
        <f t="shared" si="6"/>
        <v>3</v>
      </c>
      <c r="Z50" s="687">
        <f t="shared" si="7"/>
        <v>2</v>
      </c>
    </row>
    <row r="51" spans="1:26">
      <c r="A51" s="667" t="s">
        <v>966</v>
      </c>
      <c r="B51" s="688">
        <v>3.72</v>
      </c>
      <c r="N51" s="667">
        <v>2065</v>
      </c>
      <c r="O51" s="686">
        <f t="shared" si="0"/>
        <v>0</v>
      </c>
      <c r="P51" s="686">
        <f t="shared" si="1"/>
        <v>40</v>
      </c>
      <c r="Q51" s="686">
        <f t="shared" si="2"/>
        <v>3</v>
      </c>
      <c r="R51" s="687">
        <f t="shared" si="3"/>
        <v>2</v>
      </c>
      <c r="V51" s="667">
        <v>2800</v>
      </c>
      <c r="W51" s="686">
        <f t="shared" si="4"/>
        <v>0</v>
      </c>
      <c r="X51" s="686">
        <f t="shared" si="5"/>
        <v>310</v>
      </c>
      <c r="Y51" s="686">
        <f t="shared" si="6"/>
        <v>3</v>
      </c>
      <c r="Z51" s="687">
        <f t="shared" si="7"/>
        <v>2</v>
      </c>
    </row>
    <row r="52" spans="1:26">
      <c r="A52" s="667" t="s">
        <v>1095</v>
      </c>
      <c r="B52" s="688">
        <v>2.23</v>
      </c>
      <c r="N52" s="667">
        <v>2098</v>
      </c>
      <c r="O52" s="686">
        <f t="shared" si="0"/>
        <v>0</v>
      </c>
      <c r="P52" s="686">
        <f t="shared" si="1"/>
        <v>73</v>
      </c>
      <c r="Q52" s="686">
        <f t="shared" si="2"/>
        <v>3</v>
      </c>
      <c r="R52" s="687">
        <f t="shared" si="3"/>
        <v>2</v>
      </c>
      <c r="V52" s="667">
        <v>2850</v>
      </c>
      <c r="W52" s="686">
        <f t="shared" si="4"/>
        <v>0</v>
      </c>
      <c r="X52" s="686">
        <f t="shared" si="5"/>
        <v>360</v>
      </c>
      <c r="Y52" s="686">
        <f t="shared" si="6"/>
        <v>3</v>
      </c>
      <c r="Z52" s="687">
        <f t="shared" si="7"/>
        <v>2</v>
      </c>
    </row>
    <row r="53" spans="1:26">
      <c r="A53" s="691" t="s">
        <v>1096</v>
      </c>
      <c r="B53" s="692">
        <v>1.1399999999999999</v>
      </c>
      <c r="N53" s="667">
        <v>2131</v>
      </c>
      <c r="O53" s="686">
        <f t="shared" si="0"/>
        <v>0</v>
      </c>
      <c r="P53" s="686">
        <f t="shared" si="1"/>
        <v>106</v>
      </c>
      <c r="Q53" s="686">
        <f t="shared" si="2"/>
        <v>3</v>
      </c>
      <c r="R53" s="687">
        <f t="shared" si="3"/>
        <v>2</v>
      </c>
      <c r="V53" s="667">
        <v>2900</v>
      </c>
      <c r="W53" s="686">
        <f t="shared" si="4"/>
        <v>0</v>
      </c>
      <c r="X53" s="686">
        <f t="shared" si="5"/>
        <v>410</v>
      </c>
      <c r="Y53" s="686">
        <f t="shared" si="6"/>
        <v>3</v>
      </c>
      <c r="Z53" s="687">
        <f t="shared" si="7"/>
        <v>2</v>
      </c>
    </row>
    <row r="54" spans="1:26" ht="13.8" thickBot="1">
      <c r="A54" s="693" t="s">
        <v>1097</v>
      </c>
      <c r="B54" s="694">
        <v>1.1399999999999999</v>
      </c>
      <c r="N54" s="667">
        <v>2165</v>
      </c>
      <c r="O54" s="686">
        <f t="shared" si="0"/>
        <v>0</v>
      </c>
      <c r="P54" s="686">
        <f t="shared" si="1"/>
        <v>140</v>
      </c>
      <c r="Q54" s="686">
        <f t="shared" si="2"/>
        <v>3</v>
      </c>
      <c r="R54" s="687">
        <f t="shared" si="3"/>
        <v>2</v>
      </c>
      <c r="V54" s="667">
        <v>2950</v>
      </c>
      <c r="W54" s="686">
        <f t="shared" si="4"/>
        <v>0</v>
      </c>
      <c r="X54" s="686">
        <f t="shared" si="5"/>
        <v>460</v>
      </c>
      <c r="Y54" s="686">
        <f t="shared" si="6"/>
        <v>3</v>
      </c>
      <c r="Z54" s="687">
        <f t="shared" si="7"/>
        <v>2</v>
      </c>
    </row>
    <row r="55" spans="1:26">
      <c r="N55" s="667">
        <v>2198</v>
      </c>
      <c r="O55" s="686">
        <f t="shared" si="0"/>
        <v>0</v>
      </c>
      <c r="P55" s="686">
        <f t="shared" si="1"/>
        <v>173</v>
      </c>
      <c r="Q55" s="686">
        <f t="shared" si="2"/>
        <v>3</v>
      </c>
      <c r="R55" s="687">
        <f t="shared" si="3"/>
        <v>2</v>
      </c>
      <c r="V55" s="667">
        <v>3000</v>
      </c>
      <c r="W55" s="686">
        <f t="shared" si="4"/>
        <v>410</v>
      </c>
      <c r="X55" s="686">
        <f t="shared" si="5"/>
        <v>100</v>
      </c>
      <c r="Y55" s="686">
        <f t="shared" si="6"/>
        <v>4</v>
      </c>
      <c r="Z55" s="687">
        <f t="shared" si="7"/>
        <v>2</v>
      </c>
    </row>
    <row r="56" spans="1:26">
      <c r="N56" s="667">
        <v>2231</v>
      </c>
      <c r="O56" s="686">
        <f t="shared" si="0"/>
        <v>0</v>
      </c>
      <c r="P56" s="686">
        <f t="shared" si="1"/>
        <v>206</v>
      </c>
      <c r="Q56" s="686">
        <f t="shared" si="2"/>
        <v>3</v>
      </c>
      <c r="R56" s="687">
        <f t="shared" si="3"/>
        <v>2</v>
      </c>
      <c r="V56" s="667">
        <v>3050</v>
      </c>
      <c r="W56" s="686">
        <f t="shared" si="4"/>
        <v>460</v>
      </c>
      <c r="X56" s="686">
        <f t="shared" si="5"/>
        <v>100</v>
      </c>
      <c r="Y56" s="686">
        <f t="shared" si="6"/>
        <v>4</v>
      </c>
      <c r="Z56" s="687">
        <f t="shared" si="7"/>
        <v>2</v>
      </c>
    </row>
    <row r="57" spans="1:26">
      <c r="N57" s="667">
        <v>2265</v>
      </c>
      <c r="O57" s="686">
        <f t="shared" si="0"/>
        <v>0</v>
      </c>
      <c r="P57" s="686">
        <f t="shared" si="1"/>
        <v>240</v>
      </c>
      <c r="Q57" s="686">
        <f t="shared" si="2"/>
        <v>3</v>
      </c>
      <c r="R57" s="687">
        <f t="shared" si="3"/>
        <v>2</v>
      </c>
      <c r="V57" s="667">
        <v>3100</v>
      </c>
      <c r="W57" s="686">
        <f t="shared" si="4"/>
        <v>510</v>
      </c>
      <c r="X57" s="686">
        <f t="shared" si="5"/>
        <v>100</v>
      </c>
      <c r="Y57" s="686">
        <f t="shared" si="6"/>
        <v>4</v>
      </c>
      <c r="Z57" s="687">
        <f t="shared" si="7"/>
        <v>2</v>
      </c>
    </row>
    <row r="58" spans="1:26">
      <c r="A58" s="718"/>
      <c r="N58" s="667">
        <v>2298</v>
      </c>
      <c r="O58" s="686">
        <f t="shared" si="0"/>
        <v>0</v>
      </c>
      <c r="P58" s="686">
        <f t="shared" si="1"/>
        <v>273</v>
      </c>
      <c r="Q58" s="686">
        <f t="shared" si="2"/>
        <v>3</v>
      </c>
      <c r="R58" s="687">
        <f t="shared" si="3"/>
        <v>2</v>
      </c>
      <c r="V58" s="667">
        <v>3150</v>
      </c>
      <c r="W58" s="686">
        <f t="shared" si="4"/>
        <v>560</v>
      </c>
      <c r="X58" s="686">
        <f t="shared" si="5"/>
        <v>100</v>
      </c>
      <c r="Y58" s="686">
        <f t="shared" si="6"/>
        <v>4</v>
      </c>
      <c r="Z58" s="687">
        <f t="shared" si="7"/>
        <v>2</v>
      </c>
    </row>
    <row r="59" spans="1:26">
      <c r="A59" s="719" t="s">
        <v>1015</v>
      </c>
      <c r="N59" s="667">
        <v>2331</v>
      </c>
      <c r="O59" s="686">
        <f t="shared" si="0"/>
        <v>0</v>
      </c>
      <c r="P59" s="686">
        <f t="shared" si="1"/>
        <v>306</v>
      </c>
      <c r="Q59" s="686">
        <f t="shared" si="2"/>
        <v>3</v>
      </c>
      <c r="R59" s="687">
        <f t="shared" si="3"/>
        <v>2</v>
      </c>
      <c r="V59" s="667">
        <v>3200</v>
      </c>
      <c r="W59" s="686">
        <f t="shared" si="4"/>
        <v>610</v>
      </c>
      <c r="X59" s="686">
        <f t="shared" si="5"/>
        <v>100</v>
      </c>
      <c r="Y59" s="686">
        <f t="shared" si="6"/>
        <v>4</v>
      </c>
      <c r="Z59" s="687">
        <f t="shared" si="7"/>
        <v>2</v>
      </c>
    </row>
    <row r="60" spans="1:26">
      <c r="A60" s="719" t="s">
        <v>1098</v>
      </c>
      <c r="N60" s="667">
        <v>2364</v>
      </c>
      <c r="O60" s="686">
        <f t="shared" si="0"/>
        <v>299</v>
      </c>
      <c r="P60" s="686">
        <f t="shared" si="1"/>
        <v>40</v>
      </c>
      <c r="Q60" s="686">
        <f t="shared" si="2"/>
        <v>4</v>
      </c>
      <c r="R60" s="687">
        <f t="shared" si="3"/>
        <v>2</v>
      </c>
      <c r="V60" s="667">
        <v>3250</v>
      </c>
      <c r="W60" s="686">
        <f t="shared" si="4"/>
        <v>660</v>
      </c>
      <c r="X60" s="686">
        <f t="shared" si="5"/>
        <v>100</v>
      </c>
      <c r="Y60" s="686">
        <f t="shared" si="6"/>
        <v>4</v>
      </c>
      <c r="Z60" s="687">
        <f t="shared" si="7"/>
        <v>2</v>
      </c>
    </row>
    <row r="61" spans="1:26">
      <c r="A61" s="719" t="s">
        <v>712</v>
      </c>
      <c r="N61" s="667">
        <v>2398</v>
      </c>
      <c r="O61" s="686">
        <f t="shared" si="0"/>
        <v>333</v>
      </c>
      <c r="P61" s="686">
        <f t="shared" si="1"/>
        <v>40</v>
      </c>
      <c r="Q61" s="686">
        <f t="shared" si="2"/>
        <v>4</v>
      </c>
      <c r="R61" s="687">
        <f t="shared" si="3"/>
        <v>2</v>
      </c>
      <c r="V61" s="667">
        <v>3300</v>
      </c>
      <c r="W61" s="686">
        <f t="shared" si="4"/>
        <v>710</v>
      </c>
      <c r="X61" s="686">
        <f t="shared" si="5"/>
        <v>100</v>
      </c>
      <c r="Y61" s="686">
        <f t="shared" si="6"/>
        <v>4</v>
      </c>
      <c r="Z61" s="687">
        <f t="shared" si="7"/>
        <v>2</v>
      </c>
    </row>
    <row r="62" spans="1:26">
      <c r="A62" s="720" t="s">
        <v>86</v>
      </c>
      <c r="N62" s="667">
        <v>2431</v>
      </c>
      <c r="O62" s="686">
        <f t="shared" si="0"/>
        <v>366</v>
      </c>
      <c r="P62" s="686">
        <f t="shared" si="1"/>
        <v>40</v>
      </c>
      <c r="Q62" s="686">
        <f t="shared" si="2"/>
        <v>4</v>
      </c>
      <c r="R62" s="687">
        <f t="shared" si="3"/>
        <v>2</v>
      </c>
      <c r="V62" s="667">
        <v>3350</v>
      </c>
      <c r="W62" s="686">
        <f t="shared" si="4"/>
        <v>760</v>
      </c>
      <c r="X62" s="686">
        <f t="shared" si="5"/>
        <v>100</v>
      </c>
      <c r="Y62" s="686">
        <f t="shared" si="6"/>
        <v>4</v>
      </c>
      <c r="Z62" s="687">
        <f t="shared" si="7"/>
        <v>2</v>
      </c>
    </row>
    <row r="63" spans="1:26">
      <c r="A63" s="721"/>
      <c r="N63" s="667">
        <v>2464</v>
      </c>
      <c r="O63" s="686">
        <f t="shared" si="0"/>
        <v>399</v>
      </c>
      <c r="P63" s="686">
        <f t="shared" si="1"/>
        <v>40</v>
      </c>
      <c r="Q63" s="686">
        <f t="shared" si="2"/>
        <v>4</v>
      </c>
      <c r="R63" s="687">
        <f t="shared" si="3"/>
        <v>2</v>
      </c>
      <c r="V63" s="667">
        <v>3400</v>
      </c>
      <c r="W63" s="686">
        <f t="shared" si="4"/>
        <v>810</v>
      </c>
      <c r="X63" s="686">
        <f t="shared" si="5"/>
        <v>100</v>
      </c>
      <c r="Y63" s="686">
        <f t="shared" si="6"/>
        <v>4</v>
      </c>
      <c r="Z63" s="687">
        <f t="shared" si="7"/>
        <v>2</v>
      </c>
    </row>
    <row r="64" spans="1:26">
      <c r="A64" s="722">
        <v>1</v>
      </c>
      <c r="N64" s="667">
        <v>2498</v>
      </c>
      <c r="O64" s="686">
        <f t="shared" si="0"/>
        <v>433</v>
      </c>
      <c r="P64" s="686">
        <f t="shared" si="1"/>
        <v>40</v>
      </c>
      <c r="Q64" s="686">
        <f t="shared" si="2"/>
        <v>4</v>
      </c>
      <c r="R64" s="687">
        <f t="shared" si="3"/>
        <v>2</v>
      </c>
      <c r="V64" s="667">
        <v>3450</v>
      </c>
      <c r="W64" s="686">
        <f t="shared" si="4"/>
        <v>860</v>
      </c>
      <c r="X64" s="686">
        <f t="shared" si="5"/>
        <v>100</v>
      </c>
      <c r="Y64" s="686">
        <f t="shared" si="6"/>
        <v>4</v>
      </c>
      <c r="Z64" s="687">
        <f t="shared" si="7"/>
        <v>2</v>
      </c>
    </row>
    <row r="65" spans="1:26">
      <c r="A65" s="723">
        <v>2</v>
      </c>
      <c r="N65" s="667">
        <v>2531</v>
      </c>
      <c r="O65" s="686">
        <f t="shared" si="0"/>
        <v>466</v>
      </c>
      <c r="P65" s="686">
        <f t="shared" si="1"/>
        <v>40</v>
      </c>
      <c r="Q65" s="686">
        <f t="shared" si="2"/>
        <v>4</v>
      </c>
      <c r="R65" s="687">
        <f t="shared" si="3"/>
        <v>2</v>
      </c>
      <c r="V65" s="667">
        <v>3500</v>
      </c>
      <c r="W65" s="686">
        <f t="shared" si="4"/>
        <v>910</v>
      </c>
      <c r="X65" s="686">
        <f t="shared" si="5"/>
        <v>100</v>
      </c>
      <c r="Y65" s="686">
        <f t="shared" si="6"/>
        <v>4</v>
      </c>
      <c r="Z65" s="687">
        <f t="shared" si="7"/>
        <v>2</v>
      </c>
    </row>
    <row r="66" spans="1:26">
      <c r="N66" s="667">
        <v>2564</v>
      </c>
      <c r="O66" s="686">
        <f t="shared" si="0"/>
        <v>499</v>
      </c>
      <c r="P66" s="686">
        <f t="shared" si="1"/>
        <v>40</v>
      </c>
      <c r="Q66" s="686">
        <f t="shared" si="2"/>
        <v>4</v>
      </c>
      <c r="R66" s="687">
        <f t="shared" si="3"/>
        <v>2</v>
      </c>
      <c r="V66" s="667">
        <v>3550</v>
      </c>
      <c r="W66" s="686">
        <f t="shared" si="4"/>
        <v>960</v>
      </c>
      <c r="X66" s="686">
        <f t="shared" si="5"/>
        <v>100</v>
      </c>
      <c r="Y66" s="686">
        <f t="shared" si="6"/>
        <v>4</v>
      </c>
      <c r="Z66" s="687">
        <f t="shared" si="7"/>
        <v>2</v>
      </c>
    </row>
    <row r="67" spans="1:26">
      <c r="N67" s="667">
        <v>2598</v>
      </c>
      <c r="O67" s="686">
        <f t="shared" si="0"/>
        <v>533</v>
      </c>
      <c r="P67" s="686">
        <f t="shared" si="1"/>
        <v>40</v>
      </c>
      <c r="Q67" s="686">
        <f t="shared" si="2"/>
        <v>4</v>
      </c>
      <c r="R67" s="687">
        <f t="shared" si="3"/>
        <v>2</v>
      </c>
      <c r="V67" s="667">
        <v>3600</v>
      </c>
      <c r="W67" s="686">
        <f t="shared" si="4"/>
        <v>1010</v>
      </c>
      <c r="X67" s="686">
        <f t="shared" si="5"/>
        <v>100</v>
      </c>
      <c r="Y67" s="686">
        <f t="shared" si="6"/>
        <v>4</v>
      </c>
      <c r="Z67" s="687">
        <f t="shared" si="7"/>
        <v>2</v>
      </c>
    </row>
    <row r="68" spans="1:26">
      <c r="N68" s="667">
        <v>2631</v>
      </c>
      <c r="O68" s="686">
        <f t="shared" si="0"/>
        <v>566</v>
      </c>
      <c r="P68" s="686">
        <f t="shared" si="1"/>
        <v>40</v>
      </c>
      <c r="Q68" s="686">
        <f t="shared" si="2"/>
        <v>4</v>
      </c>
      <c r="R68" s="687">
        <f t="shared" si="3"/>
        <v>2</v>
      </c>
      <c r="V68" s="667">
        <v>3650</v>
      </c>
      <c r="W68" s="686">
        <f t="shared" si="4"/>
        <v>0</v>
      </c>
      <c r="X68" s="686">
        <f t="shared" si="5"/>
        <v>0</v>
      </c>
      <c r="Y68" s="686">
        <f t="shared" si="6"/>
        <v>4</v>
      </c>
      <c r="Z68" s="687">
        <f t="shared" si="7"/>
        <v>3</v>
      </c>
    </row>
    <row r="69" spans="1:26">
      <c r="N69" s="667">
        <v>2664</v>
      </c>
      <c r="O69" s="686">
        <f t="shared" si="0"/>
        <v>599</v>
      </c>
      <c r="P69" s="686">
        <f t="shared" si="1"/>
        <v>40</v>
      </c>
      <c r="Q69" s="686">
        <f t="shared" si="2"/>
        <v>4</v>
      </c>
      <c r="R69" s="687">
        <f t="shared" si="3"/>
        <v>2</v>
      </c>
      <c r="V69" s="667">
        <v>3700</v>
      </c>
      <c r="W69" s="686">
        <f t="shared" si="4"/>
        <v>0</v>
      </c>
      <c r="X69" s="686">
        <f t="shared" si="5"/>
        <v>50</v>
      </c>
      <c r="Y69" s="686">
        <f t="shared" si="6"/>
        <v>4</v>
      </c>
      <c r="Z69" s="687">
        <f t="shared" si="7"/>
        <v>3</v>
      </c>
    </row>
    <row r="70" spans="1:26">
      <c r="N70" s="667">
        <v>2697</v>
      </c>
      <c r="O70" s="686">
        <f t="shared" si="0"/>
        <v>632</v>
      </c>
      <c r="P70" s="686">
        <f t="shared" si="1"/>
        <v>40</v>
      </c>
      <c r="Q70" s="686">
        <f t="shared" si="2"/>
        <v>4</v>
      </c>
      <c r="R70" s="687">
        <f t="shared" si="3"/>
        <v>2</v>
      </c>
      <c r="V70" s="667">
        <v>3750</v>
      </c>
      <c r="W70" s="686">
        <f t="shared" si="4"/>
        <v>0</v>
      </c>
      <c r="X70" s="686">
        <f t="shared" si="5"/>
        <v>100</v>
      </c>
      <c r="Y70" s="686">
        <f t="shared" si="6"/>
        <v>4</v>
      </c>
      <c r="Z70" s="687">
        <f t="shared" si="7"/>
        <v>3</v>
      </c>
    </row>
    <row r="71" spans="1:26">
      <c r="N71" s="667">
        <v>2731</v>
      </c>
      <c r="O71" s="686">
        <f t="shared" si="0"/>
        <v>666</v>
      </c>
      <c r="P71" s="686">
        <f t="shared" si="1"/>
        <v>40</v>
      </c>
      <c r="Q71" s="686">
        <f t="shared" si="2"/>
        <v>4</v>
      </c>
      <c r="R71" s="687">
        <f t="shared" si="3"/>
        <v>2</v>
      </c>
      <c r="V71" s="667">
        <v>3800</v>
      </c>
      <c r="W71" s="686">
        <f t="shared" si="4"/>
        <v>0</v>
      </c>
      <c r="X71" s="686">
        <f t="shared" si="5"/>
        <v>150</v>
      </c>
      <c r="Y71" s="686">
        <f t="shared" si="6"/>
        <v>4</v>
      </c>
      <c r="Z71" s="687">
        <f t="shared" si="7"/>
        <v>3</v>
      </c>
    </row>
    <row r="72" spans="1:26">
      <c r="N72" s="667">
        <v>2764</v>
      </c>
      <c r="O72" s="686">
        <f t="shared" si="0"/>
        <v>699</v>
      </c>
      <c r="P72" s="686">
        <f t="shared" si="1"/>
        <v>40</v>
      </c>
      <c r="Q72" s="686">
        <f t="shared" si="2"/>
        <v>4</v>
      </c>
      <c r="R72" s="687">
        <f t="shared" si="3"/>
        <v>2</v>
      </c>
      <c r="V72" s="667">
        <v>3850</v>
      </c>
      <c r="W72" s="686">
        <f t="shared" si="4"/>
        <v>0</v>
      </c>
      <c r="X72" s="686">
        <f t="shared" si="5"/>
        <v>200</v>
      </c>
      <c r="Y72" s="686">
        <f t="shared" si="6"/>
        <v>4</v>
      </c>
      <c r="Z72" s="687">
        <f t="shared" si="7"/>
        <v>3</v>
      </c>
    </row>
    <row r="73" spans="1:26">
      <c r="N73" s="667">
        <v>2797</v>
      </c>
      <c r="O73" s="686">
        <f t="shared" si="0"/>
        <v>732</v>
      </c>
      <c r="P73" s="686">
        <f t="shared" si="1"/>
        <v>40</v>
      </c>
      <c r="Q73" s="686">
        <f t="shared" si="2"/>
        <v>4</v>
      </c>
      <c r="R73" s="687">
        <f t="shared" si="3"/>
        <v>2</v>
      </c>
      <c r="V73" s="667">
        <v>3900</v>
      </c>
      <c r="W73" s="686">
        <f t="shared" si="4"/>
        <v>0</v>
      </c>
      <c r="X73" s="686">
        <f t="shared" si="5"/>
        <v>250</v>
      </c>
      <c r="Y73" s="686">
        <f t="shared" si="6"/>
        <v>4</v>
      </c>
      <c r="Z73" s="687">
        <f t="shared" si="7"/>
        <v>3</v>
      </c>
    </row>
    <row r="74" spans="1:26">
      <c r="N74" s="667">
        <v>2831</v>
      </c>
      <c r="O74" s="686">
        <f t="shared" si="0"/>
        <v>766</v>
      </c>
      <c r="P74" s="686">
        <f t="shared" si="1"/>
        <v>40</v>
      </c>
      <c r="Q74" s="686">
        <f t="shared" si="2"/>
        <v>4</v>
      </c>
      <c r="R74" s="687">
        <f t="shared" si="3"/>
        <v>2</v>
      </c>
      <c r="V74" s="667">
        <v>3950</v>
      </c>
      <c r="W74" s="686">
        <f t="shared" si="4"/>
        <v>0</v>
      </c>
      <c r="X74" s="686">
        <f t="shared" si="5"/>
        <v>300</v>
      </c>
      <c r="Y74" s="686">
        <f t="shared" si="6"/>
        <v>4</v>
      </c>
      <c r="Z74" s="687">
        <f t="shared" si="7"/>
        <v>3</v>
      </c>
    </row>
    <row r="75" spans="1:26">
      <c r="N75" s="667">
        <v>2864</v>
      </c>
      <c r="O75" s="686">
        <f t="shared" si="0"/>
        <v>799</v>
      </c>
      <c r="P75" s="686">
        <f t="shared" si="1"/>
        <v>40</v>
      </c>
      <c r="Q75" s="686">
        <f t="shared" si="2"/>
        <v>4</v>
      </c>
      <c r="R75" s="687">
        <f t="shared" si="3"/>
        <v>2</v>
      </c>
      <c r="V75" s="667">
        <v>4000</v>
      </c>
      <c r="W75" s="686">
        <f t="shared" si="4"/>
        <v>0</v>
      </c>
      <c r="X75" s="686">
        <f t="shared" si="5"/>
        <v>350</v>
      </c>
      <c r="Y75" s="686">
        <f t="shared" si="6"/>
        <v>4</v>
      </c>
      <c r="Z75" s="687">
        <f t="shared" si="7"/>
        <v>3</v>
      </c>
    </row>
    <row r="76" spans="1:26">
      <c r="N76" s="667">
        <v>2897</v>
      </c>
      <c r="O76" s="686">
        <f t="shared" si="0"/>
        <v>832</v>
      </c>
      <c r="P76" s="686">
        <f t="shared" si="1"/>
        <v>40</v>
      </c>
      <c r="Q76" s="686">
        <f t="shared" si="2"/>
        <v>4</v>
      </c>
      <c r="R76" s="687">
        <f t="shared" si="3"/>
        <v>2</v>
      </c>
      <c r="V76" s="667">
        <v>4050</v>
      </c>
      <c r="W76" s="686">
        <f t="shared" si="4"/>
        <v>0</v>
      </c>
      <c r="X76" s="686">
        <f t="shared" si="5"/>
        <v>400</v>
      </c>
      <c r="Y76" s="686">
        <f t="shared" si="6"/>
        <v>4</v>
      </c>
      <c r="Z76" s="687">
        <f t="shared" si="7"/>
        <v>3</v>
      </c>
    </row>
    <row r="77" spans="1:26">
      <c r="N77" s="667">
        <v>2931</v>
      </c>
      <c r="O77" s="686">
        <f t="shared" si="0"/>
        <v>866</v>
      </c>
      <c r="P77" s="686">
        <f t="shared" si="1"/>
        <v>40</v>
      </c>
      <c r="Q77" s="686">
        <f t="shared" si="2"/>
        <v>4</v>
      </c>
      <c r="R77" s="687">
        <f t="shared" si="3"/>
        <v>2</v>
      </c>
      <c r="V77" s="667">
        <v>4100</v>
      </c>
      <c r="W77" s="686">
        <f t="shared" si="4"/>
        <v>0</v>
      </c>
      <c r="X77" s="686">
        <f t="shared" si="5"/>
        <v>450</v>
      </c>
      <c r="Y77" s="686">
        <f t="shared" si="6"/>
        <v>4</v>
      </c>
      <c r="Z77" s="687">
        <f t="shared" si="7"/>
        <v>3</v>
      </c>
    </row>
    <row r="78" spans="1:26">
      <c r="N78" s="667">
        <v>2964</v>
      </c>
      <c r="O78" s="686">
        <f t="shared" si="0"/>
        <v>899</v>
      </c>
      <c r="P78" s="686">
        <f t="shared" si="1"/>
        <v>40</v>
      </c>
      <c r="Q78" s="686">
        <f t="shared" si="2"/>
        <v>4</v>
      </c>
      <c r="R78" s="687">
        <f t="shared" si="3"/>
        <v>2</v>
      </c>
      <c r="V78" s="667">
        <v>4150</v>
      </c>
      <c r="W78" s="686">
        <f t="shared" si="4"/>
        <v>400</v>
      </c>
      <c r="X78" s="686">
        <f t="shared" si="5"/>
        <v>100</v>
      </c>
      <c r="Y78" s="686">
        <f t="shared" si="6"/>
        <v>5</v>
      </c>
      <c r="Z78" s="687">
        <f t="shared" si="7"/>
        <v>3</v>
      </c>
    </row>
    <row r="79" spans="1:26">
      <c r="N79" s="667">
        <v>2997</v>
      </c>
      <c r="O79" s="686">
        <f t="shared" si="0"/>
        <v>0</v>
      </c>
      <c r="P79" s="686">
        <f t="shared" si="1"/>
        <v>22</v>
      </c>
      <c r="Q79" s="686">
        <f t="shared" si="2"/>
        <v>4</v>
      </c>
      <c r="R79" s="687">
        <f t="shared" si="3"/>
        <v>3</v>
      </c>
      <c r="V79" s="667">
        <v>4200</v>
      </c>
      <c r="W79" s="686">
        <f t="shared" si="4"/>
        <v>450</v>
      </c>
      <c r="X79" s="686">
        <f t="shared" si="5"/>
        <v>100</v>
      </c>
      <c r="Y79" s="686">
        <f t="shared" si="6"/>
        <v>5</v>
      </c>
      <c r="Z79" s="687">
        <f t="shared" si="7"/>
        <v>3</v>
      </c>
    </row>
    <row r="80" spans="1:26">
      <c r="N80" s="667">
        <v>3030</v>
      </c>
      <c r="O80" s="686">
        <f t="shared" si="0"/>
        <v>0</v>
      </c>
      <c r="P80" s="686">
        <f t="shared" si="1"/>
        <v>55</v>
      </c>
      <c r="Q80" s="686">
        <f t="shared" si="2"/>
        <v>4</v>
      </c>
      <c r="R80" s="687">
        <f t="shared" si="3"/>
        <v>3</v>
      </c>
      <c r="V80" s="667">
        <v>4250</v>
      </c>
      <c r="W80" s="686">
        <f t="shared" si="4"/>
        <v>500</v>
      </c>
      <c r="X80" s="686">
        <f t="shared" si="5"/>
        <v>100</v>
      </c>
      <c r="Y80" s="686">
        <f t="shared" si="6"/>
        <v>5</v>
      </c>
      <c r="Z80" s="687">
        <f t="shared" si="7"/>
        <v>3</v>
      </c>
    </row>
    <row r="81" spans="14:26">
      <c r="N81" s="667">
        <v>3064</v>
      </c>
      <c r="O81" s="686">
        <f t="shared" si="0"/>
        <v>0</v>
      </c>
      <c r="P81" s="686">
        <f t="shared" si="1"/>
        <v>89</v>
      </c>
      <c r="Q81" s="686">
        <f t="shared" si="2"/>
        <v>4</v>
      </c>
      <c r="R81" s="687">
        <f t="shared" si="3"/>
        <v>3</v>
      </c>
      <c r="V81" s="667">
        <v>4300</v>
      </c>
      <c r="W81" s="686">
        <f t="shared" si="4"/>
        <v>550</v>
      </c>
      <c r="X81" s="686">
        <f t="shared" si="5"/>
        <v>100</v>
      </c>
      <c r="Y81" s="686">
        <f t="shared" si="6"/>
        <v>5</v>
      </c>
      <c r="Z81" s="687">
        <f t="shared" si="7"/>
        <v>3</v>
      </c>
    </row>
    <row r="82" spans="14:26">
      <c r="N82" s="667">
        <v>3097</v>
      </c>
      <c r="O82" s="686">
        <f t="shared" si="0"/>
        <v>0</v>
      </c>
      <c r="P82" s="686">
        <f t="shared" si="1"/>
        <v>122</v>
      </c>
      <c r="Q82" s="686">
        <f t="shared" si="2"/>
        <v>4</v>
      </c>
      <c r="R82" s="687">
        <f t="shared" si="3"/>
        <v>3</v>
      </c>
      <c r="V82" s="667">
        <v>4350</v>
      </c>
      <c r="W82" s="686">
        <f t="shared" si="4"/>
        <v>600</v>
      </c>
      <c r="X82" s="686">
        <f t="shared" si="5"/>
        <v>100</v>
      </c>
      <c r="Y82" s="686">
        <f t="shared" si="6"/>
        <v>5</v>
      </c>
      <c r="Z82" s="687">
        <f t="shared" si="7"/>
        <v>3</v>
      </c>
    </row>
    <row r="83" spans="14:26">
      <c r="N83" s="667">
        <v>3130</v>
      </c>
      <c r="O83" s="686">
        <f t="shared" si="0"/>
        <v>0</v>
      </c>
      <c r="P83" s="686">
        <f t="shared" si="1"/>
        <v>155</v>
      </c>
      <c r="Q83" s="686">
        <f t="shared" si="2"/>
        <v>4</v>
      </c>
      <c r="R83" s="687">
        <f t="shared" si="3"/>
        <v>3</v>
      </c>
      <c r="V83" s="667">
        <v>4400</v>
      </c>
      <c r="W83" s="686">
        <f t="shared" si="4"/>
        <v>650</v>
      </c>
      <c r="X83" s="686">
        <f t="shared" si="5"/>
        <v>100</v>
      </c>
      <c r="Y83" s="686">
        <f t="shared" si="6"/>
        <v>5</v>
      </c>
      <c r="Z83" s="687">
        <f t="shared" si="7"/>
        <v>3</v>
      </c>
    </row>
    <row r="84" spans="14:26">
      <c r="N84" s="667">
        <v>3164</v>
      </c>
      <c r="O84" s="686">
        <f t="shared" si="0"/>
        <v>0</v>
      </c>
      <c r="P84" s="686">
        <f t="shared" si="1"/>
        <v>189</v>
      </c>
      <c r="Q84" s="686">
        <f t="shared" si="2"/>
        <v>4</v>
      </c>
      <c r="R84" s="687">
        <f t="shared" si="3"/>
        <v>3</v>
      </c>
      <c r="V84" s="667">
        <v>4450</v>
      </c>
      <c r="W84" s="686">
        <f t="shared" si="4"/>
        <v>700</v>
      </c>
      <c r="X84" s="686">
        <f t="shared" si="5"/>
        <v>100</v>
      </c>
      <c r="Y84" s="686">
        <f t="shared" si="6"/>
        <v>5</v>
      </c>
      <c r="Z84" s="687">
        <f t="shared" si="7"/>
        <v>3</v>
      </c>
    </row>
    <row r="85" spans="14:26">
      <c r="N85" s="667">
        <v>3197</v>
      </c>
      <c r="O85" s="686">
        <f t="shared" si="0"/>
        <v>0</v>
      </c>
      <c r="P85" s="686">
        <f t="shared" si="1"/>
        <v>222</v>
      </c>
      <c r="Q85" s="686">
        <f t="shared" si="2"/>
        <v>4</v>
      </c>
      <c r="R85" s="687">
        <f t="shared" si="3"/>
        <v>3</v>
      </c>
      <c r="V85" s="667">
        <v>4500</v>
      </c>
      <c r="W85" s="686">
        <f t="shared" si="4"/>
        <v>750</v>
      </c>
      <c r="X85" s="686">
        <f t="shared" si="5"/>
        <v>100</v>
      </c>
      <c r="Y85" s="686">
        <f t="shared" si="6"/>
        <v>5</v>
      </c>
      <c r="Z85" s="687">
        <f t="shared" si="7"/>
        <v>3</v>
      </c>
    </row>
    <row r="86" spans="14:26">
      <c r="N86" s="667">
        <v>3230</v>
      </c>
      <c r="O86" s="686">
        <f t="shared" ref="O86:O149" si="8">IF(N86-$P$9-($Q$9*R86)&gt;$S$9,N86-$P$9-($Q$9*R86)-40,0)</f>
        <v>0</v>
      </c>
      <c r="P86" s="686">
        <f t="shared" ref="P86:P149" si="9">N86-$P$9-($Q$9*R86)-O86</f>
        <v>255</v>
      </c>
      <c r="Q86" s="686">
        <f t="shared" ref="Q86:Q149" si="10">ROUNDUP((N86/$Q$9),0)-IF(N86-$P$9-($Q$9*(ROUNDUP((N86/$Q$9),0)-1))&lt;0,1,0)+IF(O86&lt;&gt;0,1,0)</f>
        <v>4</v>
      </c>
      <c r="R86" s="687">
        <f t="shared" ref="R86:R149" si="11">ROUNDUP((N86/$Q$9),0)-IF(N86-$P$9-($Q$9*(ROUNDUP((N86/$Q$9),0)-1))&lt;0,2,1)</f>
        <v>3</v>
      </c>
      <c r="V86" s="667">
        <v>4550</v>
      </c>
      <c r="W86" s="686">
        <f t="shared" ref="W86:W149" si="12">IF(V86-$P$10-($Q$10*Z86)&gt;$S$10,V86-$P$10-($Q$10*Z86)-100,0)</f>
        <v>800</v>
      </c>
      <c r="X86" s="686">
        <f t="shared" ref="X86:X149" si="13">V86-$P$10-($Q$10*Z86)-W86</f>
        <v>100</v>
      </c>
      <c r="Y86" s="686">
        <f t="shared" ref="Y86:Y149" si="14">ROUNDUP((V86/$Q$10),0)-IF(V86-$P$10-($Q$10*(ROUNDUP((V86/$Q$10),0)-1))&lt;0,1,0)+IF(W86&lt;&gt;0,1,0)</f>
        <v>5</v>
      </c>
      <c r="Z86" s="687">
        <f t="shared" ref="Z86:Z149" si="15">ROUNDUP((V86/$Q$10),0)-IF(V86-$P$10-($Q$10*(ROUNDUP((V86/$Q$10),0)-1))&lt;0,2,1)</f>
        <v>3</v>
      </c>
    </row>
    <row r="87" spans="14:26">
      <c r="N87" s="667">
        <v>3264</v>
      </c>
      <c r="O87" s="686">
        <f t="shared" si="8"/>
        <v>0</v>
      </c>
      <c r="P87" s="686">
        <f t="shared" si="9"/>
        <v>289</v>
      </c>
      <c r="Q87" s="686">
        <f t="shared" si="10"/>
        <v>4</v>
      </c>
      <c r="R87" s="687">
        <f t="shared" si="11"/>
        <v>3</v>
      </c>
      <c r="V87" s="667">
        <v>4600</v>
      </c>
      <c r="W87" s="686">
        <f t="shared" si="12"/>
        <v>850</v>
      </c>
      <c r="X87" s="686">
        <f t="shared" si="13"/>
        <v>100</v>
      </c>
      <c r="Y87" s="686">
        <f t="shared" si="14"/>
        <v>5</v>
      </c>
      <c r="Z87" s="687">
        <f t="shared" si="15"/>
        <v>3</v>
      </c>
    </row>
    <row r="88" spans="14:26">
      <c r="N88" s="667">
        <v>3297</v>
      </c>
      <c r="O88" s="686">
        <f t="shared" si="8"/>
        <v>0</v>
      </c>
      <c r="P88" s="686">
        <f t="shared" si="9"/>
        <v>322</v>
      </c>
      <c r="Q88" s="686">
        <f t="shared" si="10"/>
        <v>4</v>
      </c>
      <c r="R88" s="687">
        <f t="shared" si="11"/>
        <v>3</v>
      </c>
      <c r="V88" s="667">
        <v>4650</v>
      </c>
      <c r="W88" s="686">
        <f t="shared" si="12"/>
        <v>900</v>
      </c>
      <c r="X88" s="686">
        <f t="shared" si="13"/>
        <v>100</v>
      </c>
      <c r="Y88" s="686">
        <f t="shared" si="14"/>
        <v>5</v>
      </c>
      <c r="Z88" s="687">
        <f t="shared" si="15"/>
        <v>3</v>
      </c>
    </row>
    <row r="89" spans="14:26">
      <c r="N89" s="667">
        <v>3330</v>
      </c>
      <c r="O89" s="686">
        <f t="shared" si="8"/>
        <v>315</v>
      </c>
      <c r="P89" s="686">
        <f t="shared" si="9"/>
        <v>40</v>
      </c>
      <c r="Q89" s="686">
        <f t="shared" si="10"/>
        <v>5</v>
      </c>
      <c r="R89" s="687">
        <f t="shared" si="11"/>
        <v>3</v>
      </c>
      <c r="V89" s="667">
        <v>4700</v>
      </c>
      <c r="W89" s="686">
        <f t="shared" si="12"/>
        <v>950</v>
      </c>
      <c r="X89" s="686">
        <f t="shared" si="13"/>
        <v>100</v>
      </c>
      <c r="Y89" s="686">
        <f t="shared" si="14"/>
        <v>5</v>
      </c>
      <c r="Z89" s="687">
        <f t="shared" si="15"/>
        <v>3</v>
      </c>
    </row>
    <row r="90" spans="14:26">
      <c r="N90" s="667">
        <v>3363</v>
      </c>
      <c r="O90" s="686">
        <f t="shared" si="8"/>
        <v>348</v>
      </c>
      <c r="P90" s="686">
        <f t="shared" si="9"/>
        <v>40</v>
      </c>
      <c r="Q90" s="686">
        <f t="shared" si="10"/>
        <v>5</v>
      </c>
      <c r="R90" s="687">
        <f t="shared" si="11"/>
        <v>3</v>
      </c>
      <c r="V90" s="667">
        <v>4750</v>
      </c>
      <c r="W90" s="686">
        <f t="shared" si="12"/>
        <v>1000</v>
      </c>
      <c r="X90" s="686">
        <f t="shared" si="13"/>
        <v>100</v>
      </c>
      <c r="Y90" s="686">
        <f t="shared" si="14"/>
        <v>5</v>
      </c>
      <c r="Z90" s="687">
        <f t="shared" si="15"/>
        <v>3</v>
      </c>
    </row>
    <row r="91" spans="14:26">
      <c r="N91" s="667">
        <v>3397</v>
      </c>
      <c r="O91" s="686">
        <f t="shared" si="8"/>
        <v>382</v>
      </c>
      <c r="P91" s="686">
        <f t="shared" si="9"/>
        <v>40</v>
      </c>
      <c r="Q91" s="686">
        <f t="shared" si="10"/>
        <v>5</v>
      </c>
      <c r="R91" s="687">
        <f t="shared" si="11"/>
        <v>3</v>
      </c>
      <c r="V91" s="667">
        <v>4800</v>
      </c>
      <c r="W91" s="686">
        <f t="shared" si="12"/>
        <v>1050</v>
      </c>
      <c r="X91" s="686">
        <f t="shared" si="13"/>
        <v>100</v>
      </c>
      <c r="Y91" s="686">
        <f t="shared" si="14"/>
        <v>5</v>
      </c>
      <c r="Z91" s="687">
        <f t="shared" si="15"/>
        <v>3</v>
      </c>
    </row>
    <row r="92" spans="14:26">
      <c r="N92" s="667">
        <v>3430</v>
      </c>
      <c r="O92" s="686">
        <f t="shared" si="8"/>
        <v>415</v>
      </c>
      <c r="P92" s="686">
        <f t="shared" si="9"/>
        <v>40</v>
      </c>
      <c r="Q92" s="686">
        <f t="shared" si="10"/>
        <v>5</v>
      </c>
      <c r="R92" s="687">
        <f t="shared" si="11"/>
        <v>3</v>
      </c>
      <c r="V92" s="667">
        <v>4850</v>
      </c>
      <c r="W92" s="686">
        <f t="shared" si="12"/>
        <v>0</v>
      </c>
      <c r="X92" s="686">
        <f t="shared" si="13"/>
        <v>40</v>
      </c>
      <c r="Y92" s="686">
        <f t="shared" si="14"/>
        <v>5</v>
      </c>
      <c r="Z92" s="687">
        <f t="shared" si="15"/>
        <v>4</v>
      </c>
    </row>
    <row r="93" spans="14:26">
      <c r="N93" s="667">
        <v>3463</v>
      </c>
      <c r="O93" s="686">
        <f t="shared" si="8"/>
        <v>448</v>
      </c>
      <c r="P93" s="686">
        <f t="shared" si="9"/>
        <v>40</v>
      </c>
      <c r="Q93" s="686">
        <f t="shared" si="10"/>
        <v>5</v>
      </c>
      <c r="R93" s="687">
        <f t="shared" si="11"/>
        <v>3</v>
      </c>
      <c r="V93" s="667">
        <v>4900</v>
      </c>
      <c r="W93" s="686">
        <f t="shared" si="12"/>
        <v>0</v>
      </c>
      <c r="X93" s="686">
        <f t="shared" si="13"/>
        <v>90</v>
      </c>
      <c r="Y93" s="686">
        <f t="shared" si="14"/>
        <v>5</v>
      </c>
      <c r="Z93" s="687">
        <f t="shared" si="15"/>
        <v>4</v>
      </c>
    </row>
    <row r="94" spans="14:26">
      <c r="N94" s="667">
        <v>3497</v>
      </c>
      <c r="O94" s="686">
        <f t="shared" si="8"/>
        <v>482</v>
      </c>
      <c r="P94" s="686">
        <f t="shared" si="9"/>
        <v>40</v>
      </c>
      <c r="Q94" s="686">
        <f t="shared" si="10"/>
        <v>5</v>
      </c>
      <c r="R94" s="687">
        <f t="shared" si="11"/>
        <v>3</v>
      </c>
      <c r="V94" s="667">
        <v>4950</v>
      </c>
      <c r="W94" s="686">
        <f t="shared" si="12"/>
        <v>0</v>
      </c>
      <c r="X94" s="686">
        <f t="shared" si="13"/>
        <v>140</v>
      </c>
      <c r="Y94" s="686">
        <f t="shared" si="14"/>
        <v>5</v>
      </c>
      <c r="Z94" s="687">
        <f t="shared" si="15"/>
        <v>4</v>
      </c>
    </row>
    <row r="95" spans="14:26">
      <c r="N95" s="667">
        <v>3530</v>
      </c>
      <c r="O95" s="686">
        <f t="shared" si="8"/>
        <v>515</v>
      </c>
      <c r="P95" s="686">
        <f t="shared" si="9"/>
        <v>40</v>
      </c>
      <c r="Q95" s="686">
        <f t="shared" si="10"/>
        <v>5</v>
      </c>
      <c r="R95" s="687">
        <f t="shared" si="11"/>
        <v>3</v>
      </c>
      <c r="V95" s="667">
        <v>5000</v>
      </c>
      <c r="W95" s="686">
        <f t="shared" si="12"/>
        <v>0</v>
      </c>
      <c r="X95" s="686">
        <f t="shared" si="13"/>
        <v>190</v>
      </c>
      <c r="Y95" s="686">
        <f t="shared" si="14"/>
        <v>5</v>
      </c>
      <c r="Z95" s="687">
        <f t="shared" si="15"/>
        <v>4</v>
      </c>
    </row>
    <row r="96" spans="14:26">
      <c r="N96" s="667">
        <v>3563</v>
      </c>
      <c r="O96" s="686">
        <f t="shared" si="8"/>
        <v>548</v>
      </c>
      <c r="P96" s="686">
        <f t="shared" si="9"/>
        <v>40</v>
      </c>
      <c r="Q96" s="686">
        <f t="shared" si="10"/>
        <v>5</v>
      </c>
      <c r="R96" s="687">
        <f t="shared" si="11"/>
        <v>3</v>
      </c>
      <c r="V96" s="667">
        <v>5050</v>
      </c>
      <c r="W96" s="686">
        <f t="shared" si="12"/>
        <v>0</v>
      </c>
      <c r="X96" s="686">
        <f t="shared" si="13"/>
        <v>240</v>
      </c>
      <c r="Y96" s="686">
        <f t="shared" si="14"/>
        <v>5</v>
      </c>
      <c r="Z96" s="687">
        <f t="shared" si="15"/>
        <v>4</v>
      </c>
    </row>
    <row r="97" spans="14:26">
      <c r="N97" s="667">
        <v>3597</v>
      </c>
      <c r="O97" s="686">
        <f t="shared" si="8"/>
        <v>582</v>
      </c>
      <c r="P97" s="686">
        <f t="shared" si="9"/>
        <v>40</v>
      </c>
      <c r="Q97" s="686">
        <f t="shared" si="10"/>
        <v>5</v>
      </c>
      <c r="R97" s="687">
        <f t="shared" si="11"/>
        <v>3</v>
      </c>
      <c r="V97" s="667">
        <v>5100</v>
      </c>
      <c r="W97" s="686">
        <f t="shared" si="12"/>
        <v>0</v>
      </c>
      <c r="X97" s="686">
        <f t="shared" si="13"/>
        <v>290</v>
      </c>
      <c r="Y97" s="686">
        <f t="shared" si="14"/>
        <v>5</v>
      </c>
      <c r="Z97" s="687">
        <f t="shared" si="15"/>
        <v>4</v>
      </c>
    </row>
    <row r="98" spans="14:26">
      <c r="N98" s="667">
        <v>3630</v>
      </c>
      <c r="O98" s="686">
        <f t="shared" si="8"/>
        <v>615</v>
      </c>
      <c r="P98" s="686">
        <f t="shared" si="9"/>
        <v>40</v>
      </c>
      <c r="Q98" s="686">
        <f t="shared" si="10"/>
        <v>5</v>
      </c>
      <c r="R98" s="687">
        <f t="shared" si="11"/>
        <v>3</v>
      </c>
      <c r="V98" s="667">
        <v>5150</v>
      </c>
      <c r="W98" s="686">
        <f t="shared" si="12"/>
        <v>0</v>
      </c>
      <c r="X98" s="686">
        <f t="shared" si="13"/>
        <v>340</v>
      </c>
      <c r="Y98" s="686">
        <f t="shared" si="14"/>
        <v>5</v>
      </c>
      <c r="Z98" s="687">
        <f t="shared" si="15"/>
        <v>4</v>
      </c>
    </row>
    <row r="99" spans="14:26">
      <c r="N99" s="667">
        <v>3663</v>
      </c>
      <c r="O99" s="686">
        <f t="shared" si="8"/>
        <v>648</v>
      </c>
      <c r="P99" s="686">
        <f t="shared" si="9"/>
        <v>40</v>
      </c>
      <c r="Q99" s="686">
        <f t="shared" si="10"/>
        <v>5</v>
      </c>
      <c r="R99" s="687">
        <f t="shared" si="11"/>
        <v>3</v>
      </c>
      <c r="V99" s="667">
        <v>5200</v>
      </c>
      <c r="W99" s="686">
        <f t="shared" si="12"/>
        <v>0</v>
      </c>
      <c r="X99" s="686">
        <f t="shared" si="13"/>
        <v>390</v>
      </c>
      <c r="Y99" s="686">
        <f t="shared" si="14"/>
        <v>5</v>
      </c>
      <c r="Z99" s="687">
        <f t="shared" si="15"/>
        <v>4</v>
      </c>
    </row>
    <row r="100" spans="14:26">
      <c r="N100" s="667">
        <v>3696</v>
      </c>
      <c r="O100" s="686">
        <f t="shared" si="8"/>
        <v>681</v>
      </c>
      <c r="P100" s="686">
        <f t="shared" si="9"/>
        <v>40</v>
      </c>
      <c r="Q100" s="686">
        <f t="shared" si="10"/>
        <v>5</v>
      </c>
      <c r="R100" s="687">
        <f t="shared" si="11"/>
        <v>3</v>
      </c>
      <c r="V100" s="667">
        <v>5250</v>
      </c>
      <c r="W100" s="686">
        <f t="shared" si="12"/>
        <v>0</v>
      </c>
      <c r="X100" s="686">
        <f t="shared" si="13"/>
        <v>440</v>
      </c>
      <c r="Y100" s="686">
        <f t="shared" si="14"/>
        <v>5</v>
      </c>
      <c r="Z100" s="687">
        <f t="shared" si="15"/>
        <v>4</v>
      </c>
    </row>
    <row r="101" spans="14:26">
      <c r="N101" s="667">
        <v>3730</v>
      </c>
      <c r="O101" s="686">
        <f t="shared" si="8"/>
        <v>715</v>
      </c>
      <c r="P101" s="686">
        <f t="shared" si="9"/>
        <v>40</v>
      </c>
      <c r="Q101" s="686">
        <f t="shared" si="10"/>
        <v>5</v>
      </c>
      <c r="R101" s="687">
        <f t="shared" si="11"/>
        <v>3</v>
      </c>
      <c r="V101" s="667">
        <v>5300</v>
      </c>
      <c r="W101" s="686">
        <f t="shared" si="12"/>
        <v>390</v>
      </c>
      <c r="X101" s="686">
        <f t="shared" si="13"/>
        <v>100</v>
      </c>
      <c r="Y101" s="686">
        <f t="shared" si="14"/>
        <v>6</v>
      </c>
      <c r="Z101" s="687">
        <f t="shared" si="15"/>
        <v>4</v>
      </c>
    </row>
    <row r="102" spans="14:26">
      <c r="N102" s="667">
        <v>3763</v>
      </c>
      <c r="O102" s="686">
        <f t="shared" si="8"/>
        <v>748</v>
      </c>
      <c r="P102" s="686">
        <f t="shared" si="9"/>
        <v>40</v>
      </c>
      <c r="Q102" s="686">
        <f t="shared" si="10"/>
        <v>5</v>
      </c>
      <c r="R102" s="687">
        <f t="shared" si="11"/>
        <v>3</v>
      </c>
      <c r="V102" s="667">
        <v>5350</v>
      </c>
      <c r="W102" s="686">
        <f t="shared" si="12"/>
        <v>440</v>
      </c>
      <c r="X102" s="686">
        <f t="shared" si="13"/>
        <v>100</v>
      </c>
      <c r="Y102" s="686">
        <f t="shared" si="14"/>
        <v>6</v>
      </c>
      <c r="Z102" s="687">
        <f t="shared" si="15"/>
        <v>4</v>
      </c>
    </row>
    <row r="103" spans="14:26">
      <c r="N103" s="667">
        <v>3796</v>
      </c>
      <c r="O103" s="686">
        <f t="shared" si="8"/>
        <v>781</v>
      </c>
      <c r="P103" s="686">
        <f t="shared" si="9"/>
        <v>40</v>
      </c>
      <c r="Q103" s="686">
        <f t="shared" si="10"/>
        <v>5</v>
      </c>
      <c r="R103" s="687">
        <f t="shared" si="11"/>
        <v>3</v>
      </c>
      <c r="V103" s="667">
        <v>5400</v>
      </c>
      <c r="W103" s="686">
        <f t="shared" si="12"/>
        <v>490</v>
      </c>
      <c r="X103" s="686">
        <f t="shared" si="13"/>
        <v>100</v>
      </c>
      <c r="Y103" s="686">
        <f t="shared" si="14"/>
        <v>6</v>
      </c>
      <c r="Z103" s="687">
        <f t="shared" si="15"/>
        <v>4</v>
      </c>
    </row>
    <row r="104" spans="14:26">
      <c r="N104" s="667">
        <v>3830</v>
      </c>
      <c r="O104" s="686">
        <f t="shared" si="8"/>
        <v>815</v>
      </c>
      <c r="P104" s="686">
        <f t="shared" si="9"/>
        <v>40</v>
      </c>
      <c r="Q104" s="686">
        <f t="shared" si="10"/>
        <v>5</v>
      </c>
      <c r="R104" s="687">
        <f t="shared" si="11"/>
        <v>3</v>
      </c>
      <c r="V104" s="667">
        <v>5450</v>
      </c>
      <c r="W104" s="686">
        <f t="shared" si="12"/>
        <v>540</v>
      </c>
      <c r="X104" s="686">
        <f t="shared" si="13"/>
        <v>100</v>
      </c>
      <c r="Y104" s="686">
        <f t="shared" si="14"/>
        <v>6</v>
      </c>
      <c r="Z104" s="687">
        <f t="shared" si="15"/>
        <v>4</v>
      </c>
    </row>
    <row r="105" spans="14:26">
      <c r="N105" s="667">
        <v>3863</v>
      </c>
      <c r="O105" s="686">
        <f t="shared" si="8"/>
        <v>848</v>
      </c>
      <c r="P105" s="686">
        <f t="shared" si="9"/>
        <v>40</v>
      </c>
      <c r="Q105" s="686">
        <f t="shared" si="10"/>
        <v>5</v>
      </c>
      <c r="R105" s="687">
        <f t="shared" si="11"/>
        <v>3</v>
      </c>
      <c r="V105" s="667">
        <v>5500</v>
      </c>
      <c r="W105" s="686">
        <f t="shared" si="12"/>
        <v>590</v>
      </c>
      <c r="X105" s="686">
        <f t="shared" si="13"/>
        <v>100</v>
      </c>
      <c r="Y105" s="686">
        <f t="shared" si="14"/>
        <v>6</v>
      </c>
      <c r="Z105" s="687">
        <f t="shared" si="15"/>
        <v>4</v>
      </c>
    </row>
    <row r="106" spans="14:26">
      <c r="N106" s="667">
        <v>3896</v>
      </c>
      <c r="O106" s="686">
        <f t="shared" si="8"/>
        <v>881</v>
      </c>
      <c r="P106" s="686">
        <f t="shared" si="9"/>
        <v>40</v>
      </c>
      <c r="Q106" s="686">
        <f t="shared" si="10"/>
        <v>5</v>
      </c>
      <c r="R106" s="687">
        <f t="shared" si="11"/>
        <v>3</v>
      </c>
      <c r="V106" s="667">
        <v>5550</v>
      </c>
      <c r="W106" s="686">
        <f t="shared" si="12"/>
        <v>640</v>
      </c>
      <c r="X106" s="686">
        <f t="shared" si="13"/>
        <v>100</v>
      </c>
      <c r="Y106" s="686">
        <f t="shared" si="14"/>
        <v>6</v>
      </c>
      <c r="Z106" s="687">
        <f t="shared" si="15"/>
        <v>4</v>
      </c>
    </row>
    <row r="107" spans="14:26">
      <c r="N107" s="667">
        <v>3930</v>
      </c>
      <c r="O107" s="686">
        <f t="shared" si="8"/>
        <v>0</v>
      </c>
      <c r="P107" s="686">
        <f t="shared" si="9"/>
        <v>5</v>
      </c>
      <c r="Q107" s="686">
        <f t="shared" si="10"/>
        <v>5</v>
      </c>
      <c r="R107" s="687">
        <f t="shared" si="11"/>
        <v>4</v>
      </c>
      <c r="V107" s="667">
        <v>5600</v>
      </c>
      <c r="W107" s="686">
        <f t="shared" si="12"/>
        <v>690</v>
      </c>
      <c r="X107" s="686">
        <f t="shared" si="13"/>
        <v>100</v>
      </c>
      <c r="Y107" s="686">
        <f t="shared" si="14"/>
        <v>6</v>
      </c>
      <c r="Z107" s="687">
        <f t="shared" si="15"/>
        <v>4</v>
      </c>
    </row>
    <row r="108" spans="14:26">
      <c r="N108" s="667">
        <v>3963</v>
      </c>
      <c r="O108" s="686">
        <f t="shared" si="8"/>
        <v>0</v>
      </c>
      <c r="P108" s="686">
        <f t="shared" si="9"/>
        <v>38</v>
      </c>
      <c r="Q108" s="686">
        <f t="shared" si="10"/>
        <v>5</v>
      </c>
      <c r="R108" s="687">
        <f t="shared" si="11"/>
        <v>4</v>
      </c>
      <c r="V108" s="667">
        <v>5650</v>
      </c>
      <c r="W108" s="686">
        <f t="shared" si="12"/>
        <v>740</v>
      </c>
      <c r="X108" s="686">
        <f t="shared" si="13"/>
        <v>100</v>
      </c>
      <c r="Y108" s="686">
        <f t="shared" si="14"/>
        <v>6</v>
      </c>
      <c r="Z108" s="687">
        <f t="shared" si="15"/>
        <v>4</v>
      </c>
    </row>
    <row r="109" spans="14:26">
      <c r="N109" s="667">
        <v>3996</v>
      </c>
      <c r="O109" s="686">
        <f t="shared" si="8"/>
        <v>0</v>
      </c>
      <c r="P109" s="686">
        <f t="shared" si="9"/>
        <v>71</v>
      </c>
      <c r="Q109" s="686">
        <f t="shared" si="10"/>
        <v>5</v>
      </c>
      <c r="R109" s="687">
        <f t="shared" si="11"/>
        <v>4</v>
      </c>
      <c r="V109" s="667">
        <v>5700</v>
      </c>
      <c r="W109" s="686">
        <f t="shared" si="12"/>
        <v>790</v>
      </c>
      <c r="X109" s="686">
        <f t="shared" si="13"/>
        <v>100</v>
      </c>
      <c r="Y109" s="686">
        <f t="shared" si="14"/>
        <v>6</v>
      </c>
      <c r="Z109" s="687">
        <f t="shared" si="15"/>
        <v>4</v>
      </c>
    </row>
    <row r="110" spans="14:26">
      <c r="N110" s="667">
        <v>4029</v>
      </c>
      <c r="O110" s="686">
        <f t="shared" si="8"/>
        <v>0</v>
      </c>
      <c r="P110" s="686">
        <f t="shared" si="9"/>
        <v>104</v>
      </c>
      <c r="Q110" s="686">
        <f t="shared" si="10"/>
        <v>5</v>
      </c>
      <c r="R110" s="687">
        <f t="shared" si="11"/>
        <v>4</v>
      </c>
      <c r="V110" s="667">
        <v>5750</v>
      </c>
      <c r="W110" s="686">
        <f t="shared" si="12"/>
        <v>840</v>
      </c>
      <c r="X110" s="686">
        <f t="shared" si="13"/>
        <v>100</v>
      </c>
      <c r="Y110" s="686">
        <f t="shared" si="14"/>
        <v>6</v>
      </c>
      <c r="Z110" s="687">
        <f t="shared" si="15"/>
        <v>4</v>
      </c>
    </row>
    <row r="111" spans="14:26">
      <c r="N111" s="667">
        <v>4063</v>
      </c>
      <c r="O111" s="686">
        <f t="shared" si="8"/>
        <v>0</v>
      </c>
      <c r="P111" s="686">
        <f t="shared" si="9"/>
        <v>138</v>
      </c>
      <c r="Q111" s="686">
        <f t="shared" si="10"/>
        <v>5</v>
      </c>
      <c r="R111" s="687">
        <f t="shared" si="11"/>
        <v>4</v>
      </c>
      <c r="V111" s="667">
        <v>5800</v>
      </c>
      <c r="W111" s="686">
        <f t="shared" si="12"/>
        <v>890</v>
      </c>
      <c r="X111" s="686">
        <f t="shared" si="13"/>
        <v>100</v>
      </c>
      <c r="Y111" s="686">
        <f t="shared" si="14"/>
        <v>6</v>
      </c>
      <c r="Z111" s="687">
        <f t="shared" si="15"/>
        <v>4</v>
      </c>
    </row>
    <row r="112" spans="14:26">
      <c r="N112" s="667">
        <v>4096</v>
      </c>
      <c r="O112" s="686">
        <f t="shared" si="8"/>
        <v>0</v>
      </c>
      <c r="P112" s="686">
        <f t="shared" si="9"/>
        <v>171</v>
      </c>
      <c r="Q112" s="686">
        <f t="shared" si="10"/>
        <v>5</v>
      </c>
      <c r="R112" s="687">
        <f t="shared" si="11"/>
        <v>4</v>
      </c>
      <c r="V112" s="667">
        <v>5850</v>
      </c>
      <c r="W112" s="686">
        <f t="shared" si="12"/>
        <v>940</v>
      </c>
      <c r="X112" s="686">
        <f t="shared" si="13"/>
        <v>100</v>
      </c>
      <c r="Y112" s="686">
        <f t="shared" si="14"/>
        <v>6</v>
      </c>
      <c r="Z112" s="687">
        <f t="shared" si="15"/>
        <v>4</v>
      </c>
    </row>
    <row r="113" spans="14:26">
      <c r="N113" s="667">
        <v>4129</v>
      </c>
      <c r="O113" s="686">
        <f t="shared" si="8"/>
        <v>0</v>
      </c>
      <c r="P113" s="686">
        <f t="shared" si="9"/>
        <v>204</v>
      </c>
      <c r="Q113" s="686">
        <f t="shared" si="10"/>
        <v>5</v>
      </c>
      <c r="R113" s="687">
        <f t="shared" si="11"/>
        <v>4</v>
      </c>
      <c r="V113" s="667">
        <v>5900</v>
      </c>
      <c r="W113" s="686">
        <f t="shared" si="12"/>
        <v>990</v>
      </c>
      <c r="X113" s="686">
        <f t="shared" si="13"/>
        <v>100</v>
      </c>
      <c r="Y113" s="686">
        <f t="shared" si="14"/>
        <v>6</v>
      </c>
      <c r="Z113" s="687">
        <f t="shared" si="15"/>
        <v>4</v>
      </c>
    </row>
    <row r="114" spans="14:26">
      <c r="N114" s="667">
        <v>4163</v>
      </c>
      <c r="O114" s="686">
        <f t="shared" si="8"/>
        <v>0</v>
      </c>
      <c r="P114" s="686">
        <f t="shared" si="9"/>
        <v>238</v>
      </c>
      <c r="Q114" s="686">
        <f t="shared" si="10"/>
        <v>5</v>
      </c>
      <c r="R114" s="687">
        <f t="shared" si="11"/>
        <v>4</v>
      </c>
      <c r="V114" s="667">
        <v>5950</v>
      </c>
      <c r="W114" s="686">
        <f t="shared" si="12"/>
        <v>1040</v>
      </c>
      <c r="X114" s="686">
        <f t="shared" si="13"/>
        <v>100</v>
      </c>
      <c r="Y114" s="686">
        <f t="shared" si="14"/>
        <v>6</v>
      </c>
      <c r="Z114" s="687">
        <f t="shared" si="15"/>
        <v>4</v>
      </c>
    </row>
    <row r="115" spans="14:26">
      <c r="N115" s="667">
        <v>4196</v>
      </c>
      <c r="O115" s="686">
        <f t="shared" si="8"/>
        <v>0</v>
      </c>
      <c r="P115" s="686">
        <f t="shared" si="9"/>
        <v>271</v>
      </c>
      <c r="Q115" s="686">
        <f t="shared" si="10"/>
        <v>5</v>
      </c>
      <c r="R115" s="687">
        <f t="shared" si="11"/>
        <v>4</v>
      </c>
      <c r="V115" s="667">
        <v>6000</v>
      </c>
      <c r="W115" s="686">
        <f t="shared" si="12"/>
        <v>0</v>
      </c>
      <c r="X115" s="686">
        <f t="shared" si="13"/>
        <v>30</v>
      </c>
      <c r="Y115" s="686">
        <f t="shared" si="14"/>
        <v>6</v>
      </c>
      <c r="Z115" s="687">
        <f t="shared" si="15"/>
        <v>5</v>
      </c>
    </row>
    <row r="116" spans="14:26">
      <c r="N116" s="667">
        <v>4229</v>
      </c>
      <c r="O116" s="686">
        <f t="shared" si="8"/>
        <v>0</v>
      </c>
      <c r="P116" s="686">
        <f t="shared" si="9"/>
        <v>304</v>
      </c>
      <c r="Q116" s="686">
        <f t="shared" si="10"/>
        <v>5</v>
      </c>
      <c r="R116" s="687">
        <f t="shared" si="11"/>
        <v>4</v>
      </c>
      <c r="V116" s="667">
        <v>6050</v>
      </c>
      <c r="W116" s="686">
        <f t="shared" si="12"/>
        <v>0</v>
      </c>
      <c r="X116" s="686">
        <f t="shared" si="13"/>
        <v>80</v>
      </c>
      <c r="Y116" s="686">
        <f t="shared" si="14"/>
        <v>6</v>
      </c>
      <c r="Z116" s="687">
        <f t="shared" si="15"/>
        <v>5</v>
      </c>
    </row>
    <row r="117" spans="14:26">
      <c r="N117" s="667">
        <v>4263</v>
      </c>
      <c r="O117" s="686">
        <f t="shared" si="8"/>
        <v>298</v>
      </c>
      <c r="P117" s="686">
        <f t="shared" si="9"/>
        <v>40</v>
      </c>
      <c r="Q117" s="686">
        <f t="shared" si="10"/>
        <v>6</v>
      </c>
      <c r="R117" s="687">
        <f t="shared" si="11"/>
        <v>4</v>
      </c>
      <c r="V117" s="667">
        <v>6100</v>
      </c>
      <c r="W117" s="686">
        <f t="shared" si="12"/>
        <v>0</v>
      </c>
      <c r="X117" s="686">
        <f t="shared" si="13"/>
        <v>130</v>
      </c>
      <c r="Y117" s="686">
        <f t="shared" si="14"/>
        <v>6</v>
      </c>
      <c r="Z117" s="687">
        <f t="shared" si="15"/>
        <v>5</v>
      </c>
    </row>
    <row r="118" spans="14:26">
      <c r="N118" s="667">
        <v>4296</v>
      </c>
      <c r="O118" s="686">
        <f t="shared" si="8"/>
        <v>331</v>
      </c>
      <c r="P118" s="686">
        <f t="shared" si="9"/>
        <v>40</v>
      </c>
      <c r="Q118" s="686">
        <f t="shared" si="10"/>
        <v>6</v>
      </c>
      <c r="R118" s="687">
        <f t="shared" si="11"/>
        <v>4</v>
      </c>
      <c r="V118" s="667">
        <v>6150</v>
      </c>
      <c r="W118" s="686">
        <f t="shared" si="12"/>
        <v>0</v>
      </c>
      <c r="X118" s="686">
        <f t="shared" si="13"/>
        <v>180</v>
      </c>
      <c r="Y118" s="686">
        <f t="shared" si="14"/>
        <v>6</v>
      </c>
      <c r="Z118" s="687">
        <f t="shared" si="15"/>
        <v>5</v>
      </c>
    </row>
    <row r="119" spans="14:26">
      <c r="N119" s="667">
        <v>4329</v>
      </c>
      <c r="O119" s="686">
        <f t="shared" si="8"/>
        <v>364</v>
      </c>
      <c r="P119" s="686">
        <f t="shared" si="9"/>
        <v>40</v>
      </c>
      <c r="Q119" s="686">
        <f t="shared" si="10"/>
        <v>6</v>
      </c>
      <c r="R119" s="687">
        <f t="shared" si="11"/>
        <v>4</v>
      </c>
      <c r="V119" s="667">
        <v>6200</v>
      </c>
      <c r="W119" s="686">
        <f t="shared" si="12"/>
        <v>0</v>
      </c>
      <c r="X119" s="686">
        <f t="shared" si="13"/>
        <v>230</v>
      </c>
      <c r="Y119" s="686">
        <f t="shared" si="14"/>
        <v>6</v>
      </c>
      <c r="Z119" s="687">
        <f t="shared" si="15"/>
        <v>5</v>
      </c>
    </row>
    <row r="120" spans="14:26">
      <c r="N120" s="667">
        <v>4362</v>
      </c>
      <c r="O120" s="686">
        <f t="shared" si="8"/>
        <v>397</v>
      </c>
      <c r="P120" s="686">
        <f t="shared" si="9"/>
        <v>40</v>
      </c>
      <c r="Q120" s="686">
        <f t="shared" si="10"/>
        <v>6</v>
      </c>
      <c r="R120" s="687">
        <f t="shared" si="11"/>
        <v>4</v>
      </c>
      <c r="V120" s="667">
        <v>6250</v>
      </c>
      <c r="W120" s="686">
        <f t="shared" si="12"/>
        <v>0</v>
      </c>
      <c r="X120" s="686">
        <f t="shared" si="13"/>
        <v>280</v>
      </c>
      <c r="Y120" s="686">
        <f t="shared" si="14"/>
        <v>6</v>
      </c>
      <c r="Z120" s="687">
        <f t="shared" si="15"/>
        <v>5</v>
      </c>
    </row>
    <row r="121" spans="14:26">
      <c r="N121" s="667">
        <v>4396</v>
      </c>
      <c r="O121" s="686">
        <f t="shared" si="8"/>
        <v>431</v>
      </c>
      <c r="P121" s="686">
        <f t="shared" si="9"/>
        <v>40</v>
      </c>
      <c r="Q121" s="686">
        <f t="shared" si="10"/>
        <v>6</v>
      </c>
      <c r="R121" s="687">
        <f t="shared" si="11"/>
        <v>4</v>
      </c>
      <c r="V121" s="667">
        <v>6300</v>
      </c>
      <c r="W121" s="686">
        <f t="shared" si="12"/>
        <v>0</v>
      </c>
      <c r="X121" s="686">
        <f t="shared" si="13"/>
        <v>330</v>
      </c>
      <c r="Y121" s="686">
        <f t="shared" si="14"/>
        <v>6</v>
      </c>
      <c r="Z121" s="687">
        <f t="shared" si="15"/>
        <v>5</v>
      </c>
    </row>
    <row r="122" spans="14:26">
      <c r="N122" s="667">
        <v>4429</v>
      </c>
      <c r="O122" s="686">
        <f t="shared" si="8"/>
        <v>464</v>
      </c>
      <c r="P122" s="686">
        <f t="shared" si="9"/>
        <v>40</v>
      </c>
      <c r="Q122" s="686">
        <f t="shared" si="10"/>
        <v>6</v>
      </c>
      <c r="R122" s="687">
        <f t="shared" si="11"/>
        <v>4</v>
      </c>
      <c r="V122" s="667">
        <v>6350</v>
      </c>
      <c r="W122" s="686">
        <f t="shared" si="12"/>
        <v>0</v>
      </c>
      <c r="X122" s="686">
        <f t="shared" si="13"/>
        <v>380</v>
      </c>
      <c r="Y122" s="686">
        <f t="shared" si="14"/>
        <v>6</v>
      </c>
      <c r="Z122" s="687">
        <f t="shared" si="15"/>
        <v>5</v>
      </c>
    </row>
    <row r="123" spans="14:26">
      <c r="N123" s="667">
        <v>4462</v>
      </c>
      <c r="O123" s="686">
        <f t="shared" si="8"/>
        <v>497</v>
      </c>
      <c r="P123" s="686">
        <f t="shared" si="9"/>
        <v>40</v>
      </c>
      <c r="Q123" s="686">
        <f t="shared" si="10"/>
        <v>6</v>
      </c>
      <c r="R123" s="687">
        <f t="shared" si="11"/>
        <v>4</v>
      </c>
      <c r="V123" s="667">
        <v>6400</v>
      </c>
      <c r="W123" s="686">
        <f t="shared" si="12"/>
        <v>0</v>
      </c>
      <c r="X123" s="686">
        <f t="shared" si="13"/>
        <v>430</v>
      </c>
      <c r="Y123" s="686">
        <f t="shared" si="14"/>
        <v>6</v>
      </c>
      <c r="Z123" s="687">
        <f t="shared" si="15"/>
        <v>5</v>
      </c>
    </row>
    <row r="124" spans="14:26">
      <c r="N124" s="667">
        <v>4496</v>
      </c>
      <c r="O124" s="686">
        <f t="shared" si="8"/>
        <v>531</v>
      </c>
      <c r="P124" s="686">
        <f t="shared" si="9"/>
        <v>40</v>
      </c>
      <c r="Q124" s="686">
        <f t="shared" si="10"/>
        <v>6</v>
      </c>
      <c r="R124" s="687">
        <f t="shared" si="11"/>
        <v>4</v>
      </c>
      <c r="V124" s="667">
        <v>6450</v>
      </c>
      <c r="W124" s="686">
        <f t="shared" si="12"/>
        <v>0</v>
      </c>
      <c r="X124" s="686">
        <f t="shared" si="13"/>
        <v>480</v>
      </c>
      <c r="Y124" s="686">
        <f t="shared" si="14"/>
        <v>6</v>
      </c>
      <c r="Z124" s="687">
        <f t="shared" si="15"/>
        <v>5</v>
      </c>
    </row>
    <row r="125" spans="14:26">
      <c r="N125" s="667">
        <v>4529</v>
      </c>
      <c r="O125" s="686">
        <f t="shared" si="8"/>
        <v>564</v>
      </c>
      <c r="P125" s="686">
        <f t="shared" si="9"/>
        <v>40</v>
      </c>
      <c r="Q125" s="686">
        <f t="shared" si="10"/>
        <v>6</v>
      </c>
      <c r="R125" s="687">
        <f t="shared" si="11"/>
        <v>4</v>
      </c>
      <c r="V125" s="667">
        <v>6500</v>
      </c>
      <c r="W125" s="686">
        <f t="shared" si="12"/>
        <v>430</v>
      </c>
      <c r="X125" s="686">
        <f t="shared" si="13"/>
        <v>100</v>
      </c>
      <c r="Y125" s="686">
        <f t="shared" si="14"/>
        <v>7</v>
      </c>
      <c r="Z125" s="687">
        <f t="shared" si="15"/>
        <v>5</v>
      </c>
    </row>
    <row r="126" spans="14:26">
      <c r="N126" s="667">
        <v>4562</v>
      </c>
      <c r="O126" s="686">
        <f t="shared" si="8"/>
        <v>597</v>
      </c>
      <c r="P126" s="686">
        <f t="shared" si="9"/>
        <v>40</v>
      </c>
      <c r="Q126" s="686">
        <f t="shared" si="10"/>
        <v>6</v>
      </c>
      <c r="R126" s="687">
        <f t="shared" si="11"/>
        <v>4</v>
      </c>
      <c r="V126" s="667">
        <v>6550</v>
      </c>
      <c r="W126" s="686">
        <f t="shared" si="12"/>
        <v>480</v>
      </c>
      <c r="X126" s="686">
        <f t="shared" si="13"/>
        <v>100</v>
      </c>
      <c r="Y126" s="686">
        <f t="shared" si="14"/>
        <v>7</v>
      </c>
      <c r="Z126" s="687">
        <f t="shared" si="15"/>
        <v>5</v>
      </c>
    </row>
    <row r="127" spans="14:26">
      <c r="N127" s="667">
        <v>4596</v>
      </c>
      <c r="O127" s="686">
        <f t="shared" si="8"/>
        <v>631</v>
      </c>
      <c r="P127" s="686">
        <f t="shared" si="9"/>
        <v>40</v>
      </c>
      <c r="Q127" s="686">
        <f t="shared" si="10"/>
        <v>6</v>
      </c>
      <c r="R127" s="687">
        <f t="shared" si="11"/>
        <v>4</v>
      </c>
      <c r="V127" s="667">
        <v>6600</v>
      </c>
      <c r="W127" s="686">
        <f t="shared" si="12"/>
        <v>530</v>
      </c>
      <c r="X127" s="686">
        <f t="shared" si="13"/>
        <v>100</v>
      </c>
      <c r="Y127" s="686">
        <f t="shared" si="14"/>
        <v>7</v>
      </c>
      <c r="Z127" s="687">
        <f t="shared" si="15"/>
        <v>5</v>
      </c>
    </row>
    <row r="128" spans="14:26">
      <c r="N128" s="667">
        <v>4629</v>
      </c>
      <c r="O128" s="686">
        <f t="shared" si="8"/>
        <v>664</v>
      </c>
      <c r="P128" s="686">
        <f t="shared" si="9"/>
        <v>40</v>
      </c>
      <c r="Q128" s="686">
        <f t="shared" si="10"/>
        <v>6</v>
      </c>
      <c r="R128" s="687">
        <f t="shared" si="11"/>
        <v>4</v>
      </c>
      <c r="V128" s="667">
        <v>6650</v>
      </c>
      <c r="W128" s="686">
        <f t="shared" si="12"/>
        <v>580</v>
      </c>
      <c r="X128" s="686">
        <f t="shared" si="13"/>
        <v>100</v>
      </c>
      <c r="Y128" s="686">
        <f t="shared" si="14"/>
        <v>7</v>
      </c>
      <c r="Z128" s="687">
        <f t="shared" si="15"/>
        <v>5</v>
      </c>
    </row>
    <row r="129" spans="14:26">
      <c r="N129" s="667">
        <v>4662</v>
      </c>
      <c r="O129" s="686">
        <f t="shared" si="8"/>
        <v>697</v>
      </c>
      <c r="P129" s="686">
        <f t="shared" si="9"/>
        <v>40</v>
      </c>
      <c r="Q129" s="686">
        <f t="shared" si="10"/>
        <v>6</v>
      </c>
      <c r="R129" s="687">
        <f t="shared" si="11"/>
        <v>4</v>
      </c>
      <c r="V129" s="667">
        <v>6700</v>
      </c>
      <c r="W129" s="686">
        <f t="shared" si="12"/>
        <v>630</v>
      </c>
      <c r="X129" s="686">
        <f t="shared" si="13"/>
        <v>100</v>
      </c>
      <c r="Y129" s="686">
        <f t="shared" si="14"/>
        <v>7</v>
      </c>
      <c r="Z129" s="687">
        <f t="shared" si="15"/>
        <v>5</v>
      </c>
    </row>
    <row r="130" spans="14:26">
      <c r="N130" s="667">
        <v>4695</v>
      </c>
      <c r="O130" s="686">
        <f t="shared" si="8"/>
        <v>730</v>
      </c>
      <c r="P130" s="686">
        <f t="shared" si="9"/>
        <v>40</v>
      </c>
      <c r="Q130" s="686">
        <f t="shared" si="10"/>
        <v>6</v>
      </c>
      <c r="R130" s="687">
        <f t="shared" si="11"/>
        <v>4</v>
      </c>
      <c r="V130" s="667">
        <v>6750</v>
      </c>
      <c r="W130" s="686">
        <f t="shared" si="12"/>
        <v>680</v>
      </c>
      <c r="X130" s="686">
        <f t="shared" si="13"/>
        <v>100</v>
      </c>
      <c r="Y130" s="686">
        <f t="shared" si="14"/>
        <v>7</v>
      </c>
      <c r="Z130" s="687">
        <f t="shared" si="15"/>
        <v>5</v>
      </c>
    </row>
    <row r="131" spans="14:26">
      <c r="N131" s="667">
        <v>4729</v>
      </c>
      <c r="O131" s="686">
        <f t="shared" si="8"/>
        <v>764</v>
      </c>
      <c r="P131" s="686">
        <f t="shared" si="9"/>
        <v>40</v>
      </c>
      <c r="Q131" s="686">
        <f t="shared" si="10"/>
        <v>6</v>
      </c>
      <c r="R131" s="687">
        <f t="shared" si="11"/>
        <v>4</v>
      </c>
      <c r="V131" s="667">
        <v>6800</v>
      </c>
      <c r="W131" s="686">
        <f t="shared" si="12"/>
        <v>730</v>
      </c>
      <c r="X131" s="686">
        <f t="shared" si="13"/>
        <v>100</v>
      </c>
      <c r="Y131" s="686">
        <f t="shared" si="14"/>
        <v>7</v>
      </c>
      <c r="Z131" s="687">
        <f t="shared" si="15"/>
        <v>5</v>
      </c>
    </row>
    <row r="132" spans="14:26">
      <c r="N132" s="667">
        <v>4762</v>
      </c>
      <c r="O132" s="686">
        <f t="shared" si="8"/>
        <v>797</v>
      </c>
      <c r="P132" s="686">
        <f t="shared" si="9"/>
        <v>40</v>
      </c>
      <c r="Q132" s="686">
        <f t="shared" si="10"/>
        <v>6</v>
      </c>
      <c r="R132" s="687">
        <f t="shared" si="11"/>
        <v>4</v>
      </c>
      <c r="V132" s="667">
        <v>6850</v>
      </c>
      <c r="W132" s="686">
        <f t="shared" si="12"/>
        <v>780</v>
      </c>
      <c r="X132" s="686">
        <f t="shared" si="13"/>
        <v>100</v>
      </c>
      <c r="Y132" s="686">
        <f t="shared" si="14"/>
        <v>7</v>
      </c>
      <c r="Z132" s="687">
        <f t="shared" si="15"/>
        <v>5</v>
      </c>
    </row>
    <row r="133" spans="14:26">
      <c r="N133" s="667">
        <v>4795</v>
      </c>
      <c r="O133" s="686">
        <f t="shared" si="8"/>
        <v>830</v>
      </c>
      <c r="P133" s="686">
        <f t="shared" si="9"/>
        <v>40</v>
      </c>
      <c r="Q133" s="686">
        <f t="shared" si="10"/>
        <v>6</v>
      </c>
      <c r="R133" s="687">
        <f t="shared" si="11"/>
        <v>4</v>
      </c>
      <c r="V133" s="667">
        <v>6900</v>
      </c>
      <c r="W133" s="686">
        <f t="shared" si="12"/>
        <v>830</v>
      </c>
      <c r="X133" s="686">
        <f t="shared" si="13"/>
        <v>100</v>
      </c>
      <c r="Y133" s="686">
        <f t="shared" si="14"/>
        <v>7</v>
      </c>
      <c r="Z133" s="687">
        <f t="shared" si="15"/>
        <v>5</v>
      </c>
    </row>
    <row r="134" spans="14:26">
      <c r="N134" s="667">
        <v>4829</v>
      </c>
      <c r="O134" s="686">
        <f t="shared" si="8"/>
        <v>864</v>
      </c>
      <c r="P134" s="686">
        <f t="shared" si="9"/>
        <v>40</v>
      </c>
      <c r="Q134" s="686">
        <f t="shared" si="10"/>
        <v>6</v>
      </c>
      <c r="R134" s="687">
        <f t="shared" si="11"/>
        <v>4</v>
      </c>
      <c r="V134" s="667">
        <v>6950</v>
      </c>
      <c r="W134" s="686">
        <f t="shared" si="12"/>
        <v>880</v>
      </c>
      <c r="X134" s="686">
        <f t="shared" si="13"/>
        <v>100</v>
      </c>
      <c r="Y134" s="686">
        <f t="shared" si="14"/>
        <v>7</v>
      </c>
      <c r="Z134" s="687">
        <f t="shared" si="15"/>
        <v>5</v>
      </c>
    </row>
    <row r="135" spans="14:26">
      <c r="N135" s="667">
        <v>4862</v>
      </c>
      <c r="O135" s="686">
        <f t="shared" si="8"/>
        <v>897</v>
      </c>
      <c r="P135" s="686">
        <f t="shared" si="9"/>
        <v>40</v>
      </c>
      <c r="Q135" s="686">
        <f t="shared" si="10"/>
        <v>6</v>
      </c>
      <c r="R135" s="687">
        <f t="shared" si="11"/>
        <v>4</v>
      </c>
      <c r="V135" s="667">
        <v>7000</v>
      </c>
      <c r="W135" s="686">
        <f t="shared" si="12"/>
        <v>930</v>
      </c>
      <c r="X135" s="686">
        <f t="shared" si="13"/>
        <v>100</v>
      </c>
      <c r="Y135" s="686">
        <f t="shared" si="14"/>
        <v>7</v>
      </c>
      <c r="Z135" s="687">
        <f t="shared" si="15"/>
        <v>5</v>
      </c>
    </row>
    <row r="136" spans="14:26">
      <c r="N136" s="667">
        <v>4895</v>
      </c>
      <c r="O136" s="686">
        <f t="shared" si="8"/>
        <v>0</v>
      </c>
      <c r="P136" s="686">
        <f t="shared" si="9"/>
        <v>20</v>
      </c>
      <c r="Q136" s="686">
        <f t="shared" si="10"/>
        <v>6</v>
      </c>
      <c r="R136" s="687">
        <f t="shared" si="11"/>
        <v>5</v>
      </c>
      <c r="V136" s="667">
        <v>7050</v>
      </c>
      <c r="W136" s="686">
        <f t="shared" si="12"/>
        <v>980</v>
      </c>
      <c r="X136" s="686">
        <f t="shared" si="13"/>
        <v>100</v>
      </c>
      <c r="Y136" s="686">
        <f t="shared" si="14"/>
        <v>7</v>
      </c>
      <c r="Z136" s="687">
        <f t="shared" si="15"/>
        <v>5</v>
      </c>
    </row>
    <row r="137" spans="14:26">
      <c r="N137" s="667">
        <v>4928</v>
      </c>
      <c r="O137" s="686">
        <f t="shared" si="8"/>
        <v>0</v>
      </c>
      <c r="P137" s="686">
        <f t="shared" si="9"/>
        <v>53</v>
      </c>
      <c r="Q137" s="686">
        <f t="shared" si="10"/>
        <v>6</v>
      </c>
      <c r="R137" s="687">
        <f t="shared" si="11"/>
        <v>5</v>
      </c>
      <c r="V137" s="667">
        <v>7100</v>
      </c>
      <c r="W137" s="686">
        <f t="shared" si="12"/>
        <v>1030</v>
      </c>
      <c r="X137" s="686">
        <f t="shared" si="13"/>
        <v>100</v>
      </c>
      <c r="Y137" s="686">
        <f t="shared" si="14"/>
        <v>7</v>
      </c>
      <c r="Z137" s="687">
        <f t="shared" si="15"/>
        <v>5</v>
      </c>
    </row>
    <row r="138" spans="14:26">
      <c r="N138" s="667">
        <v>4962</v>
      </c>
      <c r="O138" s="686">
        <f t="shared" si="8"/>
        <v>0</v>
      </c>
      <c r="P138" s="686">
        <f t="shared" si="9"/>
        <v>87</v>
      </c>
      <c r="Q138" s="686">
        <f t="shared" si="10"/>
        <v>6</v>
      </c>
      <c r="R138" s="687">
        <f t="shared" si="11"/>
        <v>5</v>
      </c>
      <c r="V138" s="667">
        <v>7150</v>
      </c>
      <c r="W138" s="686">
        <f t="shared" si="12"/>
        <v>0</v>
      </c>
      <c r="X138" s="686">
        <f t="shared" si="13"/>
        <v>20</v>
      </c>
      <c r="Y138" s="686">
        <f t="shared" si="14"/>
        <v>7</v>
      </c>
      <c r="Z138" s="687">
        <f t="shared" si="15"/>
        <v>6</v>
      </c>
    </row>
    <row r="139" spans="14:26">
      <c r="N139" s="667">
        <v>4995</v>
      </c>
      <c r="O139" s="686">
        <f t="shared" si="8"/>
        <v>0</v>
      </c>
      <c r="P139" s="686">
        <f t="shared" si="9"/>
        <v>120</v>
      </c>
      <c r="Q139" s="686">
        <f t="shared" si="10"/>
        <v>6</v>
      </c>
      <c r="R139" s="687">
        <f t="shared" si="11"/>
        <v>5</v>
      </c>
      <c r="V139" s="667">
        <v>7200</v>
      </c>
      <c r="W139" s="686">
        <f t="shared" si="12"/>
        <v>0</v>
      </c>
      <c r="X139" s="686">
        <f t="shared" si="13"/>
        <v>70</v>
      </c>
      <c r="Y139" s="686">
        <f t="shared" si="14"/>
        <v>7</v>
      </c>
      <c r="Z139" s="687">
        <f t="shared" si="15"/>
        <v>6</v>
      </c>
    </row>
    <row r="140" spans="14:26">
      <c r="N140" s="667">
        <v>5028</v>
      </c>
      <c r="O140" s="686">
        <f t="shared" si="8"/>
        <v>0</v>
      </c>
      <c r="P140" s="686">
        <f t="shared" si="9"/>
        <v>153</v>
      </c>
      <c r="Q140" s="686">
        <f t="shared" si="10"/>
        <v>6</v>
      </c>
      <c r="R140" s="687">
        <f t="shared" si="11"/>
        <v>5</v>
      </c>
      <c r="V140" s="667">
        <v>7250</v>
      </c>
      <c r="W140" s="686">
        <f t="shared" si="12"/>
        <v>0</v>
      </c>
      <c r="X140" s="686">
        <f t="shared" si="13"/>
        <v>120</v>
      </c>
      <c r="Y140" s="686">
        <f t="shared" si="14"/>
        <v>7</v>
      </c>
      <c r="Z140" s="687">
        <f t="shared" si="15"/>
        <v>6</v>
      </c>
    </row>
    <row r="141" spans="14:26">
      <c r="N141" s="667">
        <v>5062</v>
      </c>
      <c r="O141" s="686">
        <f t="shared" si="8"/>
        <v>0</v>
      </c>
      <c r="P141" s="686">
        <f t="shared" si="9"/>
        <v>187</v>
      </c>
      <c r="Q141" s="686">
        <f t="shared" si="10"/>
        <v>6</v>
      </c>
      <c r="R141" s="687">
        <f t="shared" si="11"/>
        <v>5</v>
      </c>
      <c r="V141" s="667">
        <v>7300</v>
      </c>
      <c r="W141" s="686">
        <f t="shared" si="12"/>
        <v>0</v>
      </c>
      <c r="X141" s="686">
        <f t="shared" si="13"/>
        <v>170</v>
      </c>
      <c r="Y141" s="686">
        <f t="shared" si="14"/>
        <v>7</v>
      </c>
      <c r="Z141" s="687">
        <f t="shared" si="15"/>
        <v>6</v>
      </c>
    </row>
    <row r="142" spans="14:26">
      <c r="N142" s="667">
        <v>5095</v>
      </c>
      <c r="O142" s="686">
        <f t="shared" si="8"/>
        <v>0</v>
      </c>
      <c r="P142" s="686">
        <f t="shared" si="9"/>
        <v>220</v>
      </c>
      <c r="Q142" s="686">
        <f t="shared" si="10"/>
        <v>6</v>
      </c>
      <c r="R142" s="687">
        <f t="shared" si="11"/>
        <v>5</v>
      </c>
      <c r="V142" s="667">
        <v>7350</v>
      </c>
      <c r="W142" s="686">
        <f t="shared" si="12"/>
        <v>0</v>
      </c>
      <c r="X142" s="686">
        <f t="shared" si="13"/>
        <v>220</v>
      </c>
      <c r="Y142" s="686">
        <f t="shared" si="14"/>
        <v>7</v>
      </c>
      <c r="Z142" s="687">
        <f t="shared" si="15"/>
        <v>6</v>
      </c>
    </row>
    <row r="143" spans="14:26">
      <c r="N143" s="667">
        <v>5128</v>
      </c>
      <c r="O143" s="686">
        <f t="shared" si="8"/>
        <v>0</v>
      </c>
      <c r="P143" s="686">
        <f t="shared" si="9"/>
        <v>253</v>
      </c>
      <c r="Q143" s="686">
        <f t="shared" si="10"/>
        <v>6</v>
      </c>
      <c r="R143" s="687">
        <f t="shared" si="11"/>
        <v>5</v>
      </c>
      <c r="V143" s="667">
        <v>7400</v>
      </c>
      <c r="W143" s="686">
        <f t="shared" si="12"/>
        <v>0</v>
      </c>
      <c r="X143" s="686">
        <f t="shared" si="13"/>
        <v>270</v>
      </c>
      <c r="Y143" s="686">
        <f t="shared" si="14"/>
        <v>7</v>
      </c>
      <c r="Z143" s="687">
        <f t="shared" si="15"/>
        <v>6</v>
      </c>
    </row>
    <row r="144" spans="14:26">
      <c r="N144" s="667">
        <v>5161</v>
      </c>
      <c r="O144" s="686">
        <f t="shared" si="8"/>
        <v>0</v>
      </c>
      <c r="P144" s="686">
        <f t="shared" si="9"/>
        <v>286</v>
      </c>
      <c r="Q144" s="686">
        <f t="shared" si="10"/>
        <v>6</v>
      </c>
      <c r="R144" s="687">
        <f t="shared" si="11"/>
        <v>5</v>
      </c>
      <c r="V144" s="667">
        <v>7450</v>
      </c>
      <c r="W144" s="686">
        <f t="shared" si="12"/>
        <v>0</v>
      </c>
      <c r="X144" s="686">
        <f t="shared" si="13"/>
        <v>320</v>
      </c>
      <c r="Y144" s="686">
        <f t="shared" si="14"/>
        <v>7</v>
      </c>
      <c r="Z144" s="687">
        <f t="shared" si="15"/>
        <v>6</v>
      </c>
    </row>
    <row r="145" spans="14:26">
      <c r="N145" s="667">
        <v>5195</v>
      </c>
      <c r="O145" s="686">
        <f t="shared" si="8"/>
        <v>0</v>
      </c>
      <c r="P145" s="686">
        <f t="shared" si="9"/>
        <v>320</v>
      </c>
      <c r="Q145" s="686">
        <f t="shared" si="10"/>
        <v>6</v>
      </c>
      <c r="R145" s="687">
        <f t="shared" si="11"/>
        <v>5</v>
      </c>
      <c r="V145" s="667">
        <v>7500</v>
      </c>
      <c r="W145" s="686">
        <f t="shared" si="12"/>
        <v>0</v>
      </c>
      <c r="X145" s="686">
        <f t="shared" si="13"/>
        <v>370</v>
      </c>
      <c r="Y145" s="686">
        <f t="shared" si="14"/>
        <v>7</v>
      </c>
      <c r="Z145" s="687">
        <f t="shared" si="15"/>
        <v>6</v>
      </c>
    </row>
    <row r="146" spans="14:26">
      <c r="N146" s="667">
        <v>5228</v>
      </c>
      <c r="O146" s="686">
        <f t="shared" si="8"/>
        <v>313</v>
      </c>
      <c r="P146" s="686">
        <f t="shared" si="9"/>
        <v>40</v>
      </c>
      <c r="Q146" s="686">
        <f t="shared" si="10"/>
        <v>7</v>
      </c>
      <c r="R146" s="687">
        <f t="shared" si="11"/>
        <v>5</v>
      </c>
      <c r="V146" s="667">
        <v>7550</v>
      </c>
      <c r="W146" s="686">
        <f t="shared" si="12"/>
        <v>0</v>
      </c>
      <c r="X146" s="686">
        <f t="shared" si="13"/>
        <v>420</v>
      </c>
      <c r="Y146" s="686">
        <f t="shared" si="14"/>
        <v>7</v>
      </c>
      <c r="Z146" s="687">
        <f t="shared" si="15"/>
        <v>6</v>
      </c>
    </row>
    <row r="147" spans="14:26">
      <c r="N147" s="667">
        <v>5261</v>
      </c>
      <c r="O147" s="686">
        <f t="shared" si="8"/>
        <v>346</v>
      </c>
      <c r="P147" s="686">
        <f t="shared" si="9"/>
        <v>40</v>
      </c>
      <c r="Q147" s="686">
        <f t="shared" si="10"/>
        <v>7</v>
      </c>
      <c r="R147" s="687">
        <f t="shared" si="11"/>
        <v>5</v>
      </c>
      <c r="V147" s="667">
        <v>7600</v>
      </c>
      <c r="W147" s="686">
        <f t="shared" si="12"/>
        <v>0</v>
      </c>
      <c r="X147" s="686">
        <f t="shared" si="13"/>
        <v>470</v>
      </c>
      <c r="Y147" s="686">
        <f t="shared" si="14"/>
        <v>7</v>
      </c>
      <c r="Z147" s="687">
        <f t="shared" si="15"/>
        <v>6</v>
      </c>
    </row>
    <row r="148" spans="14:26">
      <c r="N148" s="667">
        <v>5295</v>
      </c>
      <c r="O148" s="686">
        <f t="shared" si="8"/>
        <v>380</v>
      </c>
      <c r="P148" s="686">
        <f t="shared" si="9"/>
        <v>40</v>
      </c>
      <c r="Q148" s="686">
        <f t="shared" si="10"/>
        <v>7</v>
      </c>
      <c r="R148" s="687">
        <f t="shared" si="11"/>
        <v>5</v>
      </c>
      <c r="V148" s="667">
        <v>7650</v>
      </c>
      <c r="W148" s="686">
        <f t="shared" si="12"/>
        <v>420</v>
      </c>
      <c r="X148" s="686">
        <f t="shared" si="13"/>
        <v>100</v>
      </c>
      <c r="Y148" s="686">
        <f t="shared" si="14"/>
        <v>8</v>
      </c>
      <c r="Z148" s="687">
        <f t="shared" si="15"/>
        <v>6</v>
      </c>
    </row>
    <row r="149" spans="14:26">
      <c r="N149" s="667">
        <v>5328</v>
      </c>
      <c r="O149" s="686">
        <f t="shared" si="8"/>
        <v>413</v>
      </c>
      <c r="P149" s="686">
        <f t="shared" si="9"/>
        <v>40</v>
      </c>
      <c r="Q149" s="686">
        <f t="shared" si="10"/>
        <v>7</v>
      </c>
      <c r="R149" s="687">
        <f t="shared" si="11"/>
        <v>5</v>
      </c>
      <c r="V149" s="667">
        <v>7700</v>
      </c>
      <c r="W149" s="686">
        <f t="shared" si="12"/>
        <v>470</v>
      </c>
      <c r="X149" s="686">
        <f t="shared" si="13"/>
        <v>100</v>
      </c>
      <c r="Y149" s="686">
        <f t="shared" si="14"/>
        <v>8</v>
      </c>
      <c r="Z149" s="687">
        <f t="shared" si="15"/>
        <v>6</v>
      </c>
    </row>
    <row r="150" spans="14:26">
      <c r="N150" s="667">
        <v>5361</v>
      </c>
      <c r="O150" s="686">
        <f t="shared" ref="O150:O200" si="16">IF(N150-$P$9-($Q$9*R150)&gt;$S$9,N150-$P$9-($Q$9*R150)-40,0)</f>
        <v>446</v>
      </c>
      <c r="P150" s="686">
        <f t="shared" ref="P150:P200" si="17">N150-$P$9-($Q$9*R150)-O150</f>
        <v>40</v>
      </c>
      <c r="Q150" s="686">
        <f t="shared" ref="Q150:Q200" si="18">ROUNDUP((N150/$Q$9),0)-IF(N150-$P$9-($Q$9*(ROUNDUP((N150/$Q$9),0)-1))&lt;0,1,0)+IF(O150&lt;&gt;0,1,0)</f>
        <v>7</v>
      </c>
      <c r="R150" s="687">
        <f t="shared" ref="R150:R200" si="19">ROUNDUP((N150/$Q$9),0)-IF(N150-$P$9-($Q$9*(ROUNDUP((N150/$Q$9),0)-1))&lt;0,2,1)</f>
        <v>5</v>
      </c>
      <c r="V150" s="667">
        <v>7750</v>
      </c>
      <c r="W150" s="686">
        <f t="shared" ref="W150:W195" si="20">IF(V150-$P$10-($Q$10*Z150)&gt;$S$10,V150-$P$10-($Q$10*Z150)-100,0)</f>
        <v>520</v>
      </c>
      <c r="X150" s="686">
        <f t="shared" ref="X150:X195" si="21">V150-$P$10-($Q$10*Z150)-W150</f>
        <v>100</v>
      </c>
      <c r="Y150" s="686">
        <f t="shared" ref="Y150:Y195" si="22">ROUNDUP((V150/$Q$10),0)-IF(V150-$P$10-($Q$10*(ROUNDUP((V150/$Q$10),0)-1))&lt;0,1,0)+IF(W150&lt;&gt;0,1,0)</f>
        <v>8</v>
      </c>
      <c r="Z150" s="687">
        <f t="shared" ref="Z150:Z195" si="23">ROUNDUP((V150/$Q$10),0)-IF(V150-$P$10-($Q$10*(ROUNDUP((V150/$Q$10),0)-1))&lt;0,2,1)</f>
        <v>6</v>
      </c>
    </row>
    <row r="151" spans="14:26">
      <c r="N151" s="667">
        <v>5395</v>
      </c>
      <c r="O151" s="686">
        <f t="shared" si="16"/>
        <v>480</v>
      </c>
      <c r="P151" s="686">
        <f t="shared" si="17"/>
        <v>40</v>
      </c>
      <c r="Q151" s="686">
        <f t="shared" si="18"/>
        <v>7</v>
      </c>
      <c r="R151" s="687">
        <f t="shared" si="19"/>
        <v>5</v>
      </c>
      <c r="V151" s="667">
        <v>7800</v>
      </c>
      <c r="W151" s="686">
        <f t="shared" si="20"/>
        <v>570</v>
      </c>
      <c r="X151" s="686">
        <f t="shared" si="21"/>
        <v>100</v>
      </c>
      <c r="Y151" s="686">
        <f t="shared" si="22"/>
        <v>8</v>
      </c>
      <c r="Z151" s="687">
        <f t="shared" si="23"/>
        <v>6</v>
      </c>
    </row>
    <row r="152" spans="14:26">
      <c r="N152" s="667">
        <v>5428</v>
      </c>
      <c r="O152" s="686">
        <f t="shared" si="16"/>
        <v>513</v>
      </c>
      <c r="P152" s="686">
        <f t="shared" si="17"/>
        <v>40</v>
      </c>
      <c r="Q152" s="686">
        <f t="shared" si="18"/>
        <v>7</v>
      </c>
      <c r="R152" s="687">
        <f t="shared" si="19"/>
        <v>5</v>
      </c>
      <c r="V152" s="667">
        <v>7850</v>
      </c>
      <c r="W152" s="686">
        <f t="shared" si="20"/>
        <v>620</v>
      </c>
      <c r="X152" s="686">
        <f t="shared" si="21"/>
        <v>100</v>
      </c>
      <c r="Y152" s="686">
        <f t="shared" si="22"/>
        <v>8</v>
      </c>
      <c r="Z152" s="687">
        <f t="shared" si="23"/>
        <v>6</v>
      </c>
    </row>
    <row r="153" spans="14:26">
      <c r="N153" s="667">
        <v>5461</v>
      </c>
      <c r="O153" s="686">
        <f t="shared" si="16"/>
        <v>546</v>
      </c>
      <c r="P153" s="686">
        <f t="shared" si="17"/>
        <v>40</v>
      </c>
      <c r="Q153" s="686">
        <f t="shared" si="18"/>
        <v>7</v>
      </c>
      <c r="R153" s="687">
        <f t="shared" si="19"/>
        <v>5</v>
      </c>
      <c r="V153" s="667">
        <v>7900</v>
      </c>
      <c r="W153" s="686">
        <f t="shared" si="20"/>
        <v>670</v>
      </c>
      <c r="X153" s="686">
        <f t="shared" si="21"/>
        <v>100</v>
      </c>
      <c r="Y153" s="686">
        <f t="shared" si="22"/>
        <v>8</v>
      </c>
      <c r="Z153" s="687">
        <f t="shared" si="23"/>
        <v>6</v>
      </c>
    </row>
    <row r="154" spans="14:26">
      <c r="N154" s="667">
        <v>5494</v>
      </c>
      <c r="O154" s="686">
        <f t="shared" si="16"/>
        <v>579</v>
      </c>
      <c r="P154" s="686">
        <f t="shared" si="17"/>
        <v>40</v>
      </c>
      <c r="Q154" s="686">
        <f t="shared" si="18"/>
        <v>7</v>
      </c>
      <c r="R154" s="687">
        <f t="shared" si="19"/>
        <v>5</v>
      </c>
      <c r="V154" s="667">
        <v>7950</v>
      </c>
      <c r="W154" s="686">
        <f t="shared" si="20"/>
        <v>720</v>
      </c>
      <c r="X154" s="686">
        <f t="shared" si="21"/>
        <v>100</v>
      </c>
      <c r="Y154" s="686">
        <f t="shared" si="22"/>
        <v>8</v>
      </c>
      <c r="Z154" s="687">
        <f t="shared" si="23"/>
        <v>6</v>
      </c>
    </row>
    <row r="155" spans="14:26">
      <c r="N155" s="667">
        <v>5528</v>
      </c>
      <c r="O155" s="686">
        <f t="shared" si="16"/>
        <v>613</v>
      </c>
      <c r="P155" s="686">
        <f t="shared" si="17"/>
        <v>40</v>
      </c>
      <c r="Q155" s="686">
        <f t="shared" si="18"/>
        <v>7</v>
      </c>
      <c r="R155" s="687">
        <f t="shared" si="19"/>
        <v>5</v>
      </c>
      <c r="V155" s="667">
        <v>8000</v>
      </c>
      <c r="W155" s="686">
        <f t="shared" si="20"/>
        <v>770</v>
      </c>
      <c r="X155" s="686">
        <f t="shared" si="21"/>
        <v>100</v>
      </c>
      <c r="Y155" s="686">
        <f t="shared" si="22"/>
        <v>8</v>
      </c>
      <c r="Z155" s="687">
        <f t="shared" si="23"/>
        <v>6</v>
      </c>
    </row>
    <row r="156" spans="14:26">
      <c r="N156" s="667">
        <v>5561</v>
      </c>
      <c r="O156" s="686">
        <f t="shared" si="16"/>
        <v>646</v>
      </c>
      <c r="P156" s="686">
        <f t="shared" si="17"/>
        <v>40</v>
      </c>
      <c r="Q156" s="686">
        <f t="shared" si="18"/>
        <v>7</v>
      </c>
      <c r="R156" s="687">
        <f t="shared" si="19"/>
        <v>5</v>
      </c>
      <c r="V156" s="667">
        <v>8050</v>
      </c>
      <c r="W156" s="686">
        <f t="shared" si="20"/>
        <v>820</v>
      </c>
      <c r="X156" s="686">
        <f t="shared" si="21"/>
        <v>100</v>
      </c>
      <c r="Y156" s="686">
        <f t="shared" si="22"/>
        <v>8</v>
      </c>
      <c r="Z156" s="687">
        <f t="shared" si="23"/>
        <v>6</v>
      </c>
    </row>
    <row r="157" spans="14:26">
      <c r="N157" s="667">
        <v>5594</v>
      </c>
      <c r="O157" s="686">
        <f t="shared" si="16"/>
        <v>679</v>
      </c>
      <c r="P157" s="686">
        <f t="shared" si="17"/>
        <v>40</v>
      </c>
      <c r="Q157" s="686">
        <f t="shared" si="18"/>
        <v>7</v>
      </c>
      <c r="R157" s="687">
        <f t="shared" si="19"/>
        <v>5</v>
      </c>
      <c r="V157" s="667">
        <v>8100</v>
      </c>
      <c r="W157" s="686">
        <f t="shared" si="20"/>
        <v>870</v>
      </c>
      <c r="X157" s="686">
        <f t="shared" si="21"/>
        <v>100</v>
      </c>
      <c r="Y157" s="686">
        <f t="shared" si="22"/>
        <v>8</v>
      </c>
      <c r="Z157" s="687">
        <f t="shared" si="23"/>
        <v>6</v>
      </c>
    </row>
    <row r="158" spans="14:26">
      <c r="N158" s="667">
        <v>5628</v>
      </c>
      <c r="O158" s="686">
        <f t="shared" si="16"/>
        <v>713</v>
      </c>
      <c r="P158" s="686">
        <f t="shared" si="17"/>
        <v>40</v>
      </c>
      <c r="Q158" s="686">
        <f t="shared" si="18"/>
        <v>7</v>
      </c>
      <c r="R158" s="687">
        <f t="shared" si="19"/>
        <v>5</v>
      </c>
      <c r="V158" s="667">
        <v>8150</v>
      </c>
      <c r="W158" s="686">
        <f t="shared" si="20"/>
        <v>920</v>
      </c>
      <c r="X158" s="686">
        <f t="shared" si="21"/>
        <v>100</v>
      </c>
      <c r="Y158" s="686">
        <f t="shared" si="22"/>
        <v>8</v>
      </c>
      <c r="Z158" s="687">
        <f t="shared" si="23"/>
        <v>6</v>
      </c>
    </row>
    <row r="159" spans="14:26">
      <c r="N159" s="667">
        <v>5661</v>
      </c>
      <c r="O159" s="686">
        <f t="shared" si="16"/>
        <v>746</v>
      </c>
      <c r="P159" s="686">
        <f t="shared" si="17"/>
        <v>40</v>
      </c>
      <c r="Q159" s="686">
        <f t="shared" si="18"/>
        <v>7</v>
      </c>
      <c r="R159" s="687">
        <f t="shared" si="19"/>
        <v>5</v>
      </c>
      <c r="V159" s="667">
        <v>8200</v>
      </c>
      <c r="W159" s="686">
        <f t="shared" si="20"/>
        <v>970</v>
      </c>
      <c r="X159" s="686">
        <f t="shared" si="21"/>
        <v>100</v>
      </c>
      <c r="Y159" s="686">
        <f t="shared" si="22"/>
        <v>8</v>
      </c>
      <c r="Z159" s="687">
        <f t="shared" si="23"/>
        <v>6</v>
      </c>
    </row>
    <row r="160" spans="14:26">
      <c r="N160" s="667">
        <v>5694</v>
      </c>
      <c r="O160" s="686">
        <f t="shared" si="16"/>
        <v>779</v>
      </c>
      <c r="P160" s="686">
        <f t="shared" si="17"/>
        <v>40</v>
      </c>
      <c r="Q160" s="686">
        <f t="shared" si="18"/>
        <v>7</v>
      </c>
      <c r="R160" s="687">
        <f t="shared" si="19"/>
        <v>5</v>
      </c>
      <c r="V160" s="667">
        <v>8250</v>
      </c>
      <c r="W160" s="686">
        <f t="shared" si="20"/>
        <v>1020</v>
      </c>
      <c r="X160" s="686">
        <f t="shared" si="21"/>
        <v>100</v>
      </c>
      <c r="Y160" s="686">
        <f t="shared" si="22"/>
        <v>8</v>
      </c>
      <c r="Z160" s="687">
        <f t="shared" si="23"/>
        <v>6</v>
      </c>
    </row>
    <row r="161" spans="14:26">
      <c r="N161" s="667">
        <v>5728</v>
      </c>
      <c r="O161" s="686">
        <f t="shared" si="16"/>
        <v>813</v>
      </c>
      <c r="P161" s="686">
        <f t="shared" si="17"/>
        <v>40</v>
      </c>
      <c r="Q161" s="686">
        <f t="shared" si="18"/>
        <v>7</v>
      </c>
      <c r="R161" s="687">
        <f t="shared" si="19"/>
        <v>5</v>
      </c>
      <c r="V161" s="667">
        <v>8300</v>
      </c>
      <c r="W161" s="686">
        <f t="shared" si="20"/>
        <v>0</v>
      </c>
      <c r="X161" s="686">
        <f t="shared" si="21"/>
        <v>10</v>
      </c>
      <c r="Y161" s="686">
        <f t="shared" si="22"/>
        <v>8</v>
      </c>
      <c r="Z161" s="687">
        <f t="shared" si="23"/>
        <v>7</v>
      </c>
    </row>
    <row r="162" spans="14:26">
      <c r="N162" s="667">
        <v>5761</v>
      </c>
      <c r="O162" s="686">
        <f t="shared" si="16"/>
        <v>846</v>
      </c>
      <c r="P162" s="686">
        <f t="shared" si="17"/>
        <v>40</v>
      </c>
      <c r="Q162" s="686">
        <f t="shared" si="18"/>
        <v>7</v>
      </c>
      <c r="R162" s="687">
        <f t="shared" si="19"/>
        <v>5</v>
      </c>
      <c r="V162" s="667">
        <v>8350</v>
      </c>
      <c r="W162" s="686">
        <f t="shared" si="20"/>
        <v>0</v>
      </c>
      <c r="X162" s="686">
        <f t="shared" si="21"/>
        <v>60</v>
      </c>
      <c r="Y162" s="686">
        <f t="shared" si="22"/>
        <v>8</v>
      </c>
      <c r="Z162" s="687">
        <f t="shared" si="23"/>
        <v>7</v>
      </c>
    </row>
    <row r="163" spans="14:26">
      <c r="N163" s="667">
        <v>5794</v>
      </c>
      <c r="O163" s="686">
        <f t="shared" si="16"/>
        <v>879</v>
      </c>
      <c r="P163" s="686">
        <f t="shared" si="17"/>
        <v>40</v>
      </c>
      <c r="Q163" s="686">
        <f t="shared" si="18"/>
        <v>7</v>
      </c>
      <c r="R163" s="687">
        <f t="shared" si="19"/>
        <v>5</v>
      </c>
      <c r="V163" s="667">
        <v>8400</v>
      </c>
      <c r="W163" s="686">
        <f t="shared" si="20"/>
        <v>0</v>
      </c>
      <c r="X163" s="686">
        <f t="shared" si="21"/>
        <v>110</v>
      </c>
      <c r="Y163" s="686">
        <f t="shared" si="22"/>
        <v>8</v>
      </c>
      <c r="Z163" s="687">
        <f t="shared" si="23"/>
        <v>7</v>
      </c>
    </row>
    <row r="164" spans="14:26">
      <c r="N164" s="667">
        <v>5827</v>
      </c>
      <c r="O164" s="686">
        <f t="shared" si="16"/>
        <v>0</v>
      </c>
      <c r="P164" s="686">
        <f t="shared" si="17"/>
        <v>2</v>
      </c>
      <c r="Q164" s="686">
        <f t="shared" si="18"/>
        <v>7</v>
      </c>
      <c r="R164" s="687">
        <f t="shared" si="19"/>
        <v>6</v>
      </c>
      <c r="V164" s="667">
        <v>8450</v>
      </c>
      <c r="W164" s="686">
        <f t="shared" si="20"/>
        <v>0</v>
      </c>
      <c r="X164" s="686">
        <f t="shared" si="21"/>
        <v>160</v>
      </c>
      <c r="Y164" s="686">
        <f t="shared" si="22"/>
        <v>8</v>
      </c>
      <c r="Z164" s="687">
        <f t="shared" si="23"/>
        <v>7</v>
      </c>
    </row>
    <row r="165" spans="14:26">
      <c r="N165" s="667">
        <v>5860</v>
      </c>
      <c r="O165" s="686">
        <f t="shared" si="16"/>
        <v>0</v>
      </c>
      <c r="P165" s="686">
        <f t="shared" si="17"/>
        <v>35</v>
      </c>
      <c r="Q165" s="686">
        <f t="shared" si="18"/>
        <v>7</v>
      </c>
      <c r="R165" s="687">
        <f t="shared" si="19"/>
        <v>6</v>
      </c>
      <c r="V165" s="667">
        <v>8500</v>
      </c>
      <c r="W165" s="686">
        <f t="shared" si="20"/>
        <v>0</v>
      </c>
      <c r="X165" s="686">
        <f t="shared" si="21"/>
        <v>210</v>
      </c>
      <c r="Y165" s="686">
        <f t="shared" si="22"/>
        <v>8</v>
      </c>
      <c r="Z165" s="687">
        <f t="shared" si="23"/>
        <v>7</v>
      </c>
    </row>
    <row r="166" spans="14:26">
      <c r="N166" s="667">
        <v>5893</v>
      </c>
      <c r="O166" s="686">
        <f t="shared" si="16"/>
        <v>0</v>
      </c>
      <c r="P166" s="686">
        <f t="shared" si="17"/>
        <v>68</v>
      </c>
      <c r="Q166" s="686">
        <f t="shared" si="18"/>
        <v>7</v>
      </c>
      <c r="R166" s="687">
        <f t="shared" si="19"/>
        <v>6</v>
      </c>
      <c r="V166" s="667">
        <v>8550</v>
      </c>
      <c r="W166" s="686">
        <f t="shared" si="20"/>
        <v>0</v>
      </c>
      <c r="X166" s="686">
        <f t="shared" si="21"/>
        <v>260</v>
      </c>
      <c r="Y166" s="686">
        <f t="shared" si="22"/>
        <v>8</v>
      </c>
      <c r="Z166" s="687">
        <f t="shared" si="23"/>
        <v>7</v>
      </c>
    </row>
    <row r="167" spans="14:26">
      <c r="N167" s="667">
        <v>5926</v>
      </c>
      <c r="O167" s="686">
        <f t="shared" si="16"/>
        <v>0</v>
      </c>
      <c r="P167" s="686">
        <f t="shared" si="17"/>
        <v>101</v>
      </c>
      <c r="Q167" s="686">
        <f t="shared" si="18"/>
        <v>7</v>
      </c>
      <c r="R167" s="687">
        <f t="shared" si="19"/>
        <v>6</v>
      </c>
      <c r="V167" s="667">
        <v>8600</v>
      </c>
      <c r="W167" s="686">
        <f t="shared" si="20"/>
        <v>0</v>
      </c>
      <c r="X167" s="686">
        <f t="shared" si="21"/>
        <v>310</v>
      </c>
      <c r="Y167" s="686">
        <f t="shared" si="22"/>
        <v>8</v>
      </c>
      <c r="Z167" s="687">
        <f t="shared" si="23"/>
        <v>7</v>
      </c>
    </row>
    <row r="168" spans="14:26">
      <c r="N168" s="667">
        <v>5959</v>
      </c>
      <c r="O168" s="686">
        <f t="shared" si="16"/>
        <v>0</v>
      </c>
      <c r="P168" s="686">
        <f t="shared" si="17"/>
        <v>134</v>
      </c>
      <c r="Q168" s="686">
        <f t="shared" si="18"/>
        <v>7</v>
      </c>
      <c r="R168" s="687">
        <f t="shared" si="19"/>
        <v>6</v>
      </c>
      <c r="V168" s="667">
        <v>8650</v>
      </c>
      <c r="W168" s="686">
        <f t="shared" si="20"/>
        <v>0</v>
      </c>
      <c r="X168" s="686">
        <f t="shared" si="21"/>
        <v>360</v>
      </c>
      <c r="Y168" s="686">
        <f t="shared" si="22"/>
        <v>8</v>
      </c>
      <c r="Z168" s="687">
        <f t="shared" si="23"/>
        <v>7</v>
      </c>
    </row>
    <row r="169" spans="14:26">
      <c r="N169" s="667">
        <v>5992</v>
      </c>
      <c r="O169" s="686">
        <f t="shared" si="16"/>
        <v>0</v>
      </c>
      <c r="P169" s="686">
        <f t="shared" si="17"/>
        <v>167</v>
      </c>
      <c r="Q169" s="686">
        <f t="shared" si="18"/>
        <v>7</v>
      </c>
      <c r="R169" s="687">
        <f t="shared" si="19"/>
        <v>6</v>
      </c>
      <c r="V169" s="667">
        <v>8700</v>
      </c>
      <c r="W169" s="686">
        <f t="shared" si="20"/>
        <v>0</v>
      </c>
      <c r="X169" s="686">
        <f t="shared" si="21"/>
        <v>410</v>
      </c>
      <c r="Y169" s="686">
        <f t="shared" si="22"/>
        <v>8</v>
      </c>
      <c r="Z169" s="687">
        <f t="shared" si="23"/>
        <v>7</v>
      </c>
    </row>
    <row r="170" spans="14:26">
      <c r="N170" s="667">
        <v>6025</v>
      </c>
      <c r="O170" s="686">
        <f t="shared" si="16"/>
        <v>0</v>
      </c>
      <c r="P170" s="686">
        <f t="shared" si="17"/>
        <v>200</v>
      </c>
      <c r="Q170" s="686">
        <f t="shared" si="18"/>
        <v>7</v>
      </c>
      <c r="R170" s="687">
        <f t="shared" si="19"/>
        <v>6</v>
      </c>
      <c r="V170" s="667">
        <v>8750</v>
      </c>
      <c r="W170" s="686">
        <f t="shared" si="20"/>
        <v>0</v>
      </c>
      <c r="X170" s="686">
        <f t="shared" si="21"/>
        <v>460</v>
      </c>
      <c r="Y170" s="686">
        <f t="shared" si="22"/>
        <v>8</v>
      </c>
      <c r="Z170" s="687">
        <f t="shared" si="23"/>
        <v>7</v>
      </c>
    </row>
    <row r="171" spans="14:26">
      <c r="N171" s="667">
        <v>6058</v>
      </c>
      <c r="O171" s="686">
        <f t="shared" si="16"/>
        <v>0</v>
      </c>
      <c r="P171" s="686">
        <f t="shared" si="17"/>
        <v>233</v>
      </c>
      <c r="Q171" s="686">
        <f t="shared" si="18"/>
        <v>7</v>
      </c>
      <c r="R171" s="687">
        <f t="shared" si="19"/>
        <v>6</v>
      </c>
      <c r="V171" s="667">
        <v>8800</v>
      </c>
      <c r="W171" s="686">
        <f t="shared" si="20"/>
        <v>410</v>
      </c>
      <c r="X171" s="686">
        <f t="shared" si="21"/>
        <v>100</v>
      </c>
      <c r="Y171" s="686">
        <f t="shared" si="22"/>
        <v>9</v>
      </c>
      <c r="Z171" s="687">
        <f t="shared" si="23"/>
        <v>7</v>
      </c>
    </row>
    <row r="172" spans="14:26">
      <c r="N172" s="667">
        <v>6091</v>
      </c>
      <c r="O172" s="686">
        <f t="shared" si="16"/>
        <v>0</v>
      </c>
      <c r="P172" s="686">
        <f t="shared" si="17"/>
        <v>266</v>
      </c>
      <c r="Q172" s="686">
        <f t="shared" si="18"/>
        <v>7</v>
      </c>
      <c r="R172" s="687">
        <f t="shared" si="19"/>
        <v>6</v>
      </c>
      <c r="V172" s="667">
        <v>8850</v>
      </c>
      <c r="W172" s="686">
        <f t="shared" si="20"/>
        <v>460</v>
      </c>
      <c r="X172" s="686">
        <f t="shared" si="21"/>
        <v>100</v>
      </c>
      <c r="Y172" s="686">
        <f t="shared" si="22"/>
        <v>9</v>
      </c>
      <c r="Z172" s="687">
        <f t="shared" si="23"/>
        <v>7</v>
      </c>
    </row>
    <row r="173" spans="14:26">
      <c r="N173" s="667">
        <v>6124</v>
      </c>
      <c r="O173" s="686">
        <f t="shared" si="16"/>
        <v>0</v>
      </c>
      <c r="P173" s="686">
        <f t="shared" si="17"/>
        <v>299</v>
      </c>
      <c r="Q173" s="686">
        <f t="shared" si="18"/>
        <v>7</v>
      </c>
      <c r="R173" s="687">
        <f t="shared" si="19"/>
        <v>6</v>
      </c>
      <c r="V173" s="667">
        <v>8900</v>
      </c>
      <c r="W173" s="686">
        <f t="shared" si="20"/>
        <v>510</v>
      </c>
      <c r="X173" s="686">
        <f t="shared" si="21"/>
        <v>100</v>
      </c>
      <c r="Y173" s="686">
        <f t="shared" si="22"/>
        <v>9</v>
      </c>
      <c r="Z173" s="687">
        <f t="shared" si="23"/>
        <v>7</v>
      </c>
    </row>
    <row r="174" spans="14:26">
      <c r="N174" s="667">
        <v>6157</v>
      </c>
      <c r="O174" s="686">
        <f t="shared" si="16"/>
        <v>292</v>
      </c>
      <c r="P174" s="686">
        <f t="shared" si="17"/>
        <v>40</v>
      </c>
      <c r="Q174" s="686">
        <f t="shared" si="18"/>
        <v>8</v>
      </c>
      <c r="R174" s="687">
        <f t="shared" si="19"/>
        <v>6</v>
      </c>
      <c r="V174" s="667">
        <v>8950</v>
      </c>
      <c r="W174" s="686">
        <f t="shared" si="20"/>
        <v>560</v>
      </c>
      <c r="X174" s="686">
        <f t="shared" si="21"/>
        <v>100</v>
      </c>
      <c r="Y174" s="686">
        <f t="shared" si="22"/>
        <v>9</v>
      </c>
      <c r="Z174" s="687">
        <f t="shared" si="23"/>
        <v>7</v>
      </c>
    </row>
    <row r="175" spans="14:26">
      <c r="N175" s="667">
        <v>6190</v>
      </c>
      <c r="O175" s="686">
        <f t="shared" si="16"/>
        <v>325</v>
      </c>
      <c r="P175" s="686">
        <f t="shared" si="17"/>
        <v>40</v>
      </c>
      <c r="Q175" s="686">
        <f t="shared" si="18"/>
        <v>8</v>
      </c>
      <c r="R175" s="687">
        <f t="shared" si="19"/>
        <v>6</v>
      </c>
      <c r="V175" s="667">
        <v>9000</v>
      </c>
      <c r="W175" s="686">
        <f t="shared" si="20"/>
        <v>610</v>
      </c>
      <c r="X175" s="686">
        <f t="shared" si="21"/>
        <v>100</v>
      </c>
      <c r="Y175" s="686">
        <f t="shared" si="22"/>
        <v>9</v>
      </c>
      <c r="Z175" s="687">
        <f t="shared" si="23"/>
        <v>7</v>
      </c>
    </row>
    <row r="176" spans="14:26">
      <c r="N176" s="667">
        <v>6223</v>
      </c>
      <c r="O176" s="686">
        <f t="shared" si="16"/>
        <v>358</v>
      </c>
      <c r="P176" s="686">
        <f t="shared" si="17"/>
        <v>40</v>
      </c>
      <c r="Q176" s="686">
        <f t="shared" si="18"/>
        <v>8</v>
      </c>
      <c r="R176" s="687">
        <f t="shared" si="19"/>
        <v>6</v>
      </c>
      <c r="V176" s="667">
        <v>9050</v>
      </c>
      <c r="W176" s="686">
        <f t="shared" si="20"/>
        <v>660</v>
      </c>
      <c r="X176" s="686">
        <f t="shared" si="21"/>
        <v>100</v>
      </c>
      <c r="Y176" s="686">
        <f t="shared" si="22"/>
        <v>9</v>
      </c>
      <c r="Z176" s="687">
        <f t="shared" si="23"/>
        <v>7</v>
      </c>
    </row>
    <row r="177" spans="14:26">
      <c r="N177" s="667">
        <v>6256</v>
      </c>
      <c r="O177" s="686">
        <f t="shared" si="16"/>
        <v>391</v>
      </c>
      <c r="P177" s="686">
        <f t="shared" si="17"/>
        <v>40</v>
      </c>
      <c r="Q177" s="686">
        <f t="shared" si="18"/>
        <v>8</v>
      </c>
      <c r="R177" s="687">
        <f t="shared" si="19"/>
        <v>6</v>
      </c>
      <c r="V177" s="667">
        <v>9100</v>
      </c>
      <c r="W177" s="686">
        <f t="shared" si="20"/>
        <v>710</v>
      </c>
      <c r="X177" s="686">
        <f t="shared" si="21"/>
        <v>100</v>
      </c>
      <c r="Y177" s="686">
        <f t="shared" si="22"/>
        <v>9</v>
      </c>
      <c r="Z177" s="687">
        <f t="shared" si="23"/>
        <v>7</v>
      </c>
    </row>
    <row r="178" spans="14:26">
      <c r="N178" s="667">
        <v>6289</v>
      </c>
      <c r="O178" s="686">
        <f t="shared" si="16"/>
        <v>424</v>
      </c>
      <c r="P178" s="686">
        <f t="shared" si="17"/>
        <v>40</v>
      </c>
      <c r="Q178" s="686">
        <f t="shared" si="18"/>
        <v>8</v>
      </c>
      <c r="R178" s="687">
        <f t="shared" si="19"/>
        <v>6</v>
      </c>
      <c r="V178" s="667">
        <v>9150</v>
      </c>
      <c r="W178" s="686">
        <f t="shared" si="20"/>
        <v>760</v>
      </c>
      <c r="X178" s="686">
        <f t="shared" si="21"/>
        <v>100</v>
      </c>
      <c r="Y178" s="686">
        <f t="shared" si="22"/>
        <v>9</v>
      </c>
      <c r="Z178" s="687">
        <f t="shared" si="23"/>
        <v>7</v>
      </c>
    </row>
    <row r="179" spans="14:26">
      <c r="N179" s="667">
        <v>6322</v>
      </c>
      <c r="O179" s="686">
        <f t="shared" si="16"/>
        <v>457</v>
      </c>
      <c r="P179" s="686">
        <f t="shared" si="17"/>
        <v>40</v>
      </c>
      <c r="Q179" s="686">
        <f t="shared" si="18"/>
        <v>8</v>
      </c>
      <c r="R179" s="687">
        <f t="shared" si="19"/>
        <v>6</v>
      </c>
      <c r="V179" s="667">
        <v>9200</v>
      </c>
      <c r="W179" s="686">
        <f t="shared" si="20"/>
        <v>810</v>
      </c>
      <c r="X179" s="686">
        <f t="shared" si="21"/>
        <v>100</v>
      </c>
      <c r="Y179" s="686">
        <f t="shared" si="22"/>
        <v>9</v>
      </c>
      <c r="Z179" s="687">
        <f t="shared" si="23"/>
        <v>7</v>
      </c>
    </row>
    <row r="180" spans="14:26">
      <c r="N180" s="667">
        <v>6355</v>
      </c>
      <c r="O180" s="686">
        <f t="shared" si="16"/>
        <v>490</v>
      </c>
      <c r="P180" s="686">
        <f t="shared" si="17"/>
        <v>40</v>
      </c>
      <c r="Q180" s="686">
        <f t="shared" si="18"/>
        <v>8</v>
      </c>
      <c r="R180" s="687">
        <f t="shared" si="19"/>
        <v>6</v>
      </c>
      <c r="V180" s="667">
        <v>9250</v>
      </c>
      <c r="W180" s="686">
        <f t="shared" si="20"/>
        <v>860</v>
      </c>
      <c r="X180" s="686">
        <f t="shared" si="21"/>
        <v>100</v>
      </c>
      <c r="Y180" s="686">
        <f t="shared" si="22"/>
        <v>9</v>
      </c>
      <c r="Z180" s="687">
        <f t="shared" si="23"/>
        <v>7</v>
      </c>
    </row>
    <row r="181" spans="14:26">
      <c r="N181" s="667">
        <v>6388</v>
      </c>
      <c r="O181" s="686">
        <f t="shared" si="16"/>
        <v>523</v>
      </c>
      <c r="P181" s="686">
        <f t="shared" si="17"/>
        <v>40</v>
      </c>
      <c r="Q181" s="686">
        <f t="shared" si="18"/>
        <v>8</v>
      </c>
      <c r="R181" s="687">
        <f t="shared" si="19"/>
        <v>6</v>
      </c>
      <c r="V181" s="667">
        <v>9300</v>
      </c>
      <c r="W181" s="686">
        <f t="shared" si="20"/>
        <v>910</v>
      </c>
      <c r="X181" s="686">
        <f t="shared" si="21"/>
        <v>100</v>
      </c>
      <c r="Y181" s="686">
        <f t="shared" si="22"/>
        <v>9</v>
      </c>
      <c r="Z181" s="687">
        <f t="shared" si="23"/>
        <v>7</v>
      </c>
    </row>
    <row r="182" spans="14:26">
      <c r="N182" s="667">
        <v>6421</v>
      </c>
      <c r="O182" s="686">
        <f t="shared" si="16"/>
        <v>556</v>
      </c>
      <c r="P182" s="686">
        <f t="shared" si="17"/>
        <v>40</v>
      </c>
      <c r="Q182" s="686">
        <f t="shared" si="18"/>
        <v>8</v>
      </c>
      <c r="R182" s="687">
        <f t="shared" si="19"/>
        <v>6</v>
      </c>
      <c r="V182" s="667">
        <v>9350</v>
      </c>
      <c r="W182" s="686">
        <f t="shared" si="20"/>
        <v>960</v>
      </c>
      <c r="X182" s="686">
        <f t="shared" si="21"/>
        <v>100</v>
      </c>
      <c r="Y182" s="686">
        <f t="shared" si="22"/>
        <v>9</v>
      </c>
      <c r="Z182" s="687">
        <f t="shared" si="23"/>
        <v>7</v>
      </c>
    </row>
    <row r="183" spans="14:26">
      <c r="N183" s="667">
        <v>6454</v>
      </c>
      <c r="O183" s="686">
        <f t="shared" si="16"/>
        <v>589</v>
      </c>
      <c r="P183" s="686">
        <f t="shared" si="17"/>
        <v>40</v>
      </c>
      <c r="Q183" s="686">
        <f t="shared" si="18"/>
        <v>8</v>
      </c>
      <c r="R183" s="687">
        <f t="shared" si="19"/>
        <v>6</v>
      </c>
      <c r="V183" s="667">
        <v>9400</v>
      </c>
      <c r="W183" s="686">
        <f t="shared" si="20"/>
        <v>1010</v>
      </c>
      <c r="X183" s="686">
        <f t="shared" si="21"/>
        <v>100</v>
      </c>
      <c r="Y183" s="686">
        <f t="shared" si="22"/>
        <v>9</v>
      </c>
      <c r="Z183" s="687">
        <f t="shared" si="23"/>
        <v>7</v>
      </c>
    </row>
    <row r="184" spans="14:26">
      <c r="N184" s="667">
        <v>6487</v>
      </c>
      <c r="O184" s="686">
        <f t="shared" si="16"/>
        <v>622</v>
      </c>
      <c r="P184" s="686">
        <f t="shared" si="17"/>
        <v>40</v>
      </c>
      <c r="Q184" s="686">
        <f t="shared" si="18"/>
        <v>8</v>
      </c>
      <c r="R184" s="687">
        <f t="shared" si="19"/>
        <v>6</v>
      </c>
      <c r="V184" s="667">
        <v>9450</v>
      </c>
      <c r="W184" s="686">
        <f t="shared" si="20"/>
        <v>0</v>
      </c>
      <c r="X184" s="686">
        <f t="shared" si="21"/>
        <v>0</v>
      </c>
      <c r="Y184" s="686">
        <f t="shared" si="22"/>
        <v>9</v>
      </c>
      <c r="Z184" s="687">
        <f t="shared" si="23"/>
        <v>8</v>
      </c>
    </row>
    <row r="185" spans="14:26">
      <c r="N185" s="667">
        <v>6520</v>
      </c>
      <c r="O185" s="686">
        <f t="shared" si="16"/>
        <v>655</v>
      </c>
      <c r="P185" s="686">
        <f t="shared" si="17"/>
        <v>40</v>
      </c>
      <c r="Q185" s="686">
        <f t="shared" si="18"/>
        <v>8</v>
      </c>
      <c r="R185" s="687">
        <f t="shared" si="19"/>
        <v>6</v>
      </c>
      <c r="V185" s="667">
        <v>9500</v>
      </c>
      <c r="W185" s="686">
        <f t="shared" si="20"/>
        <v>0</v>
      </c>
      <c r="X185" s="686">
        <f t="shared" si="21"/>
        <v>50</v>
      </c>
      <c r="Y185" s="686">
        <f t="shared" si="22"/>
        <v>9</v>
      </c>
      <c r="Z185" s="687">
        <f t="shared" si="23"/>
        <v>8</v>
      </c>
    </row>
    <row r="186" spans="14:26">
      <c r="N186" s="667">
        <v>6553</v>
      </c>
      <c r="O186" s="686">
        <f t="shared" si="16"/>
        <v>688</v>
      </c>
      <c r="P186" s="686">
        <f t="shared" si="17"/>
        <v>40</v>
      </c>
      <c r="Q186" s="686">
        <f t="shared" si="18"/>
        <v>8</v>
      </c>
      <c r="R186" s="687">
        <f t="shared" si="19"/>
        <v>6</v>
      </c>
      <c r="V186" s="667">
        <v>9550</v>
      </c>
      <c r="W186" s="686">
        <f t="shared" si="20"/>
        <v>0</v>
      </c>
      <c r="X186" s="686">
        <f t="shared" si="21"/>
        <v>100</v>
      </c>
      <c r="Y186" s="686">
        <f t="shared" si="22"/>
        <v>9</v>
      </c>
      <c r="Z186" s="687">
        <f t="shared" si="23"/>
        <v>8</v>
      </c>
    </row>
    <row r="187" spans="14:26">
      <c r="N187" s="667">
        <v>6586</v>
      </c>
      <c r="O187" s="686">
        <f t="shared" si="16"/>
        <v>721</v>
      </c>
      <c r="P187" s="686">
        <f t="shared" si="17"/>
        <v>40</v>
      </c>
      <c r="Q187" s="686">
        <f t="shared" si="18"/>
        <v>8</v>
      </c>
      <c r="R187" s="687">
        <f t="shared" si="19"/>
        <v>6</v>
      </c>
      <c r="V187" s="667">
        <v>9600</v>
      </c>
      <c r="W187" s="686">
        <f t="shared" si="20"/>
        <v>0</v>
      </c>
      <c r="X187" s="686">
        <f t="shared" si="21"/>
        <v>150</v>
      </c>
      <c r="Y187" s="686">
        <f t="shared" si="22"/>
        <v>9</v>
      </c>
      <c r="Z187" s="687">
        <f t="shared" si="23"/>
        <v>8</v>
      </c>
    </row>
    <row r="188" spans="14:26">
      <c r="N188" s="667">
        <v>6619</v>
      </c>
      <c r="O188" s="686">
        <f t="shared" si="16"/>
        <v>754</v>
      </c>
      <c r="P188" s="686">
        <f t="shared" si="17"/>
        <v>40</v>
      </c>
      <c r="Q188" s="686">
        <f t="shared" si="18"/>
        <v>8</v>
      </c>
      <c r="R188" s="687">
        <f t="shared" si="19"/>
        <v>6</v>
      </c>
      <c r="V188" s="667">
        <v>9650</v>
      </c>
      <c r="W188" s="686">
        <f t="shared" si="20"/>
        <v>0</v>
      </c>
      <c r="X188" s="686">
        <f t="shared" si="21"/>
        <v>200</v>
      </c>
      <c r="Y188" s="686">
        <f t="shared" si="22"/>
        <v>9</v>
      </c>
      <c r="Z188" s="687">
        <f t="shared" si="23"/>
        <v>8</v>
      </c>
    </row>
    <row r="189" spans="14:26">
      <c r="N189" s="667">
        <v>6652</v>
      </c>
      <c r="O189" s="686">
        <f t="shared" si="16"/>
        <v>787</v>
      </c>
      <c r="P189" s="686">
        <f t="shared" si="17"/>
        <v>40</v>
      </c>
      <c r="Q189" s="686">
        <f t="shared" si="18"/>
        <v>8</v>
      </c>
      <c r="R189" s="687">
        <f t="shared" si="19"/>
        <v>6</v>
      </c>
      <c r="V189" s="667">
        <v>9700</v>
      </c>
      <c r="W189" s="686">
        <f t="shared" si="20"/>
        <v>0</v>
      </c>
      <c r="X189" s="686">
        <f t="shared" si="21"/>
        <v>250</v>
      </c>
      <c r="Y189" s="686">
        <f t="shared" si="22"/>
        <v>9</v>
      </c>
      <c r="Z189" s="687">
        <f t="shared" si="23"/>
        <v>8</v>
      </c>
    </row>
    <row r="190" spans="14:26">
      <c r="N190" s="667">
        <v>6685</v>
      </c>
      <c r="O190" s="686">
        <f t="shared" si="16"/>
        <v>820</v>
      </c>
      <c r="P190" s="686">
        <f t="shared" si="17"/>
        <v>40</v>
      </c>
      <c r="Q190" s="686">
        <f t="shared" si="18"/>
        <v>8</v>
      </c>
      <c r="R190" s="687">
        <f t="shared" si="19"/>
        <v>6</v>
      </c>
      <c r="V190" s="667">
        <v>9750</v>
      </c>
      <c r="W190" s="686">
        <f t="shared" si="20"/>
        <v>0</v>
      </c>
      <c r="X190" s="686">
        <f t="shared" si="21"/>
        <v>300</v>
      </c>
      <c r="Y190" s="686">
        <f t="shared" si="22"/>
        <v>9</v>
      </c>
      <c r="Z190" s="687">
        <f t="shared" si="23"/>
        <v>8</v>
      </c>
    </row>
    <row r="191" spans="14:26">
      <c r="N191" s="667">
        <v>6718</v>
      </c>
      <c r="O191" s="686">
        <f t="shared" si="16"/>
        <v>853</v>
      </c>
      <c r="P191" s="686">
        <f t="shared" si="17"/>
        <v>40</v>
      </c>
      <c r="Q191" s="686">
        <f t="shared" si="18"/>
        <v>8</v>
      </c>
      <c r="R191" s="687">
        <f t="shared" si="19"/>
        <v>6</v>
      </c>
      <c r="V191" s="667">
        <v>9800</v>
      </c>
      <c r="W191" s="686">
        <f t="shared" si="20"/>
        <v>0</v>
      </c>
      <c r="X191" s="686">
        <f t="shared" si="21"/>
        <v>350</v>
      </c>
      <c r="Y191" s="686">
        <f t="shared" si="22"/>
        <v>9</v>
      </c>
      <c r="Z191" s="687">
        <f t="shared" si="23"/>
        <v>8</v>
      </c>
    </row>
    <row r="192" spans="14:26">
      <c r="N192" s="667">
        <v>6751</v>
      </c>
      <c r="O192" s="686">
        <f t="shared" si="16"/>
        <v>886</v>
      </c>
      <c r="P192" s="686">
        <f t="shared" si="17"/>
        <v>40</v>
      </c>
      <c r="Q192" s="686">
        <f t="shared" si="18"/>
        <v>8</v>
      </c>
      <c r="R192" s="687">
        <f t="shared" si="19"/>
        <v>6</v>
      </c>
      <c r="V192" s="667">
        <v>9850</v>
      </c>
      <c r="W192" s="686">
        <f t="shared" si="20"/>
        <v>0</v>
      </c>
      <c r="X192" s="686">
        <f t="shared" si="21"/>
        <v>400</v>
      </c>
      <c r="Y192" s="686">
        <f t="shared" si="22"/>
        <v>9</v>
      </c>
      <c r="Z192" s="687">
        <f t="shared" si="23"/>
        <v>8</v>
      </c>
    </row>
    <row r="193" spans="13:26">
      <c r="N193" s="667">
        <v>6784</v>
      </c>
      <c r="O193" s="686">
        <f t="shared" si="16"/>
        <v>0</v>
      </c>
      <c r="P193" s="686">
        <f t="shared" si="17"/>
        <v>9</v>
      </c>
      <c r="Q193" s="686">
        <f t="shared" si="18"/>
        <v>8</v>
      </c>
      <c r="R193" s="687">
        <f t="shared" si="19"/>
        <v>7</v>
      </c>
      <c r="V193" s="667">
        <v>9900</v>
      </c>
      <c r="W193" s="686">
        <f t="shared" si="20"/>
        <v>0</v>
      </c>
      <c r="X193" s="686">
        <f t="shared" si="21"/>
        <v>450</v>
      </c>
      <c r="Y193" s="686">
        <f t="shared" si="22"/>
        <v>9</v>
      </c>
      <c r="Z193" s="687">
        <f t="shared" si="23"/>
        <v>8</v>
      </c>
    </row>
    <row r="194" spans="13:26">
      <c r="N194" s="667">
        <v>6817</v>
      </c>
      <c r="O194" s="686">
        <f t="shared" si="16"/>
        <v>0</v>
      </c>
      <c r="P194" s="686">
        <f t="shared" si="17"/>
        <v>42</v>
      </c>
      <c r="Q194" s="686">
        <f t="shared" si="18"/>
        <v>8</v>
      </c>
      <c r="R194" s="687">
        <f t="shared" si="19"/>
        <v>7</v>
      </c>
      <c r="V194" s="667">
        <v>9950</v>
      </c>
      <c r="W194" s="686">
        <f t="shared" si="20"/>
        <v>400</v>
      </c>
      <c r="X194" s="686">
        <f t="shared" si="21"/>
        <v>100</v>
      </c>
      <c r="Y194" s="686">
        <f t="shared" si="22"/>
        <v>10</v>
      </c>
      <c r="Z194" s="687">
        <f t="shared" si="23"/>
        <v>8</v>
      </c>
    </row>
    <row r="195" spans="13:26" ht="13.8" thickBot="1">
      <c r="N195" s="667">
        <v>6850</v>
      </c>
      <c r="O195" s="686">
        <f t="shared" si="16"/>
        <v>0</v>
      </c>
      <c r="P195" s="686">
        <f t="shared" si="17"/>
        <v>75</v>
      </c>
      <c r="Q195" s="686">
        <f t="shared" si="18"/>
        <v>8</v>
      </c>
      <c r="R195" s="687">
        <f t="shared" si="19"/>
        <v>7</v>
      </c>
      <c r="V195" s="675">
        <v>10000</v>
      </c>
      <c r="W195" s="724">
        <f t="shared" si="20"/>
        <v>450</v>
      </c>
      <c r="X195" s="724">
        <f t="shared" si="21"/>
        <v>100</v>
      </c>
      <c r="Y195" s="724">
        <f t="shared" si="22"/>
        <v>10</v>
      </c>
      <c r="Z195" s="725">
        <f t="shared" si="23"/>
        <v>8</v>
      </c>
    </row>
    <row r="196" spans="13:26">
      <c r="N196" s="667">
        <v>6883</v>
      </c>
      <c r="O196" s="686">
        <f t="shared" si="16"/>
        <v>0</v>
      </c>
      <c r="P196" s="686">
        <f t="shared" si="17"/>
        <v>108</v>
      </c>
      <c r="Q196" s="686">
        <f t="shared" si="18"/>
        <v>8</v>
      </c>
      <c r="R196" s="687">
        <f t="shared" si="19"/>
        <v>7</v>
      </c>
      <c r="V196" s="680"/>
      <c r="W196" s="726"/>
      <c r="X196" s="726"/>
      <c r="Y196" s="726"/>
      <c r="Z196" s="726"/>
    </row>
    <row r="197" spans="13:26">
      <c r="N197" s="667">
        <v>6916</v>
      </c>
      <c r="O197" s="686">
        <f t="shared" si="16"/>
        <v>0</v>
      </c>
      <c r="P197" s="686">
        <f t="shared" si="17"/>
        <v>141</v>
      </c>
      <c r="Q197" s="686">
        <f t="shared" si="18"/>
        <v>8</v>
      </c>
      <c r="R197" s="687">
        <f t="shared" si="19"/>
        <v>7</v>
      </c>
      <c r="V197" s="680"/>
      <c r="W197" s="726"/>
      <c r="X197" s="726"/>
      <c r="Y197" s="726"/>
      <c r="Z197" s="726"/>
    </row>
    <row r="198" spans="13:26">
      <c r="N198" s="667">
        <v>6949</v>
      </c>
      <c r="O198" s="686">
        <f t="shared" si="16"/>
        <v>0</v>
      </c>
      <c r="P198" s="686">
        <f t="shared" si="17"/>
        <v>174</v>
      </c>
      <c r="Q198" s="686">
        <f t="shared" si="18"/>
        <v>8</v>
      </c>
      <c r="R198" s="687">
        <f t="shared" si="19"/>
        <v>7</v>
      </c>
      <c r="V198" s="680"/>
      <c r="W198" s="726"/>
      <c r="X198" s="726"/>
      <c r="Y198" s="726"/>
      <c r="Z198" s="726"/>
    </row>
    <row r="199" spans="13:26">
      <c r="N199" s="667">
        <v>6982</v>
      </c>
      <c r="O199" s="686">
        <f t="shared" si="16"/>
        <v>0</v>
      </c>
      <c r="P199" s="686">
        <f t="shared" si="17"/>
        <v>207</v>
      </c>
      <c r="Q199" s="686">
        <f t="shared" si="18"/>
        <v>8</v>
      </c>
      <c r="R199" s="687">
        <f t="shared" si="19"/>
        <v>7</v>
      </c>
      <c r="V199" s="680"/>
      <c r="W199" s="726"/>
      <c r="X199" s="726"/>
      <c r="Y199" s="726"/>
      <c r="Z199" s="726"/>
    </row>
    <row r="200" spans="13:26" ht="13.8" thickBot="1">
      <c r="N200" s="675">
        <v>7015</v>
      </c>
      <c r="O200" s="724">
        <f t="shared" si="16"/>
        <v>0</v>
      </c>
      <c r="P200" s="724">
        <f t="shared" si="17"/>
        <v>240</v>
      </c>
      <c r="Q200" s="724">
        <f t="shared" si="18"/>
        <v>8</v>
      </c>
      <c r="R200" s="725">
        <f t="shared" si="19"/>
        <v>7</v>
      </c>
    </row>
    <row r="201" spans="13:26">
      <c r="M201" s="680"/>
    </row>
    <row r="202" spans="13:26">
      <c r="M202" s="680"/>
    </row>
    <row r="203" spans="13:26">
      <c r="M203" s="680"/>
    </row>
    <row r="204" spans="13:26">
      <c r="M204" s="680"/>
    </row>
    <row r="205" spans="13:26">
      <c r="M205" s="680"/>
    </row>
    <row r="206" spans="13:26">
      <c r="M206" s="680"/>
    </row>
    <row r="207" spans="13:26">
      <c r="M207" s="680"/>
    </row>
    <row r="208" spans="13:26">
      <c r="M208" s="680"/>
    </row>
    <row r="209" spans="13:13">
      <c r="M209" s="680"/>
    </row>
    <row r="210" spans="13:13">
      <c r="M210" s="680"/>
    </row>
    <row r="211" spans="13:13">
      <c r="M211" s="680"/>
    </row>
    <row r="212" spans="13:13">
      <c r="M212" s="680"/>
    </row>
    <row r="213" spans="13:13">
      <c r="M213" s="680"/>
    </row>
    <row r="214" spans="13:13">
      <c r="M214" s="680"/>
    </row>
    <row r="215" spans="13:13">
      <c r="M215" s="680"/>
    </row>
    <row r="216" spans="13:13">
      <c r="M216" s="680"/>
    </row>
    <row r="217" spans="13:13">
      <c r="M217" s="680"/>
    </row>
    <row r="218" spans="13:13">
      <c r="M218" s="680"/>
    </row>
    <row r="219" spans="13:13">
      <c r="M219" s="680"/>
    </row>
    <row r="220" spans="13:13">
      <c r="M220" s="680"/>
    </row>
    <row r="221" spans="13:13">
      <c r="M221" s="680"/>
    </row>
    <row r="222" spans="13:13">
      <c r="M222" s="680"/>
    </row>
    <row r="223" spans="13:13">
      <c r="M223" s="680"/>
    </row>
    <row r="224" spans="13:13">
      <c r="M224" s="680"/>
    </row>
    <row r="225" spans="13:13">
      <c r="M225" s="680"/>
    </row>
    <row r="226" spans="13:13">
      <c r="M226" s="680"/>
    </row>
    <row r="227" spans="13:13">
      <c r="M227" s="680"/>
    </row>
    <row r="228" spans="13:13">
      <c r="M228" s="680"/>
    </row>
    <row r="229" spans="13:13">
      <c r="M229" s="680"/>
    </row>
    <row r="230" spans="13:13">
      <c r="M230" s="680"/>
    </row>
    <row r="231" spans="13:13">
      <c r="M231" s="680"/>
    </row>
    <row r="232" spans="13:13">
      <c r="M232" s="680"/>
    </row>
    <row r="233" spans="13:13">
      <c r="M233" s="680"/>
    </row>
    <row r="234" spans="13:13">
      <c r="M234" s="680"/>
    </row>
    <row r="235" spans="13:13">
      <c r="M235" s="680"/>
    </row>
    <row r="236" spans="13:13">
      <c r="M236" s="680"/>
    </row>
    <row r="237" spans="13:13">
      <c r="M237" s="680"/>
    </row>
    <row r="238" spans="13:13">
      <c r="M238" s="680"/>
    </row>
    <row r="239" spans="13:13">
      <c r="M239" s="680"/>
    </row>
    <row r="240" spans="13:13">
      <c r="M240" s="680"/>
    </row>
    <row r="241" spans="13:13">
      <c r="M241" s="680"/>
    </row>
    <row r="242" spans="13:13">
      <c r="M242" s="680"/>
    </row>
    <row r="243" spans="13:13">
      <c r="M243" s="680"/>
    </row>
    <row r="244" spans="13:13">
      <c r="M244" s="680"/>
    </row>
    <row r="245" spans="13:13">
      <c r="M245" s="680"/>
    </row>
    <row r="246" spans="13:13">
      <c r="M246" s="680"/>
    </row>
    <row r="247" spans="13:13">
      <c r="M247" s="680"/>
    </row>
    <row r="248" spans="13:13">
      <c r="M248" s="680"/>
    </row>
    <row r="249" spans="13:13">
      <c r="M249" s="680"/>
    </row>
    <row r="250" spans="13:13">
      <c r="M250" s="680"/>
    </row>
    <row r="251" spans="13:13">
      <c r="M251" s="680"/>
    </row>
    <row r="252" spans="13:13">
      <c r="M252" s="680"/>
    </row>
    <row r="253" spans="13:13">
      <c r="M253" s="680"/>
    </row>
    <row r="254" spans="13:13">
      <c r="M254" s="680"/>
    </row>
    <row r="255" spans="13:13">
      <c r="M255" s="680"/>
    </row>
    <row r="256" spans="13:13">
      <c r="M256" s="680"/>
    </row>
    <row r="257" spans="13:13">
      <c r="M257" s="680"/>
    </row>
    <row r="258" spans="13:13">
      <c r="M258" s="680"/>
    </row>
    <row r="259" spans="13:13">
      <c r="M259" s="680"/>
    </row>
    <row r="260" spans="13:13">
      <c r="M260" s="680"/>
    </row>
    <row r="261" spans="13:13">
      <c r="M261" s="680"/>
    </row>
    <row r="262" spans="13:13">
      <c r="M262" s="680"/>
    </row>
    <row r="263" spans="13:13">
      <c r="M263" s="680"/>
    </row>
    <row r="264" spans="13:13">
      <c r="M264" s="680"/>
    </row>
    <row r="265" spans="13:13">
      <c r="M265" s="680"/>
    </row>
    <row r="266" spans="13:13">
      <c r="M266" s="680"/>
    </row>
    <row r="267" spans="13:13">
      <c r="M267" s="680"/>
    </row>
    <row r="268" spans="13:13">
      <c r="M268" s="680"/>
    </row>
    <row r="269" spans="13:13">
      <c r="M269" s="680"/>
    </row>
    <row r="270" spans="13:13">
      <c r="M270" s="680"/>
    </row>
    <row r="271" spans="13:13">
      <c r="M271" s="680"/>
    </row>
    <row r="272" spans="13:13">
      <c r="M272" s="680"/>
    </row>
    <row r="273" spans="13:13">
      <c r="M273" s="680"/>
    </row>
    <row r="274" spans="13:13">
      <c r="M274" s="680"/>
    </row>
    <row r="275" spans="13:13">
      <c r="M275" s="680"/>
    </row>
    <row r="276" spans="13:13">
      <c r="M276" s="680"/>
    </row>
    <row r="277" spans="13:13">
      <c r="M277" s="680"/>
    </row>
    <row r="278" spans="13:13">
      <c r="M278" s="680"/>
    </row>
    <row r="279" spans="13:13">
      <c r="M279" s="680"/>
    </row>
    <row r="280" spans="13:13">
      <c r="M280" s="680"/>
    </row>
    <row r="281" spans="13:13">
      <c r="M281" s="680"/>
    </row>
    <row r="282" spans="13:13">
      <c r="M282" s="680"/>
    </row>
    <row r="283" spans="13:13">
      <c r="M283" s="680"/>
    </row>
    <row r="284" spans="13:13">
      <c r="M284" s="680"/>
    </row>
    <row r="285" spans="13:13">
      <c r="M285" s="680"/>
    </row>
    <row r="286" spans="13:13">
      <c r="M286" s="680"/>
    </row>
    <row r="287" spans="13:13">
      <c r="M287" s="680"/>
    </row>
    <row r="288" spans="13:13">
      <c r="M288" s="680"/>
    </row>
    <row r="289" spans="13:13">
      <c r="M289" s="680"/>
    </row>
    <row r="290" spans="13:13">
      <c r="M290" s="680"/>
    </row>
    <row r="291" spans="13:13">
      <c r="M291" s="680"/>
    </row>
    <row r="292" spans="13:13">
      <c r="M292" s="680"/>
    </row>
    <row r="293" spans="13:13">
      <c r="M293" s="680"/>
    </row>
    <row r="294" spans="13:13">
      <c r="M294" s="680"/>
    </row>
    <row r="295" spans="13:13">
      <c r="M295" s="680"/>
    </row>
    <row r="296" spans="13:13">
      <c r="M296" s="680"/>
    </row>
    <row r="297" spans="13:13">
      <c r="M297" s="680"/>
    </row>
    <row r="298" spans="13:13">
      <c r="M298" s="680"/>
    </row>
    <row r="299" spans="13:13">
      <c r="M299" s="680"/>
    </row>
    <row r="300" spans="13:13">
      <c r="M300" s="680"/>
    </row>
    <row r="301" spans="13:13">
      <c r="M301" s="680"/>
    </row>
    <row r="302" spans="13:13">
      <c r="M302" s="680"/>
    </row>
    <row r="303" spans="13:13">
      <c r="M303" s="680"/>
    </row>
    <row r="304" spans="13:13">
      <c r="M304" s="680"/>
    </row>
    <row r="305" spans="13:13">
      <c r="M305" s="680"/>
    </row>
    <row r="306" spans="13:13">
      <c r="M306" s="680"/>
    </row>
    <row r="307" spans="13:13">
      <c r="M307" s="680"/>
    </row>
    <row r="308" spans="13:13">
      <c r="M308" s="680"/>
    </row>
    <row r="309" spans="13:13">
      <c r="M309" s="680"/>
    </row>
    <row r="310" spans="13:13">
      <c r="M310" s="680"/>
    </row>
    <row r="311" spans="13:13">
      <c r="M311" s="680"/>
    </row>
    <row r="312" spans="13:13">
      <c r="M312" s="680"/>
    </row>
    <row r="313" spans="13:13">
      <c r="M313" s="680"/>
    </row>
    <row r="314" spans="13:13">
      <c r="M314" s="680"/>
    </row>
    <row r="315" spans="13:13">
      <c r="M315" s="680"/>
    </row>
    <row r="316" spans="13:13">
      <c r="M316" s="680"/>
    </row>
    <row r="317" spans="13:13">
      <c r="M317" s="680"/>
    </row>
    <row r="318" spans="13:13">
      <c r="M318" s="680"/>
    </row>
    <row r="319" spans="13:13">
      <c r="M319" s="680"/>
    </row>
    <row r="320" spans="13:13">
      <c r="M320" s="680"/>
    </row>
    <row r="321" spans="13:13">
      <c r="M321" s="680"/>
    </row>
    <row r="322" spans="13:13">
      <c r="M322" s="680"/>
    </row>
    <row r="323" spans="13:13">
      <c r="M323" s="680"/>
    </row>
    <row r="324" spans="13:13">
      <c r="M324" s="680"/>
    </row>
    <row r="325" spans="13:13">
      <c r="M325" s="680"/>
    </row>
    <row r="326" spans="13:13">
      <c r="M326" s="680"/>
    </row>
    <row r="327" spans="13:13">
      <c r="M327" s="680"/>
    </row>
    <row r="328" spans="13:13">
      <c r="M328" s="680"/>
    </row>
    <row r="329" spans="13:13">
      <c r="M329" s="680"/>
    </row>
    <row r="330" spans="13:13">
      <c r="M330" s="680"/>
    </row>
    <row r="331" spans="13:13">
      <c r="M331" s="680"/>
    </row>
    <row r="332" spans="13:13">
      <c r="M332" s="680"/>
    </row>
    <row r="333" spans="13:13">
      <c r="M333" s="680"/>
    </row>
    <row r="334" spans="13:13">
      <c r="M334" s="680"/>
    </row>
    <row r="335" spans="13:13">
      <c r="M335" s="680"/>
    </row>
    <row r="336" spans="13:13">
      <c r="M336" s="680"/>
    </row>
    <row r="337" spans="13:13">
      <c r="M337" s="680"/>
    </row>
    <row r="338" spans="13:13">
      <c r="M338" s="680"/>
    </row>
    <row r="339" spans="13:13">
      <c r="M339" s="680"/>
    </row>
    <row r="340" spans="13:13">
      <c r="M340" s="680"/>
    </row>
    <row r="341" spans="13:13">
      <c r="M341" s="680"/>
    </row>
    <row r="342" spans="13:13">
      <c r="M342" s="680"/>
    </row>
    <row r="343" spans="13:13">
      <c r="M343" s="680"/>
    </row>
    <row r="344" spans="13:13">
      <c r="M344" s="680"/>
    </row>
    <row r="345" spans="13:13">
      <c r="M345" s="680"/>
    </row>
    <row r="346" spans="13:13">
      <c r="M346" s="680"/>
    </row>
    <row r="347" spans="13:13">
      <c r="M347" s="680"/>
    </row>
    <row r="348" spans="13:13">
      <c r="M348" s="680"/>
    </row>
    <row r="349" spans="13:13">
      <c r="M349" s="680"/>
    </row>
    <row r="350" spans="13:13">
      <c r="M350" s="680"/>
    </row>
    <row r="351" spans="13:13">
      <c r="M351" s="680"/>
    </row>
    <row r="352" spans="13:13">
      <c r="M352" s="680"/>
    </row>
    <row r="353" spans="13:13">
      <c r="M353" s="680"/>
    </row>
    <row r="354" spans="13:13">
      <c r="M354" s="680"/>
    </row>
    <row r="355" spans="13:13">
      <c r="M355" s="680"/>
    </row>
    <row r="356" spans="13:13">
      <c r="M356" s="680"/>
    </row>
    <row r="357" spans="13:13">
      <c r="M357" s="680"/>
    </row>
    <row r="358" spans="13:13">
      <c r="M358" s="680"/>
    </row>
    <row r="359" spans="13:13">
      <c r="M359" s="680"/>
    </row>
    <row r="360" spans="13:13">
      <c r="M360" s="680"/>
    </row>
    <row r="361" spans="13:13">
      <c r="M361" s="680"/>
    </row>
    <row r="362" spans="13:13">
      <c r="M362" s="680"/>
    </row>
    <row r="363" spans="13:13">
      <c r="M363" s="680"/>
    </row>
    <row r="364" spans="13:13">
      <c r="M364" s="680"/>
    </row>
    <row r="365" spans="13:13">
      <c r="M365" s="680"/>
    </row>
    <row r="366" spans="13:13">
      <c r="M366" s="680"/>
    </row>
    <row r="367" spans="13:13">
      <c r="M367" s="680"/>
    </row>
    <row r="368" spans="13:13">
      <c r="M368" s="680"/>
    </row>
    <row r="369" spans="13:13">
      <c r="M369" s="680"/>
    </row>
    <row r="370" spans="13:13">
      <c r="M370" s="680"/>
    </row>
    <row r="371" spans="13:13">
      <c r="M371" s="680"/>
    </row>
    <row r="372" spans="13:13">
      <c r="M372" s="680"/>
    </row>
    <row r="373" spans="13:13">
      <c r="M373" s="680"/>
    </row>
    <row r="374" spans="13:13">
      <c r="M374" s="680"/>
    </row>
    <row r="375" spans="13:13">
      <c r="M375" s="680"/>
    </row>
    <row r="376" spans="13:13">
      <c r="M376" s="680"/>
    </row>
    <row r="377" spans="13:13">
      <c r="M377" s="680"/>
    </row>
    <row r="378" spans="13:13">
      <c r="M378" s="680"/>
    </row>
    <row r="379" spans="13:13">
      <c r="M379" s="680"/>
    </row>
    <row r="380" spans="13:13">
      <c r="M380" s="680"/>
    </row>
    <row r="381" spans="13:13">
      <c r="M381" s="680"/>
    </row>
    <row r="382" spans="13:13">
      <c r="M382" s="680"/>
    </row>
    <row r="383" spans="13:13">
      <c r="M383" s="680"/>
    </row>
    <row r="384" spans="13:13">
      <c r="M384" s="680"/>
    </row>
    <row r="385" spans="13:13">
      <c r="M385" s="680"/>
    </row>
    <row r="386" spans="13:13">
      <c r="M386" s="680"/>
    </row>
    <row r="387" spans="13:13">
      <c r="M387" s="680"/>
    </row>
    <row r="388" spans="13:13">
      <c r="M388" s="680"/>
    </row>
    <row r="389" spans="13:13">
      <c r="M389" s="680"/>
    </row>
    <row r="390" spans="13:13">
      <c r="M390" s="680"/>
    </row>
    <row r="391" spans="13:13">
      <c r="M391" s="680"/>
    </row>
    <row r="392" spans="13:13">
      <c r="M392" s="680"/>
    </row>
    <row r="393" spans="13:13">
      <c r="M393" s="680"/>
    </row>
    <row r="394" spans="13:13">
      <c r="M394" s="680"/>
    </row>
    <row r="395" spans="13:13">
      <c r="M395" s="680"/>
    </row>
    <row r="396" spans="13:13">
      <c r="M396" s="680"/>
    </row>
    <row r="397" spans="13:13">
      <c r="M397" s="680"/>
    </row>
    <row r="398" spans="13:13">
      <c r="M398" s="680"/>
    </row>
    <row r="399" spans="13:13">
      <c r="M399" s="680"/>
    </row>
    <row r="400" spans="13:13">
      <c r="M400" s="680"/>
    </row>
    <row r="401" spans="13:13">
      <c r="M401" s="680"/>
    </row>
    <row r="402" spans="13:13">
      <c r="M402" s="680"/>
    </row>
    <row r="403" spans="13:13">
      <c r="M403" s="680"/>
    </row>
    <row r="404" spans="13:13">
      <c r="M404" s="680"/>
    </row>
    <row r="405" spans="13:13">
      <c r="M405" s="680"/>
    </row>
    <row r="406" spans="13:13">
      <c r="M406" s="680"/>
    </row>
    <row r="407" spans="13:13">
      <c r="M407" s="680"/>
    </row>
    <row r="408" spans="13:13">
      <c r="M408" s="680"/>
    </row>
    <row r="409" spans="13:13">
      <c r="M409" s="680"/>
    </row>
    <row r="410" spans="13:13">
      <c r="M410" s="680"/>
    </row>
    <row r="411" spans="13:13">
      <c r="M411" s="680"/>
    </row>
    <row r="412" spans="13:13">
      <c r="M412" s="680"/>
    </row>
    <row r="413" spans="13:13">
      <c r="M413" s="680"/>
    </row>
    <row r="414" spans="13:13">
      <c r="M414" s="680"/>
    </row>
    <row r="415" spans="13:13">
      <c r="M415" s="680"/>
    </row>
    <row r="416" spans="13:13">
      <c r="M416" s="680"/>
    </row>
    <row r="417" spans="13:13">
      <c r="M417" s="680"/>
    </row>
    <row r="418" spans="13:13">
      <c r="M418" s="680"/>
    </row>
    <row r="419" spans="13:13">
      <c r="M419" s="680"/>
    </row>
    <row r="420" spans="13:13">
      <c r="M420" s="680"/>
    </row>
    <row r="421" spans="13:13">
      <c r="M421" s="680"/>
    </row>
  </sheetData>
  <mergeCells count="1">
    <mergeCell ref="B1:D1"/>
  </mergeCells>
  <dataValidations count="1">
    <dataValidation type="list" allowBlank="1" showInputMessage="1" showErrorMessage="1" sqref="C6" xr:uid="{B010D27F-FE28-45EF-9735-766371274B05}">
      <formula1>$A$63:$A$65</formula1>
    </dataValidation>
  </dataValidations>
  <pageMargins left="0.75" right="0.75" top="1" bottom="1" header="0" footer="0"/>
  <pageSetup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E1FCD-DCE4-4CC8-9018-E50F6E6D6146}">
  <sheetPr codeName="Hoja18"/>
  <dimension ref="A1:Z417"/>
  <sheetViews>
    <sheetView view="pageBreakPreview" zoomScale="80" zoomScaleNormal="75" workbookViewId="0">
      <pane ySplit="12" topLeftCell="A13" activePane="bottomLeft" state="frozen"/>
      <selection activeCell="A2" sqref="A2:K6"/>
      <selection pane="bottomLeft" activeCell="A2" sqref="A2:K6"/>
    </sheetView>
  </sheetViews>
  <sheetFormatPr baseColWidth="10" defaultColWidth="11.5546875" defaultRowHeight="13.2"/>
  <cols>
    <col min="1" max="1" width="11.5546875" style="727"/>
    <col min="2" max="2" width="12.6640625" style="727" customWidth="1"/>
    <col min="3" max="3" width="12" style="727" bestFit="1" customWidth="1"/>
    <col min="4" max="4" width="8.5546875" style="727" customWidth="1"/>
    <col min="5" max="5" width="20.33203125" style="727" customWidth="1"/>
    <col min="6" max="6" width="10.33203125" style="727" customWidth="1"/>
    <col min="7" max="7" width="3.33203125" style="727" customWidth="1"/>
    <col min="8" max="8" width="8.33203125" style="727" customWidth="1"/>
    <col min="9" max="9" width="4.44140625" style="727" customWidth="1"/>
    <col min="10" max="10" width="16" style="727" bestFit="1" customWidth="1"/>
    <col min="11" max="11" width="5.6640625" style="727" bestFit="1" customWidth="1"/>
    <col min="12" max="12" width="13.44140625" style="727" bestFit="1" customWidth="1"/>
    <col min="13" max="13" width="16" style="727" bestFit="1" customWidth="1"/>
    <col min="14" max="14" width="12.6640625" style="727" customWidth="1"/>
    <col min="15" max="15" width="12.44140625" style="727" customWidth="1"/>
    <col min="16" max="16" width="10.6640625" style="727" customWidth="1"/>
    <col min="17" max="17" width="12.6640625" style="727" customWidth="1"/>
    <col min="18" max="18" width="12.5546875" style="727" customWidth="1"/>
    <col min="19" max="19" width="11.5546875" style="727"/>
    <col min="20" max="20" width="9.5546875" style="727" customWidth="1"/>
    <col min="21" max="22" width="11.5546875" style="727"/>
    <col min="23" max="23" width="10.44140625" style="727" customWidth="1"/>
    <col min="24" max="24" width="11.5546875" style="727"/>
    <col min="25" max="26" width="13.5546875" style="727" customWidth="1"/>
    <col min="27" max="16384" width="11.5546875" style="727"/>
  </cols>
  <sheetData>
    <row r="1" spans="1:24">
      <c r="B1" s="728" t="s">
        <v>278</v>
      </c>
      <c r="C1" s="729" t="e">
        <f>#REF!</f>
        <v>#REF!</v>
      </c>
      <c r="E1" s="730" t="s">
        <v>220</v>
      </c>
      <c r="P1" s="731" t="s">
        <v>151</v>
      </c>
    </row>
    <row r="2" spans="1:24" ht="13.8" thickBot="1">
      <c r="B2" s="728" t="s">
        <v>279</v>
      </c>
      <c r="C2" s="729" t="e">
        <f>#REF!</f>
        <v>#REF!</v>
      </c>
      <c r="D2" s="732" t="s">
        <v>140</v>
      </c>
      <c r="E2" s="733" t="s">
        <v>1099</v>
      </c>
    </row>
    <row r="3" spans="1:24">
      <c r="B3" s="728" t="s">
        <v>161</v>
      </c>
      <c r="C3" s="729" t="e">
        <f>#REF!</f>
        <v>#REF!</v>
      </c>
      <c r="D3" s="732" t="s">
        <v>140</v>
      </c>
      <c r="E3" s="733"/>
      <c r="M3" s="734" t="s">
        <v>3</v>
      </c>
      <c r="N3" s="734" t="s">
        <v>155</v>
      </c>
      <c r="O3" s="734" t="s">
        <v>156</v>
      </c>
      <c r="P3" s="734" t="s">
        <v>157</v>
      </c>
      <c r="Q3" s="734" t="s">
        <v>158</v>
      </c>
      <c r="R3" s="734" t="s">
        <v>159</v>
      </c>
      <c r="S3" s="735" t="s">
        <v>160</v>
      </c>
    </row>
    <row r="4" spans="1:24" ht="13.8" thickBot="1">
      <c r="A4" s="736"/>
      <c r="B4" s="728" t="s">
        <v>281</v>
      </c>
      <c r="C4" s="729" t="e">
        <f>#REF!</f>
        <v>#REF!</v>
      </c>
      <c r="D4" s="727" t="s">
        <v>140</v>
      </c>
      <c r="M4" s="737" t="s">
        <v>163</v>
      </c>
      <c r="N4" s="737" t="s">
        <v>163</v>
      </c>
      <c r="O4" s="737" t="s">
        <v>163</v>
      </c>
      <c r="P4" s="737" t="s">
        <v>153</v>
      </c>
      <c r="Q4" s="737" t="s">
        <v>153</v>
      </c>
      <c r="R4" s="737" t="s">
        <v>153</v>
      </c>
      <c r="S4" s="738" t="s">
        <v>153</v>
      </c>
    </row>
    <row r="5" spans="1:24" ht="13.8" thickBot="1">
      <c r="C5" s="739" t="s">
        <v>152</v>
      </c>
      <c r="D5" s="734" t="s">
        <v>153</v>
      </c>
      <c r="E5" s="735" t="s">
        <v>154</v>
      </c>
      <c r="M5" s="740"/>
      <c r="N5" s="740"/>
      <c r="O5" s="740"/>
      <c r="P5" s="740"/>
      <c r="Q5" s="740"/>
      <c r="R5" s="740" t="s">
        <v>166</v>
      </c>
      <c r="S5" s="741" t="s">
        <v>167</v>
      </c>
    </row>
    <row r="6" spans="1:24">
      <c r="A6" s="742"/>
      <c r="B6" s="743" t="s">
        <v>161</v>
      </c>
      <c r="C6" s="744" t="s">
        <v>162</v>
      </c>
      <c r="D6" s="745" t="e">
        <f>$C$3</f>
        <v>#REF!</v>
      </c>
      <c r="E6" s="746" t="e">
        <f t="shared" ref="E6:E11" si="0">D6/25.4</f>
        <v>#REF!</v>
      </c>
      <c r="M6" s="744" t="s">
        <v>99</v>
      </c>
      <c r="N6" s="745" t="s">
        <v>282</v>
      </c>
      <c r="O6" s="745" t="s">
        <v>282</v>
      </c>
      <c r="P6" s="745">
        <v>257</v>
      </c>
      <c r="Q6" s="745">
        <v>1118</v>
      </c>
      <c r="R6" s="745">
        <v>1118</v>
      </c>
      <c r="S6" s="747">
        <v>453</v>
      </c>
    </row>
    <row r="7" spans="1:24">
      <c r="A7" s="748"/>
      <c r="B7" s="749" t="s">
        <v>283</v>
      </c>
      <c r="C7" s="708" t="s">
        <v>284</v>
      </c>
      <c r="D7" s="750" t="e">
        <f>VLOOKUP(CONCATENATE($C$1,C7),$A$18:$B$56,2,FALSE)</f>
        <v>#REF!</v>
      </c>
      <c r="E7" s="751" t="e">
        <f t="shared" si="0"/>
        <v>#REF!</v>
      </c>
      <c r="M7" s="708" t="s">
        <v>852</v>
      </c>
      <c r="N7" s="750" t="s">
        <v>282</v>
      </c>
      <c r="O7" s="750" t="s">
        <v>282</v>
      </c>
      <c r="P7" s="750">
        <v>257</v>
      </c>
      <c r="Q7" s="750">
        <v>1118</v>
      </c>
      <c r="R7" s="750">
        <v>1118</v>
      </c>
      <c r="S7" s="752">
        <v>453</v>
      </c>
    </row>
    <row r="8" spans="1:24">
      <c r="A8" s="748"/>
      <c r="B8" s="749" t="s">
        <v>168</v>
      </c>
      <c r="C8" s="708" t="s">
        <v>285</v>
      </c>
      <c r="D8" s="750" t="e">
        <f>VLOOKUP(CONCATENATE($C$1,C8),$A$18:$B$56,2,FALSE)</f>
        <v>#REF!</v>
      </c>
      <c r="E8" s="751" t="e">
        <f t="shared" si="0"/>
        <v>#REF!</v>
      </c>
      <c r="H8" s="727" t="s">
        <v>286</v>
      </c>
      <c r="M8" s="708" t="s">
        <v>106</v>
      </c>
      <c r="N8" s="750" t="s">
        <v>287</v>
      </c>
      <c r="O8" s="750" t="s">
        <v>282</v>
      </c>
      <c r="P8" s="750">
        <v>257</v>
      </c>
      <c r="Q8" s="750">
        <v>1118</v>
      </c>
      <c r="R8" s="750">
        <v>1118</v>
      </c>
      <c r="S8" s="752">
        <v>453</v>
      </c>
    </row>
    <row r="9" spans="1:24" ht="13.8" thickBot="1">
      <c r="A9" s="748"/>
      <c r="B9" s="749" t="s">
        <v>172</v>
      </c>
      <c r="C9" s="708" t="s">
        <v>169</v>
      </c>
      <c r="D9" s="750" t="e">
        <f>VLOOKUP(CONCATENATE($C$1,C9),$A$18:$B$56,2,FALSE)</f>
        <v>#REF!</v>
      </c>
      <c r="E9" s="751" t="e">
        <f t="shared" si="0"/>
        <v>#REF!</v>
      </c>
      <c r="H9" s="727" t="s">
        <v>288</v>
      </c>
      <c r="J9" s="727" t="s">
        <v>289</v>
      </c>
      <c r="M9" s="753" t="s">
        <v>854</v>
      </c>
      <c r="N9" s="754" t="s">
        <v>287</v>
      </c>
      <c r="O9" s="754" t="s">
        <v>282</v>
      </c>
      <c r="P9" s="754">
        <v>257</v>
      </c>
      <c r="Q9" s="754">
        <v>1118</v>
      </c>
      <c r="R9" s="754">
        <v>1118</v>
      </c>
      <c r="S9" s="755">
        <v>453</v>
      </c>
    </row>
    <row r="10" spans="1:24">
      <c r="A10" s="748"/>
      <c r="B10" s="749" t="s">
        <v>176</v>
      </c>
      <c r="C10" s="756" t="s">
        <v>290</v>
      </c>
      <c r="D10" s="757" t="e">
        <f>VLOOKUP(CONCATENATE($C$1,C10),$A$18:$B$56,2,FALSE)</f>
        <v>#REF!</v>
      </c>
      <c r="E10" s="758" t="e">
        <f t="shared" si="0"/>
        <v>#REF!</v>
      </c>
    </row>
    <row r="11" spans="1:24" ht="13.8" thickBot="1">
      <c r="A11" s="759"/>
      <c r="B11" s="760" t="s">
        <v>291</v>
      </c>
      <c r="C11" s="753" t="s">
        <v>165</v>
      </c>
      <c r="D11" s="754" t="e">
        <f>VLOOKUP(CONCATENATE($C$1,C11),$A$18:$B$56,2,FALSE)</f>
        <v>#REF!</v>
      </c>
      <c r="E11" s="761" t="e">
        <f t="shared" si="0"/>
        <v>#REF!</v>
      </c>
      <c r="H11" s="727" t="s">
        <v>292</v>
      </c>
    </row>
    <row r="13" spans="1:24">
      <c r="X13" s="731"/>
    </row>
    <row r="14" spans="1:24">
      <c r="X14" s="731" t="s">
        <v>293</v>
      </c>
    </row>
    <row r="15" spans="1:24">
      <c r="P15" s="731" t="s">
        <v>294</v>
      </c>
      <c r="X15" s="731" t="s">
        <v>1100</v>
      </c>
    </row>
    <row r="16" spans="1:24" ht="13.8" thickBot="1"/>
    <row r="17" spans="1:26" ht="13.8" thickBot="1">
      <c r="M17" s="762"/>
      <c r="N17" s="734" t="s">
        <v>15</v>
      </c>
      <c r="O17" s="734" t="s">
        <v>159</v>
      </c>
      <c r="P17" s="734" t="s">
        <v>160</v>
      </c>
      <c r="Q17" s="734" t="s">
        <v>182</v>
      </c>
      <c r="R17" s="734" t="s">
        <v>182</v>
      </c>
      <c r="V17" s="734" t="s">
        <v>15</v>
      </c>
      <c r="W17" s="734" t="s">
        <v>159</v>
      </c>
      <c r="X17" s="734" t="s">
        <v>160</v>
      </c>
      <c r="Y17" s="734" t="s">
        <v>182</v>
      </c>
      <c r="Z17" s="734" t="s">
        <v>182</v>
      </c>
    </row>
    <row r="18" spans="1:26" ht="13.8" thickBot="1">
      <c r="A18" s="734" t="s">
        <v>183</v>
      </c>
      <c r="B18" s="734" t="s">
        <v>184</v>
      </c>
      <c r="C18" s="763"/>
      <c r="D18" s="728" t="s">
        <v>185</v>
      </c>
      <c r="N18" s="740" t="s">
        <v>186</v>
      </c>
      <c r="O18" s="740" t="s">
        <v>153</v>
      </c>
      <c r="P18" s="740" t="s">
        <v>153</v>
      </c>
      <c r="Q18" s="740" t="s">
        <v>155</v>
      </c>
      <c r="R18" s="740" t="s">
        <v>156</v>
      </c>
      <c r="V18" s="740" t="s">
        <v>186</v>
      </c>
      <c r="W18" s="740" t="s">
        <v>153</v>
      </c>
      <c r="X18" s="740" t="s">
        <v>153</v>
      </c>
      <c r="Y18" s="740" t="s">
        <v>155</v>
      </c>
      <c r="Z18" s="740" t="s">
        <v>156</v>
      </c>
    </row>
    <row r="19" spans="1:26" ht="13.8" thickBot="1">
      <c r="A19" s="764"/>
      <c r="B19" s="740" t="s">
        <v>153</v>
      </c>
      <c r="D19" s="763"/>
      <c r="E19" s="736" t="s">
        <v>296</v>
      </c>
      <c r="F19" s="763" t="e">
        <f>$D$6</f>
        <v>#REF!</v>
      </c>
      <c r="G19" s="731" t="s">
        <v>132</v>
      </c>
      <c r="H19" s="763" t="e">
        <f>2*$D$7</f>
        <v>#REF!</v>
      </c>
      <c r="I19" s="763" t="s">
        <v>189</v>
      </c>
      <c r="J19" s="765" t="e">
        <f>$F$19-$H$19</f>
        <v>#REF!</v>
      </c>
      <c r="K19" s="732" t="s">
        <v>297</v>
      </c>
      <c r="N19" s="744">
        <v>1099</v>
      </c>
      <c r="O19" s="766">
        <f t="shared" ref="O19:O82" si="1">IF(N19-$P$6-($Q$6*R19)&gt;$S$6,N19-$P$6-($Q$6*R19)-40,0)</f>
        <v>802</v>
      </c>
      <c r="P19" s="766">
        <f t="shared" ref="P19:P82" si="2">N19-$P$6-($Q$6*R19)-O19</f>
        <v>40</v>
      </c>
      <c r="Q19" s="766">
        <f t="shared" ref="Q19:Q82" si="3">ROUNDUP((N19/$Q$6),0)-IF(N19-$P$6-($Q$6*(ROUNDUP((N19/$Q$6),0)-1))&lt;0,1,0)+IF(O19&lt;&gt;0,1,0)</f>
        <v>2</v>
      </c>
      <c r="R19" s="767">
        <f t="shared" ref="R19:R82" si="4">ROUNDUP((N19/$Q$6),0)-IF(N19-$P$6-($Q$6*(ROUNDUP((N19/$Q$6),0)-1))&lt;0,2,1)</f>
        <v>0</v>
      </c>
      <c r="V19" s="768">
        <f>101.6*14</f>
        <v>1422.3999999999999</v>
      </c>
      <c r="W19" s="766">
        <f>IF(V19-$P$7-($Q$7*Z19)&gt;$S$7,V19-$P$7-($Q$7*Z19)-149,0)</f>
        <v>0</v>
      </c>
      <c r="X19" s="766">
        <f t="shared" ref="X19:X82" si="5">V19-$P$7-($Q$7*Z19)-W19</f>
        <v>47.399999999999864</v>
      </c>
      <c r="Y19" s="766">
        <f t="shared" ref="Y19:Y82" si="6">ROUNDUP((V19/$Q$7),0)-IF(V19-$P$7-($Q$7*(ROUNDUP((V19/$Q$7),0)-1))&lt;0,1,0)+IF(W19&lt;&gt;0,1,0)</f>
        <v>2</v>
      </c>
      <c r="Z19" s="767">
        <f t="shared" ref="Z19:Z82" si="7">ROUNDUP((V19/$Q$7),0)-IF(V19-$P$7-($Q$7*(ROUNDUP((V19/$Q$7),0)-1))&lt;0,2,1)</f>
        <v>1</v>
      </c>
    </row>
    <row r="20" spans="1:26">
      <c r="A20" s="744" t="s">
        <v>1101</v>
      </c>
      <c r="B20" s="769">
        <v>76</v>
      </c>
      <c r="N20" s="708">
        <v>1132</v>
      </c>
      <c r="O20" s="770">
        <f t="shared" si="1"/>
        <v>835</v>
      </c>
      <c r="P20" s="770">
        <f t="shared" si="2"/>
        <v>40</v>
      </c>
      <c r="Q20" s="770">
        <f t="shared" si="3"/>
        <v>2</v>
      </c>
      <c r="R20" s="771">
        <f t="shared" si="4"/>
        <v>0</v>
      </c>
      <c r="V20" s="772">
        <f>V19+101.6</f>
        <v>1523.9999999999998</v>
      </c>
      <c r="W20" s="770">
        <f>IF(V20-$P$7-($Q$7*Z20)&gt;$S$7,V20-$P$7-($Q$7*Z20)-149,0)</f>
        <v>0</v>
      </c>
      <c r="X20" s="770">
        <f t="shared" si="5"/>
        <v>148.99999999999977</v>
      </c>
      <c r="Y20" s="770">
        <f t="shared" si="6"/>
        <v>2</v>
      </c>
      <c r="Z20" s="771">
        <f t="shared" si="7"/>
        <v>1</v>
      </c>
    </row>
    <row r="21" spans="1:26">
      <c r="A21" s="708" t="s">
        <v>1102</v>
      </c>
      <c r="B21" s="709">
        <v>25</v>
      </c>
      <c r="D21" s="728" t="s">
        <v>192</v>
      </c>
      <c r="N21" s="708">
        <v>1166</v>
      </c>
      <c r="O21" s="770">
        <f t="shared" si="1"/>
        <v>869</v>
      </c>
      <c r="P21" s="770">
        <f t="shared" si="2"/>
        <v>40</v>
      </c>
      <c r="Q21" s="770">
        <f t="shared" si="3"/>
        <v>2</v>
      </c>
      <c r="R21" s="771">
        <f t="shared" si="4"/>
        <v>0</v>
      </c>
      <c r="V21" s="772">
        <f t="shared" ref="V21:V84" si="8">V20+101.6</f>
        <v>1625.5999999999997</v>
      </c>
      <c r="W21" s="770">
        <f t="shared" ref="W21:W84" si="9">IF(V21-$P$7-($Q$7*Z21)&gt;$S$7,V21-$P$7-($Q$7*Z21)-149,0)</f>
        <v>0</v>
      </c>
      <c r="X21" s="770">
        <f t="shared" si="5"/>
        <v>250.59999999999968</v>
      </c>
      <c r="Y21" s="770">
        <f t="shared" si="6"/>
        <v>2</v>
      </c>
      <c r="Z21" s="771">
        <f t="shared" si="7"/>
        <v>1</v>
      </c>
    </row>
    <row r="22" spans="1:26" ht="13.8" thickBot="1">
      <c r="A22" s="708" t="s">
        <v>1103</v>
      </c>
      <c r="B22" s="709">
        <v>3.2</v>
      </c>
      <c r="N22" s="708">
        <v>1199</v>
      </c>
      <c r="O22" s="770">
        <f t="shared" si="1"/>
        <v>902</v>
      </c>
      <c r="P22" s="770">
        <f t="shared" si="2"/>
        <v>40</v>
      </c>
      <c r="Q22" s="770">
        <f t="shared" si="3"/>
        <v>2</v>
      </c>
      <c r="R22" s="771">
        <f t="shared" si="4"/>
        <v>0</v>
      </c>
      <c r="V22" s="772">
        <f t="shared" si="8"/>
        <v>1727.1999999999996</v>
      </c>
      <c r="W22" s="770">
        <f t="shared" si="9"/>
        <v>0</v>
      </c>
      <c r="X22" s="770">
        <f t="shared" si="5"/>
        <v>352.19999999999959</v>
      </c>
      <c r="Y22" s="770">
        <f t="shared" si="6"/>
        <v>2</v>
      </c>
      <c r="Z22" s="771">
        <f t="shared" si="7"/>
        <v>1</v>
      </c>
    </row>
    <row r="23" spans="1:26" ht="13.8" thickBot="1">
      <c r="A23" s="708" t="s">
        <v>1104</v>
      </c>
      <c r="B23" s="709">
        <v>3.2</v>
      </c>
      <c r="E23" s="736" t="s">
        <v>302</v>
      </c>
      <c r="F23" s="763" t="e">
        <f>($D$6-($D$11+$D$11+$D$9))^2</f>
        <v>#REF!</v>
      </c>
      <c r="G23" s="763" t="s">
        <v>196</v>
      </c>
      <c r="H23" s="763" t="e">
        <f>($D$8-(2*$D$10))^2</f>
        <v>#REF!</v>
      </c>
      <c r="I23" s="763" t="s">
        <v>189</v>
      </c>
      <c r="J23" s="773" t="e">
        <f>SQRT($F$23+$H$23)</f>
        <v>#REF!</v>
      </c>
      <c r="K23" s="732" t="s">
        <v>140</v>
      </c>
      <c r="N23" s="708">
        <v>1232</v>
      </c>
      <c r="O23" s="770">
        <f t="shared" si="1"/>
        <v>935</v>
      </c>
      <c r="P23" s="770">
        <f t="shared" si="2"/>
        <v>40</v>
      </c>
      <c r="Q23" s="770">
        <f t="shared" si="3"/>
        <v>2</v>
      </c>
      <c r="R23" s="771">
        <f t="shared" si="4"/>
        <v>0</v>
      </c>
      <c r="V23" s="772">
        <f t="shared" si="8"/>
        <v>1828.7999999999995</v>
      </c>
      <c r="W23" s="770">
        <f>IF(V23-$P$7-($Q$7*Z23)&gt;$S$7,V23-$P$7-($Q$7*Z23)-149,0)</f>
        <v>304.7999999999995</v>
      </c>
      <c r="X23" s="770">
        <f>V23-$P$7-($Q$7*Z23)-W23</f>
        <v>149</v>
      </c>
      <c r="Y23" s="770">
        <f t="shared" si="6"/>
        <v>3</v>
      </c>
      <c r="Z23" s="771">
        <f t="shared" si="7"/>
        <v>1</v>
      </c>
    </row>
    <row r="24" spans="1:26">
      <c r="A24" s="708" t="s">
        <v>1105</v>
      </c>
      <c r="B24" s="709">
        <v>1118</v>
      </c>
      <c r="K24" s="774"/>
      <c r="N24" s="708">
        <v>1266</v>
      </c>
      <c r="O24" s="770">
        <f t="shared" si="1"/>
        <v>969</v>
      </c>
      <c r="P24" s="770">
        <f t="shared" si="2"/>
        <v>40</v>
      </c>
      <c r="Q24" s="770">
        <f t="shared" si="3"/>
        <v>2</v>
      </c>
      <c r="R24" s="771">
        <f t="shared" si="4"/>
        <v>0</v>
      </c>
      <c r="V24" s="772">
        <f t="shared" si="8"/>
        <v>1930.3999999999994</v>
      </c>
      <c r="W24" s="770">
        <f t="shared" si="9"/>
        <v>406.39999999999941</v>
      </c>
      <c r="X24" s="770">
        <f t="shared" si="5"/>
        <v>149</v>
      </c>
      <c r="Y24" s="770">
        <f t="shared" si="6"/>
        <v>3</v>
      </c>
      <c r="Z24" s="771">
        <f t="shared" si="7"/>
        <v>1</v>
      </c>
    </row>
    <row r="25" spans="1:26" ht="13.8" thickBot="1">
      <c r="A25" s="708" t="s">
        <v>1106</v>
      </c>
      <c r="B25" s="709">
        <v>5.21</v>
      </c>
      <c r="C25" s="763"/>
      <c r="D25" s="763"/>
      <c r="N25" s="708">
        <v>1299</v>
      </c>
      <c r="O25" s="770">
        <f t="shared" si="1"/>
        <v>1002</v>
      </c>
      <c r="P25" s="770">
        <f t="shared" si="2"/>
        <v>40</v>
      </c>
      <c r="Q25" s="770">
        <f t="shared" si="3"/>
        <v>2</v>
      </c>
      <c r="R25" s="771">
        <f t="shared" si="4"/>
        <v>0</v>
      </c>
      <c r="V25" s="772">
        <f t="shared" si="8"/>
        <v>2031.9999999999993</v>
      </c>
      <c r="W25" s="770">
        <f t="shared" si="9"/>
        <v>507.99999999999932</v>
      </c>
      <c r="X25" s="770">
        <f t="shared" si="5"/>
        <v>149</v>
      </c>
      <c r="Y25" s="770">
        <f t="shared" si="6"/>
        <v>3</v>
      </c>
      <c r="Z25" s="771">
        <f t="shared" si="7"/>
        <v>1</v>
      </c>
    </row>
    <row r="26" spans="1:26" ht="13.8" thickBot="1">
      <c r="A26" s="711" t="s">
        <v>1107</v>
      </c>
      <c r="B26" s="712">
        <v>1</v>
      </c>
      <c r="C26" s="763"/>
      <c r="D26" s="728" t="s">
        <v>200</v>
      </c>
      <c r="E26" s="765" t="e">
        <f>$C$1</f>
        <v>#REF!</v>
      </c>
      <c r="F26" s="774"/>
      <c r="N26" s="708">
        <v>1332</v>
      </c>
      <c r="O26" s="770">
        <f t="shared" si="1"/>
        <v>1035</v>
      </c>
      <c r="P26" s="770">
        <f t="shared" si="2"/>
        <v>40</v>
      </c>
      <c r="Q26" s="770">
        <f t="shared" si="3"/>
        <v>2</v>
      </c>
      <c r="R26" s="771">
        <f t="shared" si="4"/>
        <v>0</v>
      </c>
      <c r="V26" s="772">
        <f t="shared" si="8"/>
        <v>2133.5999999999995</v>
      </c>
      <c r="W26" s="770">
        <f t="shared" si="9"/>
        <v>609.59999999999945</v>
      </c>
      <c r="X26" s="770">
        <f t="shared" si="5"/>
        <v>149</v>
      </c>
      <c r="Y26" s="770">
        <f t="shared" si="6"/>
        <v>3</v>
      </c>
      <c r="Z26" s="771">
        <f t="shared" si="7"/>
        <v>1</v>
      </c>
    </row>
    <row r="27" spans="1:26" ht="13.8" thickBot="1">
      <c r="A27" s="711" t="s">
        <v>1108</v>
      </c>
      <c r="B27" s="712">
        <v>1.83</v>
      </c>
      <c r="C27" s="763"/>
      <c r="D27" s="763"/>
      <c r="E27" s="763"/>
      <c r="F27" s="763"/>
      <c r="N27" s="708">
        <v>1365</v>
      </c>
      <c r="O27" s="770">
        <f t="shared" si="1"/>
        <v>1068</v>
      </c>
      <c r="P27" s="770">
        <f t="shared" si="2"/>
        <v>40</v>
      </c>
      <c r="Q27" s="770">
        <f t="shared" si="3"/>
        <v>2</v>
      </c>
      <c r="R27" s="771">
        <f t="shared" si="4"/>
        <v>0</v>
      </c>
      <c r="V27" s="772">
        <f t="shared" si="8"/>
        <v>2235.1999999999994</v>
      </c>
      <c r="W27" s="770">
        <f t="shared" si="9"/>
        <v>711.19999999999936</v>
      </c>
      <c r="X27" s="770">
        <f t="shared" si="5"/>
        <v>149</v>
      </c>
      <c r="Y27" s="770">
        <f t="shared" si="6"/>
        <v>3</v>
      </c>
      <c r="Z27" s="771">
        <f t="shared" si="7"/>
        <v>1</v>
      </c>
    </row>
    <row r="28" spans="1:26" ht="13.8" thickBot="1">
      <c r="A28" s="713" t="s">
        <v>1109</v>
      </c>
      <c r="B28" s="714">
        <v>1.83</v>
      </c>
      <c r="C28" s="763"/>
      <c r="D28" s="736" t="s">
        <v>32</v>
      </c>
      <c r="E28" s="775" t="s">
        <v>203</v>
      </c>
      <c r="F28" s="776" t="e">
        <f>VLOOKUP(CONCATENATE($E$26,D28),$A$18:$B$56,2,FALSE)</f>
        <v>#REF!</v>
      </c>
      <c r="G28" s="763" t="s">
        <v>189</v>
      </c>
      <c r="H28" s="777" t="e">
        <f>2*$F$28*($C$2/1000)</f>
        <v>#REF!</v>
      </c>
      <c r="I28" s="732" t="s">
        <v>204</v>
      </c>
      <c r="K28" s="776" t="e">
        <f>VLOOKUP(CONCATENATE($E$26,D28),$A$18:$B$56,2,FALSE)</f>
        <v>#REF!</v>
      </c>
      <c r="L28" s="763" t="s">
        <v>189</v>
      </c>
      <c r="M28" s="777" t="e">
        <f>2*$F$28*($C$4/1000)</f>
        <v>#REF!</v>
      </c>
      <c r="N28" s="708">
        <v>1399</v>
      </c>
      <c r="O28" s="770">
        <f t="shared" si="1"/>
        <v>0</v>
      </c>
      <c r="P28" s="770">
        <f t="shared" si="2"/>
        <v>24</v>
      </c>
      <c r="Q28" s="770">
        <f t="shared" si="3"/>
        <v>2</v>
      </c>
      <c r="R28" s="771">
        <f t="shared" si="4"/>
        <v>1</v>
      </c>
      <c r="V28" s="772">
        <f t="shared" si="8"/>
        <v>2336.7999999999993</v>
      </c>
      <c r="W28" s="770">
        <f t="shared" si="9"/>
        <v>812.79999999999927</v>
      </c>
      <c r="X28" s="770">
        <f t="shared" si="5"/>
        <v>149</v>
      </c>
      <c r="Y28" s="770">
        <f t="shared" si="6"/>
        <v>3</v>
      </c>
      <c r="Z28" s="771">
        <f t="shared" si="7"/>
        <v>1</v>
      </c>
    </row>
    <row r="29" spans="1:26" ht="13.8" thickBot="1">
      <c r="A29" s="744" t="s">
        <v>1110</v>
      </c>
      <c r="B29" s="769">
        <v>76</v>
      </c>
      <c r="D29" s="736" t="s">
        <v>206</v>
      </c>
      <c r="E29" s="775" t="s">
        <v>207</v>
      </c>
      <c r="F29" s="776">
        <v>1</v>
      </c>
      <c r="G29" s="763" t="s">
        <v>189</v>
      </c>
      <c r="H29" s="777">
        <f>2*$F$29</f>
        <v>2</v>
      </c>
      <c r="I29" s="732" t="s">
        <v>204</v>
      </c>
      <c r="N29" s="708">
        <v>1432</v>
      </c>
      <c r="O29" s="770">
        <f t="shared" si="1"/>
        <v>0</v>
      </c>
      <c r="P29" s="770">
        <f t="shared" si="2"/>
        <v>57</v>
      </c>
      <c r="Q29" s="770">
        <f t="shared" si="3"/>
        <v>2</v>
      </c>
      <c r="R29" s="771">
        <f t="shared" si="4"/>
        <v>1</v>
      </c>
      <c r="V29" s="772">
        <f t="shared" si="8"/>
        <v>2438.3999999999992</v>
      </c>
      <c r="W29" s="770">
        <f t="shared" si="9"/>
        <v>914.39999999999918</v>
      </c>
      <c r="X29" s="770">
        <f t="shared" si="5"/>
        <v>149</v>
      </c>
      <c r="Y29" s="770">
        <f t="shared" si="6"/>
        <v>3</v>
      </c>
      <c r="Z29" s="771">
        <f t="shared" si="7"/>
        <v>1</v>
      </c>
    </row>
    <row r="30" spans="1:26" ht="13.8" thickBot="1">
      <c r="A30" s="708" t="s">
        <v>1111</v>
      </c>
      <c r="B30" s="709">
        <v>25</v>
      </c>
      <c r="D30" s="736" t="s">
        <v>155</v>
      </c>
      <c r="E30" s="775" t="s">
        <v>209</v>
      </c>
      <c r="F30" s="776" t="e">
        <f>VLOOKUP(CONCATENATE($E$26,D30),$A$18:$B$56,2,FALSE)</f>
        <v>#REF!</v>
      </c>
      <c r="G30" s="763" t="s">
        <v>189</v>
      </c>
      <c r="H30" s="778" t="e">
        <f>($F$30*($J$19/1000))*VLOOKUP(C2,IF(E26="M50",N19:R197,V19:Z202),4,1)</f>
        <v>#REF!</v>
      </c>
      <c r="I30" s="732" t="s">
        <v>204</v>
      </c>
      <c r="K30" s="727" t="e">
        <f>VLOOKUP(C2,IF(E26="M50",N19:R197,V19:Z192),4,1)</f>
        <v>#REF!</v>
      </c>
      <c r="N30" s="708">
        <v>1465</v>
      </c>
      <c r="O30" s="770">
        <f t="shared" si="1"/>
        <v>0</v>
      </c>
      <c r="P30" s="770">
        <f t="shared" si="2"/>
        <v>90</v>
      </c>
      <c r="Q30" s="770">
        <f t="shared" si="3"/>
        <v>2</v>
      </c>
      <c r="R30" s="771">
        <f t="shared" si="4"/>
        <v>1</v>
      </c>
      <c r="V30" s="772">
        <f t="shared" si="8"/>
        <v>2539.9999999999991</v>
      </c>
      <c r="W30" s="770">
        <f t="shared" si="9"/>
        <v>0</v>
      </c>
      <c r="X30" s="770">
        <f t="shared" si="5"/>
        <v>46.999999999999091</v>
      </c>
      <c r="Y30" s="770">
        <f t="shared" si="6"/>
        <v>3</v>
      </c>
      <c r="Z30" s="771">
        <f t="shared" si="7"/>
        <v>2</v>
      </c>
    </row>
    <row r="31" spans="1:26" ht="13.8" thickBot="1">
      <c r="A31" s="708" t="s">
        <v>1112</v>
      </c>
      <c r="B31" s="709">
        <v>3.2</v>
      </c>
      <c r="D31" s="736" t="s">
        <v>156</v>
      </c>
      <c r="E31" s="775" t="s">
        <v>211</v>
      </c>
      <c r="F31" s="776" t="e">
        <f>VLOOKUP(CONCATENATE($E$26,D31),$A$18:$B$56,2,FALSE)</f>
        <v>#REF!</v>
      </c>
      <c r="G31" s="763" t="s">
        <v>189</v>
      </c>
      <c r="H31" s="778" t="e">
        <f>($F$31*($J$23/1000))*VLOOKUP(C2,IF(E26="M50",N19:R197,V19:Z202),5,1)</f>
        <v>#REF!</v>
      </c>
      <c r="I31" s="732" t="s">
        <v>204</v>
      </c>
      <c r="K31" s="727" t="e">
        <f>VLOOKUP(C2,IF(E26="M50",N19:R197,V19:Z192),5,1)</f>
        <v>#REF!</v>
      </c>
      <c r="N31" s="708">
        <v>1499</v>
      </c>
      <c r="O31" s="770">
        <f t="shared" si="1"/>
        <v>0</v>
      </c>
      <c r="P31" s="770">
        <f t="shared" si="2"/>
        <v>124</v>
      </c>
      <c r="Q31" s="770">
        <f t="shared" si="3"/>
        <v>2</v>
      </c>
      <c r="R31" s="771">
        <f t="shared" si="4"/>
        <v>1</v>
      </c>
      <c r="V31" s="772">
        <f t="shared" si="8"/>
        <v>2641.599999999999</v>
      </c>
      <c r="W31" s="770">
        <f t="shared" si="9"/>
        <v>0</v>
      </c>
      <c r="X31" s="770">
        <f t="shared" si="5"/>
        <v>148.599999999999</v>
      </c>
      <c r="Y31" s="770">
        <f t="shared" si="6"/>
        <v>3</v>
      </c>
      <c r="Z31" s="771">
        <f t="shared" si="7"/>
        <v>2</v>
      </c>
    </row>
    <row r="32" spans="1:26" ht="13.8" thickBot="1">
      <c r="A32" s="708" t="s">
        <v>1113</v>
      </c>
      <c r="B32" s="709">
        <v>4.3</v>
      </c>
      <c r="D32" s="736"/>
      <c r="E32" s="779"/>
      <c r="G32" s="763"/>
      <c r="J32" s="774"/>
      <c r="K32" s="774"/>
      <c r="L32" s="774"/>
      <c r="N32" s="708">
        <v>1532</v>
      </c>
      <c r="O32" s="770">
        <f t="shared" si="1"/>
        <v>0</v>
      </c>
      <c r="P32" s="770">
        <f t="shared" si="2"/>
        <v>157</v>
      </c>
      <c r="Q32" s="770">
        <f t="shared" si="3"/>
        <v>2</v>
      </c>
      <c r="R32" s="771">
        <f t="shared" si="4"/>
        <v>1</v>
      </c>
      <c r="V32" s="772">
        <f t="shared" si="8"/>
        <v>2743.1999999999989</v>
      </c>
      <c r="W32" s="770">
        <f t="shared" si="9"/>
        <v>0</v>
      </c>
      <c r="X32" s="770">
        <f t="shared" si="5"/>
        <v>250.19999999999891</v>
      </c>
      <c r="Y32" s="770">
        <f t="shared" si="6"/>
        <v>3</v>
      </c>
      <c r="Z32" s="771">
        <f t="shared" si="7"/>
        <v>2</v>
      </c>
    </row>
    <row r="33" spans="1:26" ht="30.6" thickBot="1">
      <c r="A33" s="708" t="s">
        <v>1114</v>
      </c>
      <c r="B33" s="709">
        <v>1118</v>
      </c>
      <c r="D33" s="736"/>
      <c r="E33" s="780"/>
      <c r="F33" s="781"/>
      <c r="G33" s="782" t="s">
        <v>313</v>
      </c>
      <c r="H33" s="783" t="e">
        <f>SUM($H$28:$H$32)</f>
        <v>#REF!</v>
      </c>
      <c r="I33" s="784" t="s">
        <v>204</v>
      </c>
      <c r="J33" s="785">
        <f>IFERROR(H33+M28,0)</f>
        <v>0</v>
      </c>
      <c r="N33" s="708">
        <v>1565</v>
      </c>
      <c r="O33" s="770">
        <f t="shared" si="1"/>
        <v>0</v>
      </c>
      <c r="P33" s="770">
        <f t="shared" si="2"/>
        <v>190</v>
      </c>
      <c r="Q33" s="770">
        <f t="shared" si="3"/>
        <v>2</v>
      </c>
      <c r="R33" s="771">
        <f t="shared" si="4"/>
        <v>1</v>
      </c>
      <c r="V33" s="772">
        <f t="shared" si="8"/>
        <v>2844.7999999999988</v>
      </c>
      <c r="W33" s="770">
        <f t="shared" si="9"/>
        <v>0</v>
      </c>
      <c r="X33" s="770">
        <f t="shared" si="5"/>
        <v>351.79999999999882</v>
      </c>
      <c r="Y33" s="770">
        <f t="shared" si="6"/>
        <v>3</v>
      </c>
      <c r="Z33" s="771">
        <f t="shared" si="7"/>
        <v>2</v>
      </c>
    </row>
    <row r="34" spans="1:26" ht="30.6" thickBot="1">
      <c r="A34" s="708" t="s">
        <v>1115</v>
      </c>
      <c r="B34" s="709">
        <v>6.1</v>
      </c>
      <c r="D34" s="736"/>
      <c r="E34" s="780"/>
      <c r="F34" s="781"/>
      <c r="G34" s="782" t="s">
        <v>315</v>
      </c>
      <c r="H34" s="783" t="e">
        <f>SUM($H$28:$H$32)</f>
        <v>#REF!</v>
      </c>
      <c r="I34" s="784" t="s">
        <v>204</v>
      </c>
      <c r="J34" s="785">
        <f>IFERROR(H28/2+M28/2+1,0)</f>
        <v>0</v>
      </c>
      <c r="N34" s="708">
        <v>1599</v>
      </c>
      <c r="O34" s="770">
        <f t="shared" si="1"/>
        <v>0</v>
      </c>
      <c r="P34" s="770">
        <f t="shared" si="2"/>
        <v>224</v>
      </c>
      <c r="Q34" s="770">
        <f t="shared" si="3"/>
        <v>2</v>
      </c>
      <c r="R34" s="771">
        <f t="shared" si="4"/>
        <v>1</v>
      </c>
      <c r="V34" s="772">
        <f t="shared" si="8"/>
        <v>2946.3999999999987</v>
      </c>
      <c r="W34" s="770">
        <f t="shared" si="9"/>
        <v>304.39999999999873</v>
      </c>
      <c r="X34" s="770">
        <f t="shared" si="5"/>
        <v>149</v>
      </c>
      <c r="Y34" s="770">
        <f t="shared" si="6"/>
        <v>4</v>
      </c>
      <c r="Z34" s="771">
        <f t="shared" si="7"/>
        <v>2</v>
      </c>
    </row>
    <row r="35" spans="1:26">
      <c r="A35" s="711" t="s">
        <v>1116</v>
      </c>
      <c r="B35" s="712">
        <v>1</v>
      </c>
      <c r="D35" s="736"/>
      <c r="N35" s="708">
        <v>1632</v>
      </c>
      <c r="O35" s="770">
        <f t="shared" si="1"/>
        <v>0</v>
      </c>
      <c r="P35" s="770">
        <f t="shared" si="2"/>
        <v>257</v>
      </c>
      <c r="Q35" s="770">
        <f t="shared" si="3"/>
        <v>2</v>
      </c>
      <c r="R35" s="771">
        <f t="shared" si="4"/>
        <v>1</v>
      </c>
      <c r="V35" s="772">
        <f t="shared" si="8"/>
        <v>3047.9999999999986</v>
      </c>
      <c r="W35" s="770">
        <f t="shared" si="9"/>
        <v>405.99999999999864</v>
      </c>
      <c r="X35" s="770">
        <f t="shared" si="5"/>
        <v>149</v>
      </c>
      <c r="Y35" s="770">
        <f t="shared" si="6"/>
        <v>4</v>
      </c>
      <c r="Z35" s="771">
        <f t="shared" si="7"/>
        <v>2</v>
      </c>
    </row>
    <row r="36" spans="1:26">
      <c r="A36" s="711" t="s">
        <v>1117</v>
      </c>
      <c r="B36" s="712">
        <v>1.83</v>
      </c>
      <c r="D36" s="730" t="s">
        <v>220</v>
      </c>
      <c r="N36" s="708">
        <v>1665</v>
      </c>
      <c r="O36" s="770">
        <f t="shared" si="1"/>
        <v>0</v>
      </c>
      <c r="P36" s="770">
        <f t="shared" si="2"/>
        <v>290</v>
      </c>
      <c r="Q36" s="770">
        <f t="shared" si="3"/>
        <v>2</v>
      </c>
      <c r="R36" s="771">
        <f t="shared" si="4"/>
        <v>1</v>
      </c>
      <c r="V36" s="772">
        <f t="shared" si="8"/>
        <v>3149.5999999999985</v>
      </c>
      <c r="W36" s="770">
        <f t="shared" si="9"/>
        <v>507.59999999999854</v>
      </c>
      <c r="X36" s="770">
        <f t="shared" si="5"/>
        <v>149</v>
      </c>
      <c r="Y36" s="770">
        <f t="shared" si="6"/>
        <v>4</v>
      </c>
      <c r="Z36" s="771">
        <f t="shared" si="7"/>
        <v>2</v>
      </c>
    </row>
    <row r="37" spans="1:26" ht="13.8" thickBot="1">
      <c r="A37" s="713" t="s">
        <v>1118</v>
      </c>
      <c r="B37" s="714">
        <v>1.83</v>
      </c>
      <c r="D37" s="733" t="s">
        <v>222</v>
      </c>
      <c r="N37" s="708">
        <v>1698</v>
      </c>
      <c r="O37" s="770">
        <f t="shared" si="1"/>
        <v>0</v>
      </c>
      <c r="P37" s="770">
        <f t="shared" si="2"/>
        <v>323</v>
      </c>
      <c r="Q37" s="770">
        <f t="shared" si="3"/>
        <v>2</v>
      </c>
      <c r="R37" s="771">
        <f t="shared" si="4"/>
        <v>1</v>
      </c>
      <c r="V37" s="772">
        <f t="shared" si="8"/>
        <v>3251.1999999999985</v>
      </c>
      <c r="W37" s="770">
        <f t="shared" si="9"/>
        <v>609.19999999999845</v>
      </c>
      <c r="X37" s="770">
        <f t="shared" si="5"/>
        <v>149</v>
      </c>
      <c r="Y37" s="770">
        <f t="shared" si="6"/>
        <v>4</v>
      </c>
      <c r="Z37" s="771">
        <f t="shared" si="7"/>
        <v>2</v>
      </c>
    </row>
    <row r="38" spans="1:26">
      <c r="A38" s="744" t="s">
        <v>1119</v>
      </c>
      <c r="B38" s="769">
        <v>76</v>
      </c>
      <c r="D38" s="733" t="s">
        <v>224</v>
      </c>
      <c r="N38" s="708">
        <v>1732</v>
      </c>
      <c r="O38" s="770">
        <f t="shared" si="1"/>
        <v>0</v>
      </c>
      <c r="P38" s="770">
        <f t="shared" si="2"/>
        <v>357</v>
      </c>
      <c r="Q38" s="770">
        <f t="shared" si="3"/>
        <v>2</v>
      </c>
      <c r="R38" s="771">
        <f t="shared" si="4"/>
        <v>1</v>
      </c>
      <c r="V38" s="772">
        <f t="shared" si="8"/>
        <v>3352.7999999999984</v>
      </c>
      <c r="W38" s="770">
        <f t="shared" si="9"/>
        <v>710.79999999999836</v>
      </c>
      <c r="X38" s="770">
        <f t="shared" si="5"/>
        <v>149</v>
      </c>
      <c r="Y38" s="770">
        <f t="shared" si="6"/>
        <v>4</v>
      </c>
      <c r="Z38" s="771">
        <f t="shared" si="7"/>
        <v>2</v>
      </c>
    </row>
    <row r="39" spans="1:26">
      <c r="A39" s="708" t="s">
        <v>1120</v>
      </c>
      <c r="B39" s="709">
        <v>38</v>
      </c>
      <c r="D39" s="736"/>
      <c r="E39" s="733"/>
      <c r="N39" s="708">
        <v>1765</v>
      </c>
      <c r="O39" s="770">
        <f t="shared" si="1"/>
        <v>0</v>
      </c>
      <c r="P39" s="770">
        <f t="shared" si="2"/>
        <v>390</v>
      </c>
      <c r="Q39" s="770">
        <f t="shared" si="3"/>
        <v>2</v>
      </c>
      <c r="R39" s="771">
        <f t="shared" si="4"/>
        <v>1</v>
      </c>
      <c r="V39" s="772">
        <f t="shared" si="8"/>
        <v>3454.3999999999983</v>
      </c>
      <c r="W39" s="770">
        <f t="shared" si="9"/>
        <v>812.39999999999827</v>
      </c>
      <c r="X39" s="770">
        <f t="shared" si="5"/>
        <v>149</v>
      </c>
      <c r="Y39" s="770">
        <f t="shared" si="6"/>
        <v>4</v>
      </c>
      <c r="Z39" s="771">
        <f t="shared" si="7"/>
        <v>2</v>
      </c>
    </row>
    <row r="40" spans="1:26">
      <c r="A40" s="708" t="s">
        <v>1121</v>
      </c>
      <c r="B40" s="709">
        <v>3.2</v>
      </c>
      <c r="D40" s="736"/>
      <c r="N40" s="708">
        <v>1798</v>
      </c>
      <c r="O40" s="770">
        <f t="shared" si="1"/>
        <v>0</v>
      </c>
      <c r="P40" s="770">
        <f t="shared" si="2"/>
        <v>423</v>
      </c>
      <c r="Q40" s="770">
        <f t="shared" si="3"/>
        <v>2</v>
      </c>
      <c r="R40" s="771">
        <f t="shared" si="4"/>
        <v>1</v>
      </c>
      <c r="V40" s="772">
        <f t="shared" si="8"/>
        <v>3555.9999999999982</v>
      </c>
      <c r="W40" s="770">
        <f t="shared" si="9"/>
        <v>913.99999999999818</v>
      </c>
      <c r="X40" s="770">
        <f t="shared" si="5"/>
        <v>149</v>
      </c>
      <c r="Y40" s="770">
        <f t="shared" si="6"/>
        <v>4</v>
      </c>
      <c r="Z40" s="771">
        <f t="shared" si="7"/>
        <v>2</v>
      </c>
    </row>
    <row r="41" spans="1:26">
      <c r="A41" s="708" t="s">
        <v>1122</v>
      </c>
      <c r="B41" s="709">
        <v>4.4000000000000004</v>
      </c>
      <c r="D41" s="736"/>
      <c r="N41" s="708">
        <v>1832</v>
      </c>
      <c r="O41" s="770">
        <f t="shared" si="1"/>
        <v>417</v>
      </c>
      <c r="P41" s="770">
        <f t="shared" si="2"/>
        <v>40</v>
      </c>
      <c r="Q41" s="770">
        <f t="shared" si="3"/>
        <v>3</v>
      </c>
      <c r="R41" s="771">
        <f t="shared" si="4"/>
        <v>1</v>
      </c>
      <c r="T41" s="786"/>
      <c r="V41" s="772">
        <f t="shared" si="8"/>
        <v>3657.5999999999981</v>
      </c>
      <c r="W41" s="770">
        <f t="shared" si="9"/>
        <v>0</v>
      </c>
      <c r="X41" s="770">
        <f t="shared" si="5"/>
        <v>46.59999999999809</v>
      </c>
      <c r="Y41" s="770">
        <f t="shared" si="6"/>
        <v>4</v>
      </c>
      <c r="Z41" s="771">
        <f t="shared" si="7"/>
        <v>3</v>
      </c>
    </row>
    <row r="42" spans="1:26">
      <c r="A42" s="708" t="s">
        <v>1123</v>
      </c>
      <c r="B42" s="709">
        <v>1118</v>
      </c>
      <c r="D42" s="736"/>
      <c r="N42" s="708">
        <v>1865</v>
      </c>
      <c r="O42" s="770">
        <f t="shared" si="1"/>
        <v>450</v>
      </c>
      <c r="P42" s="770">
        <f t="shared" si="2"/>
        <v>40</v>
      </c>
      <c r="Q42" s="770">
        <f t="shared" si="3"/>
        <v>3</v>
      </c>
      <c r="R42" s="771">
        <f t="shared" si="4"/>
        <v>1</v>
      </c>
      <c r="T42" s="786"/>
      <c r="V42" s="772">
        <f t="shared" si="8"/>
        <v>3759.199999999998</v>
      </c>
      <c r="W42" s="770">
        <f t="shared" si="9"/>
        <v>0</v>
      </c>
      <c r="X42" s="770">
        <f t="shared" si="5"/>
        <v>148.199999999998</v>
      </c>
      <c r="Y42" s="770">
        <f t="shared" si="6"/>
        <v>4</v>
      </c>
      <c r="Z42" s="771">
        <f t="shared" si="7"/>
        <v>3</v>
      </c>
    </row>
    <row r="43" spans="1:26">
      <c r="A43" s="708" t="s">
        <v>1124</v>
      </c>
      <c r="B43" s="709">
        <v>6.7</v>
      </c>
      <c r="D43" s="736"/>
      <c r="N43" s="708">
        <v>1898</v>
      </c>
      <c r="O43" s="770">
        <f t="shared" si="1"/>
        <v>483</v>
      </c>
      <c r="P43" s="770">
        <f t="shared" si="2"/>
        <v>40</v>
      </c>
      <c r="Q43" s="770">
        <f t="shared" si="3"/>
        <v>3</v>
      </c>
      <c r="R43" s="771">
        <f t="shared" si="4"/>
        <v>1</v>
      </c>
      <c r="V43" s="772">
        <f t="shared" si="8"/>
        <v>3860.7999999999979</v>
      </c>
      <c r="W43" s="770">
        <f t="shared" si="9"/>
        <v>0</v>
      </c>
      <c r="X43" s="770">
        <f t="shared" si="5"/>
        <v>249.79999999999791</v>
      </c>
      <c r="Y43" s="770">
        <f t="shared" si="6"/>
        <v>4</v>
      </c>
      <c r="Z43" s="771">
        <f t="shared" si="7"/>
        <v>3</v>
      </c>
    </row>
    <row r="44" spans="1:26">
      <c r="A44" s="711" t="s">
        <v>1125</v>
      </c>
      <c r="B44" s="712">
        <v>1</v>
      </c>
      <c r="N44" s="708">
        <v>1932</v>
      </c>
      <c r="O44" s="770">
        <f t="shared" si="1"/>
        <v>517</v>
      </c>
      <c r="P44" s="770">
        <f t="shared" si="2"/>
        <v>40</v>
      </c>
      <c r="Q44" s="770">
        <f t="shared" si="3"/>
        <v>3</v>
      </c>
      <c r="R44" s="771">
        <f t="shared" si="4"/>
        <v>1</v>
      </c>
      <c r="S44" s="787"/>
      <c r="V44" s="772">
        <f t="shared" si="8"/>
        <v>3962.3999999999978</v>
      </c>
      <c r="W44" s="770">
        <f t="shared" si="9"/>
        <v>0</v>
      </c>
      <c r="X44" s="770">
        <f t="shared" si="5"/>
        <v>351.39999999999782</v>
      </c>
      <c r="Y44" s="770">
        <f t="shared" si="6"/>
        <v>4</v>
      </c>
      <c r="Z44" s="771">
        <f t="shared" si="7"/>
        <v>3</v>
      </c>
    </row>
    <row r="45" spans="1:26">
      <c r="A45" s="711" t="s">
        <v>1126</v>
      </c>
      <c r="B45" s="712">
        <v>2.46</v>
      </c>
      <c r="N45" s="708">
        <v>1965</v>
      </c>
      <c r="O45" s="770">
        <f t="shared" si="1"/>
        <v>550</v>
      </c>
      <c r="P45" s="770">
        <f t="shared" si="2"/>
        <v>40</v>
      </c>
      <c r="Q45" s="770">
        <f t="shared" si="3"/>
        <v>3</v>
      </c>
      <c r="R45" s="771">
        <f t="shared" si="4"/>
        <v>1</v>
      </c>
      <c r="V45" s="772">
        <f t="shared" si="8"/>
        <v>4063.9999999999977</v>
      </c>
      <c r="W45" s="770">
        <f t="shared" si="9"/>
        <v>0</v>
      </c>
      <c r="X45" s="770">
        <f t="shared" si="5"/>
        <v>452.99999999999773</v>
      </c>
      <c r="Y45" s="770">
        <f t="shared" si="6"/>
        <v>4</v>
      </c>
      <c r="Z45" s="771">
        <f t="shared" si="7"/>
        <v>3</v>
      </c>
    </row>
    <row r="46" spans="1:26" ht="13.8" thickBot="1">
      <c r="A46" s="713" t="s">
        <v>1127</v>
      </c>
      <c r="B46" s="714">
        <v>2.46</v>
      </c>
      <c r="N46" s="708">
        <v>1998</v>
      </c>
      <c r="O46" s="770">
        <f t="shared" si="1"/>
        <v>583</v>
      </c>
      <c r="P46" s="770">
        <f t="shared" si="2"/>
        <v>40</v>
      </c>
      <c r="Q46" s="770">
        <f t="shared" si="3"/>
        <v>3</v>
      </c>
      <c r="R46" s="771">
        <f t="shared" si="4"/>
        <v>1</v>
      </c>
      <c r="V46" s="772">
        <f t="shared" si="8"/>
        <v>4165.5999999999976</v>
      </c>
      <c r="W46" s="770">
        <f t="shared" si="9"/>
        <v>405.59999999999764</v>
      </c>
      <c r="X46" s="770">
        <f t="shared" si="5"/>
        <v>149</v>
      </c>
      <c r="Y46" s="770">
        <f t="shared" si="6"/>
        <v>5</v>
      </c>
      <c r="Z46" s="771">
        <f t="shared" si="7"/>
        <v>3</v>
      </c>
    </row>
    <row r="47" spans="1:26">
      <c r="A47" s="744" t="s">
        <v>1128</v>
      </c>
      <c r="B47" s="769">
        <v>76</v>
      </c>
      <c r="N47" s="708">
        <v>2031</v>
      </c>
      <c r="O47" s="770">
        <f t="shared" si="1"/>
        <v>616</v>
      </c>
      <c r="P47" s="770">
        <f t="shared" si="2"/>
        <v>40</v>
      </c>
      <c r="Q47" s="770">
        <f t="shared" si="3"/>
        <v>3</v>
      </c>
      <c r="R47" s="771">
        <f t="shared" si="4"/>
        <v>1</v>
      </c>
      <c r="V47" s="772">
        <f t="shared" si="8"/>
        <v>4267.199999999998</v>
      </c>
      <c r="W47" s="770">
        <f t="shared" si="9"/>
        <v>507.199999999998</v>
      </c>
      <c r="X47" s="770">
        <f t="shared" si="5"/>
        <v>149</v>
      </c>
      <c r="Y47" s="770">
        <f t="shared" si="6"/>
        <v>5</v>
      </c>
      <c r="Z47" s="771">
        <f t="shared" si="7"/>
        <v>3</v>
      </c>
    </row>
    <row r="48" spans="1:26">
      <c r="A48" s="708" t="s">
        <v>1129</v>
      </c>
      <c r="B48" s="709">
        <v>38</v>
      </c>
      <c r="N48" s="708">
        <v>2065</v>
      </c>
      <c r="O48" s="770">
        <f t="shared" si="1"/>
        <v>650</v>
      </c>
      <c r="P48" s="770">
        <f t="shared" si="2"/>
        <v>40</v>
      </c>
      <c r="Q48" s="770">
        <f t="shared" si="3"/>
        <v>3</v>
      </c>
      <c r="R48" s="771">
        <f t="shared" si="4"/>
        <v>1</v>
      </c>
      <c r="V48" s="772">
        <f t="shared" si="8"/>
        <v>4368.7999999999984</v>
      </c>
      <c r="W48" s="770">
        <f t="shared" si="9"/>
        <v>608.79999999999836</v>
      </c>
      <c r="X48" s="770">
        <f t="shared" si="5"/>
        <v>149</v>
      </c>
      <c r="Y48" s="770">
        <f t="shared" si="6"/>
        <v>5</v>
      </c>
      <c r="Z48" s="771">
        <f t="shared" si="7"/>
        <v>3</v>
      </c>
    </row>
    <row r="49" spans="1:26">
      <c r="A49" s="708" t="s">
        <v>1130</v>
      </c>
      <c r="B49" s="709">
        <v>3.2</v>
      </c>
      <c r="N49" s="708">
        <v>2098</v>
      </c>
      <c r="O49" s="770">
        <f t="shared" si="1"/>
        <v>683</v>
      </c>
      <c r="P49" s="770">
        <f t="shared" si="2"/>
        <v>40</v>
      </c>
      <c r="Q49" s="770">
        <f t="shared" si="3"/>
        <v>3</v>
      </c>
      <c r="R49" s="771">
        <f t="shared" si="4"/>
        <v>1</v>
      </c>
      <c r="V49" s="772">
        <f t="shared" si="8"/>
        <v>4470.3999999999987</v>
      </c>
      <c r="W49" s="770">
        <f t="shared" si="9"/>
        <v>710.39999999999873</v>
      </c>
      <c r="X49" s="770">
        <f t="shared" si="5"/>
        <v>149</v>
      </c>
      <c r="Y49" s="770">
        <f t="shared" si="6"/>
        <v>5</v>
      </c>
      <c r="Z49" s="771">
        <f t="shared" si="7"/>
        <v>3</v>
      </c>
    </row>
    <row r="50" spans="1:26">
      <c r="A50" s="708" t="s">
        <v>1131</v>
      </c>
      <c r="B50" s="709">
        <v>4.5999999999999996</v>
      </c>
      <c r="N50" s="708">
        <v>2131</v>
      </c>
      <c r="O50" s="770">
        <f t="shared" si="1"/>
        <v>716</v>
      </c>
      <c r="P50" s="770">
        <f t="shared" si="2"/>
        <v>40</v>
      </c>
      <c r="Q50" s="770">
        <f t="shared" si="3"/>
        <v>3</v>
      </c>
      <c r="R50" s="771">
        <f t="shared" si="4"/>
        <v>1</v>
      </c>
      <c r="V50" s="772">
        <f t="shared" si="8"/>
        <v>4571.9999999999991</v>
      </c>
      <c r="W50" s="770">
        <f t="shared" si="9"/>
        <v>811.99999999999909</v>
      </c>
      <c r="X50" s="770">
        <f t="shared" si="5"/>
        <v>149</v>
      </c>
      <c r="Y50" s="770">
        <f t="shared" si="6"/>
        <v>5</v>
      </c>
      <c r="Z50" s="771">
        <f t="shared" si="7"/>
        <v>3</v>
      </c>
    </row>
    <row r="51" spans="1:26">
      <c r="A51" s="708" t="s">
        <v>1132</v>
      </c>
      <c r="B51" s="709">
        <v>1118</v>
      </c>
      <c r="N51" s="708">
        <v>2165</v>
      </c>
      <c r="O51" s="770">
        <f t="shared" si="1"/>
        <v>750</v>
      </c>
      <c r="P51" s="770">
        <f t="shared" si="2"/>
        <v>40</v>
      </c>
      <c r="Q51" s="770">
        <f t="shared" si="3"/>
        <v>3</v>
      </c>
      <c r="R51" s="771">
        <f t="shared" si="4"/>
        <v>1</v>
      </c>
      <c r="V51" s="772">
        <f t="shared" si="8"/>
        <v>4673.5999999999995</v>
      </c>
      <c r="W51" s="770">
        <f t="shared" si="9"/>
        <v>913.59999999999945</v>
      </c>
      <c r="X51" s="770">
        <f t="shared" si="5"/>
        <v>149</v>
      </c>
      <c r="Y51" s="770">
        <f t="shared" si="6"/>
        <v>5</v>
      </c>
      <c r="Z51" s="771">
        <f t="shared" si="7"/>
        <v>3</v>
      </c>
    </row>
    <row r="52" spans="1:26">
      <c r="A52" s="708" t="s">
        <v>1133</v>
      </c>
      <c r="B52" s="709">
        <v>8.0399999999999991</v>
      </c>
      <c r="N52" s="708">
        <v>2198</v>
      </c>
      <c r="O52" s="770">
        <f t="shared" si="1"/>
        <v>783</v>
      </c>
      <c r="P52" s="770">
        <f t="shared" si="2"/>
        <v>40</v>
      </c>
      <c r="Q52" s="770">
        <f t="shared" si="3"/>
        <v>3</v>
      </c>
      <c r="R52" s="771">
        <f t="shared" si="4"/>
        <v>1</v>
      </c>
      <c r="V52" s="772">
        <f t="shared" si="8"/>
        <v>4775.2</v>
      </c>
      <c r="W52" s="770">
        <f t="shared" si="9"/>
        <v>0</v>
      </c>
      <c r="X52" s="770">
        <f t="shared" si="5"/>
        <v>46.199999999999818</v>
      </c>
      <c r="Y52" s="770">
        <f t="shared" si="6"/>
        <v>5</v>
      </c>
      <c r="Z52" s="771">
        <f t="shared" si="7"/>
        <v>4</v>
      </c>
    </row>
    <row r="53" spans="1:26">
      <c r="A53" s="711" t="s">
        <v>1134</v>
      </c>
      <c r="B53" s="712">
        <v>1</v>
      </c>
      <c r="N53" s="708">
        <v>2231</v>
      </c>
      <c r="O53" s="770">
        <f t="shared" si="1"/>
        <v>816</v>
      </c>
      <c r="P53" s="770">
        <f t="shared" si="2"/>
        <v>40</v>
      </c>
      <c r="Q53" s="770">
        <f t="shared" si="3"/>
        <v>3</v>
      </c>
      <c r="R53" s="771">
        <f t="shared" si="4"/>
        <v>1</v>
      </c>
      <c r="V53" s="772">
        <f t="shared" si="8"/>
        <v>4876.8</v>
      </c>
      <c r="W53" s="770">
        <f t="shared" si="9"/>
        <v>0</v>
      </c>
      <c r="X53" s="770">
        <f t="shared" si="5"/>
        <v>147.80000000000018</v>
      </c>
      <c r="Y53" s="770">
        <f t="shared" si="6"/>
        <v>5</v>
      </c>
      <c r="Z53" s="771">
        <f t="shared" si="7"/>
        <v>4</v>
      </c>
    </row>
    <row r="54" spans="1:26">
      <c r="A54" s="711" t="s">
        <v>1135</v>
      </c>
      <c r="B54" s="712">
        <v>2.46</v>
      </c>
      <c r="N54" s="708">
        <v>2265</v>
      </c>
      <c r="O54" s="770">
        <f t="shared" si="1"/>
        <v>850</v>
      </c>
      <c r="P54" s="770">
        <f t="shared" si="2"/>
        <v>40</v>
      </c>
      <c r="Q54" s="770">
        <f t="shared" si="3"/>
        <v>3</v>
      </c>
      <c r="R54" s="771">
        <f t="shared" si="4"/>
        <v>1</v>
      </c>
      <c r="V54" s="772">
        <f t="shared" si="8"/>
        <v>4978.4000000000005</v>
      </c>
      <c r="W54" s="770">
        <f t="shared" si="9"/>
        <v>0</v>
      </c>
      <c r="X54" s="770">
        <f t="shared" si="5"/>
        <v>249.40000000000055</v>
      </c>
      <c r="Y54" s="770">
        <f t="shared" si="6"/>
        <v>5</v>
      </c>
      <c r="Z54" s="771">
        <f t="shared" si="7"/>
        <v>4</v>
      </c>
    </row>
    <row r="55" spans="1:26" ht="13.8" thickBot="1">
      <c r="A55" s="713" t="s">
        <v>1136</v>
      </c>
      <c r="B55" s="714">
        <v>2.46</v>
      </c>
      <c r="N55" s="708">
        <v>2298</v>
      </c>
      <c r="O55" s="770">
        <f t="shared" si="1"/>
        <v>883</v>
      </c>
      <c r="P55" s="770">
        <f t="shared" si="2"/>
        <v>40</v>
      </c>
      <c r="Q55" s="770">
        <f t="shared" si="3"/>
        <v>3</v>
      </c>
      <c r="R55" s="771">
        <f t="shared" si="4"/>
        <v>1</v>
      </c>
      <c r="V55" s="772">
        <f t="shared" si="8"/>
        <v>5080.0000000000009</v>
      </c>
      <c r="W55" s="770">
        <f t="shared" si="9"/>
        <v>0</v>
      </c>
      <c r="X55" s="770">
        <f t="shared" si="5"/>
        <v>351.00000000000091</v>
      </c>
      <c r="Y55" s="770">
        <f t="shared" si="6"/>
        <v>5</v>
      </c>
      <c r="Z55" s="771">
        <f t="shared" si="7"/>
        <v>4</v>
      </c>
    </row>
    <row r="56" spans="1:26">
      <c r="N56" s="708">
        <v>2331</v>
      </c>
      <c r="O56" s="770">
        <f t="shared" si="1"/>
        <v>916</v>
      </c>
      <c r="P56" s="770">
        <f t="shared" si="2"/>
        <v>40</v>
      </c>
      <c r="Q56" s="770">
        <f t="shared" si="3"/>
        <v>3</v>
      </c>
      <c r="R56" s="771">
        <f t="shared" si="4"/>
        <v>1</v>
      </c>
      <c r="V56" s="772">
        <f t="shared" si="8"/>
        <v>5181.6000000000013</v>
      </c>
      <c r="W56" s="770">
        <f t="shared" si="9"/>
        <v>0</v>
      </c>
      <c r="X56" s="770">
        <f t="shared" si="5"/>
        <v>452.60000000000127</v>
      </c>
      <c r="Y56" s="770">
        <f t="shared" si="6"/>
        <v>5</v>
      </c>
      <c r="Z56" s="771">
        <f t="shared" si="7"/>
        <v>4</v>
      </c>
    </row>
    <row r="57" spans="1:26">
      <c r="N57" s="708">
        <v>2364</v>
      </c>
      <c r="O57" s="770">
        <f t="shared" si="1"/>
        <v>949</v>
      </c>
      <c r="P57" s="770">
        <f t="shared" si="2"/>
        <v>40</v>
      </c>
      <c r="Q57" s="770">
        <f t="shared" si="3"/>
        <v>3</v>
      </c>
      <c r="R57" s="771">
        <f t="shared" si="4"/>
        <v>1</v>
      </c>
      <c r="V57" s="772">
        <f t="shared" si="8"/>
        <v>5283.2000000000016</v>
      </c>
      <c r="W57" s="770">
        <f t="shared" si="9"/>
        <v>405.20000000000164</v>
      </c>
      <c r="X57" s="770">
        <f t="shared" si="5"/>
        <v>149</v>
      </c>
      <c r="Y57" s="770">
        <f t="shared" si="6"/>
        <v>6</v>
      </c>
      <c r="Z57" s="771">
        <f t="shared" si="7"/>
        <v>4</v>
      </c>
    </row>
    <row r="58" spans="1:26">
      <c r="N58" s="708">
        <v>2398</v>
      </c>
      <c r="O58" s="770">
        <f t="shared" si="1"/>
        <v>983</v>
      </c>
      <c r="P58" s="770">
        <f t="shared" si="2"/>
        <v>40</v>
      </c>
      <c r="Q58" s="770">
        <f t="shared" si="3"/>
        <v>3</v>
      </c>
      <c r="R58" s="771">
        <f t="shared" si="4"/>
        <v>1</v>
      </c>
      <c r="V58" s="772">
        <f t="shared" si="8"/>
        <v>5384.800000000002</v>
      </c>
      <c r="W58" s="770">
        <f t="shared" si="9"/>
        <v>506.800000000002</v>
      </c>
      <c r="X58" s="770">
        <f t="shared" si="5"/>
        <v>149</v>
      </c>
      <c r="Y58" s="770">
        <f t="shared" si="6"/>
        <v>6</v>
      </c>
      <c r="Z58" s="771">
        <f t="shared" si="7"/>
        <v>4</v>
      </c>
    </row>
    <row r="59" spans="1:26">
      <c r="A59" s="788"/>
      <c r="N59" s="708">
        <v>2431</v>
      </c>
      <c r="O59" s="770">
        <f t="shared" si="1"/>
        <v>1016</v>
      </c>
      <c r="P59" s="770">
        <f t="shared" si="2"/>
        <v>40</v>
      </c>
      <c r="Q59" s="770">
        <f t="shared" si="3"/>
        <v>3</v>
      </c>
      <c r="R59" s="771">
        <f t="shared" si="4"/>
        <v>1</v>
      </c>
      <c r="V59" s="772">
        <f t="shared" si="8"/>
        <v>5486.4000000000024</v>
      </c>
      <c r="W59" s="770">
        <f t="shared" si="9"/>
        <v>608.40000000000236</v>
      </c>
      <c r="X59" s="770">
        <f t="shared" si="5"/>
        <v>149</v>
      </c>
      <c r="Y59" s="770">
        <f t="shared" si="6"/>
        <v>6</v>
      </c>
      <c r="Z59" s="771">
        <f t="shared" si="7"/>
        <v>4</v>
      </c>
    </row>
    <row r="60" spans="1:26">
      <c r="A60" s="789" t="s">
        <v>99</v>
      </c>
      <c r="N60" s="708">
        <v>2464</v>
      </c>
      <c r="O60" s="770">
        <f t="shared" si="1"/>
        <v>1049</v>
      </c>
      <c r="P60" s="770">
        <f t="shared" si="2"/>
        <v>40</v>
      </c>
      <c r="Q60" s="770">
        <f t="shared" si="3"/>
        <v>3</v>
      </c>
      <c r="R60" s="771">
        <f t="shared" si="4"/>
        <v>1</v>
      </c>
      <c r="V60" s="772">
        <f t="shared" si="8"/>
        <v>5588.0000000000027</v>
      </c>
      <c r="W60" s="770">
        <f t="shared" si="9"/>
        <v>710.00000000000273</v>
      </c>
      <c r="X60" s="770">
        <f t="shared" si="5"/>
        <v>149</v>
      </c>
      <c r="Y60" s="770">
        <f t="shared" si="6"/>
        <v>6</v>
      </c>
      <c r="Z60" s="771">
        <f t="shared" si="7"/>
        <v>4</v>
      </c>
    </row>
    <row r="61" spans="1:26">
      <c r="A61" s="789" t="s">
        <v>852</v>
      </c>
      <c r="N61" s="708">
        <v>2498</v>
      </c>
      <c r="O61" s="770">
        <f t="shared" si="1"/>
        <v>0</v>
      </c>
      <c r="P61" s="770">
        <f t="shared" si="2"/>
        <v>5</v>
      </c>
      <c r="Q61" s="770">
        <f t="shared" si="3"/>
        <v>3</v>
      </c>
      <c r="R61" s="771">
        <f t="shared" si="4"/>
        <v>2</v>
      </c>
      <c r="V61" s="772">
        <f t="shared" si="8"/>
        <v>5689.6000000000031</v>
      </c>
      <c r="W61" s="770">
        <f t="shared" si="9"/>
        <v>811.60000000000309</v>
      </c>
      <c r="X61" s="770">
        <f t="shared" si="5"/>
        <v>149</v>
      </c>
      <c r="Y61" s="770">
        <f t="shared" si="6"/>
        <v>6</v>
      </c>
      <c r="Z61" s="771">
        <f t="shared" si="7"/>
        <v>4</v>
      </c>
    </row>
    <row r="62" spans="1:26">
      <c r="A62" s="789" t="s">
        <v>106</v>
      </c>
      <c r="N62" s="708">
        <v>2531</v>
      </c>
      <c r="O62" s="770">
        <f t="shared" si="1"/>
        <v>0</v>
      </c>
      <c r="P62" s="770">
        <f t="shared" si="2"/>
        <v>38</v>
      </c>
      <c r="Q62" s="770">
        <f t="shared" si="3"/>
        <v>3</v>
      </c>
      <c r="R62" s="771">
        <f t="shared" si="4"/>
        <v>2</v>
      </c>
      <c r="V62" s="772">
        <f t="shared" si="8"/>
        <v>5791.2000000000035</v>
      </c>
      <c r="W62" s="770">
        <f t="shared" si="9"/>
        <v>913.20000000000346</v>
      </c>
      <c r="X62" s="770">
        <f t="shared" si="5"/>
        <v>149</v>
      </c>
      <c r="Y62" s="770">
        <f t="shared" si="6"/>
        <v>6</v>
      </c>
      <c r="Z62" s="771">
        <f t="shared" si="7"/>
        <v>4</v>
      </c>
    </row>
    <row r="63" spans="1:26">
      <c r="A63" s="790" t="s">
        <v>854</v>
      </c>
      <c r="N63" s="708">
        <v>2564</v>
      </c>
      <c r="O63" s="770">
        <f t="shared" si="1"/>
        <v>0</v>
      </c>
      <c r="P63" s="770">
        <f t="shared" si="2"/>
        <v>71</v>
      </c>
      <c r="Q63" s="770">
        <f t="shared" si="3"/>
        <v>3</v>
      </c>
      <c r="R63" s="771">
        <f t="shared" si="4"/>
        <v>2</v>
      </c>
      <c r="V63" s="772">
        <f t="shared" si="8"/>
        <v>5892.8000000000038</v>
      </c>
      <c r="W63" s="770">
        <f t="shared" si="9"/>
        <v>0</v>
      </c>
      <c r="X63" s="770">
        <f t="shared" si="5"/>
        <v>45.80000000000382</v>
      </c>
      <c r="Y63" s="770">
        <f t="shared" si="6"/>
        <v>6</v>
      </c>
      <c r="Z63" s="771">
        <f t="shared" si="7"/>
        <v>5</v>
      </c>
    </row>
    <row r="64" spans="1:26">
      <c r="N64" s="708">
        <v>2598</v>
      </c>
      <c r="O64" s="770">
        <f t="shared" si="1"/>
        <v>0</v>
      </c>
      <c r="P64" s="770">
        <f t="shared" si="2"/>
        <v>105</v>
      </c>
      <c r="Q64" s="770">
        <f t="shared" si="3"/>
        <v>3</v>
      </c>
      <c r="R64" s="771">
        <f t="shared" si="4"/>
        <v>2</v>
      </c>
      <c r="V64" s="772">
        <f t="shared" si="8"/>
        <v>5994.4000000000042</v>
      </c>
      <c r="W64" s="770">
        <f t="shared" si="9"/>
        <v>0</v>
      </c>
      <c r="X64" s="770">
        <f t="shared" si="5"/>
        <v>147.40000000000418</v>
      </c>
      <c r="Y64" s="770">
        <f t="shared" si="6"/>
        <v>6</v>
      </c>
      <c r="Z64" s="771">
        <f t="shared" si="7"/>
        <v>5</v>
      </c>
    </row>
    <row r="65" spans="14:26">
      <c r="N65" s="708">
        <v>2631</v>
      </c>
      <c r="O65" s="770">
        <f t="shared" si="1"/>
        <v>0</v>
      </c>
      <c r="P65" s="770">
        <f t="shared" si="2"/>
        <v>138</v>
      </c>
      <c r="Q65" s="770">
        <f t="shared" si="3"/>
        <v>3</v>
      </c>
      <c r="R65" s="771">
        <f t="shared" si="4"/>
        <v>2</v>
      </c>
      <c r="V65" s="772">
        <f t="shared" si="8"/>
        <v>6096.0000000000045</v>
      </c>
      <c r="W65" s="770">
        <f t="shared" si="9"/>
        <v>0</v>
      </c>
      <c r="X65" s="770">
        <f t="shared" si="5"/>
        <v>249.00000000000455</v>
      </c>
      <c r="Y65" s="770">
        <f t="shared" si="6"/>
        <v>6</v>
      </c>
      <c r="Z65" s="771">
        <f t="shared" si="7"/>
        <v>5</v>
      </c>
    </row>
    <row r="66" spans="14:26">
      <c r="N66" s="708">
        <v>2664</v>
      </c>
      <c r="O66" s="770">
        <f t="shared" si="1"/>
        <v>0</v>
      </c>
      <c r="P66" s="770">
        <f t="shared" si="2"/>
        <v>171</v>
      </c>
      <c r="Q66" s="770">
        <f t="shared" si="3"/>
        <v>3</v>
      </c>
      <c r="R66" s="771">
        <f t="shared" si="4"/>
        <v>2</v>
      </c>
      <c r="V66" s="772">
        <f t="shared" si="8"/>
        <v>6197.6000000000049</v>
      </c>
      <c r="W66" s="770">
        <f t="shared" si="9"/>
        <v>0</v>
      </c>
      <c r="X66" s="770">
        <f t="shared" si="5"/>
        <v>350.60000000000491</v>
      </c>
      <c r="Y66" s="770">
        <f t="shared" si="6"/>
        <v>6</v>
      </c>
      <c r="Z66" s="771">
        <f t="shared" si="7"/>
        <v>5</v>
      </c>
    </row>
    <row r="67" spans="14:26">
      <c r="N67" s="708">
        <v>2697</v>
      </c>
      <c r="O67" s="770">
        <f t="shared" si="1"/>
        <v>0</v>
      </c>
      <c r="P67" s="770">
        <f t="shared" si="2"/>
        <v>204</v>
      </c>
      <c r="Q67" s="770">
        <f t="shared" si="3"/>
        <v>3</v>
      </c>
      <c r="R67" s="771">
        <f t="shared" si="4"/>
        <v>2</v>
      </c>
      <c r="V67" s="772">
        <f t="shared" si="8"/>
        <v>6299.2000000000053</v>
      </c>
      <c r="W67" s="770">
        <f t="shared" si="9"/>
        <v>0</v>
      </c>
      <c r="X67" s="770">
        <f t="shared" si="5"/>
        <v>452.20000000000528</v>
      </c>
      <c r="Y67" s="770">
        <f t="shared" si="6"/>
        <v>6</v>
      </c>
      <c r="Z67" s="771">
        <f t="shared" si="7"/>
        <v>5</v>
      </c>
    </row>
    <row r="68" spans="14:26">
      <c r="N68" s="708">
        <v>2731</v>
      </c>
      <c r="O68" s="770">
        <f t="shared" si="1"/>
        <v>0</v>
      </c>
      <c r="P68" s="770">
        <f t="shared" si="2"/>
        <v>238</v>
      </c>
      <c r="Q68" s="770">
        <f t="shared" si="3"/>
        <v>3</v>
      </c>
      <c r="R68" s="771">
        <f t="shared" si="4"/>
        <v>2</v>
      </c>
      <c r="V68" s="772">
        <f t="shared" si="8"/>
        <v>6400.8000000000056</v>
      </c>
      <c r="W68" s="770">
        <f t="shared" si="9"/>
        <v>404.80000000000564</v>
      </c>
      <c r="X68" s="770">
        <f t="shared" si="5"/>
        <v>149</v>
      </c>
      <c r="Y68" s="770">
        <f t="shared" si="6"/>
        <v>7</v>
      </c>
      <c r="Z68" s="771">
        <f t="shared" si="7"/>
        <v>5</v>
      </c>
    </row>
    <row r="69" spans="14:26">
      <c r="N69" s="708">
        <v>2764</v>
      </c>
      <c r="O69" s="770">
        <f t="shared" si="1"/>
        <v>0</v>
      </c>
      <c r="P69" s="770">
        <f t="shared" si="2"/>
        <v>271</v>
      </c>
      <c r="Q69" s="770">
        <f t="shared" si="3"/>
        <v>3</v>
      </c>
      <c r="R69" s="771">
        <f t="shared" si="4"/>
        <v>2</v>
      </c>
      <c r="V69" s="772">
        <f t="shared" si="8"/>
        <v>6502.400000000006</v>
      </c>
      <c r="W69" s="770">
        <f t="shared" si="9"/>
        <v>506.400000000006</v>
      </c>
      <c r="X69" s="770">
        <f t="shared" si="5"/>
        <v>149</v>
      </c>
      <c r="Y69" s="770">
        <f t="shared" si="6"/>
        <v>7</v>
      </c>
      <c r="Z69" s="771">
        <f t="shared" si="7"/>
        <v>5</v>
      </c>
    </row>
    <row r="70" spans="14:26">
      <c r="N70" s="708">
        <v>2797</v>
      </c>
      <c r="O70" s="770">
        <f t="shared" si="1"/>
        <v>0</v>
      </c>
      <c r="P70" s="770">
        <f t="shared" si="2"/>
        <v>304</v>
      </c>
      <c r="Q70" s="770">
        <f t="shared" si="3"/>
        <v>3</v>
      </c>
      <c r="R70" s="771">
        <f t="shared" si="4"/>
        <v>2</v>
      </c>
      <c r="V70" s="772">
        <f t="shared" si="8"/>
        <v>6604.0000000000064</v>
      </c>
      <c r="W70" s="770">
        <f t="shared" si="9"/>
        <v>608.00000000000637</v>
      </c>
      <c r="X70" s="770">
        <f t="shared" si="5"/>
        <v>149</v>
      </c>
      <c r="Y70" s="770">
        <f t="shared" si="6"/>
        <v>7</v>
      </c>
      <c r="Z70" s="771">
        <f t="shared" si="7"/>
        <v>5</v>
      </c>
    </row>
    <row r="71" spans="14:26">
      <c r="N71" s="708">
        <v>2831</v>
      </c>
      <c r="O71" s="770">
        <f t="shared" si="1"/>
        <v>0</v>
      </c>
      <c r="P71" s="770">
        <f t="shared" si="2"/>
        <v>338</v>
      </c>
      <c r="Q71" s="770">
        <f t="shared" si="3"/>
        <v>3</v>
      </c>
      <c r="R71" s="771">
        <f t="shared" si="4"/>
        <v>2</v>
      </c>
      <c r="V71" s="772">
        <f t="shared" si="8"/>
        <v>6705.6000000000067</v>
      </c>
      <c r="W71" s="770">
        <f t="shared" si="9"/>
        <v>709.60000000000673</v>
      </c>
      <c r="X71" s="770">
        <f t="shared" si="5"/>
        <v>149</v>
      </c>
      <c r="Y71" s="770">
        <f t="shared" si="6"/>
        <v>7</v>
      </c>
      <c r="Z71" s="771">
        <f t="shared" si="7"/>
        <v>5</v>
      </c>
    </row>
    <row r="72" spans="14:26">
      <c r="N72" s="708">
        <v>2864</v>
      </c>
      <c r="O72" s="770">
        <f t="shared" si="1"/>
        <v>0</v>
      </c>
      <c r="P72" s="770">
        <f t="shared" si="2"/>
        <v>371</v>
      </c>
      <c r="Q72" s="770">
        <f t="shared" si="3"/>
        <v>3</v>
      </c>
      <c r="R72" s="771">
        <f t="shared" si="4"/>
        <v>2</v>
      </c>
      <c r="V72" s="772">
        <f t="shared" si="8"/>
        <v>6807.2000000000071</v>
      </c>
      <c r="W72" s="770">
        <f t="shared" si="9"/>
        <v>811.20000000000709</v>
      </c>
      <c r="X72" s="770">
        <f t="shared" si="5"/>
        <v>149</v>
      </c>
      <c r="Y72" s="770">
        <f t="shared" si="6"/>
        <v>7</v>
      </c>
      <c r="Z72" s="771">
        <f t="shared" si="7"/>
        <v>5</v>
      </c>
    </row>
    <row r="73" spans="14:26">
      <c r="N73" s="708">
        <v>2897</v>
      </c>
      <c r="O73" s="770">
        <f t="shared" si="1"/>
        <v>0</v>
      </c>
      <c r="P73" s="770">
        <f t="shared" si="2"/>
        <v>404</v>
      </c>
      <c r="Q73" s="770">
        <f t="shared" si="3"/>
        <v>3</v>
      </c>
      <c r="R73" s="771">
        <f t="shared" si="4"/>
        <v>2</v>
      </c>
      <c r="V73" s="772">
        <f t="shared" si="8"/>
        <v>6908.8000000000075</v>
      </c>
      <c r="W73" s="770">
        <f t="shared" si="9"/>
        <v>912.80000000000746</v>
      </c>
      <c r="X73" s="770">
        <f t="shared" si="5"/>
        <v>149</v>
      </c>
      <c r="Y73" s="770">
        <f t="shared" si="6"/>
        <v>7</v>
      </c>
      <c r="Z73" s="771">
        <f t="shared" si="7"/>
        <v>5</v>
      </c>
    </row>
    <row r="74" spans="14:26">
      <c r="N74" s="708">
        <v>2931</v>
      </c>
      <c r="O74" s="770">
        <f t="shared" si="1"/>
        <v>0</v>
      </c>
      <c r="P74" s="770">
        <f t="shared" si="2"/>
        <v>438</v>
      </c>
      <c r="Q74" s="770">
        <f t="shared" si="3"/>
        <v>3</v>
      </c>
      <c r="R74" s="771">
        <f t="shared" si="4"/>
        <v>2</v>
      </c>
      <c r="V74" s="772">
        <f t="shared" si="8"/>
        <v>7010.4000000000078</v>
      </c>
      <c r="W74" s="770">
        <f t="shared" si="9"/>
        <v>0</v>
      </c>
      <c r="X74" s="770">
        <f t="shared" si="5"/>
        <v>45.400000000007822</v>
      </c>
      <c r="Y74" s="770">
        <f t="shared" si="6"/>
        <v>7</v>
      </c>
      <c r="Z74" s="771">
        <f t="shared" si="7"/>
        <v>6</v>
      </c>
    </row>
    <row r="75" spans="14:26">
      <c r="N75" s="708">
        <v>2964</v>
      </c>
      <c r="O75" s="770">
        <f t="shared" si="1"/>
        <v>431</v>
      </c>
      <c r="P75" s="770">
        <f t="shared" si="2"/>
        <v>40</v>
      </c>
      <c r="Q75" s="770">
        <f t="shared" si="3"/>
        <v>4</v>
      </c>
      <c r="R75" s="771">
        <f t="shared" si="4"/>
        <v>2</v>
      </c>
      <c r="V75" s="772">
        <f t="shared" si="8"/>
        <v>7112.0000000000082</v>
      </c>
      <c r="W75" s="770">
        <f t="shared" si="9"/>
        <v>0</v>
      </c>
      <c r="X75" s="770">
        <f t="shared" si="5"/>
        <v>147.00000000000819</v>
      </c>
      <c r="Y75" s="770">
        <f t="shared" si="6"/>
        <v>7</v>
      </c>
      <c r="Z75" s="771">
        <f t="shared" si="7"/>
        <v>6</v>
      </c>
    </row>
    <row r="76" spans="14:26">
      <c r="N76" s="708">
        <v>2997</v>
      </c>
      <c r="O76" s="770">
        <f t="shared" si="1"/>
        <v>464</v>
      </c>
      <c r="P76" s="770">
        <f t="shared" si="2"/>
        <v>40</v>
      </c>
      <c r="Q76" s="770">
        <f t="shared" si="3"/>
        <v>4</v>
      </c>
      <c r="R76" s="771">
        <f t="shared" si="4"/>
        <v>2</v>
      </c>
      <c r="V76" s="772">
        <f t="shared" si="8"/>
        <v>7213.6000000000085</v>
      </c>
      <c r="W76" s="770">
        <f t="shared" si="9"/>
        <v>0</v>
      </c>
      <c r="X76" s="770">
        <f t="shared" si="5"/>
        <v>248.60000000000855</v>
      </c>
      <c r="Y76" s="770">
        <f t="shared" si="6"/>
        <v>7</v>
      </c>
      <c r="Z76" s="771">
        <f t="shared" si="7"/>
        <v>6</v>
      </c>
    </row>
    <row r="77" spans="14:26">
      <c r="N77" s="708">
        <v>3030</v>
      </c>
      <c r="O77" s="770">
        <f t="shared" si="1"/>
        <v>497</v>
      </c>
      <c r="P77" s="770">
        <f t="shared" si="2"/>
        <v>40</v>
      </c>
      <c r="Q77" s="770">
        <f t="shared" si="3"/>
        <v>4</v>
      </c>
      <c r="R77" s="771">
        <f t="shared" si="4"/>
        <v>2</v>
      </c>
      <c r="V77" s="772">
        <f t="shared" si="8"/>
        <v>7315.2000000000089</v>
      </c>
      <c r="W77" s="770">
        <f t="shared" si="9"/>
        <v>0</v>
      </c>
      <c r="X77" s="770">
        <f t="shared" si="5"/>
        <v>350.20000000000891</v>
      </c>
      <c r="Y77" s="770">
        <f t="shared" si="6"/>
        <v>7</v>
      </c>
      <c r="Z77" s="771">
        <f t="shared" si="7"/>
        <v>6</v>
      </c>
    </row>
    <row r="78" spans="14:26">
      <c r="N78" s="708">
        <v>3064</v>
      </c>
      <c r="O78" s="770">
        <f t="shared" si="1"/>
        <v>531</v>
      </c>
      <c r="P78" s="770">
        <f t="shared" si="2"/>
        <v>40</v>
      </c>
      <c r="Q78" s="770">
        <f t="shared" si="3"/>
        <v>4</v>
      </c>
      <c r="R78" s="771">
        <f t="shared" si="4"/>
        <v>2</v>
      </c>
      <c r="V78" s="772">
        <f t="shared" si="8"/>
        <v>7416.8000000000093</v>
      </c>
      <c r="W78" s="770">
        <f t="shared" si="9"/>
        <v>0</v>
      </c>
      <c r="X78" s="770">
        <f t="shared" si="5"/>
        <v>451.80000000000928</v>
      </c>
      <c r="Y78" s="770">
        <f t="shared" si="6"/>
        <v>7</v>
      </c>
      <c r="Z78" s="771">
        <f t="shared" si="7"/>
        <v>6</v>
      </c>
    </row>
    <row r="79" spans="14:26">
      <c r="N79" s="708">
        <v>3097</v>
      </c>
      <c r="O79" s="770">
        <f t="shared" si="1"/>
        <v>564</v>
      </c>
      <c r="P79" s="770">
        <f t="shared" si="2"/>
        <v>40</v>
      </c>
      <c r="Q79" s="770">
        <f t="shared" si="3"/>
        <v>4</v>
      </c>
      <c r="R79" s="771">
        <f t="shared" si="4"/>
        <v>2</v>
      </c>
      <c r="V79" s="772">
        <f t="shared" si="8"/>
        <v>7518.4000000000096</v>
      </c>
      <c r="W79" s="770">
        <f t="shared" si="9"/>
        <v>404.40000000000964</v>
      </c>
      <c r="X79" s="770">
        <f t="shared" si="5"/>
        <v>149</v>
      </c>
      <c r="Y79" s="770">
        <f t="shared" si="6"/>
        <v>8</v>
      </c>
      <c r="Z79" s="771">
        <f t="shared" si="7"/>
        <v>6</v>
      </c>
    </row>
    <row r="80" spans="14:26">
      <c r="N80" s="708">
        <v>3130</v>
      </c>
      <c r="O80" s="770">
        <f t="shared" si="1"/>
        <v>597</v>
      </c>
      <c r="P80" s="770">
        <f t="shared" si="2"/>
        <v>40</v>
      </c>
      <c r="Q80" s="770">
        <f t="shared" si="3"/>
        <v>4</v>
      </c>
      <c r="R80" s="771">
        <f t="shared" si="4"/>
        <v>2</v>
      </c>
      <c r="V80" s="772">
        <f t="shared" si="8"/>
        <v>7620.00000000001</v>
      </c>
      <c r="W80" s="770">
        <f t="shared" si="9"/>
        <v>506.00000000001</v>
      </c>
      <c r="X80" s="770">
        <f t="shared" si="5"/>
        <v>149</v>
      </c>
      <c r="Y80" s="770">
        <f t="shared" si="6"/>
        <v>8</v>
      </c>
      <c r="Z80" s="771">
        <f t="shared" si="7"/>
        <v>6</v>
      </c>
    </row>
    <row r="81" spans="14:26">
      <c r="N81" s="708">
        <v>3164</v>
      </c>
      <c r="O81" s="770">
        <f t="shared" si="1"/>
        <v>631</v>
      </c>
      <c r="P81" s="770">
        <f t="shared" si="2"/>
        <v>40</v>
      </c>
      <c r="Q81" s="770">
        <f t="shared" si="3"/>
        <v>4</v>
      </c>
      <c r="R81" s="771">
        <f t="shared" si="4"/>
        <v>2</v>
      </c>
      <c r="V81" s="772">
        <f t="shared" si="8"/>
        <v>7721.6000000000104</v>
      </c>
      <c r="W81" s="770">
        <f t="shared" si="9"/>
        <v>607.60000000001037</v>
      </c>
      <c r="X81" s="770">
        <f t="shared" si="5"/>
        <v>149</v>
      </c>
      <c r="Y81" s="770">
        <f t="shared" si="6"/>
        <v>8</v>
      </c>
      <c r="Z81" s="771">
        <f t="shared" si="7"/>
        <v>6</v>
      </c>
    </row>
    <row r="82" spans="14:26">
      <c r="N82" s="708">
        <v>3197</v>
      </c>
      <c r="O82" s="770">
        <f t="shared" si="1"/>
        <v>664</v>
      </c>
      <c r="P82" s="770">
        <f t="shared" si="2"/>
        <v>40</v>
      </c>
      <c r="Q82" s="770">
        <f t="shared" si="3"/>
        <v>4</v>
      </c>
      <c r="R82" s="771">
        <f t="shared" si="4"/>
        <v>2</v>
      </c>
      <c r="V82" s="772">
        <f t="shared" si="8"/>
        <v>7823.2000000000107</v>
      </c>
      <c r="W82" s="770">
        <f t="shared" si="9"/>
        <v>709.20000000001073</v>
      </c>
      <c r="X82" s="770">
        <f t="shared" si="5"/>
        <v>149</v>
      </c>
      <c r="Y82" s="770">
        <f t="shared" si="6"/>
        <v>8</v>
      </c>
      <c r="Z82" s="771">
        <f t="shared" si="7"/>
        <v>6</v>
      </c>
    </row>
    <row r="83" spans="14:26">
      <c r="N83" s="708">
        <v>3230</v>
      </c>
      <c r="O83" s="770">
        <f t="shared" ref="O83:O146" si="10">IF(N83-$P$6-($Q$6*R83)&gt;$S$6,N83-$P$6-($Q$6*R83)-40,0)</f>
        <v>697</v>
      </c>
      <c r="P83" s="770">
        <f t="shared" ref="P83:P146" si="11">N83-$P$6-($Q$6*R83)-O83</f>
        <v>40</v>
      </c>
      <c r="Q83" s="770">
        <f t="shared" ref="Q83:Q146" si="12">ROUNDUP((N83/$Q$6),0)-IF(N83-$P$6-($Q$6*(ROUNDUP((N83/$Q$6),0)-1))&lt;0,1,0)+IF(O83&lt;&gt;0,1,0)</f>
        <v>4</v>
      </c>
      <c r="R83" s="771">
        <f t="shared" ref="R83:R146" si="13">ROUNDUP((N83/$Q$6),0)-IF(N83-$P$6-($Q$6*(ROUNDUP((N83/$Q$6),0)-1))&lt;0,2,1)</f>
        <v>2</v>
      </c>
      <c r="V83" s="772">
        <f t="shared" si="8"/>
        <v>7924.8000000000111</v>
      </c>
      <c r="W83" s="770">
        <f t="shared" si="9"/>
        <v>810.8000000000111</v>
      </c>
      <c r="X83" s="770">
        <f t="shared" ref="X83:X146" si="14">V83-$P$7-($Q$7*Z83)-W83</f>
        <v>149</v>
      </c>
      <c r="Y83" s="770">
        <f t="shared" ref="Y83:Y146" si="15">ROUNDUP((V83/$Q$7),0)-IF(V83-$P$7-($Q$7*(ROUNDUP((V83/$Q$7),0)-1))&lt;0,1,0)+IF(W83&lt;&gt;0,1,0)</f>
        <v>8</v>
      </c>
      <c r="Z83" s="771">
        <f t="shared" ref="Z83:Z146" si="16">ROUNDUP((V83/$Q$7),0)-IF(V83-$P$7-($Q$7*(ROUNDUP((V83/$Q$7),0)-1))&lt;0,2,1)</f>
        <v>6</v>
      </c>
    </row>
    <row r="84" spans="14:26">
      <c r="N84" s="708">
        <v>3264</v>
      </c>
      <c r="O84" s="770">
        <f t="shared" si="10"/>
        <v>731</v>
      </c>
      <c r="P84" s="770">
        <f t="shared" si="11"/>
        <v>40</v>
      </c>
      <c r="Q84" s="770">
        <f t="shared" si="12"/>
        <v>4</v>
      </c>
      <c r="R84" s="771">
        <f t="shared" si="13"/>
        <v>2</v>
      </c>
      <c r="V84" s="772">
        <f t="shared" si="8"/>
        <v>8026.4000000000115</v>
      </c>
      <c r="W84" s="770">
        <f t="shared" si="9"/>
        <v>912.40000000001146</v>
      </c>
      <c r="X84" s="770">
        <f t="shared" si="14"/>
        <v>149</v>
      </c>
      <c r="Y84" s="770">
        <f t="shared" si="15"/>
        <v>8</v>
      </c>
      <c r="Z84" s="771">
        <f t="shared" si="16"/>
        <v>6</v>
      </c>
    </row>
    <row r="85" spans="14:26">
      <c r="N85" s="708">
        <v>3297</v>
      </c>
      <c r="O85" s="770">
        <f t="shared" si="10"/>
        <v>764</v>
      </c>
      <c r="P85" s="770">
        <f t="shared" si="11"/>
        <v>40</v>
      </c>
      <c r="Q85" s="770">
        <f t="shared" si="12"/>
        <v>4</v>
      </c>
      <c r="R85" s="771">
        <f t="shared" si="13"/>
        <v>2</v>
      </c>
      <c r="V85" s="772">
        <f t="shared" ref="V85:V148" si="17">V84+101.6</f>
        <v>8128.0000000000118</v>
      </c>
      <c r="W85" s="770">
        <f t="shared" ref="W85:W148" si="18">IF(V85-$P$7-($Q$7*Z85)&gt;$S$7,V85-$P$7-($Q$7*Z85)-149,0)</f>
        <v>0</v>
      </c>
      <c r="X85" s="770">
        <f t="shared" si="14"/>
        <v>45.000000000011823</v>
      </c>
      <c r="Y85" s="770">
        <f t="shared" si="15"/>
        <v>8</v>
      </c>
      <c r="Z85" s="771">
        <f t="shared" si="16"/>
        <v>7</v>
      </c>
    </row>
    <row r="86" spans="14:26">
      <c r="N86" s="708">
        <v>3330</v>
      </c>
      <c r="O86" s="770">
        <f t="shared" si="10"/>
        <v>797</v>
      </c>
      <c r="P86" s="770">
        <f t="shared" si="11"/>
        <v>40</v>
      </c>
      <c r="Q86" s="770">
        <f t="shared" si="12"/>
        <v>4</v>
      </c>
      <c r="R86" s="771">
        <f t="shared" si="13"/>
        <v>2</v>
      </c>
      <c r="V86" s="772">
        <f t="shared" si="17"/>
        <v>8229.6000000000113</v>
      </c>
      <c r="W86" s="770">
        <f t="shared" si="18"/>
        <v>0</v>
      </c>
      <c r="X86" s="770">
        <f t="shared" si="14"/>
        <v>146.60000000001128</v>
      </c>
      <c r="Y86" s="770">
        <f t="shared" si="15"/>
        <v>8</v>
      </c>
      <c r="Z86" s="771">
        <f t="shared" si="16"/>
        <v>7</v>
      </c>
    </row>
    <row r="87" spans="14:26">
      <c r="N87" s="708">
        <v>3363</v>
      </c>
      <c r="O87" s="770">
        <f t="shared" si="10"/>
        <v>830</v>
      </c>
      <c r="P87" s="770">
        <f t="shared" si="11"/>
        <v>40</v>
      </c>
      <c r="Q87" s="770">
        <f t="shared" si="12"/>
        <v>4</v>
      </c>
      <c r="R87" s="771">
        <f t="shared" si="13"/>
        <v>2</v>
      </c>
      <c r="V87" s="772">
        <f t="shared" si="17"/>
        <v>8331.2000000000116</v>
      </c>
      <c r="W87" s="770">
        <f t="shared" si="18"/>
        <v>0</v>
      </c>
      <c r="X87" s="770">
        <f t="shared" si="14"/>
        <v>248.20000000001164</v>
      </c>
      <c r="Y87" s="770">
        <f t="shared" si="15"/>
        <v>8</v>
      </c>
      <c r="Z87" s="771">
        <f t="shared" si="16"/>
        <v>7</v>
      </c>
    </row>
    <row r="88" spans="14:26">
      <c r="N88" s="708">
        <v>3397</v>
      </c>
      <c r="O88" s="770">
        <f t="shared" si="10"/>
        <v>864</v>
      </c>
      <c r="P88" s="770">
        <f t="shared" si="11"/>
        <v>40</v>
      </c>
      <c r="Q88" s="770">
        <f t="shared" si="12"/>
        <v>4</v>
      </c>
      <c r="R88" s="771">
        <f t="shared" si="13"/>
        <v>2</v>
      </c>
      <c r="V88" s="772">
        <f t="shared" si="17"/>
        <v>8432.800000000012</v>
      </c>
      <c r="W88" s="770">
        <f t="shared" si="18"/>
        <v>0</v>
      </c>
      <c r="X88" s="770">
        <f t="shared" si="14"/>
        <v>349.80000000001201</v>
      </c>
      <c r="Y88" s="770">
        <f t="shared" si="15"/>
        <v>8</v>
      </c>
      <c r="Z88" s="771">
        <f t="shared" si="16"/>
        <v>7</v>
      </c>
    </row>
    <row r="89" spans="14:26">
      <c r="N89" s="708">
        <v>3430</v>
      </c>
      <c r="O89" s="770">
        <f t="shared" si="10"/>
        <v>897</v>
      </c>
      <c r="P89" s="770">
        <f t="shared" si="11"/>
        <v>40</v>
      </c>
      <c r="Q89" s="770">
        <f t="shared" si="12"/>
        <v>4</v>
      </c>
      <c r="R89" s="771">
        <f t="shared" si="13"/>
        <v>2</v>
      </c>
      <c r="V89" s="772">
        <f t="shared" si="17"/>
        <v>8534.4000000000124</v>
      </c>
      <c r="W89" s="770">
        <f t="shared" si="18"/>
        <v>0</v>
      </c>
      <c r="X89" s="770">
        <f t="shared" si="14"/>
        <v>451.40000000001237</v>
      </c>
      <c r="Y89" s="770">
        <f t="shared" si="15"/>
        <v>8</v>
      </c>
      <c r="Z89" s="771">
        <f t="shared" si="16"/>
        <v>7</v>
      </c>
    </row>
    <row r="90" spans="14:26">
      <c r="N90" s="708">
        <v>3463</v>
      </c>
      <c r="O90" s="770">
        <f t="shared" si="10"/>
        <v>930</v>
      </c>
      <c r="P90" s="770">
        <f t="shared" si="11"/>
        <v>40</v>
      </c>
      <c r="Q90" s="770">
        <f t="shared" si="12"/>
        <v>4</v>
      </c>
      <c r="R90" s="771">
        <f t="shared" si="13"/>
        <v>2</v>
      </c>
      <c r="V90" s="772">
        <f t="shared" si="17"/>
        <v>8636.0000000000127</v>
      </c>
      <c r="W90" s="770">
        <f t="shared" si="18"/>
        <v>404.00000000001273</v>
      </c>
      <c r="X90" s="770">
        <f t="shared" si="14"/>
        <v>149</v>
      </c>
      <c r="Y90" s="770">
        <f t="shared" si="15"/>
        <v>9</v>
      </c>
      <c r="Z90" s="771">
        <f t="shared" si="16"/>
        <v>7</v>
      </c>
    </row>
    <row r="91" spans="14:26">
      <c r="N91" s="708">
        <v>3497</v>
      </c>
      <c r="O91" s="770">
        <f t="shared" si="10"/>
        <v>964</v>
      </c>
      <c r="P91" s="770">
        <f t="shared" si="11"/>
        <v>40</v>
      </c>
      <c r="Q91" s="770">
        <f t="shared" si="12"/>
        <v>4</v>
      </c>
      <c r="R91" s="771">
        <f t="shared" si="13"/>
        <v>2</v>
      </c>
      <c r="V91" s="772">
        <f t="shared" si="17"/>
        <v>8737.6000000000131</v>
      </c>
      <c r="W91" s="770">
        <f t="shared" si="18"/>
        <v>505.6000000000131</v>
      </c>
      <c r="X91" s="770">
        <f t="shared" si="14"/>
        <v>149</v>
      </c>
      <c r="Y91" s="770">
        <f t="shared" si="15"/>
        <v>9</v>
      </c>
      <c r="Z91" s="771">
        <f t="shared" si="16"/>
        <v>7</v>
      </c>
    </row>
    <row r="92" spans="14:26">
      <c r="N92" s="708">
        <v>3530</v>
      </c>
      <c r="O92" s="770">
        <f t="shared" si="10"/>
        <v>997</v>
      </c>
      <c r="P92" s="770">
        <f t="shared" si="11"/>
        <v>40</v>
      </c>
      <c r="Q92" s="770">
        <f t="shared" si="12"/>
        <v>4</v>
      </c>
      <c r="R92" s="771">
        <f t="shared" si="13"/>
        <v>2</v>
      </c>
      <c r="V92" s="772">
        <f t="shared" si="17"/>
        <v>8839.2000000000135</v>
      </c>
      <c r="W92" s="770">
        <f t="shared" si="18"/>
        <v>607.20000000001346</v>
      </c>
      <c r="X92" s="770">
        <f t="shared" si="14"/>
        <v>149</v>
      </c>
      <c r="Y92" s="770">
        <f t="shared" si="15"/>
        <v>9</v>
      </c>
      <c r="Z92" s="771">
        <f t="shared" si="16"/>
        <v>7</v>
      </c>
    </row>
    <row r="93" spans="14:26">
      <c r="N93" s="708">
        <v>3563</v>
      </c>
      <c r="O93" s="770">
        <f t="shared" si="10"/>
        <v>1030</v>
      </c>
      <c r="P93" s="770">
        <f t="shared" si="11"/>
        <v>40</v>
      </c>
      <c r="Q93" s="770">
        <f t="shared" si="12"/>
        <v>4</v>
      </c>
      <c r="R93" s="771">
        <f t="shared" si="13"/>
        <v>2</v>
      </c>
      <c r="V93" s="772">
        <f t="shared" si="17"/>
        <v>8940.8000000000138</v>
      </c>
      <c r="W93" s="770">
        <f t="shared" si="18"/>
        <v>708.80000000001382</v>
      </c>
      <c r="X93" s="770">
        <f t="shared" si="14"/>
        <v>149</v>
      </c>
      <c r="Y93" s="770">
        <f t="shared" si="15"/>
        <v>9</v>
      </c>
      <c r="Z93" s="771">
        <f t="shared" si="16"/>
        <v>7</v>
      </c>
    </row>
    <row r="94" spans="14:26">
      <c r="N94" s="708">
        <v>3597</v>
      </c>
      <c r="O94" s="770">
        <f t="shared" si="10"/>
        <v>1064</v>
      </c>
      <c r="P94" s="770">
        <f t="shared" si="11"/>
        <v>40</v>
      </c>
      <c r="Q94" s="770">
        <f t="shared" si="12"/>
        <v>4</v>
      </c>
      <c r="R94" s="771">
        <f t="shared" si="13"/>
        <v>2</v>
      </c>
      <c r="V94" s="772">
        <f t="shared" si="17"/>
        <v>9042.4000000000142</v>
      </c>
      <c r="W94" s="770">
        <f t="shared" si="18"/>
        <v>810.40000000001419</v>
      </c>
      <c r="X94" s="770">
        <f t="shared" si="14"/>
        <v>149</v>
      </c>
      <c r="Y94" s="770">
        <f t="shared" si="15"/>
        <v>9</v>
      </c>
      <c r="Z94" s="771">
        <f t="shared" si="16"/>
        <v>7</v>
      </c>
    </row>
    <row r="95" spans="14:26">
      <c r="N95" s="708">
        <v>3630</v>
      </c>
      <c r="O95" s="770">
        <f t="shared" si="10"/>
        <v>0</v>
      </c>
      <c r="P95" s="770">
        <f t="shared" si="11"/>
        <v>19</v>
      </c>
      <c r="Q95" s="770">
        <f t="shared" si="12"/>
        <v>4</v>
      </c>
      <c r="R95" s="771">
        <f t="shared" si="13"/>
        <v>3</v>
      </c>
      <c r="V95" s="772">
        <f t="shared" si="17"/>
        <v>9144.0000000000146</v>
      </c>
      <c r="W95" s="770">
        <f t="shared" si="18"/>
        <v>912.00000000001455</v>
      </c>
      <c r="X95" s="770">
        <f t="shared" si="14"/>
        <v>149</v>
      </c>
      <c r="Y95" s="770">
        <f t="shared" si="15"/>
        <v>9</v>
      </c>
      <c r="Z95" s="771">
        <f t="shared" si="16"/>
        <v>7</v>
      </c>
    </row>
    <row r="96" spans="14:26">
      <c r="N96" s="708">
        <v>3663</v>
      </c>
      <c r="O96" s="770">
        <f t="shared" si="10"/>
        <v>0</v>
      </c>
      <c r="P96" s="770">
        <f t="shared" si="11"/>
        <v>52</v>
      </c>
      <c r="Q96" s="770">
        <f t="shared" si="12"/>
        <v>4</v>
      </c>
      <c r="R96" s="771">
        <f t="shared" si="13"/>
        <v>3</v>
      </c>
      <c r="V96" s="772">
        <f t="shared" si="17"/>
        <v>9245.6000000000149</v>
      </c>
      <c r="W96" s="770">
        <f t="shared" si="18"/>
        <v>0</v>
      </c>
      <c r="X96" s="770">
        <f t="shared" si="14"/>
        <v>44.600000000014916</v>
      </c>
      <c r="Y96" s="770">
        <f t="shared" si="15"/>
        <v>9</v>
      </c>
      <c r="Z96" s="771">
        <f t="shared" si="16"/>
        <v>8</v>
      </c>
    </row>
    <row r="97" spans="14:26">
      <c r="N97" s="708">
        <v>3696</v>
      </c>
      <c r="O97" s="770">
        <f t="shared" si="10"/>
        <v>0</v>
      </c>
      <c r="P97" s="770">
        <f t="shared" si="11"/>
        <v>85</v>
      </c>
      <c r="Q97" s="770">
        <f t="shared" si="12"/>
        <v>4</v>
      </c>
      <c r="R97" s="771">
        <f t="shared" si="13"/>
        <v>3</v>
      </c>
      <c r="V97" s="772">
        <f t="shared" si="17"/>
        <v>9347.2000000000153</v>
      </c>
      <c r="W97" s="770">
        <f t="shared" si="18"/>
        <v>0</v>
      </c>
      <c r="X97" s="770">
        <f t="shared" si="14"/>
        <v>146.20000000001528</v>
      </c>
      <c r="Y97" s="770">
        <f t="shared" si="15"/>
        <v>9</v>
      </c>
      <c r="Z97" s="771">
        <f t="shared" si="16"/>
        <v>8</v>
      </c>
    </row>
    <row r="98" spans="14:26">
      <c r="N98" s="708">
        <v>3730</v>
      </c>
      <c r="O98" s="770">
        <f t="shared" si="10"/>
        <v>0</v>
      </c>
      <c r="P98" s="770">
        <f t="shared" si="11"/>
        <v>119</v>
      </c>
      <c r="Q98" s="770">
        <f t="shared" si="12"/>
        <v>4</v>
      </c>
      <c r="R98" s="771">
        <f t="shared" si="13"/>
        <v>3</v>
      </c>
      <c r="V98" s="772">
        <f t="shared" si="17"/>
        <v>9448.8000000000156</v>
      </c>
      <c r="W98" s="770">
        <f t="shared" si="18"/>
        <v>0</v>
      </c>
      <c r="X98" s="770">
        <f t="shared" si="14"/>
        <v>247.80000000001564</v>
      </c>
      <c r="Y98" s="770">
        <f t="shared" si="15"/>
        <v>9</v>
      </c>
      <c r="Z98" s="771">
        <f t="shared" si="16"/>
        <v>8</v>
      </c>
    </row>
    <row r="99" spans="14:26">
      <c r="N99" s="708">
        <v>3763</v>
      </c>
      <c r="O99" s="770">
        <f t="shared" si="10"/>
        <v>0</v>
      </c>
      <c r="P99" s="770">
        <f t="shared" si="11"/>
        <v>152</v>
      </c>
      <c r="Q99" s="770">
        <f t="shared" si="12"/>
        <v>4</v>
      </c>
      <c r="R99" s="771">
        <f t="shared" si="13"/>
        <v>3</v>
      </c>
      <c r="V99" s="772">
        <f t="shared" si="17"/>
        <v>9550.400000000016</v>
      </c>
      <c r="W99" s="770">
        <f t="shared" si="18"/>
        <v>0</v>
      </c>
      <c r="X99" s="770">
        <f t="shared" si="14"/>
        <v>349.40000000001601</v>
      </c>
      <c r="Y99" s="770">
        <f t="shared" si="15"/>
        <v>9</v>
      </c>
      <c r="Z99" s="771">
        <f t="shared" si="16"/>
        <v>8</v>
      </c>
    </row>
    <row r="100" spans="14:26">
      <c r="N100" s="708">
        <v>3796</v>
      </c>
      <c r="O100" s="770">
        <f t="shared" si="10"/>
        <v>0</v>
      </c>
      <c r="P100" s="770">
        <f t="shared" si="11"/>
        <v>185</v>
      </c>
      <c r="Q100" s="770">
        <f t="shared" si="12"/>
        <v>4</v>
      </c>
      <c r="R100" s="771">
        <f t="shared" si="13"/>
        <v>3</v>
      </c>
      <c r="V100" s="772">
        <f t="shared" si="17"/>
        <v>9652.0000000000164</v>
      </c>
      <c r="W100" s="770">
        <f t="shared" si="18"/>
        <v>0</v>
      </c>
      <c r="X100" s="770">
        <f t="shared" si="14"/>
        <v>451.00000000001637</v>
      </c>
      <c r="Y100" s="770">
        <f t="shared" si="15"/>
        <v>9</v>
      </c>
      <c r="Z100" s="771">
        <f t="shared" si="16"/>
        <v>8</v>
      </c>
    </row>
    <row r="101" spans="14:26">
      <c r="N101" s="708">
        <v>3830</v>
      </c>
      <c r="O101" s="770">
        <f t="shared" si="10"/>
        <v>0</v>
      </c>
      <c r="P101" s="770">
        <f t="shared" si="11"/>
        <v>219</v>
      </c>
      <c r="Q101" s="770">
        <f t="shared" si="12"/>
        <v>4</v>
      </c>
      <c r="R101" s="771">
        <f t="shared" si="13"/>
        <v>3</v>
      </c>
      <c r="V101" s="772">
        <f t="shared" si="17"/>
        <v>9753.6000000000167</v>
      </c>
      <c r="W101" s="770">
        <f t="shared" si="18"/>
        <v>403.60000000001673</v>
      </c>
      <c r="X101" s="770">
        <f t="shared" si="14"/>
        <v>149</v>
      </c>
      <c r="Y101" s="770">
        <f t="shared" si="15"/>
        <v>10</v>
      </c>
      <c r="Z101" s="771">
        <f t="shared" si="16"/>
        <v>8</v>
      </c>
    </row>
    <row r="102" spans="14:26">
      <c r="N102" s="708">
        <v>3863</v>
      </c>
      <c r="O102" s="770">
        <f t="shared" si="10"/>
        <v>0</v>
      </c>
      <c r="P102" s="770">
        <f t="shared" si="11"/>
        <v>252</v>
      </c>
      <c r="Q102" s="770">
        <f t="shared" si="12"/>
        <v>4</v>
      </c>
      <c r="R102" s="771">
        <f t="shared" si="13"/>
        <v>3</v>
      </c>
      <c r="V102" s="772">
        <f t="shared" si="17"/>
        <v>9855.2000000000171</v>
      </c>
      <c r="W102" s="770">
        <f t="shared" si="18"/>
        <v>505.2000000000171</v>
      </c>
      <c r="X102" s="770">
        <f t="shared" si="14"/>
        <v>149</v>
      </c>
      <c r="Y102" s="770">
        <f t="shared" si="15"/>
        <v>10</v>
      </c>
      <c r="Z102" s="771">
        <f t="shared" si="16"/>
        <v>8</v>
      </c>
    </row>
    <row r="103" spans="14:26">
      <c r="N103" s="708">
        <v>3896</v>
      </c>
      <c r="O103" s="770">
        <f t="shared" si="10"/>
        <v>0</v>
      </c>
      <c r="P103" s="770">
        <f t="shared" si="11"/>
        <v>285</v>
      </c>
      <c r="Q103" s="770">
        <f t="shared" si="12"/>
        <v>4</v>
      </c>
      <c r="R103" s="771">
        <f t="shared" si="13"/>
        <v>3</v>
      </c>
      <c r="V103" s="772">
        <f t="shared" si="17"/>
        <v>9956.8000000000175</v>
      </c>
      <c r="W103" s="770">
        <f t="shared" si="18"/>
        <v>606.80000000001746</v>
      </c>
      <c r="X103" s="770">
        <f t="shared" si="14"/>
        <v>149</v>
      </c>
      <c r="Y103" s="770">
        <f t="shared" si="15"/>
        <v>10</v>
      </c>
      <c r="Z103" s="771">
        <f t="shared" si="16"/>
        <v>8</v>
      </c>
    </row>
    <row r="104" spans="14:26">
      <c r="N104" s="708">
        <v>3930</v>
      </c>
      <c r="O104" s="770">
        <f t="shared" si="10"/>
        <v>0</v>
      </c>
      <c r="P104" s="770">
        <f t="shared" si="11"/>
        <v>319</v>
      </c>
      <c r="Q104" s="770">
        <f t="shared" si="12"/>
        <v>4</v>
      </c>
      <c r="R104" s="771">
        <f t="shared" si="13"/>
        <v>3</v>
      </c>
      <c r="V104" s="772">
        <f t="shared" si="17"/>
        <v>10058.400000000018</v>
      </c>
      <c r="W104" s="770">
        <f t="shared" si="18"/>
        <v>708.40000000001783</v>
      </c>
      <c r="X104" s="770">
        <f t="shared" si="14"/>
        <v>149</v>
      </c>
      <c r="Y104" s="770">
        <f t="shared" si="15"/>
        <v>10</v>
      </c>
      <c r="Z104" s="771">
        <f t="shared" si="16"/>
        <v>8</v>
      </c>
    </row>
    <row r="105" spans="14:26">
      <c r="N105" s="708">
        <v>3963</v>
      </c>
      <c r="O105" s="770">
        <f t="shared" si="10"/>
        <v>0</v>
      </c>
      <c r="P105" s="770">
        <f t="shared" si="11"/>
        <v>352</v>
      </c>
      <c r="Q105" s="770">
        <f t="shared" si="12"/>
        <v>4</v>
      </c>
      <c r="R105" s="771">
        <f t="shared" si="13"/>
        <v>3</v>
      </c>
      <c r="V105" s="772">
        <f t="shared" si="17"/>
        <v>10160.000000000018</v>
      </c>
      <c r="W105" s="770">
        <f t="shared" si="18"/>
        <v>810.00000000001819</v>
      </c>
      <c r="X105" s="770">
        <f t="shared" si="14"/>
        <v>149</v>
      </c>
      <c r="Y105" s="770">
        <f t="shared" si="15"/>
        <v>10</v>
      </c>
      <c r="Z105" s="771">
        <f t="shared" si="16"/>
        <v>8</v>
      </c>
    </row>
    <row r="106" spans="14:26">
      <c r="N106" s="708">
        <v>3996</v>
      </c>
      <c r="O106" s="770">
        <f t="shared" si="10"/>
        <v>0</v>
      </c>
      <c r="P106" s="770">
        <f t="shared" si="11"/>
        <v>385</v>
      </c>
      <c r="Q106" s="770">
        <f t="shared" si="12"/>
        <v>4</v>
      </c>
      <c r="R106" s="771">
        <f t="shared" si="13"/>
        <v>3</v>
      </c>
      <c r="V106" s="772">
        <f t="shared" si="17"/>
        <v>10261.600000000019</v>
      </c>
      <c r="W106" s="770">
        <f t="shared" si="18"/>
        <v>911.60000000001855</v>
      </c>
      <c r="X106" s="770">
        <f t="shared" si="14"/>
        <v>149</v>
      </c>
      <c r="Y106" s="770">
        <f t="shared" si="15"/>
        <v>10</v>
      </c>
      <c r="Z106" s="771">
        <f t="shared" si="16"/>
        <v>8</v>
      </c>
    </row>
    <row r="107" spans="14:26">
      <c r="N107" s="708">
        <v>4029</v>
      </c>
      <c r="O107" s="770">
        <f t="shared" si="10"/>
        <v>0</v>
      </c>
      <c r="P107" s="770">
        <f t="shared" si="11"/>
        <v>418</v>
      </c>
      <c r="Q107" s="770">
        <f t="shared" si="12"/>
        <v>4</v>
      </c>
      <c r="R107" s="771">
        <f t="shared" si="13"/>
        <v>3</v>
      </c>
      <c r="V107" s="772">
        <f t="shared" si="17"/>
        <v>10363.200000000019</v>
      </c>
      <c r="W107" s="770">
        <f t="shared" si="18"/>
        <v>0</v>
      </c>
      <c r="X107" s="770">
        <f t="shared" si="14"/>
        <v>44.200000000018917</v>
      </c>
      <c r="Y107" s="770">
        <f t="shared" si="15"/>
        <v>10</v>
      </c>
      <c r="Z107" s="771">
        <f t="shared" si="16"/>
        <v>9</v>
      </c>
    </row>
    <row r="108" spans="14:26">
      <c r="N108" s="708">
        <v>4063</v>
      </c>
      <c r="O108" s="770">
        <f t="shared" si="10"/>
        <v>0</v>
      </c>
      <c r="P108" s="770">
        <f t="shared" si="11"/>
        <v>452</v>
      </c>
      <c r="Q108" s="770">
        <f t="shared" si="12"/>
        <v>4</v>
      </c>
      <c r="R108" s="771">
        <f t="shared" si="13"/>
        <v>3</v>
      </c>
      <c r="V108" s="772">
        <f t="shared" si="17"/>
        <v>10464.800000000019</v>
      </c>
      <c r="W108" s="770">
        <f t="shared" si="18"/>
        <v>0</v>
      </c>
      <c r="X108" s="770">
        <f t="shared" si="14"/>
        <v>145.80000000001928</v>
      </c>
      <c r="Y108" s="770">
        <f t="shared" si="15"/>
        <v>10</v>
      </c>
      <c r="Z108" s="771">
        <f t="shared" si="16"/>
        <v>9</v>
      </c>
    </row>
    <row r="109" spans="14:26">
      <c r="N109" s="708">
        <v>4096</v>
      </c>
      <c r="O109" s="770">
        <f t="shared" si="10"/>
        <v>445</v>
      </c>
      <c r="P109" s="770">
        <f t="shared" si="11"/>
        <v>40</v>
      </c>
      <c r="Q109" s="770">
        <f t="shared" si="12"/>
        <v>5</v>
      </c>
      <c r="R109" s="771">
        <f t="shared" si="13"/>
        <v>3</v>
      </c>
      <c r="V109" s="772">
        <f t="shared" si="17"/>
        <v>10566.40000000002</v>
      </c>
      <c r="W109" s="770">
        <f t="shared" si="18"/>
        <v>0</v>
      </c>
      <c r="X109" s="770">
        <f t="shared" si="14"/>
        <v>247.40000000001965</v>
      </c>
      <c r="Y109" s="770">
        <f t="shared" si="15"/>
        <v>10</v>
      </c>
      <c r="Z109" s="771">
        <f t="shared" si="16"/>
        <v>9</v>
      </c>
    </row>
    <row r="110" spans="14:26">
      <c r="N110" s="708">
        <v>4129</v>
      </c>
      <c r="O110" s="770">
        <f t="shared" si="10"/>
        <v>478</v>
      </c>
      <c r="P110" s="770">
        <f t="shared" si="11"/>
        <v>40</v>
      </c>
      <c r="Q110" s="770">
        <f t="shared" si="12"/>
        <v>5</v>
      </c>
      <c r="R110" s="771">
        <f t="shared" si="13"/>
        <v>3</v>
      </c>
      <c r="V110" s="772">
        <f t="shared" si="17"/>
        <v>10668.00000000002</v>
      </c>
      <c r="W110" s="770">
        <f t="shared" si="18"/>
        <v>0</v>
      </c>
      <c r="X110" s="770">
        <f t="shared" si="14"/>
        <v>349.00000000002001</v>
      </c>
      <c r="Y110" s="770">
        <f t="shared" si="15"/>
        <v>10</v>
      </c>
      <c r="Z110" s="771">
        <f t="shared" si="16"/>
        <v>9</v>
      </c>
    </row>
    <row r="111" spans="14:26">
      <c r="N111" s="708">
        <v>4163</v>
      </c>
      <c r="O111" s="770">
        <f t="shared" si="10"/>
        <v>512</v>
      </c>
      <c r="P111" s="770">
        <f t="shared" si="11"/>
        <v>40</v>
      </c>
      <c r="Q111" s="770">
        <f t="shared" si="12"/>
        <v>5</v>
      </c>
      <c r="R111" s="771">
        <f t="shared" si="13"/>
        <v>3</v>
      </c>
      <c r="V111" s="772">
        <f t="shared" si="17"/>
        <v>10769.60000000002</v>
      </c>
      <c r="W111" s="770">
        <f t="shared" si="18"/>
        <v>0</v>
      </c>
      <c r="X111" s="770">
        <f t="shared" si="14"/>
        <v>450.60000000002037</v>
      </c>
      <c r="Y111" s="770">
        <f t="shared" si="15"/>
        <v>10</v>
      </c>
      <c r="Z111" s="771">
        <f t="shared" si="16"/>
        <v>9</v>
      </c>
    </row>
    <row r="112" spans="14:26">
      <c r="N112" s="708">
        <v>4196</v>
      </c>
      <c r="O112" s="770">
        <f t="shared" si="10"/>
        <v>545</v>
      </c>
      <c r="P112" s="770">
        <f t="shared" si="11"/>
        <v>40</v>
      </c>
      <c r="Q112" s="770">
        <f t="shared" si="12"/>
        <v>5</v>
      </c>
      <c r="R112" s="771">
        <f t="shared" si="13"/>
        <v>3</v>
      </c>
      <c r="V112" s="772">
        <f t="shared" si="17"/>
        <v>10871.200000000021</v>
      </c>
      <c r="W112" s="770">
        <f t="shared" si="18"/>
        <v>403.20000000002074</v>
      </c>
      <c r="X112" s="770">
        <f t="shared" si="14"/>
        <v>149</v>
      </c>
      <c r="Y112" s="770">
        <f t="shared" si="15"/>
        <v>11</v>
      </c>
      <c r="Z112" s="771">
        <f t="shared" si="16"/>
        <v>9</v>
      </c>
    </row>
    <row r="113" spans="14:26">
      <c r="N113" s="708">
        <v>4229</v>
      </c>
      <c r="O113" s="770">
        <f t="shared" si="10"/>
        <v>578</v>
      </c>
      <c r="P113" s="770">
        <f t="shared" si="11"/>
        <v>40</v>
      </c>
      <c r="Q113" s="770">
        <f t="shared" si="12"/>
        <v>5</v>
      </c>
      <c r="R113" s="771">
        <f t="shared" si="13"/>
        <v>3</v>
      </c>
      <c r="V113" s="772">
        <f t="shared" si="17"/>
        <v>10972.800000000021</v>
      </c>
      <c r="W113" s="770">
        <f t="shared" si="18"/>
        <v>504.8000000000211</v>
      </c>
      <c r="X113" s="770">
        <f t="shared" si="14"/>
        <v>149</v>
      </c>
      <c r="Y113" s="770">
        <f t="shared" si="15"/>
        <v>11</v>
      </c>
      <c r="Z113" s="771">
        <f t="shared" si="16"/>
        <v>9</v>
      </c>
    </row>
    <row r="114" spans="14:26">
      <c r="N114" s="708">
        <v>4263</v>
      </c>
      <c r="O114" s="770">
        <f t="shared" si="10"/>
        <v>612</v>
      </c>
      <c r="P114" s="770">
        <f t="shared" si="11"/>
        <v>40</v>
      </c>
      <c r="Q114" s="770">
        <f t="shared" si="12"/>
        <v>5</v>
      </c>
      <c r="R114" s="771">
        <f t="shared" si="13"/>
        <v>3</v>
      </c>
      <c r="V114" s="772">
        <f t="shared" si="17"/>
        <v>11074.400000000021</v>
      </c>
      <c r="W114" s="770">
        <f t="shared" si="18"/>
        <v>606.40000000002146</v>
      </c>
      <c r="X114" s="770">
        <f t="shared" si="14"/>
        <v>149</v>
      </c>
      <c r="Y114" s="770">
        <f t="shared" si="15"/>
        <v>11</v>
      </c>
      <c r="Z114" s="771">
        <f t="shared" si="16"/>
        <v>9</v>
      </c>
    </row>
    <row r="115" spans="14:26">
      <c r="N115" s="708">
        <v>4296</v>
      </c>
      <c r="O115" s="770">
        <f t="shared" si="10"/>
        <v>645</v>
      </c>
      <c r="P115" s="770">
        <f t="shared" si="11"/>
        <v>40</v>
      </c>
      <c r="Q115" s="770">
        <f t="shared" si="12"/>
        <v>5</v>
      </c>
      <c r="R115" s="771">
        <f t="shared" si="13"/>
        <v>3</v>
      </c>
      <c r="V115" s="772">
        <f t="shared" si="17"/>
        <v>11176.000000000022</v>
      </c>
      <c r="W115" s="770">
        <f t="shared" si="18"/>
        <v>708.00000000002183</v>
      </c>
      <c r="X115" s="770">
        <f t="shared" si="14"/>
        <v>149</v>
      </c>
      <c r="Y115" s="770">
        <f t="shared" si="15"/>
        <v>11</v>
      </c>
      <c r="Z115" s="771">
        <f t="shared" si="16"/>
        <v>9</v>
      </c>
    </row>
    <row r="116" spans="14:26">
      <c r="N116" s="708">
        <v>4329</v>
      </c>
      <c r="O116" s="770">
        <f t="shared" si="10"/>
        <v>678</v>
      </c>
      <c r="P116" s="770">
        <f t="shared" si="11"/>
        <v>40</v>
      </c>
      <c r="Q116" s="770">
        <f t="shared" si="12"/>
        <v>5</v>
      </c>
      <c r="R116" s="771">
        <f t="shared" si="13"/>
        <v>3</v>
      </c>
      <c r="V116" s="772">
        <f t="shared" si="17"/>
        <v>11277.600000000022</v>
      </c>
      <c r="W116" s="770">
        <f t="shared" si="18"/>
        <v>809.60000000002219</v>
      </c>
      <c r="X116" s="770">
        <f t="shared" si="14"/>
        <v>149</v>
      </c>
      <c r="Y116" s="770">
        <f t="shared" si="15"/>
        <v>11</v>
      </c>
      <c r="Z116" s="771">
        <f t="shared" si="16"/>
        <v>9</v>
      </c>
    </row>
    <row r="117" spans="14:26">
      <c r="N117" s="708">
        <v>4362</v>
      </c>
      <c r="O117" s="770">
        <f t="shared" si="10"/>
        <v>711</v>
      </c>
      <c r="P117" s="770">
        <f t="shared" si="11"/>
        <v>40</v>
      </c>
      <c r="Q117" s="770">
        <f t="shared" si="12"/>
        <v>5</v>
      </c>
      <c r="R117" s="771">
        <f t="shared" si="13"/>
        <v>3</v>
      </c>
      <c r="V117" s="772">
        <f t="shared" si="17"/>
        <v>11379.200000000023</v>
      </c>
      <c r="W117" s="770">
        <f t="shared" si="18"/>
        <v>911.20000000002256</v>
      </c>
      <c r="X117" s="770">
        <f t="shared" si="14"/>
        <v>149</v>
      </c>
      <c r="Y117" s="770">
        <f t="shared" si="15"/>
        <v>11</v>
      </c>
      <c r="Z117" s="771">
        <f t="shared" si="16"/>
        <v>9</v>
      </c>
    </row>
    <row r="118" spans="14:26">
      <c r="N118" s="708">
        <v>4396</v>
      </c>
      <c r="O118" s="770">
        <f t="shared" si="10"/>
        <v>745</v>
      </c>
      <c r="P118" s="770">
        <f t="shared" si="11"/>
        <v>40</v>
      </c>
      <c r="Q118" s="770">
        <f t="shared" si="12"/>
        <v>5</v>
      </c>
      <c r="R118" s="771">
        <f t="shared" si="13"/>
        <v>3</v>
      </c>
      <c r="V118" s="772">
        <f t="shared" si="17"/>
        <v>11480.800000000023</v>
      </c>
      <c r="W118" s="770">
        <f t="shared" si="18"/>
        <v>0</v>
      </c>
      <c r="X118" s="770">
        <f t="shared" si="14"/>
        <v>43.800000000022919</v>
      </c>
      <c r="Y118" s="770">
        <f t="shared" si="15"/>
        <v>11</v>
      </c>
      <c r="Z118" s="771">
        <f t="shared" si="16"/>
        <v>10</v>
      </c>
    </row>
    <row r="119" spans="14:26">
      <c r="N119" s="708">
        <v>4429</v>
      </c>
      <c r="O119" s="770">
        <f t="shared" si="10"/>
        <v>778</v>
      </c>
      <c r="P119" s="770">
        <f t="shared" si="11"/>
        <v>40</v>
      </c>
      <c r="Q119" s="770">
        <f t="shared" si="12"/>
        <v>5</v>
      </c>
      <c r="R119" s="771">
        <f t="shared" si="13"/>
        <v>3</v>
      </c>
      <c r="V119" s="772">
        <f t="shared" si="17"/>
        <v>11582.400000000023</v>
      </c>
      <c r="W119" s="770">
        <f t="shared" si="18"/>
        <v>0</v>
      </c>
      <c r="X119" s="770">
        <f t="shared" si="14"/>
        <v>145.40000000002328</v>
      </c>
      <c r="Y119" s="770">
        <f t="shared" si="15"/>
        <v>11</v>
      </c>
      <c r="Z119" s="771">
        <f t="shared" si="16"/>
        <v>10</v>
      </c>
    </row>
    <row r="120" spans="14:26">
      <c r="N120" s="708">
        <v>4462</v>
      </c>
      <c r="O120" s="770">
        <f t="shared" si="10"/>
        <v>811</v>
      </c>
      <c r="P120" s="770">
        <f t="shared" si="11"/>
        <v>40</v>
      </c>
      <c r="Q120" s="770">
        <f t="shared" si="12"/>
        <v>5</v>
      </c>
      <c r="R120" s="771">
        <f t="shared" si="13"/>
        <v>3</v>
      </c>
      <c r="V120" s="772">
        <f t="shared" si="17"/>
        <v>11684.000000000024</v>
      </c>
      <c r="W120" s="770">
        <f t="shared" si="18"/>
        <v>0</v>
      </c>
      <c r="X120" s="770">
        <f t="shared" si="14"/>
        <v>247.00000000002365</v>
      </c>
      <c r="Y120" s="770">
        <f t="shared" si="15"/>
        <v>11</v>
      </c>
      <c r="Z120" s="771">
        <f t="shared" si="16"/>
        <v>10</v>
      </c>
    </row>
    <row r="121" spans="14:26">
      <c r="N121" s="708">
        <v>4496</v>
      </c>
      <c r="O121" s="770">
        <f t="shared" si="10"/>
        <v>845</v>
      </c>
      <c r="P121" s="770">
        <f t="shared" si="11"/>
        <v>40</v>
      </c>
      <c r="Q121" s="770">
        <f t="shared" si="12"/>
        <v>5</v>
      </c>
      <c r="R121" s="771">
        <f t="shared" si="13"/>
        <v>3</v>
      </c>
      <c r="V121" s="772">
        <f t="shared" si="17"/>
        <v>11785.600000000024</v>
      </c>
      <c r="W121" s="770">
        <f t="shared" si="18"/>
        <v>0</v>
      </c>
      <c r="X121" s="770">
        <f t="shared" si="14"/>
        <v>348.60000000002401</v>
      </c>
      <c r="Y121" s="770">
        <f t="shared" si="15"/>
        <v>11</v>
      </c>
      <c r="Z121" s="771">
        <f t="shared" si="16"/>
        <v>10</v>
      </c>
    </row>
    <row r="122" spans="14:26">
      <c r="N122" s="708">
        <v>4529</v>
      </c>
      <c r="O122" s="770">
        <f t="shared" si="10"/>
        <v>878</v>
      </c>
      <c r="P122" s="770">
        <f t="shared" si="11"/>
        <v>40</v>
      </c>
      <c r="Q122" s="770">
        <f t="shared" si="12"/>
        <v>5</v>
      </c>
      <c r="R122" s="771">
        <f t="shared" si="13"/>
        <v>3</v>
      </c>
      <c r="V122" s="772">
        <f t="shared" si="17"/>
        <v>11887.200000000024</v>
      </c>
      <c r="W122" s="770">
        <f t="shared" si="18"/>
        <v>0</v>
      </c>
      <c r="X122" s="770">
        <f t="shared" si="14"/>
        <v>450.20000000002437</v>
      </c>
      <c r="Y122" s="770">
        <f t="shared" si="15"/>
        <v>11</v>
      </c>
      <c r="Z122" s="771">
        <f t="shared" si="16"/>
        <v>10</v>
      </c>
    </row>
    <row r="123" spans="14:26">
      <c r="N123" s="708">
        <v>4562</v>
      </c>
      <c r="O123" s="770">
        <f t="shared" si="10"/>
        <v>911</v>
      </c>
      <c r="P123" s="770">
        <f t="shared" si="11"/>
        <v>40</v>
      </c>
      <c r="Q123" s="770">
        <f t="shared" si="12"/>
        <v>5</v>
      </c>
      <c r="R123" s="771">
        <f t="shared" si="13"/>
        <v>3</v>
      </c>
      <c r="V123" s="772">
        <f t="shared" si="17"/>
        <v>11988.800000000025</v>
      </c>
      <c r="W123" s="770">
        <f t="shared" si="18"/>
        <v>402.80000000002474</v>
      </c>
      <c r="X123" s="770">
        <f t="shared" si="14"/>
        <v>149</v>
      </c>
      <c r="Y123" s="770">
        <f t="shared" si="15"/>
        <v>12</v>
      </c>
      <c r="Z123" s="771">
        <f t="shared" si="16"/>
        <v>10</v>
      </c>
    </row>
    <row r="124" spans="14:26">
      <c r="N124" s="708">
        <v>4596</v>
      </c>
      <c r="O124" s="770">
        <f t="shared" si="10"/>
        <v>945</v>
      </c>
      <c r="P124" s="770">
        <f t="shared" si="11"/>
        <v>40</v>
      </c>
      <c r="Q124" s="770">
        <f t="shared" si="12"/>
        <v>5</v>
      </c>
      <c r="R124" s="771">
        <f t="shared" si="13"/>
        <v>3</v>
      </c>
      <c r="V124" s="772">
        <f t="shared" si="17"/>
        <v>12090.400000000025</v>
      </c>
      <c r="W124" s="770">
        <f t="shared" si="18"/>
        <v>504.4000000000251</v>
      </c>
      <c r="X124" s="770">
        <f t="shared" si="14"/>
        <v>149</v>
      </c>
      <c r="Y124" s="770">
        <f t="shared" si="15"/>
        <v>12</v>
      </c>
      <c r="Z124" s="771">
        <f t="shared" si="16"/>
        <v>10</v>
      </c>
    </row>
    <row r="125" spans="14:26">
      <c r="N125" s="708">
        <v>4629</v>
      </c>
      <c r="O125" s="770">
        <f t="shared" si="10"/>
        <v>978</v>
      </c>
      <c r="P125" s="770">
        <f t="shared" si="11"/>
        <v>40</v>
      </c>
      <c r="Q125" s="770">
        <f t="shared" si="12"/>
        <v>5</v>
      </c>
      <c r="R125" s="771">
        <f t="shared" si="13"/>
        <v>3</v>
      </c>
      <c r="V125" s="772">
        <f t="shared" si="17"/>
        <v>12192.000000000025</v>
      </c>
      <c r="W125" s="770">
        <f t="shared" si="18"/>
        <v>606.00000000002547</v>
      </c>
      <c r="X125" s="770">
        <f t="shared" si="14"/>
        <v>149</v>
      </c>
      <c r="Y125" s="770">
        <f t="shared" si="15"/>
        <v>12</v>
      </c>
      <c r="Z125" s="771">
        <f t="shared" si="16"/>
        <v>10</v>
      </c>
    </row>
    <row r="126" spans="14:26">
      <c r="N126" s="708">
        <v>4662</v>
      </c>
      <c r="O126" s="770">
        <f t="shared" si="10"/>
        <v>1011</v>
      </c>
      <c r="P126" s="770">
        <f t="shared" si="11"/>
        <v>40</v>
      </c>
      <c r="Q126" s="770">
        <f t="shared" si="12"/>
        <v>5</v>
      </c>
      <c r="R126" s="771">
        <f t="shared" si="13"/>
        <v>3</v>
      </c>
      <c r="V126" s="772">
        <f t="shared" si="17"/>
        <v>12293.600000000026</v>
      </c>
      <c r="W126" s="770">
        <f t="shared" si="18"/>
        <v>707.60000000002583</v>
      </c>
      <c r="X126" s="770">
        <f t="shared" si="14"/>
        <v>149</v>
      </c>
      <c r="Y126" s="770">
        <f t="shared" si="15"/>
        <v>12</v>
      </c>
      <c r="Z126" s="771">
        <f t="shared" si="16"/>
        <v>10</v>
      </c>
    </row>
    <row r="127" spans="14:26">
      <c r="N127" s="708">
        <v>4695</v>
      </c>
      <c r="O127" s="770">
        <f t="shared" si="10"/>
        <v>1044</v>
      </c>
      <c r="P127" s="770">
        <f t="shared" si="11"/>
        <v>40</v>
      </c>
      <c r="Q127" s="770">
        <f t="shared" si="12"/>
        <v>5</v>
      </c>
      <c r="R127" s="771">
        <f t="shared" si="13"/>
        <v>3</v>
      </c>
      <c r="V127" s="772">
        <f t="shared" si="17"/>
        <v>12395.200000000026</v>
      </c>
      <c r="W127" s="770">
        <f t="shared" si="18"/>
        <v>809.20000000002619</v>
      </c>
      <c r="X127" s="770">
        <f t="shared" si="14"/>
        <v>149</v>
      </c>
      <c r="Y127" s="770">
        <f t="shared" si="15"/>
        <v>12</v>
      </c>
      <c r="Z127" s="771">
        <f t="shared" si="16"/>
        <v>10</v>
      </c>
    </row>
    <row r="128" spans="14:26">
      <c r="N128" s="708">
        <v>4729</v>
      </c>
      <c r="O128" s="770">
        <f t="shared" si="10"/>
        <v>0</v>
      </c>
      <c r="P128" s="770">
        <f t="shared" si="11"/>
        <v>0</v>
      </c>
      <c r="Q128" s="770">
        <f t="shared" si="12"/>
        <v>5</v>
      </c>
      <c r="R128" s="771">
        <f t="shared" si="13"/>
        <v>4</v>
      </c>
      <c r="V128" s="772">
        <f t="shared" si="17"/>
        <v>12496.800000000027</v>
      </c>
      <c r="W128" s="770">
        <f t="shared" si="18"/>
        <v>910.80000000002656</v>
      </c>
      <c r="X128" s="770">
        <f t="shared" si="14"/>
        <v>149</v>
      </c>
      <c r="Y128" s="770">
        <f t="shared" si="15"/>
        <v>12</v>
      </c>
      <c r="Z128" s="771">
        <f t="shared" si="16"/>
        <v>10</v>
      </c>
    </row>
    <row r="129" spans="14:26">
      <c r="N129" s="708">
        <v>4762</v>
      </c>
      <c r="O129" s="770">
        <f t="shared" si="10"/>
        <v>0</v>
      </c>
      <c r="P129" s="770">
        <f t="shared" si="11"/>
        <v>33</v>
      </c>
      <c r="Q129" s="770">
        <f t="shared" si="12"/>
        <v>5</v>
      </c>
      <c r="R129" s="771">
        <f t="shared" si="13"/>
        <v>4</v>
      </c>
      <c r="V129" s="772">
        <f t="shared" si="17"/>
        <v>12598.400000000027</v>
      </c>
      <c r="W129" s="770">
        <f t="shared" si="18"/>
        <v>0</v>
      </c>
      <c r="X129" s="770">
        <f t="shared" si="14"/>
        <v>43.400000000026921</v>
      </c>
      <c r="Y129" s="770">
        <f t="shared" si="15"/>
        <v>12</v>
      </c>
      <c r="Z129" s="771">
        <f t="shared" si="16"/>
        <v>11</v>
      </c>
    </row>
    <row r="130" spans="14:26">
      <c r="N130" s="708">
        <v>4795</v>
      </c>
      <c r="O130" s="770">
        <f t="shared" si="10"/>
        <v>0</v>
      </c>
      <c r="P130" s="770">
        <f t="shared" si="11"/>
        <v>66</v>
      </c>
      <c r="Q130" s="770">
        <f t="shared" si="12"/>
        <v>5</v>
      </c>
      <c r="R130" s="771">
        <f t="shared" si="13"/>
        <v>4</v>
      </c>
      <c r="V130" s="772">
        <f t="shared" si="17"/>
        <v>12700.000000000027</v>
      </c>
      <c r="W130" s="770">
        <f t="shared" si="18"/>
        <v>0</v>
      </c>
      <c r="X130" s="770">
        <f t="shared" si="14"/>
        <v>145.00000000002728</v>
      </c>
      <c r="Y130" s="770">
        <f t="shared" si="15"/>
        <v>12</v>
      </c>
      <c r="Z130" s="771">
        <f t="shared" si="16"/>
        <v>11</v>
      </c>
    </row>
    <row r="131" spans="14:26">
      <c r="N131" s="708">
        <v>4829</v>
      </c>
      <c r="O131" s="770">
        <f t="shared" si="10"/>
        <v>0</v>
      </c>
      <c r="P131" s="770">
        <f t="shared" si="11"/>
        <v>100</v>
      </c>
      <c r="Q131" s="770">
        <f t="shared" si="12"/>
        <v>5</v>
      </c>
      <c r="R131" s="771">
        <f t="shared" si="13"/>
        <v>4</v>
      </c>
      <c r="V131" s="772">
        <f t="shared" si="17"/>
        <v>12801.600000000028</v>
      </c>
      <c r="W131" s="770">
        <f t="shared" si="18"/>
        <v>0</v>
      </c>
      <c r="X131" s="770">
        <f t="shared" si="14"/>
        <v>246.60000000002765</v>
      </c>
      <c r="Y131" s="770">
        <f t="shared" si="15"/>
        <v>12</v>
      </c>
      <c r="Z131" s="771">
        <f t="shared" si="16"/>
        <v>11</v>
      </c>
    </row>
    <row r="132" spans="14:26">
      <c r="N132" s="708">
        <v>4862</v>
      </c>
      <c r="O132" s="770">
        <f t="shared" si="10"/>
        <v>0</v>
      </c>
      <c r="P132" s="770">
        <f t="shared" si="11"/>
        <v>133</v>
      </c>
      <c r="Q132" s="770">
        <f t="shared" si="12"/>
        <v>5</v>
      </c>
      <c r="R132" s="771">
        <f t="shared" si="13"/>
        <v>4</v>
      </c>
      <c r="V132" s="772">
        <f t="shared" si="17"/>
        <v>12903.200000000028</v>
      </c>
      <c r="W132" s="770">
        <f t="shared" si="18"/>
        <v>0</v>
      </c>
      <c r="X132" s="770">
        <f t="shared" si="14"/>
        <v>348.20000000002801</v>
      </c>
      <c r="Y132" s="770">
        <f t="shared" si="15"/>
        <v>12</v>
      </c>
      <c r="Z132" s="771">
        <f t="shared" si="16"/>
        <v>11</v>
      </c>
    </row>
    <row r="133" spans="14:26">
      <c r="N133" s="708">
        <v>4895</v>
      </c>
      <c r="O133" s="770">
        <f t="shared" si="10"/>
        <v>0</v>
      </c>
      <c r="P133" s="770">
        <f t="shared" si="11"/>
        <v>166</v>
      </c>
      <c r="Q133" s="770">
        <f t="shared" si="12"/>
        <v>5</v>
      </c>
      <c r="R133" s="771">
        <f t="shared" si="13"/>
        <v>4</v>
      </c>
      <c r="V133" s="772">
        <f t="shared" si="17"/>
        <v>13004.800000000028</v>
      </c>
      <c r="W133" s="770">
        <f t="shared" si="18"/>
        <v>0</v>
      </c>
      <c r="X133" s="770">
        <f t="shared" si="14"/>
        <v>449.80000000002838</v>
      </c>
      <c r="Y133" s="770">
        <f t="shared" si="15"/>
        <v>12</v>
      </c>
      <c r="Z133" s="771">
        <f t="shared" si="16"/>
        <v>11</v>
      </c>
    </row>
    <row r="134" spans="14:26">
      <c r="N134" s="708">
        <v>4928</v>
      </c>
      <c r="O134" s="770">
        <f t="shared" si="10"/>
        <v>0</v>
      </c>
      <c r="P134" s="770">
        <f t="shared" si="11"/>
        <v>199</v>
      </c>
      <c r="Q134" s="770">
        <f t="shared" si="12"/>
        <v>5</v>
      </c>
      <c r="R134" s="771">
        <f t="shared" si="13"/>
        <v>4</v>
      </c>
      <c r="V134" s="772">
        <f t="shared" si="17"/>
        <v>13106.400000000029</v>
      </c>
      <c r="W134" s="770">
        <f t="shared" si="18"/>
        <v>402.40000000002874</v>
      </c>
      <c r="X134" s="770">
        <f t="shared" si="14"/>
        <v>149</v>
      </c>
      <c r="Y134" s="770">
        <f t="shared" si="15"/>
        <v>13</v>
      </c>
      <c r="Z134" s="771">
        <f t="shared" si="16"/>
        <v>11</v>
      </c>
    </row>
    <row r="135" spans="14:26">
      <c r="N135" s="708">
        <v>4962</v>
      </c>
      <c r="O135" s="770">
        <f t="shared" si="10"/>
        <v>0</v>
      </c>
      <c r="P135" s="770">
        <f t="shared" si="11"/>
        <v>233</v>
      </c>
      <c r="Q135" s="770">
        <f t="shared" si="12"/>
        <v>5</v>
      </c>
      <c r="R135" s="771">
        <f t="shared" si="13"/>
        <v>4</v>
      </c>
      <c r="V135" s="772">
        <f t="shared" si="17"/>
        <v>13208.000000000029</v>
      </c>
      <c r="W135" s="770">
        <f t="shared" si="18"/>
        <v>504.0000000000291</v>
      </c>
      <c r="X135" s="770">
        <f t="shared" si="14"/>
        <v>149</v>
      </c>
      <c r="Y135" s="770">
        <f t="shared" si="15"/>
        <v>13</v>
      </c>
      <c r="Z135" s="771">
        <f t="shared" si="16"/>
        <v>11</v>
      </c>
    </row>
    <row r="136" spans="14:26">
      <c r="N136" s="708">
        <v>4995</v>
      </c>
      <c r="O136" s="770">
        <f t="shared" si="10"/>
        <v>0</v>
      </c>
      <c r="P136" s="770">
        <f t="shared" si="11"/>
        <v>266</v>
      </c>
      <c r="Q136" s="770">
        <f t="shared" si="12"/>
        <v>5</v>
      </c>
      <c r="R136" s="771">
        <f t="shared" si="13"/>
        <v>4</v>
      </c>
      <c r="V136" s="772">
        <f t="shared" si="17"/>
        <v>13309.600000000029</v>
      </c>
      <c r="W136" s="770">
        <f t="shared" si="18"/>
        <v>605.60000000002947</v>
      </c>
      <c r="X136" s="770">
        <f t="shared" si="14"/>
        <v>149</v>
      </c>
      <c r="Y136" s="770">
        <f t="shared" si="15"/>
        <v>13</v>
      </c>
      <c r="Z136" s="771">
        <f t="shared" si="16"/>
        <v>11</v>
      </c>
    </row>
    <row r="137" spans="14:26">
      <c r="N137" s="708">
        <v>5028</v>
      </c>
      <c r="O137" s="770">
        <f t="shared" si="10"/>
        <v>0</v>
      </c>
      <c r="P137" s="770">
        <f t="shared" si="11"/>
        <v>299</v>
      </c>
      <c r="Q137" s="770">
        <f t="shared" si="12"/>
        <v>5</v>
      </c>
      <c r="R137" s="771">
        <f t="shared" si="13"/>
        <v>4</v>
      </c>
      <c r="V137" s="772">
        <f t="shared" si="17"/>
        <v>13411.20000000003</v>
      </c>
      <c r="W137" s="770">
        <f t="shared" si="18"/>
        <v>707.20000000002983</v>
      </c>
      <c r="X137" s="770">
        <f t="shared" si="14"/>
        <v>149</v>
      </c>
      <c r="Y137" s="770">
        <f t="shared" si="15"/>
        <v>13</v>
      </c>
      <c r="Z137" s="771">
        <f t="shared" si="16"/>
        <v>11</v>
      </c>
    </row>
    <row r="138" spans="14:26">
      <c r="N138" s="708">
        <v>5062</v>
      </c>
      <c r="O138" s="770">
        <f t="shared" si="10"/>
        <v>0</v>
      </c>
      <c r="P138" s="770">
        <f t="shared" si="11"/>
        <v>333</v>
      </c>
      <c r="Q138" s="770">
        <f t="shared" si="12"/>
        <v>5</v>
      </c>
      <c r="R138" s="771">
        <f t="shared" si="13"/>
        <v>4</v>
      </c>
      <c r="V138" s="772">
        <f t="shared" si="17"/>
        <v>13512.80000000003</v>
      </c>
      <c r="W138" s="770">
        <f t="shared" si="18"/>
        <v>808.8000000000302</v>
      </c>
      <c r="X138" s="770">
        <f t="shared" si="14"/>
        <v>149</v>
      </c>
      <c r="Y138" s="770">
        <f t="shared" si="15"/>
        <v>13</v>
      </c>
      <c r="Z138" s="771">
        <f t="shared" si="16"/>
        <v>11</v>
      </c>
    </row>
    <row r="139" spans="14:26">
      <c r="N139" s="708">
        <v>5095</v>
      </c>
      <c r="O139" s="770">
        <f t="shared" si="10"/>
        <v>0</v>
      </c>
      <c r="P139" s="770">
        <f t="shared" si="11"/>
        <v>366</v>
      </c>
      <c r="Q139" s="770">
        <f t="shared" si="12"/>
        <v>5</v>
      </c>
      <c r="R139" s="771">
        <f t="shared" si="13"/>
        <v>4</v>
      </c>
      <c r="V139" s="772">
        <f t="shared" si="17"/>
        <v>13614.400000000031</v>
      </c>
      <c r="W139" s="770">
        <f t="shared" si="18"/>
        <v>910.40000000003056</v>
      </c>
      <c r="X139" s="770">
        <f t="shared" si="14"/>
        <v>149</v>
      </c>
      <c r="Y139" s="770">
        <f t="shared" si="15"/>
        <v>13</v>
      </c>
      <c r="Z139" s="771">
        <f t="shared" si="16"/>
        <v>11</v>
      </c>
    </row>
    <row r="140" spans="14:26">
      <c r="N140" s="708">
        <v>5128</v>
      </c>
      <c r="O140" s="770">
        <f t="shared" si="10"/>
        <v>0</v>
      </c>
      <c r="P140" s="770">
        <f t="shared" si="11"/>
        <v>399</v>
      </c>
      <c r="Q140" s="770">
        <f t="shared" si="12"/>
        <v>5</v>
      </c>
      <c r="R140" s="771">
        <f t="shared" si="13"/>
        <v>4</v>
      </c>
      <c r="V140" s="772">
        <f t="shared" si="17"/>
        <v>13716.000000000031</v>
      </c>
      <c r="W140" s="770">
        <f t="shared" si="18"/>
        <v>0</v>
      </c>
      <c r="X140" s="770">
        <f t="shared" si="14"/>
        <v>43.000000000030923</v>
      </c>
      <c r="Y140" s="770">
        <f t="shared" si="15"/>
        <v>13</v>
      </c>
      <c r="Z140" s="771">
        <f t="shared" si="16"/>
        <v>12</v>
      </c>
    </row>
    <row r="141" spans="14:26">
      <c r="N141" s="708">
        <v>5161</v>
      </c>
      <c r="O141" s="770">
        <f t="shared" si="10"/>
        <v>0</v>
      </c>
      <c r="P141" s="770">
        <f t="shared" si="11"/>
        <v>432</v>
      </c>
      <c r="Q141" s="770">
        <f t="shared" si="12"/>
        <v>5</v>
      </c>
      <c r="R141" s="771">
        <f t="shared" si="13"/>
        <v>4</v>
      </c>
      <c r="V141" s="772">
        <f t="shared" si="17"/>
        <v>13817.600000000031</v>
      </c>
      <c r="W141" s="770">
        <f t="shared" si="18"/>
        <v>0</v>
      </c>
      <c r="X141" s="770">
        <f t="shared" si="14"/>
        <v>144.60000000003129</v>
      </c>
      <c r="Y141" s="770">
        <f t="shared" si="15"/>
        <v>13</v>
      </c>
      <c r="Z141" s="771">
        <f t="shared" si="16"/>
        <v>12</v>
      </c>
    </row>
    <row r="142" spans="14:26">
      <c r="N142" s="708">
        <v>5195</v>
      </c>
      <c r="O142" s="770">
        <f t="shared" si="10"/>
        <v>426</v>
      </c>
      <c r="P142" s="770">
        <f t="shared" si="11"/>
        <v>40</v>
      </c>
      <c r="Q142" s="770">
        <f t="shared" si="12"/>
        <v>6</v>
      </c>
      <c r="R142" s="771">
        <f t="shared" si="13"/>
        <v>4</v>
      </c>
      <c r="V142" s="772">
        <f t="shared" si="17"/>
        <v>13919.200000000032</v>
      </c>
      <c r="W142" s="770">
        <f t="shared" si="18"/>
        <v>0</v>
      </c>
      <c r="X142" s="770">
        <f t="shared" si="14"/>
        <v>246.20000000003165</v>
      </c>
      <c r="Y142" s="770">
        <f t="shared" si="15"/>
        <v>13</v>
      </c>
      <c r="Z142" s="771">
        <f t="shared" si="16"/>
        <v>12</v>
      </c>
    </row>
    <row r="143" spans="14:26">
      <c r="N143" s="708">
        <v>5228</v>
      </c>
      <c r="O143" s="770">
        <f t="shared" si="10"/>
        <v>459</v>
      </c>
      <c r="P143" s="770">
        <f t="shared" si="11"/>
        <v>40</v>
      </c>
      <c r="Q143" s="770">
        <f t="shared" si="12"/>
        <v>6</v>
      </c>
      <c r="R143" s="771">
        <f t="shared" si="13"/>
        <v>4</v>
      </c>
      <c r="V143" s="772">
        <f t="shared" si="17"/>
        <v>14020.800000000032</v>
      </c>
      <c r="W143" s="770">
        <f t="shared" si="18"/>
        <v>0</v>
      </c>
      <c r="X143" s="770">
        <f t="shared" si="14"/>
        <v>347.80000000003201</v>
      </c>
      <c r="Y143" s="770">
        <f t="shared" si="15"/>
        <v>13</v>
      </c>
      <c r="Z143" s="771">
        <f t="shared" si="16"/>
        <v>12</v>
      </c>
    </row>
    <row r="144" spans="14:26">
      <c r="N144" s="708">
        <v>5261</v>
      </c>
      <c r="O144" s="770">
        <f t="shared" si="10"/>
        <v>492</v>
      </c>
      <c r="P144" s="770">
        <f t="shared" si="11"/>
        <v>40</v>
      </c>
      <c r="Q144" s="770">
        <f t="shared" si="12"/>
        <v>6</v>
      </c>
      <c r="R144" s="771">
        <f t="shared" si="13"/>
        <v>4</v>
      </c>
      <c r="V144" s="772">
        <f t="shared" si="17"/>
        <v>14122.400000000032</v>
      </c>
      <c r="W144" s="770">
        <f t="shared" si="18"/>
        <v>0</v>
      </c>
      <c r="X144" s="770">
        <f t="shared" si="14"/>
        <v>449.40000000003238</v>
      </c>
      <c r="Y144" s="770">
        <f t="shared" si="15"/>
        <v>13</v>
      </c>
      <c r="Z144" s="771">
        <f t="shared" si="16"/>
        <v>12</v>
      </c>
    </row>
    <row r="145" spans="14:26">
      <c r="N145" s="708">
        <v>5295</v>
      </c>
      <c r="O145" s="770">
        <f t="shared" si="10"/>
        <v>526</v>
      </c>
      <c r="P145" s="770">
        <f t="shared" si="11"/>
        <v>40</v>
      </c>
      <c r="Q145" s="770">
        <f t="shared" si="12"/>
        <v>6</v>
      </c>
      <c r="R145" s="771">
        <f t="shared" si="13"/>
        <v>4</v>
      </c>
      <c r="V145" s="772">
        <f t="shared" si="17"/>
        <v>14224.000000000033</v>
      </c>
      <c r="W145" s="770">
        <f t="shared" si="18"/>
        <v>402.00000000003274</v>
      </c>
      <c r="X145" s="770">
        <f t="shared" si="14"/>
        <v>149</v>
      </c>
      <c r="Y145" s="770">
        <f t="shared" si="15"/>
        <v>14</v>
      </c>
      <c r="Z145" s="771">
        <f t="shared" si="16"/>
        <v>12</v>
      </c>
    </row>
    <row r="146" spans="14:26">
      <c r="N146" s="708">
        <v>5328</v>
      </c>
      <c r="O146" s="770">
        <f t="shared" si="10"/>
        <v>559</v>
      </c>
      <c r="P146" s="770">
        <f t="shared" si="11"/>
        <v>40</v>
      </c>
      <c r="Q146" s="770">
        <f t="shared" si="12"/>
        <v>6</v>
      </c>
      <c r="R146" s="771">
        <f t="shared" si="13"/>
        <v>4</v>
      </c>
      <c r="V146" s="772">
        <f t="shared" si="17"/>
        <v>14325.600000000033</v>
      </c>
      <c r="W146" s="770">
        <f t="shared" si="18"/>
        <v>503.60000000003311</v>
      </c>
      <c r="X146" s="770">
        <f t="shared" si="14"/>
        <v>149</v>
      </c>
      <c r="Y146" s="770">
        <f t="shared" si="15"/>
        <v>14</v>
      </c>
      <c r="Z146" s="771">
        <f t="shared" si="16"/>
        <v>12</v>
      </c>
    </row>
    <row r="147" spans="14:26">
      <c r="N147" s="708">
        <v>5361</v>
      </c>
      <c r="O147" s="770">
        <f t="shared" ref="O147:O197" si="19">IF(N147-$P$6-($Q$6*R147)&gt;$S$6,N147-$P$6-($Q$6*R147)-40,0)</f>
        <v>592</v>
      </c>
      <c r="P147" s="770">
        <f t="shared" ref="P147:P197" si="20">N147-$P$6-($Q$6*R147)-O147</f>
        <v>40</v>
      </c>
      <c r="Q147" s="770">
        <f t="shared" ref="Q147:Q197" si="21">ROUNDUP((N147/$Q$6),0)-IF(N147-$P$6-($Q$6*(ROUNDUP((N147/$Q$6),0)-1))&lt;0,1,0)+IF(O147&lt;&gt;0,1,0)</f>
        <v>6</v>
      </c>
      <c r="R147" s="771">
        <f t="shared" ref="R147:R197" si="22">ROUNDUP((N147/$Q$6),0)-IF(N147-$P$6-($Q$6*(ROUNDUP((N147/$Q$6),0)-1))&lt;0,2,1)</f>
        <v>4</v>
      </c>
      <c r="V147" s="772">
        <f t="shared" si="17"/>
        <v>14427.200000000033</v>
      </c>
      <c r="W147" s="770">
        <f t="shared" si="18"/>
        <v>605.20000000003347</v>
      </c>
      <c r="X147" s="770">
        <f t="shared" ref="X147:X202" si="23">V147-$P$7-($Q$7*Z147)-W147</f>
        <v>149</v>
      </c>
      <c r="Y147" s="770">
        <f t="shared" ref="Y147:Y202" si="24">ROUNDUP((V147/$Q$7),0)-IF(V147-$P$7-($Q$7*(ROUNDUP((V147/$Q$7),0)-1))&lt;0,1,0)+IF(W147&lt;&gt;0,1,0)</f>
        <v>14</v>
      </c>
      <c r="Z147" s="771">
        <f t="shared" ref="Z147:Z202" si="25">ROUNDUP((V147/$Q$7),0)-IF(V147-$P$7-($Q$7*(ROUNDUP((V147/$Q$7),0)-1))&lt;0,2,1)</f>
        <v>12</v>
      </c>
    </row>
    <row r="148" spans="14:26">
      <c r="N148" s="708">
        <v>5395</v>
      </c>
      <c r="O148" s="770">
        <f t="shared" si="19"/>
        <v>626</v>
      </c>
      <c r="P148" s="770">
        <f t="shared" si="20"/>
        <v>40</v>
      </c>
      <c r="Q148" s="770">
        <f t="shared" si="21"/>
        <v>6</v>
      </c>
      <c r="R148" s="771">
        <f t="shared" si="22"/>
        <v>4</v>
      </c>
      <c r="V148" s="772">
        <f t="shared" si="17"/>
        <v>14528.800000000034</v>
      </c>
      <c r="W148" s="770">
        <f t="shared" si="18"/>
        <v>706.80000000003383</v>
      </c>
      <c r="X148" s="770">
        <f t="shared" si="23"/>
        <v>149</v>
      </c>
      <c r="Y148" s="770">
        <f t="shared" si="24"/>
        <v>14</v>
      </c>
      <c r="Z148" s="771">
        <f t="shared" si="25"/>
        <v>12</v>
      </c>
    </row>
    <row r="149" spans="14:26">
      <c r="N149" s="708">
        <v>5428</v>
      </c>
      <c r="O149" s="770">
        <f t="shared" si="19"/>
        <v>659</v>
      </c>
      <c r="P149" s="770">
        <f t="shared" si="20"/>
        <v>40</v>
      </c>
      <c r="Q149" s="770">
        <f t="shared" si="21"/>
        <v>6</v>
      </c>
      <c r="R149" s="771">
        <f t="shared" si="22"/>
        <v>4</v>
      </c>
      <c r="V149" s="772">
        <f t="shared" ref="V149:V202" si="26">V148+101.6</f>
        <v>14630.400000000034</v>
      </c>
      <c r="W149" s="770">
        <f t="shared" ref="W149:W202" si="27">IF(V149-$P$7-($Q$7*Z149)&gt;$S$7,V149-$P$7-($Q$7*Z149)-149,0)</f>
        <v>808.4000000000342</v>
      </c>
      <c r="X149" s="770">
        <f t="shared" si="23"/>
        <v>149</v>
      </c>
      <c r="Y149" s="770">
        <f t="shared" si="24"/>
        <v>14</v>
      </c>
      <c r="Z149" s="771">
        <f t="shared" si="25"/>
        <v>12</v>
      </c>
    </row>
    <row r="150" spans="14:26">
      <c r="N150" s="708">
        <v>5461</v>
      </c>
      <c r="O150" s="770">
        <f t="shared" si="19"/>
        <v>692</v>
      </c>
      <c r="P150" s="770">
        <f t="shared" si="20"/>
        <v>40</v>
      </c>
      <c r="Q150" s="770">
        <f t="shared" si="21"/>
        <v>6</v>
      </c>
      <c r="R150" s="771">
        <f t="shared" si="22"/>
        <v>4</v>
      </c>
      <c r="V150" s="772">
        <f t="shared" si="26"/>
        <v>14732.000000000035</v>
      </c>
      <c r="W150" s="770">
        <f t="shared" si="27"/>
        <v>910.00000000003456</v>
      </c>
      <c r="X150" s="770">
        <f t="shared" si="23"/>
        <v>149</v>
      </c>
      <c r="Y150" s="770">
        <f t="shared" si="24"/>
        <v>14</v>
      </c>
      <c r="Z150" s="771">
        <f t="shared" si="25"/>
        <v>12</v>
      </c>
    </row>
    <row r="151" spans="14:26">
      <c r="N151" s="708">
        <v>5494</v>
      </c>
      <c r="O151" s="770">
        <f t="shared" si="19"/>
        <v>725</v>
      </c>
      <c r="P151" s="770">
        <f t="shared" si="20"/>
        <v>40</v>
      </c>
      <c r="Q151" s="770">
        <f t="shared" si="21"/>
        <v>6</v>
      </c>
      <c r="R151" s="771">
        <f t="shared" si="22"/>
        <v>4</v>
      </c>
      <c r="V151" s="772">
        <f t="shared" si="26"/>
        <v>14833.600000000035</v>
      </c>
      <c r="W151" s="770">
        <f t="shared" si="27"/>
        <v>0</v>
      </c>
      <c r="X151" s="770">
        <f t="shared" si="23"/>
        <v>42.600000000034925</v>
      </c>
      <c r="Y151" s="770">
        <f t="shared" si="24"/>
        <v>14</v>
      </c>
      <c r="Z151" s="771">
        <f t="shared" si="25"/>
        <v>13</v>
      </c>
    </row>
    <row r="152" spans="14:26">
      <c r="N152" s="708">
        <v>5528</v>
      </c>
      <c r="O152" s="770">
        <f t="shared" si="19"/>
        <v>759</v>
      </c>
      <c r="P152" s="770">
        <f t="shared" si="20"/>
        <v>40</v>
      </c>
      <c r="Q152" s="770">
        <f t="shared" si="21"/>
        <v>6</v>
      </c>
      <c r="R152" s="771">
        <f t="shared" si="22"/>
        <v>4</v>
      </c>
      <c r="V152" s="772">
        <f t="shared" si="26"/>
        <v>14935.200000000035</v>
      </c>
      <c r="W152" s="770">
        <f t="shared" si="27"/>
        <v>0</v>
      </c>
      <c r="X152" s="770">
        <f t="shared" si="23"/>
        <v>144.20000000003529</v>
      </c>
      <c r="Y152" s="770">
        <f t="shared" si="24"/>
        <v>14</v>
      </c>
      <c r="Z152" s="771">
        <f t="shared" si="25"/>
        <v>13</v>
      </c>
    </row>
    <row r="153" spans="14:26">
      <c r="N153" s="708">
        <v>5561</v>
      </c>
      <c r="O153" s="770">
        <f t="shared" si="19"/>
        <v>792</v>
      </c>
      <c r="P153" s="770">
        <f t="shared" si="20"/>
        <v>40</v>
      </c>
      <c r="Q153" s="770">
        <f t="shared" si="21"/>
        <v>6</v>
      </c>
      <c r="R153" s="771">
        <f t="shared" si="22"/>
        <v>4</v>
      </c>
      <c r="V153" s="772">
        <f t="shared" si="26"/>
        <v>15036.800000000036</v>
      </c>
      <c r="W153" s="770">
        <f t="shared" si="27"/>
        <v>0</v>
      </c>
      <c r="X153" s="770">
        <f t="shared" si="23"/>
        <v>245.80000000003565</v>
      </c>
      <c r="Y153" s="770">
        <f t="shared" si="24"/>
        <v>14</v>
      </c>
      <c r="Z153" s="771">
        <f t="shared" si="25"/>
        <v>13</v>
      </c>
    </row>
    <row r="154" spans="14:26">
      <c r="N154" s="708">
        <v>5594</v>
      </c>
      <c r="O154" s="770">
        <f t="shared" si="19"/>
        <v>825</v>
      </c>
      <c r="P154" s="770">
        <f t="shared" si="20"/>
        <v>40</v>
      </c>
      <c r="Q154" s="770">
        <f t="shared" si="21"/>
        <v>6</v>
      </c>
      <c r="R154" s="771">
        <f t="shared" si="22"/>
        <v>4</v>
      </c>
      <c r="V154" s="772">
        <f t="shared" si="26"/>
        <v>15138.400000000036</v>
      </c>
      <c r="W154" s="770">
        <f t="shared" si="27"/>
        <v>0</v>
      </c>
      <c r="X154" s="770">
        <f t="shared" si="23"/>
        <v>347.40000000003602</v>
      </c>
      <c r="Y154" s="770">
        <f t="shared" si="24"/>
        <v>14</v>
      </c>
      <c r="Z154" s="771">
        <f t="shared" si="25"/>
        <v>13</v>
      </c>
    </row>
    <row r="155" spans="14:26">
      <c r="N155" s="708">
        <v>5628</v>
      </c>
      <c r="O155" s="770">
        <f t="shared" si="19"/>
        <v>859</v>
      </c>
      <c r="P155" s="770">
        <f t="shared" si="20"/>
        <v>40</v>
      </c>
      <c r="Q155" s="770">
        <f t="shared" si="21"/>
        <v>6</v>
      </c>
      <c r="R155" s="771">
        <f t="shared" si="22"/>
        <v>4</v>
      </c>
      <c r="V155" s="772">
        <f t="shared" si="26"/>
        <v>15240.000000000036</v>
      </c>
      <c r="W155" s="770">
        <f t="shared" si="27"/>
        <v>0</v>
      </c>
      <c r="X155" s="770">
        <f t="shared" si="23"/>
        <v>449.00000000003638</v>
      </c>
      <c r="Y155" s="770">
        <f t="shared" si="24"/>
        <v>14</v>
      </c>
      <c r="Z155" s="771">
        <f t="shared" si="25"/>
        <v>13</v>
      </c>
    </row>
    <row r="156" spans="14:26">
      <c r="N156" s="708">
        <v>5661</v>
      </c>
      <c r="O156" s="770">
        <f t="shared" si="19"/>
        <v>892</v>
      </c>
      <c r="P156" s="770">
        <f t="shared" si="20"/>
        <v>40</v>
      </c>
      <c r="Q156" s="770">
        <f t="shared" si="21"/>
        <v>6</v>
      </c>
      <c r="R156" s="771">
        <f t="shared" si="22"/>
        <v>4</v>
      </c>
      <c r="V156" s="772">
        <f t="shared" si="26"/>
        <v>15341.600000000037</v>
      </c>
      <c r="W156" s="770">
        <f t="shared" si="27"/>
        <v>401.60000000003674</v>
      </c>
      <c r="X156" s="770">
        <f t="shared" si="23"/>
        <v>149</v>
      </c>
      <c r="Y156" s="770">
        <f t="shared" si="24"/>
        <v>15</v>
      </c>
      <c r="Z156" s="771">
        <f t="shared" si="25"/>
        <v>13</v>
      </c>
    </row>
    <row r="157" spans="14:26">
      <c r="N157" s="708">
        <v>5694</v>
      </c>
      <c r="O157" s="770">
        <f t="shared" si="19"/>
        <v>925</v>
      </c>
      <c r="P157" s="770">
        <f t="shared" si="20"/>
        <v>40</v>
      </c>
      <c r="Q157" s="770">
        <f t="shared" si="21"/>
        <v>6</v>
      </c>
      <c r="R157" s="771">
        <f t="shared" si="22"/>
        <v>4</v>
      </c>
      <c r="V157" s="772">
        <f t="shared" si="26"/>
        <v>15443.200000000037</v>
      </c>
      <c r="W157" s="770">
        <f t="shared" si="27"/>
        <v>503.20000000003711</v>
      </c>
      <c r="X157" s="770">
        <f t="shared" si="23"/>
        <v>149</v>
      </c>
      <c r="Y157" s="770">
        <f t="shared" si="24"/>
        <v>15</v>
      </c>
      <c r="Z157" s="771">
        <f t="shared" si="25"/>
        <v>13</v>
      </c>
    </row>
    <row r="158" spans="14:26">
      <c r="N158" s="708">
        <v>5728</v>
      </c>
      <c r="O158" s="770">
        <f t="shared" si="19"/>
        <v>959</v>
      </c>
      <c r="P158" s="770">
        <f t="shared" si="20"/>
        <v>40</v>
      </c>
      <c r="Q158" s="770">
        <f t="shared" si="21"/>
        <v>6</v>
      </c>
      <c r="R158" s="771">
        <f t="shared" si="22"/>
        <v>4</v>
      </c>
      <c r="V158" s="772">
        <f t="shared" si="26"/>
        <v>15544.800000000037</v>
      </c>
      <c r="W158" s="770">
        <f t="shared" si="27"/>
        <v>604.80000000003747</v>
      </c>
      <c r="X158" s="770">
        <f t="shared" si="23"/>
        <v>149</v>
      </c>
      <c r="Y158" s="770">
        <f t="shared" si="24"/>
        <v>15</v>
      </c>
      <c r="Z158" s="771">
        <f t="shared" si="25"/>
        <v>13</v>
      </c>
    </row>
    <row r="159" spans="14:26">
      <c r="N159" s="708">
        <v>5761</v>
      </c>
      <c r="O159" s="770">
        <f t="shared" si="19"/>
        <v>992</v>
      </c>
      <c r="P159" s="770">
        <f t="shared" si="20"/>
        <v>40</v>
      </c>
      <c r="Q159" s="770">
        <f t="shared" si="21"/>
        <v>6</v>
      </c>
      <c r="R159" s="771">
        <f t="shared" si="22"/>
        <v>4</v>
      </c>
      <c r="V159" s="772">
        <f t="shared" si="26"/>
        <v>15646.400000000038</v>
      </c>
      <c r="W159" s="770">
        <f t="shared" si="27"/>
        <v>706.40000000003783</v>
      </c>
      <c r="X159" s="770">
        <f t="shared" si="23"/>
        <v>149</v>
      </c>
      <c r="Y159" s="770">
        <f t="shared" si="24"/>
        <v>15</v>
      </c>
      <c r="Z159" s="771">
        <f t="shared" si="25"/>
        <v>13</v>
      </c>
    </row>
    <row r="160" spans="14:26">
      <c r="N160" s="708">
        <v>5794</v>
      </c>
      <c r="O160" s="770">
        <f t="shared" si="19"/>
        <v>1025</v>
      </c>
      <c r="P160" s="770">
        <f t="shared" si="20"/>
        <v>40</v>
      </c>
      <c r="Q160" s="770">
        <f t="shared" si="21"/>
        <v>6</v>
      </c>
      <c r="R160" s="771">
        <f t="shared" si="22"/>
        <v>4</v>
      </c>
      <c r="V160" s="772">
        <f t="shared" si="26"/>
        <v>15748.000000000038</v>
      </c>
      <c r="W160" s="770">
        <f t="shared" si="27"/>
        <v>808.0000000000382</v>
      </c>
      <c r="X160" s="770">
        <f t="shared" si="23"/>
        <v>149</v>
      </c>
      <c r="Y160" s="770">
        <f t="shared" si="24"/>
        <v>15</v>
      </c>
      <c r="Z160" s="771">
        <f t="shared" si="25"/>
        <v>13</v>
      </c>
    </row>
    <row r="161" spans="14:26">
      <c r="N161" s="708">
        <v>5827</v>
      </c>
      <c r="O161" s="770">
        <f t="shared" si="19"/>
        <v>1058</v>
      </c>
      <c r="P161" s="770">
        <f t="shared" si="20"/>
        <v>40</v>
      </c>
      <c r="Q161" s="770">
        <f t="shared" si="21"/>
        <v>6</v>
      </c>
      <c r="R161" s="771">
        <f t="shared" si="22"/>
        <v>4</v>
      </c>
      <c r="V161" s="772">
        <f t="shared" si="26"/>
        <v>15849.600000000039</v>
      </c>
      <c r="W161" s="770">
        <f t="shared" si="27"/>
        <v>909.60000000003856</v>
      </c>
      <c r="X161" s="770">
        <f t="shared" si="23"/>
        <v>149</v>
      </c>
      <c r="Y161" s="770">
        <f t="shared" si="24"/>
        <v>15</v>
      </c>
      <c r="Z161" s="771">
        <f t="shared" si="25"/>
        <v>13</v>
      </c>
    </row>
    <row r="162" spans="14:26">
      <c r="N162" s="708">
        <v>5860</v>
      </c>
      <c r="O162" s="770">
        <f t="shared" si="19"/>
        <v>0</v>
      </c>
      <c r="P162" s="770">
        <f t="shared" si="20"/>
        <v>13</v>
      </c>
      <c r="Q162" s="770">
        <f t="shared" si="21"/>
        <v>6</v>
      </c>
      <c r="R162" s="771">
        <f t="shared" si="22"/>
        <v>5</v>
      </c>
      <c r="V162" s="772">
        <f t="shared" si="26"/>
        <v>15951.200000000039</v>
      </c>
      <c r="W162" s="770">
        <f t="shared" si="27"/>
        <v>0</v>
      </c>
      <c r="X162" s="770">
        <f t="shared" si="23"/>
        <v>42.200000000038926</v>
      </c>
      <c r="Y162" s="770">
        <f t="shared" si="24"/>
        <v>15</v>
      </c>
      <c r="Z162" s="771">
        <f t="shared" si="25"/>
        <v>14</v>
      </c>
    </row>
    <row r="163" spans="14:26">
      <c r="N163" s="708">
        <v>5893</v>
      </c>
      <c r="O163" s="770">
        <f t="shared" si="19"/>
        <v>0</v>
      </c>
      <c r="P163" s="770">
        <f t="shared" si="20"/>
        <v>46</v>
      </c>
      <c r="Q163" s="770">
        <f t="shared" si="21"/>
        <v>6</v>
      </c>
      <c r="R163" s="771">
        <f t="shared" si="22"/>
        <v>5</v>
      </c>
      <c r="V163" s="772">
        <f t="shared" si="26"/>
        <v>16052.800000000039</v>
      </c>
      <c r="W163" s="770">
        <f t="shared" si="27"/>
        <v>0</v>
      </c>
      <c r="X163" s="770">
        <f t="shared" si="23"/>
        <v>143.80000000003929</v>
      </c>
      <c r="Y163" s="770">
        <f t="shared" si="24"/>
        <v>15</v>
      </c>
      <c r="Z163" s="771">
        <f t="shared" si="25"/>
        <v>14</v>
      </c>
    </row>
    <row r="164" spans="14:26">
      <c r="N164" s="708">
        <v>5926</v>
      </c>
      <c r="O164" s="770">
        <f t="shared" si="19"/>
        <v>0</v>
      </c>
      <c r="P164" s="770">
        <f t="shared" si="20"/>
        <v>79</v>
      </c>
      <c r="Q164" s="770">
        <f t="shared" si="21"/>
        <v>6</v>
      </c>
      <c r="R164" s="771">
        <f t="shared" si="22"/>
        <v>5</v>
      </c>
      <c r="V164" s="772">
        <f t="shared" si="26"/>
        <v>16154.40000000004</v>
      </c>
      <c r="W164" s="770">
        <f t="shared" si="27"/>
        <v>0</v>
      </c>
      <c r="X164" s="770">
        <f t="shared" si="23"/>
        <v>245.40000000003965</v>
      </c>
      <c r="Y164" s="770">
        <f t="shared" si="24"/>
        <v>15</v>
      </c>
      <c r="Z164" s="771">
        <f t="shared" si="25"/>
        <v>14</v>
      </c>
    </row>
    <row r="165" spans="14:26">
      <c r="N165" s="708">
        <v>5959</v>
      </c>
      <c r="O165" s="770">
        <f t="shared" si="19"/>
        <v>0</v>
      </c>
      <c r="P165" s="770">
        <f t="shared" si="20"/>
        <v>112</v>
      </c>
      <c r="Q165" s="770">
        <f t="shared" si="21"/>
        <v>6</v>
      </c>
      <c r="R165" s="771">
        <f t="shared" si="22"/>
        <v>5</v>
      </c>
      <c r="V165" s="772">
        <f t="shared" si="26"/>
        <v>16256.00000000004</v>
      </c>
      <c r="W165" s="770">
        <f t="shared" si="27"/>
        <v>0</v>
      </c>
      <c r="X165" s="770">
        <f t="shared" si="23"/>
        <v>347.00000000004002</v>
      </c>
      <c r="Y165" s="770">
        <f t="shared" si="24"/>
        <v>15</v>
      </c>
      <c r="Z165" s="771">
        <f t="shared" si="25"/>
        <v>14</v>
      </c>
    </row>
    <row r="166" spans="14:26">
      <c r="N166" s="708">
        <v>5992</v>
      </c>
      <c r="O166" s="770">
        <f t="shared" si="19"/>
        <v>0</v>
      </c>
      <c r="P166" s="770">
        <f t="shared" si="20"/>
        <v>145</v>
      </c>
      <c r="Q166" s="770">
        <f t="shared" si="21"/>
        <v>6</v>
      </c>
      <c r="R166" s="771">
        <f t="shared" si="22"/>
        <v>5</v>
      </c>
      <c r="V166" s="772">
        <f t="shared" si="26"/>
        <v>16357.60000000004</v>
      </c>
      <c r="W166" s="770">
        <f t="shared" si="27"/>
        <v>0</v>
      </c>
      <c r="X166" s="770">
        <f t="shared" si="23"/>
        <v>448.60000000004038</v>
      </c>
      <c r="Y166" s="770">
        <f t="shared" si="24"/>
        <v>15</v>
      </c>
      <c r="Z166" s="771">
        <f t="shared" si="25"/>
        <v>14</v>
      </c>
    </row>
    <row r="167" spans="14:26">
      <c r="N167" s="708">
        <v>6025</v>
      </c>
      <c r="O167" s="770">
        <f t="shared" si="19"/>
        <v>0</v>
      </c>
      <c r="P167" s="770">
        <f t="shared" si="20"/>
        <v>178</v>
      </c>
      <c r="Q167" s="770">
        <f t="shared" si="21"/>
        <v>6</v>
      </c>
      <c r="R167" s="771">
        <f t="shared" si="22"/>
        <v>5</v>
      </c>
      <c r="V167" s="772">
        <f t="shared" si="26"/>
        <v>16459.200000000041</v>
      </c>
      <c r="W167" s="770">
        <f t="shared" si="27"/>
        <v>401.20000000004075</v>
      </c>
      <c r="X167" s="770">
        <f t="shared" si="23"/>
        <v>149</v>
      </c>
      <c r="Y167" s="770">
        <f t="shared" si="24"/>
        <v>16</v>
      </c>
      <c r="Z167" s="771">
        <f t="shared" si="25"/>
        <v>14</v>
      </c>
    </row>
    <row r="168" spans="14:26">
      <c r="N168" s="708">
        <v>6058</v>
      </c>
      <c r="O168" s="770">
        <f t="shared" si="19"/>
        <v>0</v>
      </c>
      <c r="P168" s="770">
        <f t="shared" si="20"/>
        <v>211</v>
      </c>
      <c r="Q168" s="770">
        <f t="shared" si="21"/>
        <v>6</v>
      </c>
      <c r="R168" s="771">
        <f t="shared" si="22"/>
        <v>5</v>
      </c>
      <c r="V168" s="772">
        <f t="shared" si="26"/>
        <v>16560.800000000039</v>
      </c>
      <c r="W168" s="770">
        <f t="shared" si="27"/>
        <v>502.80000000003929</v>
      </c>
      <c r="X168" s="770">
        <f t="shared" si="23"/>
        <v>149</v>
      </c>
      <c r="Y168" s="770">
        <f t="shared" si="24"/>
        <v>16</v>
      </c>
      <c r="Z168" s="771">
        <f t="shared" si="25"/>
        <v>14</v>
      </c>
    </row>
    <row r="169" spans="14:26">
      <c r="N169" s="708">
        <v>6091</v>
      </c>
      <c r="O169" s="770">
        <f t="shared" si="19"/>
        <v>0</v>
      </c>
      <c r="P169" s="770">
        <f t="shared" si="20"/>
        <v>244</v>
      </c>
      <c r="Q169" s="770">
        <f t="shared" si="21"/>
        <v>6</v>
      </c>
      <c r="R169" s="771">
        <f t="shared" si="22"/>
        <v>5</v>
      </c>
      <c r="V169" s="772">
        <f t="shared" si="26"/>
        <v>16662.400000000038</v>
      </c>
      <c r="W169" s="770">
        <f t="shared" si="27"/>
        <v>604.40000000003783</v>
      </c>
      <c r="X169" s="770">
        <f t="shared" si="23"/>
        <v>149</v>
      </c>
      <c r="Y169" s="770">
        <f t="shared" si="24"/>
        <v>16</v>
      </c>
      <c r="Z169" s="771">
        <f t="shared" si="25"/>
        <v>14</v>
      </c>
    </row>
    <row r="170" spans="14:26">
      <c r="N170" s="708">
        <v>6124</v>
      </c>
      <c r="O170" s="770">
        <f t="shared" si="19"/>
        <v>0</v>
      </c>
      <c r="P170" s="770">
        <f t="shared" si="20"/>
        <v>277</v>
      </c>
      <c r="Q170" s="770">
        <f t="shared" si="21"/>
        <v>6</v>
      </c>
      <c r="R170" s="771">
        <f t="shared" si="22"/>
        <v>5</v>
      </c>
      <c r="V170" s="772">
        <f t="shared" si="26"/>
        <v>16764.000000000036</v>
      </c>
      <c r="W170" s="770">
        <f t="shared" si="27"/>
        <v>706.00000000003638</v>
      </c>
      <c r="X170" s="770">
        <f t="shared" si="23"/>
        <v>149</v>
      </c>
      <c r="Y170" s="770">
        <f t="shared" si="24"/>
        <v>16</v>
      </c>
      <c r="Z170" s="771">
        <f t="shared" si="25"/>
        <v>14</v>
      </c>
    </row>
    <row r="171" spans="14:26">
      <c r="N171" s="708">
        <v>6157</v>
      </c>
      <c r="O171" s="770">
        <f t="shared" si="19"/>
        <v>0</v>
      </c>
      <c r="P171" s="770">
        <f t="shared" si="20"/>
        <v>310</v>
      </c>
      <c r="Q171" s="770">
        <f t="shared" si="21"/>
        <v>6</v>
      </c>
      <c r="R171" s="771">
        <f t="shared" si="22"/>
        <v>5</v>
      </c>
      <c r="V171" s="772">
        <f t="shared" si="26"/>
        <v>16865.600000000035</v>
      </c>
      <c r="W171" s="770">
        <f t="shared" si="27"/>
        <v>807.60000000003492</v>
      </c>
      <c r="X171" s="770">
        <f t="shared" si="23"/>
        <v>149</v>
      </c>
      <c r="Y171" s="770">
        <f t="shared" si="24"/>
        <v>16</v>
      </c>
      <c r="Z171" s="771">
        <f t="shared" si="25"/>
        <v>14</v>
      </c>
    </row>
    <row r="172" spans="14:26">
      <c r="N172" s="708">
        <v>6190</v>
      </c>
      <c r="O172" s="770">
        <f t="shared" si="19"/>
        <v>0</v>
      </c>
      <c r="P172" s="770">
        <f t="shared" si="20"/>
        <v>343</v>
      </c>
      <c r="Q172" s="770">
        <f t="shared" si="21"/>
        <v>6</v>
      </c>
      <c r="R172" s="771">
        <f t="shared" si="22"/>
        <v>5</v>
      </c>
      <c r="V172" s="772">
        <f t="shared" si="26"/>
        <v>16967.200000000033</v>
      </c>
      <c r="W172" s="770">
        <f t="shared" si="27"/>
        <v>909.20000000003347</v>
      </c>
      <c r="X172" s="770">
        <f t="shared" si="23"/>
        <v>149</v>
      </c>
      <c r="Y172" s="770">
        <f t="shared" si="24"/>
        <v>16</v>
      </c>
      <c r="Z172" s="771">
        <f t="shared" si="25"/>
        <v>14</v>
      </c>
    </row>
    <row r="173" spans="14:26">
      <c r="N173" s="708">
        <v>6223</v>
      </c>
      <c r="O173" s="770">
        <f t="shared" si="19"/>
        <v>0</v>
      </c>
      <c r="P173" s="770">
        <f t="shared" si="20"/>
        <v>376</v>
      </c>
      <c r="Q173" s="770">
        <f t="shared" si="21"/>
        <v>6</v>
      </c>
      <c r="R173" s="771">
        <f t="shared" si="22"/>
        <v>5</v>
      </c>
      <c r="V173" s="772">
        <f t="shared" si="26"/>
        <v>17068.800000000032</v>
      </c>
      <c r="W173" s="770">
        <f t="shared" si="27"/>
        <v>0</v>
      </c>
      <c r="X173" s="770">
        <f t="shared" si="23"/>
        <v>41.800000000032014</v>
      </c>
      <c r="Y173" s="770">
        <f t="shared" si="24"/>
        <v>16</v>
      </c>
      <c r="Z173" s="771">
        <f t="shared" si="25"/>
        <v>15</v>
      </c>
    </row>
    <row r="174" spans="14:26">
      <c r="N174" s="708">
        <v>6256</v>
      </c>
      <c r="O174" s="770">
        <f t="shared" si="19"/>
        <v>0</v>
      </c>
      <c r="P174" s="770">
        <f t="shared" si="20"/>
        <v>409</v>
      </c>
      <c r="Q174" s="770">
        <f t="shared" si="21"/>
        <v>6</v>
      </c>
      <c r="R174" s="771">
        <f t="shared" si="22"/>
        <v>5</v>
      </c>
      <c r="V174" s="772">
        <f t="shared" si="26"/>
        <v>17170.400000000031</v>
      </c>
      <c r="W174" s="770">
        <f t="shared" si="27"/>
        <v>0</v>
      </c>
      <c r="X174" s="770">
        <f t="shared" si="23"/>
        <v>143.40000000003056</v>
      </c>
      <c r="Y174" s="770">
        <f t="shared" si="24"/>
        <v>16</v>
      </c>
      <c r="Z174" s="771">
        <f t="shared" si="25"/>
        <v>15</v>
      </c>
    </row>
    <row r="175" spans="14:26">
      <c r="N175" s="708">
        <v>6289</v>
      </c>
      <c r="O175" s="770">
        <f t="shared" si="19"/>
        <v>0</v>
      </c>
      <c r="P175" s="770">
        <f t="shared" si="20"/>
        <v>442</v>
      </c>
      <c r="Q175" s="770">
        <f t="shared" si="21"/>
        <v>6</v>
      </c>
      <c r="R175" s="771">
        <f t="shared" si="22"/>
        <v>5</v>
      </c>
      <c r="V175" s="772">
        <f t="shared" si="26"/>
        <v>17272.000000000029</v>
      </c>
      <c r="W175" s="770">
        <f t="shared" si="27"/>
        <v>0</v>
      </c>
      <c r="X175" s="770">
        <f t="shared" si="23"/>
        <v>245.0000000000291</v>
      </c>
      <c r="Y175" s="770">
        <f t="shared" si="24"/>
        <v>16</v>
      </c>
      <c r="Z175" s="771">
        <f t="shared" si="25"/>
        <v>15</v>
      </c>
    </row>
    <row r="176" spans="14:26">
      <c r="N176" s="708">
        <v>6322</v>
      </c>
      <c r="O176" s="770">
        <f t="shared" si="19"/>
        <v>435</v>
      </c>
      <c r="P176" s="770">
        <f t="shared" si="20"/>
        <v>40</v>
      </c>
      <c r="Q176" s="770">
        <f t="shared" si="21"/>
        <v>7</v>
      </c>
      <c r="R176" s="771">
        <f t="shared" si="22"/>
        <v>5</v>
      </c>
      <c r="V176" s="772">
        <f t="shared" si="26"/>
        <v>17373.600000000028</v>
      </c>
      <c r="W176" s="770">
        <f t="shared" si="27"/>
        <v>0</v>
      </c>
      <c r="X176" s="770">
        <f t="shared" si="23"/>
        <v>346.60000000002765</v>
      </c>
      <c r="Y176" s="770">
        <f t="shared" si="24"/>
        <v>16</v>
      </c>
      <c r="Z176" s="771">
        <f t="shared" si="25"/>
        <v>15</v>
      </c>
    </row>
    <row r="177" spans="14:26">
      <c r="N177" s="708">
        <v>6355</v>
      </c>
      <c r="O177" s="770">
        <f t="shared" si="19"/>
        <v>468</v>
      </c>
      <c r="P177" s="770">
        <f t="shared" si="20"/>
        <v>40</v>
      </c>
      <c r="Q177" s="770">
        <f t="shared" si="21"/>
        <v>7</v>
      </c>
      <c r="R177" s="771">
        <f t="shared" si="22"/>
        <v>5</v>
      </c>
      <c r="V177" s="772">
        <f t="shared" si="26"/>
        <v>17475.200000000026</v>
      </c>
      <c r="W177" s="770">
        <f t="shared" si="27"/>
        <v>0</v>
      </c>
      <c r="X177" s="770">
        <f t="shared" si="23"/>
        <v>448.20000000002619</v>
      </c>
      <c r="Y177" s="770">
        <f t="shared" si="24"/>
        <v>16</v>
      </c>
      <c r="Z177" s="771">
        <f t="shared" si="25"/>
        <v>15</v>
      </c>
    </row>
    <row r="178" spans="14:26">
      <c r="N178" s="708">
        <v>6388</v>
      </c>
      <c r="O178" s="770">
        <f t="shared" si="19"/>
        <v>501</v>
      </c>
      <c r="P178" s="770">
        <f t="shared" si="20"/>
        <v>40</v>
      </c>
      <c r="Q178" s="770">
        <f t="shared" si="21"/>
        <v>7</v>
      </c>
      <c r="R178" s="771">
        <f t="shared" si="22"/>
        <v>5</v>
      </c>
      <c r="V178" s="772">
        <f t="shared" si="26"/>
        <v>17576.800000000025</v>
      </c>
      <c r="W178" s="770">
        <f t="shared" si="27"/>
        <v>400.80000000002474</v>
      </c>
      <c r="X178" s="770">
        <f t="shared" si="23"/>
        <v>149</v>
      </c>
      <c r="Y178" s="770">
        <f t="shared" si="24"/>
        <v>17</v>
      </c>
      <c r="Z178" s="771">
        <f t="shared" si="25"/>
        <v>15</v>
      </c>
    </row>
    <row r="179" spans="14:26">
      <c r="N179" s="708">
        <v>6421</v>
      </c>
      <c r="O179" s="770">
        <f t="shared" si="19"/>
        <v>534</v>
      </c>
      <c r="P179" s="770">
        <f t="shared" si="20"/>
        <v>40</v>
      </c>
      <c r="Q179" s="770">
        <f t="shared" si="21"/>
        <v>7</v>
      </c>
      <c r="R179" s="771">
        <f t="shared" si="22"/>
        <v>5</v>
      </c>
      <c r="V179" s="772">
        <f t="shared" si="26"/>
        <v>17678.400000000023</v>
      </c>
      <c r="W179" s="770">
        <f t="shared" si="27"/>
        <v>502.40000000002328</v>
      </c>
      <c r="X179" s="770">
        <f t="shared" si="23"/>
        <v>149</v>
      </c>
      <c r="Y179" s="770">
        <f t="shared" si="24"/>
        <v>17</v>
      </c>
      <c r="Z179" s="771">
        <f t="shared" si="25"/>
        <v>15</v>
      </c>
    </row>
    <row r="180" spans="14:26">
      <c r="N180" s="708">
        <v>6454</v>
      </c>
      <c r="O180" s="770">
        <f t="shared" si="19"/>
        <v>567</v>
      </c>
      <c r="P180" s="770">
        <f t="shared" si="20"/>
        <v>40</v>
      </c>
      <c r="Q180" s="770">
        <f t="shared" si="21"/>
        <v>7</v>
      </c>
      <c r="R180" s="771">
        <f t="shared" si="22"/>
        <v>5</v>
      </c>
      <c r="V180" s="772">
        <f t="shared" si="26"/>
        <v>17780.000000000022</v>
      </c>
      <c r="W180" s="770">
        <f t="shared" si="27"/>
        <v>604.00000000002183</v>
      </c>
      <c r="X180" s="770">
        <f t="shared" si="23"/>
        <v>149</v>
      </c>
      <c r="Y180" s="770">
        <f t="shared" si="24"/>
        <v>17</v>
      </c>
      <c r="Z180" s="771">
        <f t="shared" si="25"/>
        <v>15</v>
      </c>
    </row>
    <row r="181" spans="14:26">
      <c r="N181" s="708">
        <v>6487</v>
      </c>
      <c r="O181" s="770">
        <f t="shared" si="19"/>
        <v>600</v>
      </c>
      <c r="P181" s="770">
        <f t="shared" si="20"/>
        <v>40</v>
      </c>
      <c r="Q181" s="770">
        <f t="shared" si="21"/>
        <v>7</v>
      </c>
      <c r="R181" s="771">
        <f t="shared" si="22"/>
        <v>5</v>
      </c>
      <c r="V181" s="772">
        <f t="shared" si="26"/>
        <v>17881.60000000002</v>
      </c>
      <c r="W181" s="770">
        <f t="shared" si="27"/>
        <v>705.60000000002037</v>
      </c>
      <c r="X181" s="770">
        <f t="shared" si="23"/>
        <v>149</v>
      </c>
      <c r="Y181" s="770">
        <f t="shared" si="24"/>
        <v>17</v>
      </c>
      <c r="Z181" s="771">
        <f t="shared" si="25"/>
        <v>15</v>
      </c>
    </row>
    <row r="182" spans="14:26">
      <c r="N182" s="708">
        <v>6520</v>
      </c>
      <c r="O182" s="770">
        <f t="shared" si="19"/>
        <v>633</v>
      </c>
      <c r="P182" s="770">
        <f t="shared" si="20"/>
        <v>40</v>
      </c>
      <c r="Q182" s="770">
        <f t="shared" si="21"/>
        <v>7</v>
      </c>
      <c r="R182" s="771">
        <f t="shared" si="22"/>
        <v>5</v>
      </c>
      <c r="V182" s="772">
        <f t="shared" si="26"/>
        <v>17983.200000000019</v>
      </c>
      <c r="W182" s="770">
        <f t="shared" si="27"/>
        <v>807.20000000001892</v>
      </c>
      <c r="X182" s="770">
        <f t="shared" si="23"/>
        <v>149</v>
      </c>
      <c r="Y182" s="770">
        <f t="shared" si="24"/>
        <v>17</v>
      </c>
      <c r="Z182" s="771">
        <f t="shared" si="25"/>
        <v>15</v>
      </c>
    </row>
    <row r="183" spans="14:26">
      <c r="N183" s="708">
        <v>6553</v>
      </c>
      <c r="O183" s="770">
        <f t="shared" si="19"/>
        <v>666</v>
      </c>
      <c r="P183" s="770">
        <f t="shared" si="20"/>
        <v>40</v>
      </c>
      <c r="Q183" s="770">
        <f t="shared" si="21"/>
        <v>7</v>
      </c>
      <c r="R183" s="771">
        <f t="shared" si="22"/>
        <v>5</v>
      </c>
      <c r="V183" s="772">
        <f t="shared" si="26"/>
        <v>18084.800000000017</v>
      </c>
      <c r="W183" s="770">
        <f t="shared" si="27"/>
        <v>908.80000000001746</v>
      </c>
      <c r="X183" s="770">
        <f t="shared" si="23"/>
        <v>149</v>
      </c>
      <c r="Y183" s="770">
        <f t="shared" si="24"/>
        <v>17</v>
      </c>
      <c r="Z183" s="771">
        <f t="shared" si="25"/>
        <v>15</v>
      </c>
    </row>
    <row r="184" spans="14:26">
      <c r="N184" s="708">
        <v>6586</v>
      </c>
      <c r="O184" s="770">
        <f t="shared" si="19"/>
        <v>699</v>
      </c>
      <c r="P184" s="770">
        <f t="shared" si="20"/>
        <v>40</v>
      </c>
      <c r="Q184" s="770">
        <f t="shared" si="21"/>
        <v>7</v>
      </c>
      <c r="R184" s="771">
        <f t="shared" si="22"/>
        <v>5</v>
      </c>
      <c r="V184" s="772">
        <f t="shared" si="26"/>
        <v>18186.400000000016</v>
      </c>
      <c r="W184" s="770">
        <f t="shared" si="27"/>
        <v>0</v>
      </c>
      <c r="X184" s="770">
        <f t="shared" si="23"/>
        <v>41.400000000016007</v>
      </c>
      <c r="Y184" s="770">
        <f t="shared" si="24"/>
        <v>17</v>
      </c>
      <c r="Z184" s="771">
        <f t="shared" si="25"/>
        <v>16</v>
      </c>
    </row>
    <row r="185" spans="14:26">
      <c r="N185" s="708">
        <v>6619</v>
      </c>
      <c r="O185" s="770">
        <f t="shared" si="19"/>
        <v>732</v>
      </c>
      <c r="P185" s="770">
        <f t="shared" si="20"/>
        <v>40</v>
      </c>
      <c r="Q185" s="770">
        <f t="shared" si="21"/>
        <v>7</v>
      </c>
      <c r="R185" s="771">
        <f t="shared" si="22"/>
        <v>5</v>
      </c>
      <c r="V185" s="772">
        <f t="shared" si="26"/>
        <v>18288.000000000015</v>
      </c>
      <c r="W185" s="770">
        <f t="shared" si="27"/>
        <v>0</v>
      </c>
      <c r="X185" s="770">
        <f t="shared" si="23"/>
        <v>143.00000000001455</v>
      </c>
      <c r="Y185" s="770">
        <f t="shared" si="24"/>
        <v>17</v>
      </c>
      <c r="Z185" s="771">
        <f t="shared" si="25"/>
        <v>16</v>
      </c>
    </row>
    <row r="186" spans="14:26">
      <c r="N186" s="708">
        <v>6652</v>
      </c>
      <c r="O186" s="770">
        <f t="shared" si="19"/>
        <v>765</v>
      </c>
      <c r="P186" s="770">
        <f t="shared" si="20"/>
        <v>40</v>
      </c>
      <c r="Q186" s="770">
        <f t="shared" si="21"/>
        <v>7</v>
      </c>
      <c r="R186" s="771">
        <f t="shared" si="22"/>
        <v>5</v>
      </c>
      <c r="V186" s="772">
        <f t="shared" si="26"/>
        <v>18389.600000000013</v>
      </c>
      <c r="W186" s="770">
        <f t="shared" si="27"/>
        <v>0</v>
      </c>
      <c r="X186" s="770">
        <f t="shared" si="23"/>
        <v>244.6000000000131</v>
      </c>
      <c r="Y186" s="770">
        <f t="shared" si="24"/>
        <v>17</v>
      </c>
      <c r="Z186" s="771">
        <f t="shared" si="25"/>
        <v>16</v>
      </c>
    </row>
    <row r="187" spans="14:26">
      <c r="N187" s="708">
        <v>6685</v>
      </c>
      <c r="O187" s="770">
        <f t="shared" si="19"/>
        <v>798</v>
      </c>
      <c r="P187" s="770">
        <f t="shared" si="20"/>
        <v>40</v>
      </c>
      <c r="Q187" s="770">
        <f t="shared" si="21"/>
        <v>7</v>
      </c>
      <c r="R187" s="771">
        <f t="shared" si="22"/>
        <v>5</v>
      </c>
      <c r="V187" s="772">
        <f t="shared" si="26"/>
        <v>18491.200000000012</v>
      </c>
      <c r="W187" s="770">
        <f t="shared" si="27"/>
        <v>0</v>
      </c>
      <c r="X187" s="770">
        <f t="shared" si="23"/>
        <v>346.20000000001164</v>
      </c>
      <c r="Y187" s="770">
        <f t="shared" si="24"/>
        <v>17</v>
      </c>
      <c r="Z187" s="771">
        <f t="shared" si="25"/>
        <v>16</v>
      </c>
    </row>
    <row r="188" spans="14:26">
      <c r="N188" s="708">
        <v>6718</v>
      </c>
      <c r="O188" s="770">
        <f t="shared" si="19"/>
        <v>831</v>
      </c>
      <c r="P188" s="770">
        <f t="shared" si="20"/>
        <v>40</v>
      </c>
      <c r="Q188" s="770">
        <f t="shared" si="21"/>
        <v>7</v>
      </c>
      <c r="R188" s="771">
        <f t="shared" si="22"/>
        <v>5</v>
      </c>
      <c r="V188" s="772">
        <f t="shared" si="26"/>
        <v>18592.80000000001</v>
      </c>
      <c r="W188" s="770">
        <f t="shared" si="27"/>
        <v>0</v>
      </c>
      <c r="X188" s="770">
        <f t="shared" si="23"/>
        <v>447.80000000001019</v>
      </c>
      <c r="Y188" s="770">
        <f t="shared" si="24"/>
        <v>17</v>
      </c>
      <c r="Z188" s="771">
        <f t="shared" si="25"/>
        <v>16</v>
      </c>
    </row>
    <row r="189" spans="14:26">
      <c r="N189" s="708">
        <v>6751</v>
      </c>
      <c r="O189" s="770">
        <f t="shared" si="19"/>
        <v>864</v>
      </c>
      <c r="P189" s="770">
        <f t="shared" si="20"/>
        <v>40</v>
      </c>
      <c r="Q189" s="770">
        <f t="shared" si="21"/>
        <v>7</v>
      </c>
      <c r="R189" s="771">
        <f t="shared" si="22"/>
        <v>5</v>
      </c>
      <c r="V189" s="772">
        <f t="shared" si="26"/>
        <v>18694.400000000009</v>
      </c>
      <c r="W189" s="770">
        <f t="shared" si="27"/>
        <v>400.40000000000873</v>
      </c>
      <c r="X189" s="770">
        <f t="shared" si="23"/>
        <v>149</v>
      </c>
      <c r="Y189" s="770">
        <f t="shared" si="24"/>
        <v>18</v>
      </c>
      <c r="Z189" s="771">
        <f t="shared" si="25"/>
        <v>16</v>
      </c>
    </row>
    <row r="190" spans="14:26">
      <c r="N190" s="708">
        <v>6784</v>
      </c>
      <c r="O190" s="770">
        <f t="shared" si="19"/>
        <v>897</v>
      </c>
      <c r="P190" s="770">
        <f t="shared" si="20"/>
        <v>40</v>
      </c>
      <c r="Q190" s="770">
        <f t="shared" si="21"/>
        <v>7</v>
      </c>
      <c r="R190" s="771">
        <f t="shared" si="22"/>
        <v>5</v>
      </c>
      <c r="V190" s="772">
        <f t="shared" si="26"/>
        <v>18796.000000000007</v>
      </c>
      <c r="W190" s="770">
        <f t="shared" si="27"/>
        <v>502.00000000000728</v>
      </c>
      <c r="X190" s="770">
        <f t="shared" si="23"/>
        <v>149</v>
      </c>
      <c r="Y190" s="770">
        <f t="shared" si="24"/>
        <v>18</v>
      </c>
      <c r="Z190" s="771">
        <f t="shared" si="25"/>
        <v>16</v>
      </c>
    </row>
    <row r="191" spans="14:26">
      <c r="N191" s="708">
        <v>6817</v>
      </c>
      <c r="O191" s="770">
        <f t="shared" si="19"/>
        <v>930</v>
      </c>
      <c r="P191" s="770">
        <f t="shared" si="20"/>
        <v>40</v>
      </c>
      <c r="Q191" s="770">
        <f t="shared" si="21"/>
        <v>7</v>
      </c>
      <c r="R191" s="771">
        <f t="shared" si="22"/>
        <v>5</v>
      </c>
      <c r="V191" s="772">
        <f t="shared" si="26"/>
        <v>18897.600000000006</v>
      </c>
      <c r="W191" s="770">
        <f t="shared" si="27"/>
        <v>603.60000000000582</v>
      </c>
      <c r="X191" s="770">
        <f t="shared" si="23"/>
        <v>149</v>
      </c>
      <c r="Y191" s="770">
        <f t="shared" si="24"/>
        <v>18</v>
      </c>
      <c r="Z191" s="771">
        <f t="shared" si="25"/>
        <v>16</v>
      </c>
    </row>
    <row r="192" spans="14:26">
      <c r="N192" s="708">
        <v>6850</v>
      </c>
      <c r="O192" s="770">
        <f t="shared" si="19"/>
        <v>963</v>
      </c>
      <c r="P192" s="770">
        <f t="shared" si="20"/>
        <v>40</v>
      </c>
      <c r="Q192" s="770">
        <f t="shared" si="21"/>
        <v>7</v>
      </c>
      <c r="R192" s="771">
        <f t="shared" si="22"/>
        <v>5</v>
      </c>
      <c r="V192" s="772">
        <f t="shared" si="26"/>
        <v>18999.200000000004</v>
      </c>
      <c r="W192" s="770">
        <f t="shared" si="27"/>
        <v>705.20000000000437</v>
      </c>
      <c r="X192" s="770">
        <f t="shared" si="23"/>
        <v>149</v>
      </c>
      <c r="Y192" s="770">
        <f t="shared" si="24"/>
        <v>18</v>
      </c>
      <c r="Z192" s="771">
        <f t="shared" si="25"/>
        <v>16</v>
      </c>
    </row>
    <row r="193" spans="13:26">
      <c r="N193" s="708">
        <v>6883</v>
      </c>
      <c r="O193" s="770">
        <f t="shared" si="19"/>
        <v>996</v>
      </c>
      <c r="P193" s="770">
        <f t="shared" si="20"/>
        <v>40</v>
      </c>
      <c r="Q193" s="770">
        <f t="shared" si="21"/>
        <v>7</v>
      </c>
      <c r="R193" s="771">
        <f t="shared" si="22"/>
        <v>5</v>
      </c>
      <c r="V193" s="772">
        <f t="shared" si="26"/>
        <v>19100.800000000003</v>
      </c>
      <c r="W193" s="770">
        <f t="shared" si="27"/>
        <v>806.80000000000291</v>
      </c>
      <c r="X193" s="770">
        <f t="shared" si="23"/>
        <v>149</v>
      </c>
      <c r="Y193" s="770">
        <f t="shared" si="24"/>
        <v>18</v>
      </c>
      <c r="Z193" s="771">
        <f t="shared" si="25"/>
        <v>16</v>
      </c>
    </row>
    <row r="194" spans="13:26">
      <c r="N194" s="708">
        <v>6916</v>
      </c>
      <c r="O194" s="770">
        <f t="shared" si="19"/>
        <v>1029</v>
      </c>
      <c r="P194" s="770">
        <f t="shared" si="20"/>
        <v>40</v>
      </c>
      <c r="Q194" s="770">
        <f t="shared" si="21"/>
        <v>7</v>
      </c>
      <c r="R194" s="771">
        <f t="shared" si="22"/>
        <v>5</v>
      </c>
      <c r="V194" s="772">
        <f t="shared" si="26"/>
        <v>19202.400000000001</v>
      </c>
      <c r="W194" s="770">
        <f t="shared" si="27"/>
        <v>908.40000000000146</v>
      </c>
      <c r="X194" s="770">
        <f t="shared" si="23"/>
        <v>149</v>
      </c>
      <c r="Y194" s="770">
        <f t="shared" si="24"/>
        <v>18</v>
      </c>
      <c r="Z194" s="771">
        <f t="shared" si="25"/>
        <v>16</v>
      </c>
    </row>
    <row r="195" spans="13:26">
      <c r="N195" s="708">
        <v>6949</v>
      </c>
      <c r="O195" s="770">
        <f t="shared" si="19"/>
        <v>1062</v>
      </c>
      <c r="P195" s="770">
        <f t="shared" si="20"/>
        <v>40</v>
      </c>
      <c r="Q195" s="770">
        <f t="shared" si="21"/>
        <v>7</v>
      </c>
      <c r="R195" s="771">
        <f t="shared" si="22"/>
        <v>5</v>
      </c>
      <c r="V195" s="772">
        <f t="shared" si="26"/>
        <v>19304</v>
      </c>
      <c r="W195" s="770">
        <f t="shared" si="27"/>
        <v>0</v>
      </c>
      <c r="X195" s="770">
        <f t="shared" si="23"/>
        <v>41</v>
      </c>
      <c r="Y195" s="770">
        <f t="shared" si="24"/>
        <v>18</v>
      </c>
      <c r="Z195" s="771">
        <f t="shared" si="25"/>
        <v>17</v>
      </c>
    </row>
    <row r="196" spans="13:26">
      <c r="N196" s="708">
        <v>6982</v>
      </c>
      <c r="O196" s="770">
        <f t="shared" si="19"/>
        <v>0</v>
      </c>
      <c r="P196" s="770">
        <f t="shared" si="20"/>
        <v>17</v>
      </c>
      <c r="Q196" s="770">
        <f t="shared" si="21"/>
        <v>7</v>
      </c>
      <c r="R196" s="771">
        <f t="shared" si="22"/>
        <v>6</v>
      </c>
      <c r="V196" s="772">
        <f t="shared" si="26"/>
        <v>19405.599999999999</v>
      </c>
      <c r="W196" s="770">
        <f t="shared" si="27"/>
        <v>0</v>
      </c>
      <c r="X196" s="770">
        <f t="shared" si="23"/>
        <v>142.59999999999854</v>
      </c>
      <c r="Y196" s="770">
        <f t="shared" si="24"/>
        <v>18</v>
      </c>
      <c r="Z196" s="771">
        <f t="shared" si="25"/>
        <v>17</v>
      </c>
    </row>
    <row r="197" spans="13:26" ht="13.8" thickBot="1">
      <c r="M197" s="763"/>
      <c r="N197" s="753">
        <v>7015</v>
      </c>
      <c r="O197" s="791">
        <f t="shared" si="19"/>
        <v>0</v>
      </c>
      <c r="P197" s="791">
        <f t="shared" si="20"/>
        <v>50</v>
      </c>
      <c r="Q197" s="791">
        <f t="shared" si="21"/>
        <v>7</v>
      </c>
      <c r="R197" s="792">
        <f t="shared" si="22"/>
        <v>6</v>
      </c>
      <c r="V197" s="772">
        <f t="shared" si="26"/>
        <v>19507.199999999997</v>
      </c>
      <c r="W197" s="770">
        <f t="shared" si="27"/>
        <v>0</v>
      </c>
      <c r="X197" s="770">
        <f t="shared" si="23"/>
        <v>244.19999999999709</v>
      </c>
      <c r="Y197" s="770">
        <f t="shared" si="24"/>
        <v>18</v>
      </c>
      <c r="Z197" s="771">
        <f t="shared" si="25"/>
        <v>17</v>
      </c>
    </row>
    <row r="198" spans="13:26">
      <c r="M198" s="763"/>
      <c r="V198" s="772">
        <f t="shared" si="26"/>
        <v>19608.799999999996</v>
      </c>
      <c r="W198" s="770">
        <f t="shared" si="27"/>
        <v>0</v>
      </c>
      <c r="X198" s="770">
        <f t="shared" si="23"/>
        <v>345.79999999999563</v>
      </c>
      <c r="Y198" s="770">
        <f t="shared" si="24"/>
        <v>18</v>
      </c>
      <c r="Z198" s="771">
        <f t="shared" si="25"/>
        <v>17</v>
      </c>
    </row>
    <row r="199" spans="13:26">
      <c r="M199" s="763"/>
      <c r="V199" s="772">
        <f t="shared" si="26"/>
        <v>19710.399999999994</v>
      </c>
      <c r="W199" s="770">
        <f t="shared" si="27"/>
        <v>0</v>
      </c>
      <c r="X199" s="770">
        <f t="shared" si="23"/>
        <v>447.39999999999418</v>
      </c>
      <c r="Y199" s="770">
        <f t="shared" si="24"/>
        <v>18</v>
      </c>
      <c r="Z199" s="771">
        <f t="shared" si="25"/>
        <v>17</v>
      </c>
    </row>
    <row r="200" spans="13:26">
      <c r="M200" s="763"/>
      <c r="V200" s="772">
        <f t="shared" si="26"/>
        <v>19811.999999999993</v>
      </c>
      <c r="W200" s="770">
        <f t="shared" si="27"/>
        <v>399.99999999999272</v>
      </c>
      <c r="X200" s="770">
        <f t="shared" si="23"/>
        <v>149</v>
      </c>
      <c r="Y200" s="770">
        <f t="shared" si="24"/>
        <v>19</v>
      </c>
      <c r="Z200" s="771">
        <f t="shared" si="25"/>
        <v>17</v>
      </c>
    </row>
    <row r="201" spans="13:26">
      <c r="M201" s="763"/>
      <c r="V201" s="772">
        <f t="shared" si="26"/>
        <v>19913.599999999991</v>
      </c>
      <c r="W201" s="770">
        <f t="shared" si="27"/>
        <v>501.59999999999127</v>
      </c>
      <c r="X201" s="770">
        <f t="shared" si="23"/>
        <v>149</v>
      </c>
      <c r="Y201" s="770">
        <f t="shared" si="24"/>
        <v>19</v>
      </c>
      <c r="Z201" s="771">
        <f t="shared" si="25"/>
        <v>17</v>
      </c>
    </row>
    <row r="202" spans="13:26" ht="13.8" thickBot="1">
      <c r="M202" s="763"/>
      <c r="V202" s="793">
        <f t="shared" si="26"/>
        <v>20015.19999999999</v>
      </c>
      <c r="W202" s="791">
        <f t="shared" si="27"/>
        <v>603.19999999998981</v>
      </c>
      <c r="X202" s="791">
        <f t="shared" si="23"/>
        <v>149</v>
      </c>
      <c r="Y202" s="791">
        <f t="shared" si="24"/>
        <v>19</v>
      </c>
      <c r="Z202" s="792">
        <f t="shared" si="25"/>
        <v>17</v>
      </c>
    </row>
    <row r="203" spans="13:26">
      <c r="M203" s="763"/>
    </row>
    <row r="204" spans="13:26">
      <c r="M204" s="763"/>
    </row>
    <row r="205" spans="13:26">
      <c r="M205" s="763"/>
    </row>
    <row r="206" spans="13:26">
      <c r="M206" s="763"/>
    </row>
    <row r="207" spans="13:26">
      <c r="M207" s="763"/>
    </row>
    <row r="208" spans="13:26">
      <c r="M208" s="763"/>
    </row>
    <row r="209" spans="13:13">
      <c r="M209" s="763"/>
    </row>
    <row r="210" spans="13:13">
      <c r="M210" s="763"/>
    </row>
    <row r="211" spans="13:13">
      <c r="M211" s="763"/>
    </row>
    <row r="212" spans="13:13">
      <c r="M212" s="763"/>
    </row>
    <row r="213" spans="13:13">
      <c r="M213" s="763"/>
    </row>
    <row r="214" spans="13:13">
      <c r="M214" s="763"/>
    </row>
    <row r="215" spans="13:13">
      <c r="M215" s="763"/>
    </row>
    <row r="216" spans="13:13">
      <c r="M216" s="763"/>
    </row>
    <row r="217" spans="13:13">
      <c r="M217" s="763"/>
    </row>
    <row r="218" spans="13:13">
      <c r="M218" s="763"/>
    </row>
    <row r="219" spans="13:13">
      <c r="M219" s="763"/>
    </row>
    <row r="220" spans="13:13">
      <c r="M220" s="763"/>
    </row>
    <row r="221" spans="13:13">
      <c r="M221" s="763"/>
    </row>
    <row r="222" spans="13:13">
      <c r="M222" s="763"/>
    </row>
    <row r="223" spans="13:13">
      <c r="M223" s="763"/>
    </row>
    <row r="224" spans="13:13">
      <c r="M224" s="763"/>
    </row>
    <row r="225" spans="13:13">
      <c r="M225" s="763"/>
    </row>
    <row r="226" spans="13:13">
      <c r="M226" s="763"/>
    </row>
    <row r="227" spans="13:13">
      <c r="M227" s="763"/>
    </row>
    <row r="228" spans="13:13">
      <c r="M228" s="763"/>
    </row>
    <row r="229" spans="13:13">
      <c r="M229" s="763"/>
    </row>
    <row r="230" spans="13:13">
      <c r="M230" s="763"/>
    </row>
    <row r="231" spans="13:13">
      <c r="M231" s="763"/>
    </row>
    <row r="232" spans="13:13">
      <c r="M232" s="763"/>
    </row>
    <row r="233" spans="13:13">
      <c r="M233" s="763"/>
    </row>
    <row r="234" spans="13:13">
      <c r="M234" s="763"/>
    </row>
    <row r="235" spans="13:13">
      <c r="M235" s="763"/>
    </row>
    <row r="236" spans="13:13">
      <c r="M236" s="763"/>
    </row>
    <row r="237" spans="13:13">
      <c r="M237" s="763"/>
    </row>
    <row r="238" spans="13:13">
      <c r="M238" s="763"/>
    </row>
    <row r="239" spans="13:13">
      <c r="M239" s="763"/>
    </row>
    <row r="240" spans="13:13">
      <c r="M240" s="763"/>
    </row>
    <row r="241" spans="13:13">
      <c r="M241" s="763"/>
    </row>
    <row r="242" spans="13:13">
      <c r="M242" s="763"/>
    </row>
    <row r="243" spans="13:13">
      <c r="M243" s="763"/>
    </row>
    <row r="244" spans="13:13">
      <c r="M244" s="763"/>
    </row>
    <row r="245" spans="13:13">
      <c r="M245" s="763"/>
    </row>
    <row r="246" spans="13:13">
      <c r="M246" s="763"/>
    </row>
    <row r="247" spans="13:13">
      <c r="M247" s="763"/>
    </row>
    <row r="248" spans="13:13">
      <c r="M248" s="763"/>
    </row>
    <row r="249" spans="13:13">
      <c r="M249" s="763"/>
    </row>
    <row r="250" spans="13:13">
      <c r="M250" s="763"/>
    </row>
    <row r="251" spans="13:13">
      <c r="M251" s="763"/>
    </row>
    <row r="252" spans="13:13">
      <c r="M252" s="763"/>
    </row>
    <row r="253" spans="13:13">
      <c r="M253" s="763"/>
    </row>
    <row r="254" spans="13:13">
      <c r="M254" s="763"/>
    </row>
    <row r="255" spans="13:13">
      <c r="M255" s="763"/>
    </row>
    <row r="256" spans="13:13">
      <c r="M256" s="763"/>
    </row>
    <row r="257" spans="13:13">
      <c r="M257" s="763"/>
    </row>
    <row r="258" spans="13:13">
      <c r="M258" s="763"/>
    </row>
    <row r="259" spans="13:13">
      <c r="M259" s="763"/>
    </row>
    <row r="260" spans="13:13">
      <c r="M260" s="763"/>
    </row>
    <row r="261" spans="13:13">
      <c r="M261" s="763"/>
    </row>
    <row r="262" spans="13:13">
      <c r="M262" s="763"/>
    </row>
    <row r="263" spans="13:13">
      <c r="M263" s="763"/>
    </row>
    <row r="264" spans="13:13">
      <c r="M264" s="763"/>
    </row>
    <row r="265" spans="13:13">
      <c r="M265" s="763"/>
    </row>
    <row r="266" spans="13:13">
      <c r="M266" s="763"/>
    </row>
    <row r="267" spans="13:13">
      <c r="M267" s="763"/>
    </row>
    <row r="268" spans="13:13">
      <c r="M268" s="763"/>
    </row>
    <row r="269" spans="13:13">
      <c r="M269" s="763"/>
    </row>
    <row r="270" spans="13:13">
      <c r="M270" s="763"/>
    </row>
    <row r="271" spans="13:13">
      <c r="M271" s="763"/>
    </row>
    <row r="272" spans="13:13">
      <c r="M272" s="763"/>
    </row>
    <row r="273" spans="13:13">
      <c r="M273" s="763"/>
    </row>
    <row r="274" spans="13:13">
      <c r="M274" s="763"/>
    </row>
    <row r="275" spans="13:13">
      <c r="M275" s="763"/>
    </row>
    <row r="276" spans="13:13">
      <c r="M276" s="763"/>
    </row>
    <row r="277" spans="13:13">
      <c r="M277" s="763"/>
    </row>
    <row r="278" spans="13:13">
      <c r="M278" s="763"/>
    </row>
    <row r="279" spans="13:13">
      <c r="M279" s="763"/>
    </row>
    <row r="280" spans="13:13">
      <c r="M280" s="763"/>
    </row>
    <row r="281" spans="13:13">
      <c r="M281" s="763"/>
    </row>
    <row r="282" spans="13:13">
      <c r="M282" s="763"/>
    </row>
    <row r="283" spans="13:13">
      <c r="M283" s="763"/>
    </row>
    <row r="284" spans="13:13">
      <c r="M284" s="763"/>
    </row>
    <row r="285" spans="13:13">
      <c r="M285" s="763"/>
    </row>
    <row r="286" spans="13:13">
      <c r="M286" s="763"/>
    </row>
    <row r="287" spans="13:13">
      <c r="M287" s="763"/>
    </row>
    <row r="288" spans="13:13">
      <c r="M288" s="763"/>
    </row>
    <row r="289" spans="13:13">
      <c r="M289" s="763"/>
    </row>
    <row r="290" spans="13:13">
      <c r="M290" s="763"/>
    </row>
    <row r="291" spans="13:13">
      <c r="M291" s="763"/>
    </row>
    <row r="292" spans="13:13">
      <c r="M292" s="763"/>
    </row>
    <row r="293" spans="13:13">
      <c r="M293" s="763"/>
    </row>
    <row r="294" spans="13:13">
      <c r="M294" s="763"/>
    </row>
    <row r="295" spans="13:13">
      <c r="M295" s="763"/>
    </row>
    <row r="296" spans="13:13">
      <c r="M296" s="763"/>
    </row>
    <row r="297" spans="13:13">
      <c r="M297" s="763"/>
    </row>
    <row r="298" spans="13:13">
      <c r="M298" s="763"/>
    </row>
    <row r="299" spans="13:13">
      <c r="M299" s="763"/>
    </row>
    <row r="300" spans="13:13">
      <c r="M300" s="763"/>
    </row>
    <row r="301" spans="13:13">
      <c r="M301" s="763"/>
    </row>
    <row r="302" spans="13:13">
      <c r="M302" s="763"/>
    </row>
    <row r="303" spans="13:13">
      <c r="M303" s="763"/>
    </row>
    <row r="304" spans="13:13">
      <c r="M304" s="763"/>
    </row>
    <row r="305" spans="13:13">
      <c r="M305" s="763"/>
    </row>
    <row r="306" spans="13:13">
      <c r="M306" s="763"/>
    </row>
    <row r="307" spans="13:13">
      <c r="M307" s="763"/>
    </row>
    <row r="308" spans="13:13">
      <c r="M308" s="763"/>
    </row>
    <row r="309" spans="13:13">
      <c r="M309" s="763"/>
    </row>
    <row r="310" spans="13:13">
      <c r="M310" s="763"/>
    </row>
    <row r="311" spans="13:13">
      <c r="M311" s="763"/>
    </row>
    <row r="312" spans="13:13">
      <c r="M312" s="763"/>
    </row>
    <row r="313" spans="13:13">
      <c r="M313" s="763"/>
    </row>
    <row r="314" spans="13:13">
      <c r="M314" s="763"/>
    </row>
    <row r="315" spans="13:13">
      <c r="M315" s="763"/>
    </row>
    <row r="316" spans="13:13">
      <c r="M316" s="763"/>
    </row>
    <row r="317" spans="13:13">
      <c r="M317" s="763"/>
    </row>
    <row r="318" spans="13:13">
      <c r="M318" s="763"/>
    </row>
    <row r="319" spans="13:13">
      <c r="M319" s="763"/>
    </row>
    <row r="320" spans="13:13">
      <c r="M320" s="763"/>
    </row>
    <row r="321" spans="13:13">
      <c r="M321" s="763"/>
    </row>
    <row r="322" spans="13:13">
      <c r="M322" s="763"/>
    </row>
    <row r="323" spans="13:13">
      <c r="M323" s="763"/>
    </row>
    <row r="324" spans="13:13">
      <c r="M324" s="763"/>
    </row>
    <row r="325" spans="13:13">
      <c r="M325" s="763"/>
    </row>
    <row r="326" spans="13:13">
      <c r="M326" s="763"/>
    </row>
    <row r="327" spans="13:13">
      <c r="M327" s="763"/>
    </row>
    <row r="328" spans="13:13">
      <c r="M328" s="763"/>
    </row>
    <row r="329" spans="13:13">
      <c r="M329" s="763"/>
    </row>
    <row r="330" spans="13:13">
      <c r="M330" s="763"/>
    </row>
    <row r="331" spans="13:13">
      <c r="M331" s="763"/>
    </row>
    <row r="332" spans="13:13">
      <c r="M332" s="763"/>
    </row>
    <row r="333" spans="13:13">
      <c r="M333" s="763"/>
    </row>
    <row r="334" spans="13:13">
      <c r="M334" s="763"/>
    </row>
    <row r="335" spans="13:13">
      <c r="M335" s="763"/>
    </row>
    <row r="336" spans="13:13">
      <c r="M336" s="763"/>
    </row>
    <row r="337" spans="13:13">
      <c r="M337" s="763"/>
    </row>
    <row r="338" spans="13:13">
      <c r="M338" s="763"/>
    </row>
    <row r="339" spans="13:13">
      <c r="M339" s="763"/>
    </row>
    <row r="340" spans="13:13">
      <c r="M340" s="763"/>
    </row>
    <row r="341" spans="13:13">
      <c r="M341" s="763"/>
    </row>
    <row r="342" spans="13:13">
      <c r="M342" s="763"/>
    </row>
    <row r="343" spans="13:13">
      <c r="M343" s="763"/>
    </row>
    <row r="344" spans="13:13">
      <c r="M344" s="763"/>
    </row>
    <row r="345" spans="13:13">
      <c r="M345" s="763"/>
    </row>
    <row r="346" spans="13:13">
      <c r="M346" s="763"/>
    </row>
    <row r="347" spans="13:13">
      <c r="M347" s="763"/>
    </row>
    <row r="348" spans="13:13">
      <c r="M348" s="763"/>
    </row>
    <row r="349" spans="13:13">
      <c r="M349" s="763"/>
    </row>
    <row r="350" spans="13:13">
      <c r="M350" s="763"/>
    </row>
    <row r="351" spans="13:13">
      <c r="M351" s="763"/>
    </row>
    <row r="352" spans="13:13">
      <c r="M352" s="763"/>
    </row>
    <row r="353" spans="13:13">
      <c r="M353" s="763"/>
    </row>
    <row r="354" spans="13:13">
      <c r="M354" s="763"/>
    </row>
    <row r="355" spans="13:13">
      <c r="M355" s="763"/>
    </row>
    <row r="356" spans="13:13">
      <c r="M356" s="763"/>
    </row>
    <row r="357" spans="13:13">
      <c r="M357" s="763"/>
    </row>
    <row r="358" spans="13:13">
      <c r="M358" s="763"/>
    </row>
    <row r="359" spans="13:13">
      <c r="M359" s="763"/>
    </row>
    <row r="360" spans="13:13">
      <c r="M360" s="763"/>
    </row>
    <row r="361" spans="13:13">
      <c r="M361" s="763"/>
    </row>
    <row r="362" spans="13:13">
      <c r="M362" s="763"/>
    </row>
    <row r="363" spans="13:13">
      <c r="M363" s="763"/>
    </row>
    <row r="364" spans="13:13">
      <c r="M364" s="763"/>
    </row>
    <row r="365" spans="13:13">
      <c r="M365" s="763"/>
    </row>
    <row r="366" spans="13:13">
      <c r="M366" s="763"/>
    </row>
    <row r="367" spans="13:13">
      <c r="M367" s="763"/>
    </row>
    <row r="368" spans="13:13">
      <c r="M368" s="763"/>
    </row>
    <row r="369" spans="13:13">
      <c r="M369" s="763"/>
    </row>
    <row r="370" spans="13:13">
      <c r="M370" s="763"/>
    </row>
    <row r="371" spans="13:13">
      <c r="M371" s="763"/>
    </row>
    <row r="372" spans="13:13">
      <c r="M372" s="763"/>
    </row>
    <row r="373" spans="13:13">
      <c r="M373" s="763"/>
    </row>
    <row r="374" spans="13:13">
      <c r="M374" s="763"/>
    </row>
    <row r="375" spans="13:13">
      <c r="M375" s="763"/>
    </row>
    <row r="376" spans="13:13">
      <c r="M376" s="763"/>
    </row>
    <row r="377" spans="13:13">
      <c r="M377" s="763"/>
    </row>
    <row r="378" spans="13:13">
      <c r="M378" s="763"/>
    </row>
    <row r="379" spans="13:13">
      <c r="M379" s="763"/>
    </row>
    <row r="380" spans="13:13">
      <c r="M380" s="763"/>
    </row>
    <row r="381" spans="13:13">
      <c r="M381" s="763"/>
    </row>
    <row r="382" spans="13:13">
      <c r="M382" s="763"/>
    </row>
    <row r="383" spans="13:13">
      <c r="M383" s="763"/>
    </row>
    <row r="384" spans="13:13">
      <c r="M384" s="763"/>
    </row>
    <row r="385" spans="13:13">
      <c r="M385" s="763"/>
    </row>
    <row r="386" spans="13:13">
      <c r="M386" s="763"/>
    </row>
    <row r="387" spans="13:13">
      <c r="M387" s="763"/>
    </row>
    <row r="388" spans="13:13">
      <c r="M388" s="763"/>
    </row>
    <row r="389" spans="13:13">
      <c r="M389" s="763"/>
    </row>
    <row r="390" spans="13:13">
      <c r="M390" s="763"/>
    </row>
    <row r="391" spans="13:13">
      <c r="M391" s="763"/>
    </row>
    <row r="392" spans="13:13">
      <c r="M392" s="763"/>
    </row>
    <row r="393" spans="13:13">
      <c r="M393" s="763"/>
    </row>
    <row r="394" spans="13:13">
      <c r="M394" s="763"/>
    </row>
    <row r="395" spans="13:13">
      <c r="M395" s="763"/>
    </row>
    <row r="396" spans="13:13">
      <c r="M396" s="763"/>
    </row>
    <row r="397" spans="13:13">
      <c r="M397" s="763"/>
    </row>
    <row r="398" spans="13:13">
      <c r="M398" s="763"/>
    </row>
    <row r="399" spans="13:13">
      <c r="M399" s="763"/>
    </row>
    <row r="400" spans="13:13">
      <c r="M400" s="763"/>
    </row>
    <row r="401" spans="13:13">
      <c r="M401" s="763"/>
    </row>
    <row r="402" spans="13:13">
      <c r="M402" s="763"/>
    </row>
    <row r="403" spans="13:13">
      <c r="M403" s="763"/>
    </row>
    <row r="404" spans="13:13">
      <c r="M404" s="763"/>
    </row>
    <row r="405" spans="13:13">
      <c r="M405" s="763"/>
    </row>
    <row r="406" spans="13:13">
      <c r="M406" s="763"/>
    </row>
    <row r="407" spans="13:13">
      <c r="M407" s="763"/>
    </row>
    <row r="408" spans="13:13">
      <c r="M408" s="763"/>
    </row>
    <row r="409" spans="13:13">
      <c r="M409" s="763"/>
    </row>
    <row r="410" spans="13:13">
      <c r="M410" s="763"/>
    </row>
    <row r="411" spans="13:13">
      <c r="M411" s="763"/>
    </row>
    <row r="412" spans="13:13">
      <c r="M412" s="763"/>
    </row>
    <row r="413" spans="13:13">
      <c r="M413" s="763"/>
    </row>
    <row r="414" spans="13:13">
      <c r="M414" s="763"/>
    </row>
    <row r="415" spans="13:13">
      <c r="M415" s="763"/>
    </row>
    <row r="416" spans="13:13">
      <c r="M416" s="763"/>
    </row>
    <row r="417" spans="13:13">
      <c r="M417" s="763"/>
    </row>
  </sheetData>
  <pageMargins left="0.75" right="0.75" top="1" bottom="1" header="0" footer="0"/>
  <pageSetup scale="80" orientation="portrait" horizontalDpi="1200" verticalDpi="1200" r:id="rId1"/>
  <headerFooter alignWithMargins="0"/>
  <colBreaks count="1" manualBreakCount="1">
    <brk id="11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E66D0-06C3-42F1-8F91-342B93CCF433}">
  <sheetPr codeName="Hoja1"/>
  <dimension ref="A1:BF449"/>
  <sheetViews>
    <sheetView zoomScale="110" zoomScaleNormal="110" workbookViewId="0">
      <selection activeCell="I16" sqref="I16"/>
    </sheetView>
  </sheetViews>
  <sheetFormatPr baseColWidth="10" defaultColWidth="11.5546875" defaultRowHeight="14.4"/>
  <sheetData>
    <row r="1" spans="1:58">
      <c r="A1" s="330"/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0"/>
      <c r="Y1" s="330"/>
      <c r="Z1" s="330"/>
      <c r="AA1" s="330"/>
      <c r="AB1" s="330"/>
      <c r="AC1" s="330"/>
      <c r="AD1" s="330"/>
      <c r="AE1" s="330"/>
      <c r="AF1" s="330"/>
      <c r="AG1" s="330"/>
      <c r="AH1" s="330"/>
      <c r="AI1" s="330"/>
      <c r="AJ1" s="330"/>
      <c r="AK1" s="330"/>
      <c r="AL1" s="330"/>
      <c r="AM1" s="330"/>
      <c r="AN1" s="330"/>
      <c r="AO1" s="330"/>
      <c r="AP1" s="330"/>
      <c r="AQ1" s="330"/>
      <c r="AR1" s="330"/>
      <c r="AS1" s="330"/>
      <c r="AT1" s="330"/>
      <c r="AU1" s="330"/>
      <c r="AV1" s="330"/>
      <c r="AW1" s="330"/>
      <c r="AX1" s="330"/>
      <c r="AY1" s="330"/>
      <c r="AZ1" s="330"/>
      <c r="BA1" s="330"/>
      <c r="BB1" s="330"/>
      <c r="BC1" s="330"/>
      <c r="BD1" s="330"/>
      <c r="BE1" s="330"/>
      <c r="BF1" s="330"/>
    </row>
    <row r="2" spans="1:58">
      <c r="A2" s="330"/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330"/>
      <c r="AD2" s="330"/>
      <c r="AE2" s="330"/>
      <c r="AF2" s="330"/>
      <c r="AG2" s="330"/>
      <c r="AH2" s="330"/>
      <c r="AI2" s="330"/>
      <c r="AJ2" s="330"/>
      <c r="AK2" s="330"/>
      <c r="AL2" s="330"/>
      <c r="AM2" s="330"/>
      <c r="AN2" s="330"/>
      <c r="AO2" s="330"/>
      <c r="AP2" s="330"/>
      <c r="AQ2" s="330"/>
      <c r="AR2" s="330"/>
      <c r="AS2" s="330"/>
      <c r="AT2" s="330"/>
      <c r="AU2" s="330"/>
      <c r="AV2" s="330"/>
      <c r="AW2" s="330"/>
      <c r="AX2" s="330"/>
      <c r="AY2" s="330"/>
      <c r="AZ2" s="330"/>
      <c r="BA2" s="330"/>
      <c r="BB2" s="330"/>
      <c r="BC2" s="330"/>
      <c r="BD2" s="330"/>
      <c r="BE2" s="330"/>
      <c r="BF2" s="330"/>
    </row>
    <row r="3" spans="1:58" ht="15" customHeight="1">
      <c r="A3" s="330"/>
      <c r="B3" s="330"/>
      <c r="C3" s="441"/>
      <c r="D3" s="441"/>
      <c r="E3" s="1039" t="s">
        <v>831</v>
      </c>
      <c r="F3" s="1039"/>
      <c r="G3" s="1039"/>
      <c r="H3" s="1039"/>
      <c r="I3" s="1039"/>
      <c r="J3" s="1039"/>
      <c r="K3" s="1039"/>
      <c r="L3" s="1039"/>
      <c r="M3" s="441"/>
      <c r="N3" s="330"/>
      <c r="O3" s="330"/>
      <c r="P3" s="330"/>
      <c r="Q3" s="330"/>
      <c r="R3" s="330"/>
      <c r="S3" s="330"/>
      <c r="T3" s="330"/>
      <c r="U3" s="330"/>
      <c r="V3" s="330"/>
      <c r="W3" s="330"/>
      <c r="X3" s="330"/>
      <c r="Y3" s="330"/>
      <c r="Z3" s="330"/>
      <c r="AA3" s="330"/>
      <c r="AB3" s="330"/>
      <c r="AC3" s="330"/>
      <c r="AD3" s="330"/>
      <c r="AE3" s="330"/>
      <c r="AF3" s="330"/>
      <c r="AG3" s="330"/>
      <c r="AH3" s="330"/>
      <c r="AI3" s="330"/>
      <c r="AJ3" s="330"/>
      <c r="AK3" s="330"/>
      <c r="AL3" s="330"/>
      <c r="AM3" s="330"/>
      <c r="AN3" s="330"/>
      <c r="AO3" s="330"/>
      <c r="AP3" s="330"/>
      <c r="AQ3" s="330"/>
      <c r="AR3" s="330"/>
      <c r="AS3" s="330"/>
      <c r="AT3" s="330"/>
      <c r="AU3" s="330"/>
      <c r="AV3" s="330"/>
      <c r="AW3" s="330"/>
      <c r="AX3" s="330"/>
      <c r="AY3" s="330"/>
      <c r="AZ3" s="330"/>
      <c r="BA3" s="330"/>
      <c r="BB3" s="330"/>
      <c r="BC3" s="330"/>
      <c r="BD3" s="330"/>
      <c r="BE3" s="330"/>
      <c r="BF3" s="330"/>
    </row>
    <row r="4" spans="1:58" ht="15" customHeight="1">
      <c r="A4" s="330"/>
      <c r="B4" s="330"/>
      <c r="C4" s="441"/>
      <c r="D4" s="441"/>
      <c r="E4" s="1039"/>
      <c r="F4" s="1039"/>
      <c r="G4" s="1039"/>
      <c r="H4" s="1039"/>
      <c r="I4" s="1039"/>
      <c r="J4" s="1039"/>
      <c r="K4" s="1039"/>
      <c r="L4" s="1039"/>
      <c r="M4" s="441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</row>
    <row r="5" spans="1:58" ht="15" customHeight="1">
      <c r="A5" s="330"/>
      <c r="B5" s="330"/>
      <c r="C5" s="441"/>
      <c r="D5" s="441"/>
      <c r="E5" s="1039"/>
      <c r="F5" s="1039"/>
      <c r="G5" s="1039"/>
      <c r="H5" s="1039"/>
      <c r="I5" s="1039"/>
      <c r="J5" s="1039"/>
      <c r="K5" s="1039"/>
      <c r="L5" s="1039"/>
      <c r="M5" s="441"/>
      <c r="N5" s="330"/>
      <c r="O5" s="330"/>
      <c r="P5" s="330"/>
      <c r="Q5" s="330"/>
      <c r="R5" s="330"/>
      <c r="S5" s="330"/>
      <c r="T5" s="330"/>
      <c r="U5" s="330"/>
      <c r="V5" s="330"/>
      <c r="W5" s="330"/>
      <c r="X5" s="330"/>
      <c r="Y5" s="330"/>
      <c r="Z5" s="330"/>
      <c r="AA5" s="330"/>
      <c r="AB5" s="330"/>
      <c r="AC5" s="330"/>
      <c r="AD5" s="330"/>
      <c r="AE5" s="330"/>
      <c r="AF5" s="330"/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0"/>
      <c r="AS5" s="330"/>
      <c r="AT5" s="330"/>
      <c r="AU5" s="330"/>
      <c r="AV5" s="330"/>
      <c r="AW5" s="330"/>
      <c r="AX5" s="330"/>
      <c r="AY5" s="330"/>
      <c r="AZ5" s="330"/>
      <c r="BA5" s="330"/>
      <c r="BB5" s="330"/>
      <c r="BC5" s="330"/>
      <c r="BD5" s="330"/>
      <c r="BE5" s="330"/>
      <c r="BF5" s="330"/>
    </row>
    <row r="6" spans="1:58">
      <c r="A6" s="330"/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0"/>
      <c r="AO6" s="330"/>
      <c r="AP6" s="330"/>
      <c r="AQ6" s="330"/>
      <c r="AR6" s="330"/>
      <c r="AS6" s="330"/>
      <c r="AT6" s="330"/>
      <c r="AU6" s="330"/>
      <c r="AV6" s="330"/>
      <c r="AW6" s="330"/>
      <c r="AX6" s="330"/>
      <c r="AY6" s="330"/>
      <c r="AZ6" s="330"/>
      <c r="BA6" s="330"/>
      <c r="BB6" s="330"/>
      <c r="BC6" s="330"/>
      <c r="BD6" s="330"/>
      <c r="BE6" s="330"/>
      <c r="BF6" s="330"/>
    </row>
    <row r="7" spans="1:58">
      <c r="A7" s="330"/>
      <c r="B7" s="330"/>
      <c r="C7" s="330"/>
      <c r="D7" s="330"/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0"/>
      <c r="AO7" s="330"/>
      <c r="AP7" s="330"/>
      <c r="AQ7" s="330"/>
      <c r="AR7" s="330"/>
      <c r="AS7" s="330"/>
      <c r="AT7" s="330"/>
      <c r="AU7" s="330"/>
      <c r="AV7" s="330"/>
      <c r="AW7" s="330"/>
      <c r="AX7" s="330"/>
      <c r="AY7" s="330"/>
      <c r="AZ7" s="330"/>
      <c r="BA7" s="330"/>
      <c r="BB7" s="330"/>
      <c r="BC7" s="330"/>
      <c r="BD7" s="330"/>
      <c r="BE7" s="330"/>
      <c r="BF7" s="330"/>
    </row>
    <row r="8" spans="1:58">
      <c r="A8" s="330"/>
      <c r="B8" s="330"/>
      <c r="C8" s="330"/>
      <c r="D8" s="330"/>
      <c r="E8" s="330"/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0"/>
      <c r="AP8" s="330"/>
      <c r="AQ8" s="330"/>
      <c r="AR8" s="330"/>
      <c r="AS8" s="330"/>
      <c r="AT8" s="330"/>
      <c r="AU8" s="330"/>
      <c r="AV8" s="330"/>
      <c r="AW8" s="330"/>
      <c r="AX8" s="330"/>
      <c r="AY8" s="330"/>
      <c r="AZ8" s="330"/>
      <c r="BA8" s="330"/>
    </row>
    <row r="9" spans="1:58">
      <c r="A9" s="330"/>
      <c r="B9" s="330"/>
      <c r="C9" s="330"/>
      <c r="D9" s="330"/>
      <c r="E9" s="330"/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0"/>
      <c r="Q9" s="330"/>
      <c r="R9" s="330"/>
      <c r="S9" s="330"/>
      <c r="T9" s="330"/>
      <c r="U9" s="330"/>
      <c r="V9" s="330"/>
      <c r="W9" s="330"/>
      <c r="X9" s="330"/>
      <c r="Y9" s="330"/>
      <c r="Z9" s="330"/>
      <c r="AA9" s="330"/>
      <c r="AB9" s="330"/>
      <c r="AC9" s="330"/>
      <c r="AD9" s="330"/>
      <c r="AE9" s="330"/>
      <c r="AF9" s="330"/>
      <c r="AG9" s="330"/>
      <c r="AH9" s="330"/>
      <c r="AI9" s="330"/>
      <c r="AJ9" s="330"/>
      <c r="AK9" s="330"/>
      <c r="AL9" s="330"/>
      <c r="AM9" s="330"/>
      <c r="AN9" s="330"/>
      <c r="AO9" s="330"/>
      <c r="AP9" s="330"/>
      <c r="AQ9" s="330"/>
      <c r="AR9" s="330"/>
      <c r="AS9" s="330"/>
      <c r="AT9" s="330"/>
      <c r="AU9" s="330"/>
      <c r="AV9" s="330"/>
      <c r="AW9" s="330"/>
      <c r="AX9" s="330"/>
      <c r="AY9" s="330"/>
    </row>
    <row r="10" spans="1:58">
      <c r="A10" s="330"/>
      <c r="B10" s="330"/>
      <c r="C10" s="330"/>
      <c r="D10" s="330"/>
      <c r="E10" s="330"/>
      <c r="F10" s="330"/>
      <c r="G10" s="330"/>
      <c r="H10" s="330"/>
      <c r="I10" s="330"/>
      <c r="J10" s="330"/>
      <c r="K10" s="330"/>
      <c r="L10" s="330"/>
      <c r="M10" s="330"/>
      <c r="N10" s="330"/>
      <c r="O10" s="330"/>
      <c r="P10" s="330"/>
      <c r="Q10" s="330"/>
      <c r="R10" s="330"/>
      <c r="S10" s="330"/>
      <c r="T10" s="330"/>
      <c r="U10" s="330"/>
      <c r="V10" s="330"/>
      <c r="W10" s="330"/>
      <c r="X10" s="330"/>
      <c r="Y10" s="330"/>
      <c r="Z10" s="330"/>
      <c r="AA10" s="330"/>
      <c r="AB10" s="330"/>
      <c r="AC10" s="330"/>
      <c r="AD10" s="330"/>
      <c r="AE10" s="330"/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0"/>
      <c r="AS10" s="330"/>
      <c r="AT10" s="330"/>
      <c r="AU10" s="330"/>
      <c r="AV10" s="330"/>
      <c r="AW10" s="330"/>
      <c r="AX10" s="330"/>
      <c r="AY10" s="330"/>
    </row>
    <row r="11" spans="1:58">
      <c r="A11" s="330"/>
      <c r="B11" s="330"/>
      <c r="C11" s="330"/>
      <c r="D11" s="330"/>
      <c r="E11" s="330"/>
      <c r="F11" s="330"/>
      <c r="G11" s="330"/>
      <c r="H11" s="330"/>
      <c r="I11" s="330"/>
      <c r="J11" s="330"/>
      <c r="K11" s="330"/>
      <c r="L11" s="330"/>
      <c r="M11" s="330"/>
      <c r="N11" s="330"/>
      <c r="O11" s="330"/>
      <c r="P11" s="330"/>
      <c r="Q11" s="330"/>
      <c r="R11" s="330"/>
      <c r="S11" s="330"/>
      <c r="T11" s="330"/>
      <c r="U11" s="330"/>
      <c r="V11" s="330"/>
      <c r="W11" s="330"/>
      <c r="X11" s="330"/>
      <c r="Y11" s="330"/>
      <c r="Z11" s="330"/>
      <c r="AA11" s="330"/>
      <c r="AB11" s="330"/>
      <c r="AC11" s="330"/>
      <c r="AD11" s="330"/>
      <c r="AE11" s="330"/>
      <c r="AF11" s="330"/>
      <c r="AG11" s="330"/>
      <c r="AH11" s="330"/>
      <c r="AI11" s="330"/>
      <c r="AJ11" s="330"/>
      <c r="AK11" s="330"/>
      <c r="AL11" s="330"/>
      <c r="AM11" s="330"/>
      <c r="AN11" s="330"/>
      <c r="AO11" s="330"/>
      <c r="AP11" s="330"/>
      <c r="AQ11" s="330"/>
      <c r="AR11" s="330"/>
      <c r="AS11" s="330"/>
      <c r="AT11" s="330"/>
      <c r="AU11" s="330"/>
      <c r="AV11" s="330"/>
      <c r="AW11" s="330"/>
      <c r="AX11" s="330"/>
      <c r="AY11" s="330"/>
    </row>
    <row r="12" spans="1:58">
      <c r="A12" s="330"/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  <c r="N12" s="330"/>
      <c r="O12" s="330"/>
      <c r="P12" s="330"/>
      <c r="Q12" s="330"/>
      <c r="R12" s="330"/>
      <c r="S12" s="330"/>
      <c r="T12" s="330"/>
      <c r="U12" s="330"/>
      <c r="V12" s="330"/>
      <c r="W12" s="330"/>
      <c r="X12" s="330"/>
      <c r="Y12" s="330"/>
      <c r="Z12" s="330"/>
      <c r="AA12" s="330"/>
      <c r="AB12" s="330"/>
      <c r="AC12" s="330"/>
      <c r="AD12" s="330"/>
      <c r="AE12" s="330"/>
      <c r="AF12" s="330"/>
      <c r="AG12" s="330"/>
      <c r="AH12" s="330"/>
      <c r="AI12" s="330"/>
      <c r="AJ12" s="330"/>
      <c r="AK12" s="330"/>
      <c r="AL12" s="330"/>
      <c r="AM12" s="330"/>
      <c r="AN12" s="330"/>
      <c r="AO12" s="330"/>
      <c r="AP12" s="330"/>
      <c r="AQ12" s="330"/>
      <c r="AR12" s="330"/>
      <c r="AS12" s="330"/>
      <c r="AT12" s="330"/>
      <c r="AU12" s="330"/>
      <c r="AV12" s="330"/>
      <c r="AW12" s="330"/>
      <c r="AX12" s="330"/>
      <c r="AY12" s="330"/>
    </row>
    <row r="13" spans="1:58">
      <c r="A13" s="330"/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0"/>
      <c r="P13" s="330"/>
      <c r="Q13" s="330"/>
      <c r="R13" s="330"/>
      <c r="S13" s="330"/>
      <c r="T13" s="330"/>
      <c r="U13" s="330"/>
      <c r="V13" s="330"/>
      <c r="W13" s="330"/>
      <c r="X13" s="330"/>
      <c r="Y13" s="330"/>
      <c r="Z13" s="330"/>
      <c r="AA13" s="330"/>
      <c r="AB13" s="330"/>
      <c r="AC13" s="330"/>
      <c r="AD13" s="330"/>
      <c r="AE13" s="330"/>
      <c r="AF13" s="330"/>
      <c r="AG13" s="330"/>
      <c r="AH13" s="330"/>
      <c r="AI13" s="330"/>
      <c r="AJ13" s="330"/>
      <c r="AK13" s="330"/>
      <c r="AL13" s="330"/>
      <c r="AM13" s="330"/>
      <c r="AN13" s="330"/>
      <c r="AO13" s="330"/>
      <c r="AP13" s="330"/>
      <c r="AQ13" s="330"/>
      <c r="AR13" s="330"/>
      <c r="AS13" s="330"/>
      <c r="AT13" s="330"/>
      <c r="AU13" s="330"/>
      <c r="AV13" s="330"/>
      <c r="AW13" s="330"/>
      <c r="AX13" s="330"/>
      <c r="AY13" s="330"/>
    </row>
    <row r="14" spans="1:58">
      <c r="A14" s="330"/>
      <c r="B14" s="330"/>
      <c r="C14" s="330"/>
      <c r="D14" s="330"/>
      <c r="E14" s="330"/>
      <c r="F14" s="330"/>
      <c r="G14" s="330"/>
      <c r="H14" s="330"/>
      <c r="I14" s="330"/>
      <c r="J14" s="330"/>
      <c r="K14" s="330"/>
      <c r="L14" s="330"/>
      <c r="M14" s="330"/>
      <c r="N14" s="330"/>
      <c r="O14" s="330"/>
      <c r="P14" s="330"/>
      <c r="Q14" s="330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0"/>
      <c r="AT14" s="330"/>
      <c r="AU14" s="330"/>
      <c r="AV14" s="330"/>
      <c r="AW14" s="330"/>
      <c r="AX14" s="330"/>
      <c r="AY14" s="330"/>
    </row>
    <row r="15" spans="1:58">
      <c r="A15" s="330"/>
      <c r="B15" s="330"/>
      <c r="C15" s="330"/>
      <c r="D15" s="330"/>
      <c r="E15" s="330"/>
      <c r="F15" s="330"/>
      <c r="G15" s="330"/>
      <c r="H15" s="330"/>
      <c r="I15" s="330"/>
      <c r="J15" s="330"/>
      <c r="K15" s="330"/>
      <c r="L15" s="330"/>
      <c r="M15" s="330"/>
      <c r="N15" s="330"/>
      <c r="O15" s="330"/>
      <c r="P15" s="330"/>
      <c r="Q15" s="330"/>
      <c r="R15" s="330"/>
      <c r="S15" s="330"/>
      <c r="T15" s="330"/>
      <c r="U15" s="330"/>
      <c r="V15" s="330"/>
      <c r="W15" s="330"/>
      <c r="X15" s="330"/>
      <c r="Y15" s="330"/>
      <c r="Z15" s="330"/>
      <c r="AA15" s="330"/>
      <c r="AB15" s="330"/>
      <c r="AC15" s="330"/>
      <c r="AD15" s="330"/>
      <c r="AE15" s="330"/>
      <c r="AF15" s="330"/>
      <c r="AG15" s="330"/>
      <c r="AH15" s="330"/>
      <c r="AI15" s="330"/>
      <c r="AJ15" s="330"/>
      <c r="AK15" s="330"/>
      <c r="AL15" s="330"/>
      <c r="AM15" s="330"/>
      <c r="AN15" s="330"/>
      <c r="AO15" s="330"/>
      <c r="AP15" s="330"/>
      <c r="AQ15" s="330"/>
      <c r="AR15" s="330"/>
      <c r="AS15" s="330"/>
      <c r="AT15" s="330"/>
      <c r="AU15" s="330"/>
      <c r="AV15" s="330"/>
      <c r="AW15" s="330"/>
      <c r="AX15" s="330"/>
      <c r="AY15" s="330"/>
    </row>
    <row r="16" spans="1:58">
      <c r="A16" s="330"/>
      <c r="B16" s="330"/>
      <c r="C16" s="330"/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330"/>
      <c r="P16" s="330"/>
      <c r="Q16" s="330"/>
      <c r="R16" s="330"/>
      <c r="S16" s="330"/>
      <c r="T16" s="330"/>
      <c r="U16" s="330"/>
      <c r="V16" s="330"/>
      <c r="W16" s="330"/>
      <c r="X16" s="330"/>
      <c r="Y16" s="330"/>
      <c r="Z16" s="330"/>
      <c r="AA16" s="330"/>
      <c r="AB16" s="330"/>
      <c r="AC16" s="330"/>
      <c r="AD16" s="330"/>
      <c r="AE16" s="330"/>
      <c r="AF16" s="330"/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</row>
    <row r="17" spans="1:58">
      <c r="A17" s="330"/>
      <c r="B17" s="330"/>
      <c r="C17" s="330"/>
      <c r="D17" s="330"/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0"/>
      <c r="AC17" s="330"/>
      <c r="AD17" s="330"/>
      <c r="AE17" s="330"/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0"/>
      <c r="AS17" s="330"/>
      <c r="AT17" s="330"/>
      <c r="AU17" s="330"/>
      <c r="AV17" s="330"/>
      <c r="AW17" s="330"/>
      <c r="AX17" s="330"/>
      <c r="AY17" s="330"/>
      <c r="AZ17" s="330"/>
      <c r="BA17" s="330"/>
    </row>
    <row r="18" spans="1:58">
      <c r="A18" s="330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0"/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0"/>
      <c r="AS18" s="330"/>
      <c r="AT18" s="330"/>
      <c r="AU18" s="330"/>
      <c r="AV18" s="330"/>
      <c r="AW18" s="330"/>
      <c r="AX18" s="330"/>
      <c r="AY18" s="330"/>
      <c r="AZ18" s="330"/>
      <c r="BA18" s="330"/>
    </row>
    <row r="19" spans="1:58">
      <c r="A19" s="330"/>
      <c r="B19" s="330"/>
      <c r="C19" s="330"/>
      <c r="D19" s="330"/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0"/>
      <c r="AV19" s="330"/>
      <c r="AW19" s="330"/>
      <c r="AX19" s="330"/>
      <c r="AY19" s="330"/>
      <c r="AZ19" s="330"/>
      <c r="BA19" s="330"/>
    </row>
    <row r="20" spans="1:58">
      <c r="A20" s="330"/>
      <c r="B20" s="330"/>
      <c r="C20" s="330"/>
      <c r="D20" s="330"/>
      <c r="E20" s="330"/>
      <c r="F20" s="330"/>
      <c r="G20" s="330"/>
      <c r="H20" s="330"/>
      <c r="I20" s="330"/>
      <c r="J20" s="330"/>
      <c r="K20" s="330"/>
      <c r="L20" s="330"/>
      <c r="M20" s="330"/>
      <c r="N20" s="330"/>
      <c r="O20" s="330"/>
      <c r="P20" s="330"/>
      <c r="Q20" s="330"/>
      <c r="R20" s="330"/>
      <c r="S20" s="330"/>
      <c r="T20" s="330"/>
      <c r="U20" s="330"/>
      <c r="V20" s="330"/>
      <c r="W20" s="330"/>
      <c r="X20" s="330"/>
      <c r="Y20" s="330"/>
      <c r="Z20" s="330"/>
      <c r="AA20" s="330"/>
      <c r="AB20" s="330"/>
      <c r="AC20" s="330"/>
      <c r="AD20" s="330"/>
      <c r="AE20" s="330"/>
      <c r="AF20" s="330"/>
      <c r="AG20" s="330"/>
      <c r="AH20" s="330"/>
      <c r="AI20" s="330"/>
      <c r="AJ20" s="330"/>
      <c r="AK20" s="330"/>
      <c r="AL20" s="330"/>
      <c r="AM20" s="330"/>
      <c r="AN20" s="330"/>
      <c r="AO20" s="330"/>
      <c r="AP20" s="330"/>
      <c r="AQ20" s="330"/>
      <c r="AR20" s="330"/>
      <c r="AS20" s="330"/>
      <c r="AT20" s="330"/>
      <c r="AU20" s="330"/>
      <c r="AV20" s="330"/>
      <c r="AW20" s="330"/>
      <c r="AX20" s="330"/>
      <c r="AY20" s="330"/>
      <c r="AZ20" s="330"/>
      <c r="BA20" s="330"/>
    </row>
    <row r="21" spans="1:58">
      <c r="A21" s="330"/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0"/>
      <c r="BC21" s="330"/>
      <c r="BD21" s="330"/>
      <c r="BE21" s="330"/>
      <c r="BF21" s="330"/>
    </row>
    <row r="22" spans="1:58">
      <c r="A22" s="330"/>
      <c r="B22" s="330"/>
      <c r="C22" s="330"/>
      <c r="D22" s="330"/>
      <c r="E22" s="330"/>
      <c r="F22" s="330"/>
      <c r="G22" s="330"/>
      <c r="H22" s="330"/>
      <c r="I22" s="330"/>
      <c r="J22" s="330"/>
      <c r="K22" s="330"/>
      <c r="L22" s="330"/>
      <c r="M22" s="330"/>
      <c r="N22" s="330"/>
      <c r="O22" s="330"/>
      <c r="P22" s="330"/>
      <c r="Q22" s="330"/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</row>
    <row r="23" spans="1:58">
      <c r="A23" s="330"/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  <c r="S23" s="330"/>
      <c r="T23" s="330"/>
      <c r="U23" s="330"/>
      <c r="V23" s="330"/>
      <c r="W23" s="330"/>
      <c r="X23" s="330"/>
      <c r="Y23" s="330"/>
      <c r="Z23" s="330"/>
      <c r="AA23" s="330"/>
      <c r="AB23" s="330"/>
      <c r="AC23" s="330"/>
      <c r="AD23" s="330"/>
      <c r="AE23" s="330"/>
      <c r="AF23" s="330"/>
      <c r="AG23" s="330"/>
      <c r="AH23" s="330"/>
      <c r="AI23" s="330"/>
      <c r="AJ23" s="330"/>
      <c r="AK23" s="330"/>
      <c r="AL23" s="330"/>
      <c r="AM23" s="330"/>
      <c r="AN23" s="330"/>
      <c r="AO23" s="330"/>
      <c r="AP23" s="330"/>
      <c r="AQ23" s="330"/>
      <c r="AR23" s="330"/>
      <c r="AS23" s="330"/>
      <c r="AT23" s="330"/>
      <c r="AU23" s="330"/>
      <c r="AV23" s="330"/>
      <c r="AW23" s="330"/>
      <c r="AX23" s="330"/>
      <c r="AY23" s="330"/>
      <c r="AZ23" s="330"/>
      <c r="BA23" s="330"/>
      <c r="BB23" s="330"/>
      <c r="BC23" s="330"/>
      <c r="BD23" s="330"/>
      <c r="BE23" s="330"/>
      <c r="BF23" s="330"/>
    </row>
    <row r="24" spans="1:58">
      <c r="A24" s="330"/>
      <c r="B24" s="330"/>
      <c r="C24" s="330"/>
      <c r="D24" s="330"/>
      <c r="E24" s="330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  <c r="AA24" s="330"/>
      <c r="AB24" s="330"/>
      <c r="AC24" s="330"/>
      <c r="AD24" s="330"/>
      <c r="AE24" s="330"/>
      <c r="AF24" s="330"/>
      <c r="AG24" s="330"/>
      <c r="AH24" s="330"/>
      <c r="AI24" s="330"/>
      <c r="AJ24" s="330"/>
      <c r="AK24" s="330"/>
      <c r="AL24" s="330"/>
      <c r="AM24" s="330"/>
      <c r="AN24" s="330"/>
      <c r="AO24" s="330"/>
      <c r="AP24" s="330"/>
      <c r="AQ24" s="330"/>
      <c r="AR24" s="330"/>
      <c r="AS24" s="330"/>
      <c r="AT24" s="330"/>
      <c r="AU24" s="330"/>
      <c r="AV24" s="330"/>
      <c r="AW24" s="330"/>
      <c r="AX24" s="330"/>
      <c r="AY24" s="330"/>
      <c r="AZ24" s="330"/>
      <c r="BA24" s="330"/>
      <c r="BB24" s="330"/>
      <c r="BC24" s="330"/>
      <c r="BD24" s="330"/>
      <c r="BE24" s="330"/>
      <c r="BF24" s="330"/>
    </row>
    <row r="25" spans="1:58">
      <c r="A25" s="330"/>
      <c r="B25" s="330"/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330"/>
      <c r="W25" s="330"/>
      <c r="X25" s="330"/>
      <c r="Y25" s="330"/>
      <c r="Z25" s="330"/>
      <c r="AA25" s="330"/>
      <c r="AB25" s="330"/>
      <c r="AC25" s="330"/>
      <c r="AD25" s="330"/>
      <c r="AE25" s="330"/>
      <c r="AF25" s="330"/>
      <c r="AG25" s="330"/>
      <c r="AH25" s="330"/>
      <c r="AI25" s="330"/>
      <c r="AJ25" s="330"/>
      <c r="AK25" s="330"/>
      <c r="AL25" s="330"/>
      <c r="AM25" s="330"/>
      <c r="AN25" s="330"/>
      <c r="AO25" s="330"/>
      <c r="AP25" s="330"/>
      <c r="AQ25" s="330"/>
      <c r="AR25" s="330"/>
      <c r="AS25" s="330"/>
      <c r="AT25" s="330"/>
      <c r="AU25" s="330"/>
      <c r="AV25" s="330"/>
      <c r="AW25" s="330"/>
      <c r="AX25" s="330"/>
      <c r="AY25" s="330"/>
      <c r="AZ25" s="330"/>
      <c r="BA25" s="330"/>
      <c r="BB25" s="330"/>
      <c r="BC25" s="330"/>
      <c r="BD25" s="330"/>
      <c r="BE25" s="330"/>
      <c r="BF25" s="330"/>
    </row>
    <row r="26" spans="1:58">
      <c r="A26" s="330"/>
      <c r="B26" s="330"/>
      <c r="C26" s="330"/>
      <c r="D26" s="330"/>
      <c r="E26" s="330"/>
      <c r="F26" s="330"/>
      <c r="G26" s="330"/>
      <c r="H26" s="330"/>
      <c r="I26" s="330"/>
      <c r="J26" s="330"/>
      <c r="K26" s="330"/>
      <c r="L26" s="330"/>
      <c r="M26" s="330"/>
      <c r="N26" s="330"/>
      <c r="O26" s="330"/>
      <c r="P26" s="330"/>
      <c r="Q26" s="330"/>
      <c r="R26" s="330"/>
      <c r="S26" s="330"/>
      <c r="T26" s="330"/>
      <c r="U26" s="330"/>
      <c r="V26" s="330"/>
      <c r="W26" s="330"/>
      <c r="X26" s="330"/>
      <c r="Y26" s="330"/>
      <c r="Z26" s="330"/>
      <c r="AA26" s="330"/>
      <c r="AB26" s="330"/>
      <c r="AC26" s="330"/>
      <c r="AD26" s="330"/>
      <c r="AE26" s="330"/>
      <c r="AF26" s="330"/>
      <c r="AG26" s="330"/>
      <c r="AH26" s="330"/>
      <c r="AI26" s="330"/>
      <c r="AJ26" s="330"/>
      <c r="AK26" s="330"/>
      <c r="AL26" s="330"/>
      <c r="AM26" s="330"/>
      <c r="AN26" s="330"/>
      <c r="AO26" s="330"/>
      <c r="AP26" s="330"/>
      <c r="AQ26" s="330"/>
      <c r="AR26" s="330"/>
      <c r="AS26" s="330"/>
      <c r="AT26" s="330"/>
      <c r="AU26" s="330"/>
      <c r="AV26" s="330"/>
      <c r="AW26" s="330"/>
      <c r="AX26" s="330"/>
      <c r="AY26" s="330"/>
      <c r="AZ26" s="330"/>
      <c r="BA26" s="330"/>
      <c r="BB26" s="330"/>
      <c r="BC26" s="330"/>
      <c r="BD26" s="330"/>
      <c r="BE26" s="330"/>
      <c r="BF26" s="330"/>
    </row>
    <row r="27" spans="1:58">
      <c r="A27" s="330"/>
      <c r="B27" s="330"/>
      <c r="C27" s="330"/>
      <c r="D27" s="330"/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0"/>
      <c r="AV27" s="330"/>
      <c r="AW27" s="330"/>
      <c r="AX27" s="330"/>
      <c r="AY27" s="330"/>
      <c r="AZ27" s="330"/>
      <c r="BA27" s="330"/>
      <c r="BB27" s="330"/>
      <c r="BC27" s="330"/>
      <c r="BD27" s="330"/>
      <c r="BE27" s="330"/>
      <c r="BF27" s="330"/>
    </row>
    <row r="28" spans="1:58">
      <c r="A28" s="330"/>
      <c r="B28" s="330"/>
      <c r="C28" s="330"/>
      <c r="D28" s="330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30"/>
      <c r="Y28" s="330"/>
      <c r="Z28" s="330"/>
      <c r="AA28" s="330"/>
      <c r="AB28" s="330"/>
      <c r="AC28" s="330"/>
      <c r="AD28" s="330"/>
      <c r="AE28" s="330"/>
      <c r="AF28" s="330"/>
      <c r="AG28" s="330"/>
      <c r="AH28" s="330"/>
      <c r="AI28" s="330"/>
      <c r="AJ28" s="330"/>
      <c r="AK28" s="330"/>
      <c r="AL28" s="330"/>
      <c r="AM28" s="330"/>
      <c r="AN28" s="330"/>
      <c r="AO28" s="330"/>
      <c r="AP28" s="330"/>
      <c r="AQ28" s="330"/>
      <c r="AR28" s="330"/>
      <c r="AS28" s="330"/>
      <c r="AT28" s="330"/>
      <c r="AU28" s="330"/>
      <c r="AV28" s="330"/>
      <c r="AW28" s="330"/>
      <c r="AX28" s="330"/>
      <c r="AY28" s="330"/>
      <c r="AZ28" s="330"/>
      <c r="BA28" s="330"/>
      <c r="BB28" s="330"/>
      <c r="BC28" s="330"/>
      <c r="BD28" s="330"/>
      <c r="BE28" s="330"/>
      <c r="BF28" s="330"/>
    </row>
    <row r="29" spans="1:58">
      <c r="A29" s="330"/>
      <c r="B29" s="330"/>
      <c r="C29" s="330"/>
      <c r="D29" s="330"/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0"/>
      <c r="AV29" s="330"/>
      <c r="AW29" s="330"/>
      <c r="AX29" s="330"/>
      <c r="AY29" s="330"/>
      <c r="AZ29" s="330"/>
      <c r="BA29" s="330"/>
      <c r="BB29" s="330"/>
      <c r="BC29" s="330"/>
      <c r="BD29" s="330"/>
      <c r="BE29" s="330"/>
      <c r="BF29" s="330"/>
    </row>
    <row r="30" spans="1:58">
      <c r="A30" s="330"/>
      <c r="B30" s="330"/>
      <c r="C30" s="330"/>
      <c r="D30" s="330"/>
      <c r="E30" s="330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0"/>
      <c r="Q30" s="330"/>
      <c r="R30" s="330"/>
      <c r="S30" s="330"/>
      <c r="T30" s="330"/>
      <c r="U30" s="330"/>
      <c r="V30" s="330"/>
      <c r="W30" s="330"/>
      <c r="X30" s="330"/>
      <c r="Y30" s="330"/>
      <c r="Z30" s="330"/>
      <c r="AA30" s="330"/>
      <c r="AB30" s="330"/>
      <c r="AC30" s="330"/>
      <c r="AD30" s="330"/>
      <c r="AE30" s="330"/>
      <c r="AF30" s="330"/>
      <c r="AG30" s="330"/>
      <c r="AH30" s="330"/>
      <c r="AI30" s="330"/>
      <c r="AJ30" s="330"/>
      <c r="AK30" s="330"/>
      <c r="AL30" s="330"/>
      <c r="AM30" s="330"/>
      <c r="AN30" s="330"/>
      <c r="AO30" s="330"/>
      <c r="AP30" s="330"/>
      <c r="AQ30" s="330"/>
      <c r="AR30" s="330"/>
      <c r="AS30" s="330"/>
      <c r="AT30" s="330"/>
      <c r="AU30" s="330"/>
      <c r="AV30" s="330"/>
      <c r="AW30" s="330"/>
      <c r="AX30" s="330"/>
      <c r="AY30" s="330"/>
      <c r="AZ30" s="330"/>
      <c r="BA30" s="330"/>
      <c r="BB30" s="330"/>
      <c r="BC30" s="330"/>
      <c r="BD30" s="330"/>
      <c r="BE30" s="330"/>
      <c r="BF30" s="330"/>
    </row>
    <row r="31" spans="1:58">
      <c r="A31" s="330"/>
      <c r="B31" s="330"/>
      <c r="C31" s="330"/>
      <c r="D31" s="330"/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30"/>
      <c r="Y31" s="330"/>
      <c r="Z31" s="330"/>
      <c r="AA31" s="330"/>
      <c r="AB31" s="330"/>
      <c r="AC31" s="330"/>
      <c r="AD31" s="330"/>
      <c r="AE31" s="330"/>
      <c r="AF31" s="330"/>
      <c r="AG31" s="330"/>
      <c r="AH31" s="330"/>
      <c r="AI31" s="330"/>
      <c r="AJ31" s="330"/>
      <c r="AK31" s="330"/>
      <c r="AL31" s="330"/>
      <c r="AM31" s="330"/>
      <c r="AN31" s="330"/>
      <c r="AO31" s="330"/>
      <c r="AP31" s="330"/>
      <c r="AQ31" s="330"/>
      <c r="AR31" s="330"/>
      <c r="AS31" s="330"/>
      <c r="AT31" s="330"/>
      <c r="AU31" s="330"/>
      <c r="AV31" s="330"/>
      <c r="AW31" s="330"/>
      <c r="AX31" s="330"/>
      <c r="AY31" s="330"/>
      <c r="AZ31" s="330"/>
      <c r="BA31" s="330"/>
      <c r="BB31" s="330"/>
      <c r="BC31" s="330"/>
      <c r="BD31" s="330"/>
      <c r="BE31" s="330"/>
      <c r="BF31" s="330"/>
    </row>
    <row r="32" spans="1:58">
      <c r="A32" s="330"/>
      <c r="B32" s="330"/>
      <c r="C32" s="330"/>
      <c r="D32" s="330"/>
      <c r="E32" s="330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330"/>
      <c r="Q32" s="330"/>
      <c r="R32" s="330"/>
      <c r="S32" s="330"/>
      <c r="T32" s="330"/>
      <c r="U32" s="330"/>
      <c r="V32" s="330"/>
      <c r="W32" s="330"/>
      <c r="X32" s="330"/>
      <c r="Y32" s="330"/>
      <c r="Z32" s="330"/>
      <c r="AA32" s="330"/>
      <c r="AB32" s="330"/>
      <c r="AC32" s="330"/>
      <c r="AD32" s="330"/>
      <c r="AE32" s="330"/>
      <c r="AF32" s="330"/>
      <c r="AG32" s="330"/>
      <c r="AH32" s="330"/>
      <c r="AI32" s="330"/>
      <c r="AJ32" s="330"/>
      <c r="AK32" s="330"/>
      <c r="AL32" s="330"/>
      <c r="AM32" s="330"/>
      <c r="AN32" s="330"/>
      <c r="AO32" s="330"/>
      <c r="AP32" s="330"/>
      <c r="AQ32" s="330"/>
      <c r="AR32" s="330"/>
      <c r="AS32" s="330"/>
      <c r="AT32" s="330"/>
      <c r="AU32" s="330"/>
      <c r="AV32" s="330"/>
      <c r="AW32" s="330"/>
      <c r="AX32" s="330"/>
      <c r="AY32" s="330"/>
      <c r="AZ32" s="330"/>
      <c r="BA32" s="330"/>
      <c r="BB32" s="330"/>
      <c r="BC32" s="330"/>
      <c r="BD32" s="330"/>
      <c r="BE32" s="330"/>
      <c r="BF32" s="330"/>
    </row>
    <row r="33" spans="1:58">
      <c r="A33" s="330"/>
      <c r="B33" s="330"/>
      <c r="C33" s="330"/>
      <c r="D33" s="330"/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0"/>
      <c r="AV33" s="330"/>
      <c r="AW33" s="330"/>
      <c r="AX33" s="330"/>
      <c r="AY33" s="330"/>
      <c r="AZ33" s="330"/>
      <c r="BA33" s="330"/>
      <c r="BB33" s="330"/>
      <c r="BC33" s="330"/>
      <c r="BD33" s="330"/>
      <c r="BE33" s="330"/>
      <c r="BF33" s="330"/>
    </row>
    <row r="34" spans="1:58">
      <c r="A34" s="330"/>
      <c r="B34" s="330"/>
      <c r="C34" s="330"/>
      <c r="D34" s="330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0"/>
      <c r="Y34" s="330"/>
      <c r="Z34" s="330"/>
      <c r="AA34" s="330"/>
      <c r="AB34" s="330"/>
      <c r="AC34" s="330"/>
      <c r="AD34" s="330"/>
      <c r="AE34" s="330"/>
      <c r="AF34" s="330"/>
      <c r="AG34" s="330"/>
      <c r="AH34" s="330"/>
      <c r="AI34" s="330"/>
      <c r="AJ34" s="330"/>
      <c r="AK34" s="330"/>
      <c r="AL34" s="330"/>
      <c r="AM34" s="330"/>
      <c r="AN34" s="330"/>
      <c r="AO34" s="330"/>
      <c r="AP34" s="330"/>
      <c r="AQ34" s="330"/>
      <c r="AR34" s="330"/>
      <c r="AS34" s="330"/>
      <c r="AT34" s="330"/>
      <c r="AU34" s="330"/>
      <c r="AV34" s="330"/>
      <c r="AW34" s="330"/>
      <c r="AX34" s="330"/>
      <c r="AY34" s="330"/>
      <c r="AZ34" s="330"/>
      <c r="BA34" s="330"/>
      <c r="BB34" s="330"/>
      <c r="BC34" s="330"/>
      <c r="BD34" s="330"/>
      <c r="BE34" s="330"/>
      <c r="BF34" s="330"/>
    </row>
    <row r="35" spans="1:58">
      <c r="A35" s="330"/>
      <c r="B35" s="330"/>
      <c r="C35" s="330"/>
      <c r="D35" s="330"/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0"/>
      <c r="AV35" s="330"/>
      <c r="AW35" s="330"/>
      <c r="AX35" s="330"/>
      <c r="AY35" s="330"/>
      <c r="AZ35" s="330"/>
      <c r="BA35" s="330"/>
      <c r="BB35" s="330"/>
      <c r="BC35" s="330"/>
      <c r="BD35" s="330"/>
      <c r="BE35" s="330"/>
      <c r="BF35" s="330"/>
    </row>
    <row r="36" spans="1:58">
      <c r="A36" s="330"/>
      <c r="B36" s="330"/>
      <c r="C36" s="330"/>
      <c r="D36" s="330"/>
      <c r="E36" s="330"/>
      <c r="F36" s="330"/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Q36" s="330"/>
      <c r="R36" s="330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30"/>
      <c r="AE36" s="330"/>
      <c r="AF36" s="330"/>
      <c r="AG36" s="330"/>
      <c r="AH36" s="330"/>
      <c r="AI36" s="330"/>
      <c r="AJ36" s="330"/>
      <c r="AK36" s="330"/>
      <c r="AL36" s="330"/>
      <c r="AM36" s="330"/>
      <c r="AN36" s="330"/>
      <c r="AO36" s="330"/>
      <c r="AP36" s="330"/>
      <c r="AQ36" s="330"/>
      <c r="AR36" s="330"/>
      <c r="AS36" s="330"/>
      <c r="AT36" s="330"/>
      <c r="AU36" s="330"/>
      <c r="AV36" s="330"/>
      <c r="AW36" s="330"/>
      <c r="AX36" s="330"/>
      <c r="AY36" s="330"/>
      <c r="AZ36" s="330"/>
      <c r="BA36" s="330"/>
      <c r="BB36" s="330"/>
      <c r="BC36" s="330"/>
      <c r="BD36" s="330"/>
      <c r="BE36" s="330"/>
      <c r="BF36" s="330"/>
    </row>
    <row r="37" spans="1:58">
      <c r="A37" s="330"/>
      <c r="B37" s="330"/>
      <c r="C37" s="330"/>
      <c r="D37" s="330"/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0"/>
      <c r="AC37" s="330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  <c r="AT37" s="330"/>
      <c r="AU37" s="330"/>
      <c r="AV37" s="330"/>
      <c r="AW37" s="330"/>
      <c r="AX37" s="330"/>
      <c r="AY37" s="330"/>
      <c r="AZ37" s="330"/>
      <c r="BA37" s="330"/>
      <c r="BB37" s="330"/>
      <c r="BC37" s="330"/>
      <c r="BD37" s="330"/>
      <c r="BE37" s="330"/>
      <c r="BF37" s="330"/>
    </row>
    <row r="38" spans="1:58">
      <c r="A38" s="330"/>
      <c r="B38" s="330"/>
      <c r="C38" s="330"/>
      <c r="D38" s="330"/>
      <c r="E38" s="330"/>
      <c r="F38" s="330"/>
      <c r="G38" s="330"/>
      <c r="H38" s="330"/>
      <c r="I38" s="330"/>
      <c r="J38" s="330"/>
      <c r="K38" s="330"/>
      <c r="L38" s="330"/>
      <c r="M38" s="330"/>
      <c r="N38" s="330"/>
      <c r="O38" s="330"/>
      <c r="P38" s="330"/>
      <c r="Q38" s="330"/>
      <c r="R38" s="330"/>
      <c r="S38" s="330"/>
      <c r="T38" s="330"/>
      <c r="U38" s="330"/>
      <c r="V38" s="330"/>
      <c r="W38" s="330"/>
      <c r="X38" s="330"/>
      <c r="Y38" s="330"/>
      <c r="Z38" s="330"/>
      <c r="AA38" s="330"/>
      <c r="AB38" s="330"/>
      <c r="AC38" s="330"/>
      <c r="AD38" s="330"/>
      <c r="AE38" s="330"/>
      <c r="AF38" s="330"/>
      <c r="AG38" s="330"/>
      <c r="AH38" s="330"/>
      <c r="AI38" s="330"/>
      <c r="AJ38" s="330"/>
      <c r="AK38" s="330"/>
      <c r="AL38" s="330"/>
      <c r="AM38" s="330"/>
      <c r="AN38" s="330"/>
      <c r="AO38" s="330"/>
      <c r="AP38" s="330"/>
      <c r="AQ38" s="330"/>
      <c r="AR38" s="330"/>
      <c r="AS38" s="330"/>
      <c r="AT38" s="330"/>
      <c r="AU38" s="330"/>
      <c r="AV38" s="330"/>
      <c r="AW38" s="330"/>
      <c r="AX38" s="330"/>
      <c r="AY38" s="330"/>
      <c r="AZ38" s="330"/>
      <c r="BA38" s="330"/>
      <c r="BB38" s="330"/>
      <c r="BC38" s="330"/>
      <c r="BD38" s="330"/>
      <c r="BE38" s="330"/>
      <c r="BF38" s="330"/>
    </row>
    <row r="39" spans="1:58">
      <c r="A39" s="330"/>
      <c r="B39" s="330"/>
      <c r="C39" s="330"/>
      <c r="D39" s="330"/>
      <c r="E39" s="330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0"/>
      <c r="R39" s="330"/>
      <c r="S39" s="330"/>
      <c r="T39" s="330"/>
      <c r="U39" s="330"/>
      <c r="V39" s="330"/>
      <c r="W39" s="330"/>
      <c r="X39" s="330"/>
      <c r="Y39" s="330"/>
      <c r="Z39" s="330"/>
      <c r="AA39" s="330"/>
      <c r="AB39" s="330"/>
      <c r="AC39" s="330"/>
      <c r="AD39" s="330"/>
      <c r="AE39" s="330"/>
      <c r="AF39" s="330"/>
      <c r="AG39" s="330"/>
      <c r="AH39" s="330"/>
      <c r="AI39" s="330"/>
      <c r="AJ39" s="330"/>
      <c r="AK39" s="330"/>
      <c r="AL39" s="330"/>
      <c r="AM39" s="330"/>
      <c r="AN39" s="330"/>
      <c r="AO39" s="330"/>
      <c r="AP39" s="330"/>
      <c r="AQ39" s="330"/>
      <c r="AR39" s="330"/>
      <c r="AS39" s="330"/>
      <c r="AT39" s="330"/>
      <c r="AU39" s="330"/>
      <c r="AV39" s="330"/>
      <c r="AW39" s="330"/>
      <c r="AX39" s="330"/>
      <c r="AY39" s="330"/>
      <c r="AZ39" s="330"/>
      <c r="BA39" s="330"/>
      <c r="BB39" s="330"/>
      <c r="BC39" s="330"/>
      <c r="BD39" s="330"/>
      <c r="BE39" s="330"/>
      <c r="BF39" s="330"/>
    </row>
    <row r="40" spans="1:58">
      <c r="A40" s="330"/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0"/>
      <c r="P40" s="330"/>
      <c r="Q40" s="330"/>
      <c r="R40" s="330"/>
      <c r="S40" s="330"/>
      <c r="T40" s="330"/>
      <c r="U40" s="330"/>
      <c r="V40" s="330"/>
      <c r="W40" s="330"/>
      <c r="X40" s="330"/>
      <c r="Y40" s="330"/>
      <c r="Z40" s="330"/>
      <c r="AA40" s="330"/>
      <c r="AB40" s="330"/>
      <c r="AC40" s="330"/>
      <c r="AD40" s="330"/>
      <c r="AE40" s="330"/>
      <c r="AF40" s="330"/>
      <c r="AG40" s="330"/>
      <c r="AH40" s="330"/>
      <c r="AI40" s="330"/>
      <c r="AJ40" s="330"/>
      <c r="AK40" s="330"/>
      <c r="AL40" s="330"/>
      <c r="AM40" s="330"/>
      <c r="AN40" s="330"/>
      <c r="AO40" s="330"/>
      <c r="AP40" s="330"/>
      <c r="AQ40" s="330"/>
      <c r="AR40" s="330"/>
      <c r="AS40" s="330"/>
      <c r="AT40" s="330"/>
      <c r="AU40" s="330"/>
      <c r="AV40" s="330"/>
      <c r="AW40" s="330"/>
      <c r="AX40" s="330"/>
      <c r="AY40" s="330"/>
      <c r="AZ40" s="330"/>
      <c r="BA40" s="330"/>
      <c r="BB40" s="330"/>
      <c r="BC40" s="330"/>
      <c r="BD40" s="330"/>
      <c r="BE40" s="330"/>
      <c r="BF40" s="330"/>
    </row>
    <row r="41" spans="1:58">
      <c r="A41" s="330"/>
      <c r="B41" s="330"/>
      <c r="C41" s="330"/>
      <c r="D41" s="330"/>
      <c r="E41" s="330"/>
      <c r="F41" s="330"/>
      <c r="G41" s="330"/>
      <c r="H41" s="330"/>
      <c r="I41" s="330"/>
      <c r="J41" s="330"/>
      <c r="K41" s="330"/>
      <c r="L41" s="330"/>
      <c r="M41" s="330"/>
      <c r="N41" s="330"/>
      <c r="O41" s="330"/>
      <c r="P41" s="330"/>
      <c r="Q41" s="330"/>
      <c r="R41" s="330"/>
      <c r="S41" s="330"/>
      <c r="T41" s="330"/>
      <c r="U41" s="330"/>
      <c r="V41" s="330"/>
      <c r="W41" s="330"/>
      <c r="X41" s="330"/>
      <c r="Y41" s="330"/>
      <c r="Z41" s="330"/>
      <c r="AA41" s="330"/>
      <c r="AB41" s="330"/>
      <c r="AC41" s="330"/>
      <c r="AD41" s="330"/>
      <c r="AE41" s="330"/>
      <c r="AF41" s="330"/>
      <c r="AG41" s="330"/>
      <c r="AH41" s="330"/>
      <c r="AI41" s="330"/>
      <c r="AJ41" s="330"/>
      <c r="AK41" s="330"/>
      <c r="AL41" s="330"/>
      <c r="AM41" s="330"/>
      <c r="AN41" s="330"/>
      <c r="AO41" s="330"/>
      <c r="AP41" s="330"/>
      <c r="AQ41" s="330"/>
      <c r="AR41" s="330"/>
      <c r="AS41" s="330"/>
      <c r="AT41" s="330"/>
      <c r="AU41" s="330"/>
      <c r="AV41" s="330"/>
      <c r="AW41" s="330"/>
      <c r="AX41" s="330"/>
      <c r="AY41" s="330"/>
      <c r="AZ41" s="330"/>
      <c r="BA41" s="330"/>
      <c r="BB41" s="330"/>
      <c r="BC41" s="330"/>
      <c r="BD41" s="330"/>
      <c r="BE41" s="330"/>
      <c r="BF41" s="330"/>
    </row>
    <row r="42" spans="1:58">
      <c r="A42" s="330"/>
      <c r="B42" s="330"/>
      <c r="C42" s="330"/>
      <c r="D42" s="330"/>
      <c r="E42" s="330"/>
      <c r="F42" s="330"/>
      <c r="G42" s="330"/>
      <c r="H42" s="330"/>
      <c r="I42" s="330"/>
      <c r="J42" s="330"/>
      <c r="K42" s="330"/>
      <c r="L42" s="330"/>
      <c r="M42" s="330"/>
      <c r="N42" s="330"/>
      <c r="O42" s="330"/>
      <c r="P42" s="330"/>
      <c r="Q42" s="330"/>
      <c r="R42" s="330"/>
      <c r="S42" s="330"/>
      <c r="T42" s="330"/>
      <c r="U42" s="330"/>
      <c r="V42" s="330"/>
      <c r="W42" s="330"/>
      <c r="X42" s="330"/>
      <c r="Y42" s="330"/>
      <c r="Z42" s="330"/>
      <c r="AA42" s="330"/>
      <c r="AB42" s="330"/>
      <c r="AC42" s="330"/>
      <c r="AD42" s="330"/>
      <c r="AE42" s="330"/>
      <c r="AF42" s="330"/>
      <c r="AG42" s="330"/>
      <c r="AH42" s="330"/>
      <c r="AI42" s="330"/>
      <c r="AJ42" s="330"/>
      <c r="AK42" s="330"/>
      <c r="AL42" s="330"/>
      <c r="AM42" s="330"/>
      <c r="AN42" s="330"/>
      <c r="AO42" s="330"/>
      <c r="AP42" s="330"/>
      <c r="AQ42" s="330"/>
      <c r="AR42" s="330"/>
      <c r="AS42" s="330"/>
      <c r="AT42" s="330"/>
      <c r="AU42" s="330"/>
      <c r="AV42" s="330"/>
      <c r="AW42" s="330"/>
      <c r="AX42" s="330"/>
      <c r="AY42" s="330"/>
      <c r="AZ42" s="330"/>
      <c r="BA42" s="330"/>
      <c r="BB42" s="330"/>
      <c r="BC42" s="330"/>
      <c r="BD42" s="330"/>
      <c r="BE42" s="330"/>
      <c r="BF42" s="330"/>
    </row>
    <row r="43" spans="1:58">
      <c r="A43" s="330"/>
      <c r="B43" s="330"/>
      <c r="C43" s="330"/>
      <c r="D43" s="330"/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0"/>
      <c r="AV43" s="330"/>
      <c r="AW43" s="330"/>
      <c r="AX43" s="330"/>
      <c r="AY43" s="330"/>
      <c r="AZ43" s="330"/>
      <c r="BA43" s="330"/>
      <c r="BB43" s="330"/>
      <c r="BC43" s="330"/>
      <c r="BD43" s="330"/>
      <c r="BE43" s="330"/>
      <c r="BF43" s="330"/>
    </row>
    <row r="44" spans="1:58">
      <c r="A44" s="330"/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0"/>
      <c r="Q44" s="330"/>
      <c r="R44" s="330"/>
      <c r="S44" s="330"/>
      <c r="T44" s="330"/>
      <c r="U44" s="330"/>
      <c r="V44" s="330"/>
      <c r="W44" s="330"/>
      <c r="X44" s="330"/>
      <c r="Y44" s="330"/>
      <c r="Z44" s="330"/>
      <c r="AA44" s="330"/>
      <c r="AB44" s="330"/>
      <c r="AC44" s="330"/>
      <c r="AD44" s="330"/>
      <c r="AE44" s="330"/>
      <c r="AF44" s="330"/>
      <c r="AG44" s="330"/>
      <c r="AH44" s="330"/>
      <c r="AI44" s="330"/>
      <c r="AJ44" s="330"/>
      <c r="AK44" s="330"/>
      <c r="AL44" s="330"/>
      <c r="AM44" s="330"/>
      <c r="AN44" s="330"/>
      <c r="AO44" s="330"/>
      <c r="AP44" s="330"/>
      <c r="AQ44" s="330"/>
      <c r="AR44" s="330"/>
      <c r="AS44" s="330"/>
      <c r="AT44" s="330"/>
      <c r="AU44" s="330"/>
      <c r="AV44" s="330"/>
      <c r="AW44" s="330"/>
      <c r="AX44" s="330"/>
      <c r="AY44" s="330"/>
      <c r="AZ44" s="330"/>
      <c r="BA44" s="330"/>
      <c r="BB44" s="330"/>
      <c r="BC44" s="330"/>
      <c r="BD44" s="330"/>
      <c r="BE44" s="330"/>
      <c r="BF44" s="330"/>
    </row>
    <row r="45" spans="1:58">
      <c r="A45" s="330"/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0"/>
      <c r="AV45" s="330"/>
      <c r="AW45" s="330"/>
      <c r="AX45" s="330"/>
      <c r="AY45" s="330"/>
      <c r="AZ45" s="330"/>
      <c r="BA45" s="330"/>
      <c r="BB45" s="330"/>
      <c r="BC45" s="330"/>
      <c r="BD45" s="330"/>
      <c r="BE45" s="330"/>
      <c r="BF45" s="330"/>
    </row>
    <row r="46" spans="1:58">
      <c r="A46" s="330"/>
      <c r="B46" s="330"/>
      <c r="C46" s="330"/>
      <c r="D46" s="330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30"/>
      <c r="X46" s="330"/>
      <c r="Y46" s="330"/>
      <c r="Z46" s="330"/>
      <c r="AA46" s="330"/>
      <c r="AB46" s="330"/>
      <c r="AC46" s="330"/>
      <c r="AD46" s="330"/>
      <c r="AE46" s="330"/>
      <c r="AF46" s="330"/>
      <c r="AG46" s="330"/>
      <c r="AH46" s="330"/>
      <c r="AI46" s="330"/>
      <c r="AJ46" s="330"/>
      <c r="AK46" s="330"/>
      <c r="AL46" s="330"/>
      <c r="AM46" s="330"/>
      <c r="AN46" s="330"/>
      <c r="AO46" s="330"/>
      <c r="AP46" s="330"/>
      <c r="AQ46" s="330"/>
      <c r="AR46" s="330"/>
      <c r="AS46" s="330"/>
      <c r="AT46" s="330"/>
      <c r="AU46" s="330"/>
      <c r="AV46" s="330"/>
      <c r="AW46" s="330"/>
      <c r="AX46" s="330"/>
      <c r="AY46" s="330"/>
      <c r="AZ46" s="330"/>
      <c r="BA46" s="330"/>
      <c r="BB46" s="330"/>
      <c r="BC46" s="330"/>
      <c r="BD46" s="330"/>
      <c r="BE46" s="330"/>
      <c r="BF46" s="330"/>
    </row>
    <row r="47" spans="1:58">
      <c r="A47" s="330"/>
      <c r="B47" s="330"/>
      <c r="C47" s="330"/>
      <c r="D47" s="330"/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0"/>
      <c r="AV47" s="330"/>
      <c r="AW47" s="330"/>
      <c r="AX47" s="330"/>
      <c r="AY47" s="330"/>
      <c r="AZ47" s="330"/>
      <c r="BA47" s="330"/>
      <c r="BB47" s="330"/>
      <c r="BC47" s="330"/>
      <c r="BD47" s="330"/>
      <c r="BE47" s="330"/>
      <c r="BF47" s="330"/>
    </row>
    <row r="48" spans="1:58">
      <c r="A48" s="330"/>
      <c r="B48" s="330"/>
      <c r="C48" s="330"/>
      <c r="D48" s="330"/>
      <c r="E48" s="330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U48" s="330"/>
      <c r="V48" s="330"/>
      <c r="W48" s="330"/>
      <c r="X48" s="330"/>
      <c r="Y48" s="330"/>
      <c r="Z48" s="330"/>
      <c r="AA48" s="330"/>
      <c r="AB48" s="330"/>
      <c r="AC48" s="330"/>
      <c r="AD48" s="330"/>
      <c r="AE48" s="330"/>
      <c r="AF48" s="330"/>
      <c r="AG48" s="330"/>
      <c r="AH48" s="330"/>
      <c r="AI48" s="330"/>
      <c r="AJ48" s="330"/>
      <c r="AK48" s="330"/>
      <c r="AL48" s="330"/>
      <c r="AM48" s="330"/>
      <c r="AN48" s="330"/>
      <c r="AO48" s="330"/>
      <c r="AP48" s="330"/>
      <c r="AQ48" s="330"/>
      <c r="AR48" s="330"/>
      <c r="AS48" s="330"/>
      <c r="AT48" s="330"/>
      <c r="AU48" s="330"/>
      <c r="AV48" s="330"/>
      <c r="AW48" s="330"/>
      <c r="AX48" s="330"/>
      <c r="AY48" s="330"/>
      <c r="AZ48" s="330"/>
      <c r="BA48" s="330"/>
      <c r="BB48" s="330"/>
      <c r="BC48" s="330"/>
      <c r="BD48" s="330"/>
      <c r="BE48" s="330"/>
      <c r="BF48" s="330"/>
    </row>
    <row r="49" spans="1:58">
      <c r="A49" s="330"/>
      <c r="B49" s="330"/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30"/>
      <c r="Y49" s="330"/>
      <c r="Z49" s="330"/>
      <c r="AA49" s="330"/>
      <c r="AB49" s="330"/>
      <c r="AC49" s="330"/>
      <c r="AD49" s="330"/>
      <c r="AE49" s="330"/>
      <c r="AF49" s="330"/>
      <c r="AG49" s="330"/>
      <c r="AH49" s="330"/>
      <c r="AI49" s="330"/>
      <c r="AJ49" s="330"/>
      <c r="AK49" s="330"/>
      <c r="AL49" s="330"/>
      <c r="AM49" s="330"/>
      <c r="AN49" s="330"/>
      <c r="AO49" s="330"/>
      <c r="AP49" s="330"/>
      <c r="AQ49" s="330"/>
      <c r="AR49" s="330"/>
      <c r="AS49" s="330"/>
      <c r="AT49" s="330"/>
      <c r="AU49" s="330"/>
      <c r="AV49" s="330"/>
      <c r="AW49" s="330"/>
      <c r="AX49" s="330"/>
      <c r="AY49" s="330"/>
      <c r="AZ49" s="330"/>
      <c r="BA49" s="330"/>
      <c r="BB49" s="330"/>
      <c r="BC49" s="330"/>
      <c r="BD49" s="330"/>
      <c r="BE49" s="330"/>
      <c r="BF49" s="330"/>
    </row>
    <row r="50" spans="1:58">
      <c r="A50" s="330"/>
      <c r="B50" s="330"/>
      <c r="C50" s="330"/>
      <c r="D50" s="330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0"/>
      <c r="AC50" s="330"/>
      <c r="AD50" s="330"/>
      <c r="AE50" s="330"/>
      <c r="AF50" s="330"/>
      <c r="AG50" s="330"/>
      <c r="AH50" s="330"/>
      <c r="AI50" s="330"/>
      <c r="AJ50" s="330"/>
      <c r="AK50" s="330"/>
      <c r="AL50" s="330"/>
      <c r="AM50" s="330"/>
      <c r="AN50" s="330"/>
      <c r="AO50" s="330"/>
      <c r="AP50" s="330"/>
      <c r="AQ50" s="330"/>
      <c r="AR50" s="330"/>
      <c r="AS50" s="330"/>
      <c r="AT50" s="330"/>
      <c r="AU50" s="330"/>
      <c r="AV50" s="330"/>
      <c r="AW50" s="330"/>
      <c r="AX50" s="330"/>
      <c r="AY50" s="330"/>
      <c r="AZ50" s="330"/>
      <c r="BA50" s="330"/>
      <c r="BB50" s="330"/>
      <c r="BC50" s="330"/>
      <c r="BD50" s="330"/>
      <c r="BE50" s="330"/>
      <c r="BF50" s="330"/>
    </row>
    <row r="51" spans="1:58">
      <c r="A51" s="330"/>
      <c r="B51" s="330"/>
      <c r="C51" s="330"/>
      <c r="D51" s="330"/>
      <c r="E51" s="330"/>
      <c r="F51" s="330"/>
      <c r="G51" s="330"/>
      <c r="H51" s="330"/>
      <c r="I51" s="330"/>
      <c r="J51" s="330"/>
      <c r="K51" s="330"/>
      <c r="L51" s="330"/>
      <c r="M51" s="330"/>
      <c r="N51" s="330"/>
      <c r="O51" s="330"/>
      <c r="P51" s="330"/>
      <c r="Q51" s="330"/>
      <c r="R51" s="330"/>
      <c r="S51" s="330"/>
      <c r="T51" s="330"/>
      <c r="U51" s="330"/>
      <c r="V51" s="330"/>
      <c r="W51" s="330"/>
      <c r="X51" s="330"/>
      <c r="Y51" s="330"/>
      <c r="Z51" s="330"/>
      <c r="AA51" s="330"/>
      <c r="AB51" s="330"/>
      <c r="AC51" s="330"/>
      <c r="AD51" s="330"/>
      <c r="AE51" s="330"/>
      <c r="AF51" s="330"/>
      <c r="AG51" s="330"/>
      <c r="AH51" s="330"/>
      <c r="AI51" s="330"/>
      <c r="AJ51" s="330"/>
      <c r="AK51" s="330"/>
      <c r="AL51" s="330"/>
      <c r="AM51" s="330"/>
      <c r="AN51" s="330"/>
      <c r="AO51" s="330"/>
      <c r="AP51" s="330"/>
      <c r="AQ51" s="330"/>
      <c r="AR51" s="330"/>
      <c r="AS51" s="330"/>
      <c r="AT51" s="330"/>
      <c r="AU51" s="330"/>
      <c r="AV51" s="330"/>
      <c r="AW51" s="330"/>
      <c r="AX51" s="330"/>
      <c r="AY51" s="330"/>
      <c r="AZ51" s="330"/>
      <c r="BA51" s="330"/>
      <c r="BB51" s="330"/>
      <c r="BC51" s="330"/>
      <c r="BD51" s="330"/>
      <c r="BE51" s="330"/>
      <c r="BF51" s="330"/>
    </row>
    <row r="52" spans="1:58">
      <c r="A52" s="330"/>
      <c r="B52" s="330"/>
      <c r="C52" s="330"/>
      <c r="D52" s="330"/>
      <c r="E52" s="330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0"/>
      <c r="Q52" s="330"/>
      <c r="R52" s="330"/>
      <c r="S52" s="330"/>
      <c r="T52" s="330"/>
      <c r="U52" s="330"/>
      <c r="V52" s="330"/>
      <c r="W52" s="330"/>
      <c r="X52" s="330"/>
      <c r="Y52" s="330"/>
      <c r="Z52" s="330"/>
      <c r="AA52" s="330"/>
      <c r="AB52" s="330"/>
      <c r="AC52" s="330"/>
      <c r="AD52" s="330"/>
      <c r="AE52" s="330"/>
      <c r="AF52" s="330"/>
      <c r="AG52" s="330"/>
      <c r="AH52" s="330"/>
      <c r="AI52" s="330"/>
      <c r="AJ52" s="330"/>
      <c r="AK52" s="330"/>
      <c r="AL52" s="330"/>
      <c r="AM52" s="330"/>
      <c r="AN52" s="330"/>
      <c r="AO52" s="330"/>
      <c r="AP52" s="330"/>
      <c r="AQ52" s="330"/>
      <c r="AR52" s="330"/>
      <c r="AS52" s="330"/>
      <c r="AT52" s="330"/>
      <c r="AU52" s="330"/>
      <c r="AV52" s="330"/>
      <c r="AW52" s="330"/>
      <c r="AX52" s="330"/>
      <c r="AY52" s="330"/>
      <c r="AZ52" s="330"/>
      <c r="BA52" s="330"/>
      <c r="BB52" s="330"/>
      <c r="BC52" s="330"/>
      <c r="BD52" s="330"/>
      <c r="BE52" s="330"/>
      <c r="BF52" s="330"/>
    </row>
    <row r="53" spans="1:58">
      <c r="A53" s="330"/>
      <c r="B53" s="330"/>
      <c r="C53" s="330"/>
      <c r="D53" s="330"/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0"/>
      <c r="AV53" s="330"/>
      <c r="AW53" s="330"/>
      <c r="AX53" s="330"/>
      <c r="AY53" s="330"/>
      <c r="AZ53" s="330"/>
      <c r="BA53" s="330"/>
      <c r="BB53" s="330"/>
      <c r="BC53" s="330"/>
      <c r="BD53" s="330"/>
      <c r="BE53" s="330"/>
      <c r="BF53" s="330"/>
    </row>
    <row r="54" spans="1:58">
      <c r="A54" s="330"/>
      <c r="B54" s="330"/>
      <c r="C54" s="330"/>
      <c r="D54" s="330"/>
      <c r="E54" s="330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30"/>
      <c r="V54" s="330"/>
      <c r="W54" s="330"/>
      <c r="X54" s="330"/>
      <c r="Y54" s="330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  <c r="AN54" s="330"/>
      <c r="AO54" s="330"/>
      <c r="AP54" s="330"/>
      <c r="AQ54" s="330"/>
      <c r="AR54" s="330"/>
      <c r="AS54" s="330"/>
      <c r="AT54" s="330"/>
      <c r="AU54" s="330"/>
      <c r="AV54" s="330"/>
      <c r="AW54" s="330"/>
      <c r="AX54" s="330"/>
      <c r="AY54" s="330"/>
      <c r="AZ54" s="330"/>
      <c r="BA54" s="330"/>
      <c r="BB54" s="330"/>
      <c r="BC54" s="330"/>
      <c r="BD54" s="330"/>
      <c r="BE54" s="330"/>
      <c r="BF54" s="330"/>
    </row>
    <row r="55" spans="1:58">
      <c r="A55" s="330"/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30"/>
      <c r="V55" s="330"/>
      <c r="W55" s="330"/>
      <c r="X55" s="330"/>
      <c r="Y55" s="330"/>
      <c r="Z55" s="330"/>
      <c r="AA55" s="330"/>
      <c r="AB55" s="330"/>
      <c r="AC55" s="330"/>
      <c r="AD55" s="330"/>
      <c r="AE55" s="330"/>
      <c r="AF55" s="330"/>
      <c r="AG55" s="330"/>
      <c r="AH55" s="330"/>
      <c r="AI55" s="330"/>
      <c r="AJ55" s="330"/>
      <c r="AK55" s="330"/>
      <c r="AL55" s="330"/>
      <c r="AM55" s="330"/>
      <c r="AN55" s="330"/>
      <c r="AO55" s="330"/>
      <c r="AP55" s="330"/>
      <c r="AQ55" s="330"/>
      <c r="AR55" s="330"/>
      <c r="AS55" s="330"/>
      <c r="AT55" s="330"/>
      <c r="AU55" s="330"/>
      <c r="AV55" s="330"/>
      <c r="AW55" s="330"/>
      <c r="AX55" s="330"/>
      <c r="AY55" s="330"/>
      <c r="AZ55" s="330"/>
      <c r="BA55" s="330"/>
      <c r="BB55" s="330"/>
      <c r="BC55" s="330"/>
      <c r="BD55" s="330"/>
      <c r="BE55" s="330"/>
      <c r="BF55" s="330"/>
    </row>
    <row r="56" spans="1:58">
      <c r="A56" s="330"/>
      <c r="B56" s="330"/>
      <c r="C56" s="330"/>
      <c r="D56" s="330"/>
      <c r="E56" s="330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0"/>
      <c r="Q56" s="330"/>
      <c r="R56" s="330"/>
      <c r="S56" s="330"/>
      <c r="T56" s="330"/>
      <c r="U56" s="330"/>
      <c r="V56" s="330"/>
      <c r="W56" s="330"/>
      <c r="X56" s="330"/>
      <c r="Y56" s="330"/>
      <c r="Z56" s="330"/>
      <c r="AA56" s="330"/>
      <c r="AB56" s="330"/>
      <c r="AC56" s="330"/>
      <c r="AD56" s="330"/>
      <c r="AE56" s="330"/>
      <c r="AF56" s="330"/>
      <c r="AG56" s="330"/>
      <c r="AH56" s="330"/>
      <c r="AI56" s="330"/>
      <c r="AJ56" s="330"/>
      <c r="AK56" s="330"/>
      <c r="AL56" s="330"/>
      <c r="AM56" s="330"/>
      <c r="AN56" s="330"/>
      <c r="AO56" s="330"/>
      <c r="AP56" s="330"/>
      <c r="AQ56" s="330"/>
      <c r="AR56" s="330"/>
      <c r="AS56" s="330"/>
      <c r="AT56" s="330"/>
      <c r="AU56" s="330"/>
      <c r="AV56" s="330"/>
      <c r="AW56" s="330"/>
      <c r="AX56" s="330"/>
      <c r="AY56" s="330"/>
      <c r="AZ56" s="330"/>
      <c r="BA56" s="330"/>
      <c r="BB56" s="330"/>
      <c r="BC56" s="330"/>
      <c r="BD56" s="330"/>
      <c r="BE56" s="330"/>
      <c r="BF56" s="330"/>
    </row>
    <row r="57" spans="1:58">
      <c r="A57" s="330"/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30"/>
      <c r="Y57" s="330"/>
      <c r="Z57" s="330"/>
      <c r="AA57" s="330"/>
      <c r="AB57" s="330"/>
      <c r="AC57" s="330"/>
      <c r="AD57" s="330"/>
      <c r="AE57" s="330"/>
      <c r="AF57" s="330"/>
      <c r="AG57" s="330"/>
      <c r="AH57" s="330"/>
      <c r="AI57" s="330"/>
      <c r="AJ57" s="330"/>
      <c r="AK57" s="330"/>
      <c r="AL57" s="330"/>
      <c r="AM57" s="330"/>
      <c r="AN57" s="330"/>
      <c r="AO57" s="330"/>
      <c r="AP57" s="330"/>
      <c r="AQ57" s="330"/>
      <c r="AR57" s="330"/>
      <c r="AS57" s="330"/>
      <c r="AT57" s="330"/>
      <c r="AU57" s="330"/>
      <c r="AV57" s="330"/>
      <c r="AW57" s="330"/>
      <c r="AX57" s="330"/>
      <c r="AY57" s="330"/>
      <c r="AZ57" s="330"/>
      <c r="BA57" s="330"/>
      <c r="BB57" s="330"/>
      <c r="BC57" s="330"/>
      <c r="BD57" s="330"/>
      <c r="BE57" s="330"/>
      <c r="BF57" s="330"/>
    </row>
    <row r="58" spans="1:58">
      <c r="A58" s="330"/>
      <c r="B58" s="330"/>
      <c r="C58" s="330"/>
      <c r="D58" s="330"/>
      <c r="E58" s="330"/>
      <c r="F58" s="330"/>
      <c r="G58" s="330"/>
      <c r="H58" s="330"/>
      <c r="I58" s="330"/>
      <c r="J58" s="330"/>
      <c r="K58" s="330"/>
      <c r="L58" s="330"/>
      <c r="M58" s="330"/>
      <c r="N58" s="330"/>
      <c r="O58" s="330"/>
      <c r="P58" s="330"/>
      <c r="Q58" s="330"/>
      <c r="R58" s="330"/>
      <c r="S58" s="330"/>
      <c r="T58" s="330"/>
      <c r="U58" s="330"/>
      <c r="V58" s="330"/>
      <c r="W58" s="330"/>
      <c r="X58" s="330"/>
      <c r="Y58" s="330"/>
      <c r="Z58" s="330"/>
      <c r="AA58" s="330"/>
      <c r="AB58" s="330"/>
      <c r="AC58" s="330"/>
      <c r="AD58" s="330"/>
      <c r="AE58" s="330"/>
      <c r="AF58" s="330"/>
      <c r="AG58" s="330"/>
      <c r="AH58" s="330"/>
      <c r="AI58" s="330"/>
      <c r="AJ58" s="330"/>
      <c r="AK58" s="330"/>
      <c r="AL58" s="330"/>
      <c r="AM58" s="330"/>
      <c r="AN58" s="330"/>
      <c r="AO58" s="330"/>
      <c r="AP58" s="330"/>
      <c r="AQ58" s="330"/>
      <c r="AR58" s="330"/>
      <c r="AS58" s="330"/>
      <c r="AT58" s="330"/>
      <c r="AU58" s="330"/>
      <c r="AV58" s="330"/>
      <c r="AW58" s="330"/>
      <c r="AX58" s="330"/>
      <c r="AY58" s="330"/>
      <c r="AZ58" s="330"/>
      <c r="BA58" s="330"/>
      <c r="BB58" s="330"/>
      <c r="BC58" s="330"/>
      <c r="BD58" s="330"/>
      <c r="BE58" s="330"/>
      <c r="BF58" s="330"/>
    </row>
    <row r="59" spans="1:58">
      <c r="A59" s="330"/>
      <c r="B59" s="330"/>
      <c r="C59" s="330"/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30"/>
      <c r="Y59" s="330"/>
      <c r="Z59" s="330"/>
      <c r="AA59" s="330"/>
      <c r="AB59" s="330"/>
      <c r="AC59" s="330"/>
      <c r="AD59" s="330"/>
      <c r="AE59" s="330"/>
      <c r="AF59" s="330"/>
      <c r="AG59" s="330"/>
      <c r="AH59" s="330"/>
      <c r="AI59" s="330"/>
      <c r="AJ59" s="330"/>
      <c r="AK59" s="330"/>
      <c r="AL59" s="330"/>
      <c r="AM59" s="330"/>
      <c r="AN59" s="330"/>
      <c r="AO59" s="330"/>
      <c r="AP59" s="330"/>
      <c r="AQ59" s="330"/>
      <c r="AR59" s="330"/>
      <c r="AS59" s="330"/>
      <c r="AT59" s="330"/>
      <c r="AU59" s="330"/>
      <c r="AV59" s="330"/>
      <c r="AW59" s="330"/>
      <c r="AX59" s="330"/>
      <c r="AY59" s="330"/>
      <c r="AZ59" s="330"/>
      <c r="BA59" s="330"/>
      <c r="BB59" s="330"/>
      <c r="BC59" s="330"/>
      <c r="BD59" s="330"/>
      <c r="BE59" s="330"/>
      <c r="BF59" s="330"/>
    </row>
    <row r="60" spans="1:58">
      <c r="A60" s="330"/>
      <c r="B60" s="330"/>
      <c r="C60" s="330"/>
      <c r="D60" s="330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0"/>
      <c r="Q60" s="330"/>
      <c r="R60" s="330"/>
      <c r="S60" s="330"/>
      <c r="T60" s="330"/>
      <c r="U60" s="330"/>
      <c r="V60" s="330"/>
      <c r="W60" s="330"/>
      <c r="X60" s="330"/>
      <c r="Y60" s="330"/>
      <c r="Z60" s="330"/>
      <c r="AA60" s="330"/>
      <c r="AB60" s="330"/>
      <c r="AC60" s="330"/>
      <c r="AD60" s="330"/>
      <c r="AE60" s="330"/>
      <c r="AF60" s="330"/>
      <c r="AG60" s="330"/>
      <c r="AH60" s="330"/>
      <c r="AI60" s="330"/>
      <c r="AJ60" s="330"/>
      <c r="AK60" s="330"/>
      <c r="AL60" s="330"/>
      <c r="AM60" s="330"/>
      <c r="AN60" s="330"/>
      <c r="AO60" s="330"/>
      <c r="AP60" s="330"/>
      <c r="AQ60" s="330"/>
      <c r="AR60" s="330"/>
      <c r="AS60" s="330"/>
      <c r="AT60" s="330"/>
      <c r="AU60" s="330"/>
      <c r="AV60" s="330"/>
      <c r="AW60" s="330"/>
      <c r="AX60" s="330"/>
      <c r="AY60" s="330"/>
      <c r="AZ60" s="330"/>
      <c r="BA60" s="330"/>
      <c r="BB60" s="330"/>
      <c r="BC60" s="330"/>
      <c r="BD60" s="330"/>
      <c r="BE60" s="330"/>
      <c r="BF60" s="330"/>
    </row>
    <row r="61" spans="1:58">
      <c r="A61" s="330"/>
      <c r="B61" s="330"/>
      <c r="C61" s="330"/>
      <c r="D61" s="330"/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0"/>
      <c r="AV61" s="330"/>
      <c r="AW61" s="330"/>
      <c r="AX61" s="330"/>
      <c r="AY61" s="330"/>
      <c r="AZ61" s="330"/>
      <c r="BA61" s="330"/>
      <c r="BB61" s="330"/>
      <c r="BC61" s="330"/>
      <c r="BD61" s="330"/>
      <c r="BE61" s="330"/>
      <c r="BF61" s="330"/>
    </row>
    <row r="62" spans="1:58">
      <c r="A62" s="330"/>
      <c r="B62" s="330"/>
      <c r="C62" s="330"/>
      <c r="D62" s="330"/>
      <c r="E62" s="330"/>
      <c r="F62" s="330"/>
      <c r="G62" s="330"/>
      <c r="H62" s="330"/>
      <c r="I62" s="330"/>
      <c r="J62" s="330"/>
      <c r="K62" s="330"/>
      <c r="L62" s="330"/>
      <c r="M62" s="330"/>
      <c r="N62" s="330"/>
      <c r="O62" s="330"/>
      <c r="P62" s="330"/>
      <c r="Q62" s="330"/>
      <c r="R62" s="330"/>
      <c r="S62" s="330"/>
      <c r="T62" s="330"/>
      <c r="U62" s="330"/>
      <c r="V62" s="330"/>
      <c r="W62" s="330"/>
      <c r="X62" s="330"/>
      <c r="Y62" s="330"/>
      <c r="Z62" s="330"/>
      <c r="AA62" s="330"/>
      <c r="AB62" s="330"/>
      <c r="AC62" s="330"/>
      <c r="AD62" s="330"/>
      <c r="AE62" s="330"/>
      <c r="AF62" s="330"/>
      <c r="AG62" s="330"/>
      <c r="AH62" s="330"/>
      <c r="AI62" s="330"/>
      <c r="AJ62" s="330"/>
      <c r="AK62" s="330"/>
      <c r="AL62" s="330"/>
      <c r="AM62" s="330"/>
      <c r="AN62" s="330"/>
      <c r="AO62" s="330"/>
      <c r="AP62" s="330"/>
      <c r="AQ62" s="330"/>
      <c r="AR62" s="330"/>
      <c r="AS62" s="330"/>
      <c r="AT62" s="330"/>
      <c r="AU62" s="330"/>
      <c r="AV62" s="330"/>
      <c r="AW62" s="330"/>
      <c r="AX62" s="330"/>
      <c r="AY62" s="330"/>
      <c r="AZ62" s="330"/>
      <c r="BA62" s="330"/>
      <c r="BB62" s="330"/>
      <c r="BC62" s="330"/>
      <c r="BD62" s="330"/>
      <c r="BE62" s="330"/>
      <c r="BF62" s="330"/>
    </row>
    <row r="63" spans="1:58">
      <c r="A63" s="330"/>
      <c r="B63" s="330"/>
      <c r="C63" s="330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0"/>
      <c r="Y63" s="330"/>
      <c r="Z63" s="330"/>
      <c r="AA63" s="330"/>
      <c r="AB63" s="330"/>
      <c r="AC63" s="330"/>
      <c r="AD63" s="330"/>
      <c r="AE63" s="330"/>
      <c r="AF63" s="330"/>
      <c r="AG63" s="330"/>
      <c r="AH63" s="330"/>
      <c r="AI63" s="330"/>
      <c r="AJ63" s="330"/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0"/>
      <c r="AV63" s="330"/>
      <c r="AW63" s="330"/>
      <c r="AX63" s="330"/>
      <c r="AY63" s="330"/>
      <c r="AZ63" s="330"/>
      <c r="BA63" s="330"/>
      <c r="BB63" s="330"/>
      <c r="BC63" s="330"/>
      <c r="BD63" s="330"/>
      <c r="BE63" s="330"/>
      <c r="BF63" s="330"/>
    </row>
    <row r="64" spans="1:58">
      <c r="A64" s="330"/>
      <c r="B64" s="330"/>
      <c r="C64" s="330"/>
      <c r="D64" s="330"/>
      <c r="E64" s="330"/>
      <c r="F64" s="330"/>
      <c r="G64" s="330"/>
      <c r="H64" s="330"/>
      <c r="I64" s="330"/>
      <c r="J64" s="330"/>
      <c r="K64" s="330"/>
      <c r="L64" s="330"/>
      <c r="M64" s="330"/>
      <c r="N64" s="330"/>
      <c r="O64" s="330"/>
      <c r="P64" s="330"/>
      <c r="Q64" s="330"/>
      <c r="R64" s="330"/>
      <c r="S64" s="330"/>
      <c r="T64" s="330"/>
      <c r="U64" s="330"/>
      <c r="V64" s="330"/>
      <c r="W64" s="330"/>
      <c r="X64" s="330"/>
      <c r="Y64" s="330"/>
      <c r="Z64" s="330"/>
      <c r="AA64" s="330"/>
      <c r="AB64" s="330"/>
      <c r="AC64" s="330"/>
      <c r="AD64" s="330"/>
      <c r="AE64" s="330"/>
      <c r="AF64" s="330"/>
      <c r="AG64" s="330"/>
      <c r="AH64" s="330"/>
      <c r="AI64" s="330"/>
      <c r="AJ64" s="330"/>
      <c r="AK64" s="330"/>
      <c r="AL64" s="330"/>
      <c r="AM64" s="330"/>
      <c r="AN64" s="330"/>
      <c r="AO64" s="330"/>
      <c r="AP64" s="330"/>
      <c r="AQ64" s="330"/>
      <c r="AR64" s="330"/>
      <c r="AS64" s="330"/>
      <c r="AT64" s="330"/>
      <c r="AU64" s="330"/>
      <c r="AV64" s="330"/>
      <c r="AW64" s="330"/>
      <c r="AX64" s="330"/>
      <c r="AY64" s="330"/>
      <c r="AZ64" s="330"/>
      <c r="BA64" s="330"/>
      <c r="BB64" s="330"/>
      <c r="BC64" s="330"/>
      <c r="BD64" s="330"/>
      <c r="BE64" s="330"/>
      <c r="BF64" s="330"/>
    </row>
    <row r="65" spans="1:58">
      <c r="A65" s="330"/>
      <c r="B65" s="330"/>
      <c r="C65" s="330"/>
      <c r="D65" s="330"/>
      <c r="E65" s="330"/>
      <c r="F65" s="330"/>
      <c r="G65" s="330"/>
      <c r="H65" s="330"/>
      <c r="I65" s="330"/>
      <c r="J65" s="330"/>
      <c r="K65" s="330"/>
      <c r="L65" s="330"/>
      <c r="M65" s="330"/>
      <c r="N65" s="330"/>
      <c r="O65" s="330"/>
      <c r="P65" s="330"/>
      <c r="Q65" s="330"/>
      <c r="R65" s="330"/>
      <c r="S65" s="330"/>
      <c r="T65" s="330"/>
      <c r="U65" s="330"/>
      <c r="V65" s="330"/>
      <c r="W65" s="330"/>
      <c r="X65" s="330"/>
      <c r="Y65" s="330"/>
      <c r="Z65" s="330"/>
      <c r="AA65" s="330"/>
      <c r="AB65" s="330"/>
      <c r="AC65" s="330"/>
      <c r="AD65" s="330"/>
      <c r="AE65" s="330"/>
      <c r="AF65" s="330"/>
      <c r="AG65" s="330"/>
      <c r="AH65" s="330"/>
      <c r="AI65" s="330"/>
      <c r="AJ65" s="330"/>
      <c r="AK65" s="330"/>
      <c r="AL65" s="330"/>
      <c r="AM65" s="330"/>
      <c r="AN65" s="330"/>
      <c r="AO65" s="330"/>
      <c r="AP65" s="330"/>
      <c r="AQ65" s="330"/>
      <c r="AR65" s="330"/>
      <c r="AS65" s="330"/>
      <c r="AT65" s="330"/>
      <c r="AU65" s="330"/>
      <c r="AV65" s="330"/>
      <c r="AW65" s="330"/>
      <c r="AX65" s="330"/>
      <c r="AY65" s="330"/>
      <c r="AZ65" s="330"/>
      <c r="BA65" s="330"/>
      <c r="BB65" s="330"/>
      <c r="BC65" s="330"/>
      <c r="BD65" s="330"/>
      <c r="BE65" s="330"/>
      <c r="BF65" s="330"/>
    </row>
    <row r="66" spans="1:58">
      <c r="A66" s="330"/>
      <c r="B66" s="330"/>
      <c r="C66" s="330"/>
      <c r="D66" s="330"/>
      <c r="E66" s="330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0"/>
      <c r="Q66" s="330"/>
      <c r="R66" s="330"/>
      <c r="S66" s="330"/>
      <c r="T66" s="330"/>
      <c r="U66" s="330"/>
      <c r="V66" s="330"/>
      <c r="W66" s="330"/>
      <c r="X66" s="330"/>
      <c r="Y66" s="330"/>
      <c r="Z66" s="330"/>
      <c r="AA66" s="330"/>
      <c r="AB66" s="330"/>
      <c r="AC66" s="330"/>
      <c r="AD66" s="330"/>
      <c r="AE66" s="330"/>
      <c r="AF66" s="330"/>
      <c r="AG66" s="330"/>
      <c r="AH66" s="330"/>
      <c r="AI66" s="330"/>
      <c r="AJ66" s="330"/>
      <c r="AK66" s="330"/>
      <c r="AL66" s="330"/>
      <c r="AM66" s="330"/>
      <c r="AN66" s="330"/>
      <c r="AO66" s="330"/>
      <c r="AP66" s="330"/>
      <c r="AQ66" s="330"/>
      <c r="AR66" s="330"/>
      <c r="AS66" s="330"/>
      <c r="AT66" s="330"/>
      <c r="AU66" s="330"/>
      <c r="AV66" s="330"/>
      <c r="AW66" s="330"/>
      <c r="AX66" s="330"/>
      <c r="AY66" s="330"/>
      <c r="AZ66" s="330"/>
      <c r="BA66" s="330"/>
      <c r="BB66" s="330"/>
      <c r="BC66" s="330"/>
      <c r="BD66" s="330"/>
      <c r="BE66" s="330"/>
      <c r="BF66" s="330"/>
    </row>
    <row r="67" spans="1:58">
      <c r="A67" s="330"/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0"/>
      <c r="Q67" s="330"/>
      <c r="R67" s="330"/>
      <c r="S67" s="330"/>
      <c r="T67" s="330"/>
      <c r="U67" s="330"/>
      <c r="V67" s="330"/>
      <c r="W67" s="330"/>
      <c r="X67" s="330"/>
      <c r="Y67" s="330"/>
      <c r="Z67" s="330"/>
      <c r="AA67" s="330"/>
      <c r="AB67" s="330"/>
      <c r="AC67" s="330"/>
      <c r="AD67" s="330"/>
      <c r="AE67" s="330"/>
      <c r="AF67" s="330"/>
      <c r="AG67" s="330"/>
      <c r="AH67" s="330"/>
      <c r="AI67" s="330"/>
      <c r="AJ67" s="330"/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0"/>
      <c r="AV67" s="330"/>
      <c r="AW67" s="330"/>
      <c r="AX67" s="330"/>
      <c r="AY67" s="330"/>
      <c r="AZ67" s="330"/>
      <c r="BA67" s="330"/>
      <c r="BB67" s="330"/>
      <c r="BC67" s="330"/>
      <c r="BD67" s="330"/>
      <c r="BE67" s="330"/>
      <c r="BF67" s="330"/>
    </row>
    <row r="68" spans="1:58">
      <c r="A68" s="330"/>
      <c r="B68" s="330"/>
      <c r="C68" s="330"/>
      <c r="D68" s="330"/>
      <c r="E68" s="330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0"/>
      <c r="Q68" s="330"/>
      <c r="R68" s="330"/>
      <c r="S68" s="330"/>
      <c r="T68" s="330"/>
      <c r="U68" s="330"/>
      <c r="V68" s="330"/>
      <c r="W68" s="330"/>
      <c r="X68" s="330"/>
      <c r="Y68" s="330"/>
      <c r="Z68" s="330"/>
      <c r="AA68" s="330"/>
      <c r="AB68" s="330"/>
      <c r="AC68" s="330"/>
      <c r="AD68" s="330"/>
      <c r="AE68" s="330"/>
      <c r="AF68" s="330"/>
      <c r="AG68" s="330"/>
      <c r="AH68" s="330"/>
      <c r="AI68" s="330"/>
      <c r="AJ68" s="330"/>
      <c r="AK68" s="330"/>
      <c r="AL68" s="330"/>
      <c r="AM68" s="330"/>
      <c r="AN68" s="330"/>
      <c r="AO68" s="330"/>
      <c r="AP68" s="330"/>
      <c r="AQ68" s="330"/>
      <c r="AR68" s="330"/>
      <c r="AS68" s="330"/>
      <c r="AT68" s="330"/>
      <c r="AU68" s="330"/>
      <c r="AV68" s="330"/>
      <c r="AW68" s="330"/>
      <c r="AX68" s="330"/>
      <c r="AY68" s="330"/>
      <c r="AZ68" s="330"/>
      <c r="BA68" s="330"/>
      <c r="BB68" s="330"/>
      <c r="BC68" s="330"/>
      <c r="BD68" s="330"/>
      <c r="BE68" s="330"/>
      <c r="BF68" s="330"/>
    </row>
    <row r="69" spans="1:58">
      <c r="A69" s="330"/>
      <c r="B69" s="330"/>
      <c r="C69" s="330"/>
      <c r="D69" s="330"/>
      <c r="E69" s="330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0"/>
      <c r="Q69" s="330"/>
      <c r="R69" s="330"/>
      <c r="S69" s="330"/>
      <c r="T69" s="330"/>
      <c r="U69" s="330"/>
      <c r="V69" s="330"/>
      <c r="W69" s="330"/>
      <c r="X69" s="330"/>
      <c r="Y69" s="330"/>
      <c r="Z69" s="330"/>
      <c r="AA69" s="330"/>
      <c r="AB69" s="330"/>
      <c r="AC69" s="330"/>
      <c r="AD69" s="330"/>
      <c r="AE69" s="330"/>
      <c r="AF69" s="330"/>
      <c r="AG69" s="330"/>
      <c r="AH69" s="330"/>
      <c r="AI69" s="330"/>
      <c r="AJ69" s="330"/>
      <c r="AK69" s="330"/>
      <c r="AL69" s="330"/>
      <c r="AM69" s="330"/>
      <c r="AN69" s="330"/>
      <c r="AO69" s="330"/>
      <c r="AP69" s="330"/>
      <c r="AQ69" s="330"/>
      <c r="AR69" s="330"/>
      <c r="AS69" s="330"/>
      <c r="AT69" s="330"/>
      <c r="AU69" s="330"/>
      <c r="AV69" s="330"/>
      <c r="AW69" s="330"/>
      <c r="AX69" s="330"/>
      <c r="AY69" s="330"/>
      <c r="AZ69" s="330"/>
      <c r="BA69" s="330"/>
      <c r="BB69" s="330"/>
      <c r="BC69" s="330"/>
      <c r="BD69" s="330"/>
      <c r="BE69" s="330"/>
      <c r="BF69" s="330"/>
    </row>
    <row r="70" spans="1:58">
      <c r="A70" s="330"/>
      <c r="B70" s="330"/>
      <c r="C70" s="330"/>
      <c r="D70" s="330"/>
      <c r="E70" s="330"/>
      <c r="F70" s="330"/>
      <c r="G70" s="330"/>
      <c r="H70" s="330"/>
      <c r="I70" s="330"/>
      <c r="J70" s="330"/>
      <c r="K70" s="330"/>
      <c r="L70" s="330"/>
      <c r="M70" s="330"/>
      <c r="N70" s="330"/>
      <c r="O70" s="330"/>
      <c r="P70" s="330"/>
      <c r="Q70" s="330"/>
      <c r="R70" s="330"/>
      <c r="S70" s="330"/>
      <c r="T70" s="330"/>
      <c r="U70" s="330"/>
      <c r="V70" s="330"/>
      <c r="W70" s="330"/>
      <c r="X70" s="330"/>
      <c r="Y70" s="330"/>
      <c r="Z70" s="330"/>
      <c r="AA70" s="330"/>
      <c r="AB70" s="330"/>
      <c r="AC70" s="330"/>
      <c r="AD70" s="330"/>
      <c r="AE70" s="330"/>
      <c r="AF70" s="330"/>
      <c r="AG70" s="330"/>
      <c r="AH70" s="330"/>
      <c r="AI70" s="330"/>
      <c r="AJ70" s="330"/>
      <c r="AK70" s="330"/>
      <c r="AL70" s="330"/>
      <c r="AM70" s="330"/>
      <c r="AN70" s="330"/>
      <c r="AO70" s="330"/>
      <c r="AP70" s="330"/>
      <c r="AQ70" s="330"/>
      <c r="AR70" s="330"/>
      <c r="AS70" s="330"/>
      <c r="AT70" s="330"/>
      <c r="AU70" s="330"/>
      <c r="AV70" s="330"/>
      <c r="AW70" s="330"/>
      <c r="AX70" s="330"/>
      <c r="AY70" s="330"/>
      <c r="AZ70" s="330"/>
      <c r="BA70" s="330"/>
      <c r="BB70" s="330"/>
      <c r="BC70" s="330"/>
      <c r="BD70" s="330"/>
      <c r="BE70" s="330"/>
      <c r="BF70" s="330"/>
    </row>
    <row r="71" spans="1:58">
      <c r="A71" s="330"/>
      <c r="B71" s="330"/>
      <c r="C71" s="330"/>
      <c r="D71" s="330"/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0"/>
      <c r="Y71" s="330"/>
      <c r="Z71" s="330"/>
      <c r="AA71" s="330"/>
      <c r="AB71" s="330"/>
      <c r="AC71" s="330"/>
      <c r="AD71" s="330"/>
      <c r="AE71" s="330"/>
      <c r="AF71" s="330"/>
      <c r="AG71" s="330"/>
      <c r="AH71" s="330"/>
      <c r="AI71" s="330"/>
      <c r="AJ71" s="330"/>
      <c r="AK71" s="330"/>
      <c r="AL71" s="330"/>
      <c r="AM71" s="330"/>
      <c r="AN71" s="330"/>
      <c r="AO71" s="330"/>
      <c r="AP71" s="330"/>
      <c r="AQ71" s="330"/>
      <c r="AR71" s="330"/>
      <c r="AS71" s="330"/>
      <c r="AT71" s="330"/>
      <c r="AU71" s="330"/>
      <c r="AV71" s="330"/>
      <c r="AW71" s="330"/>
      <c r="AX71" s="330"/>
      <c r="AY71" s="330"/>
      <c r="AZ71" s="330"/>
      <c r="BA71" s="330"/>
      <c r="BB71" s="330"/>
      <c r="BC71" s="330"/>
      <c r="BD71" s="330"/>
      <c r="BE71" s="330"/>
      <c r="BF71" s="330"/>
    </row>
    <row r="72" spans="1:58">
      <c r="A72" s="330"/>
      <c r="B72" s="330"/>
      <c r="C72" s="330"/>
      <c r="D72" s="330"/>
      <c r="E72" s="330"/>
      <c r="F72" s="330"/>
      <c r="G72" s="330"/>
      <c r="H72" s="330"/>
      <c r="I72" s="330"/>
      <c r="J72" s="330"/>
      <c r="K72" s="330"/>
      <c r="L72" s="330"/>
      <c r="M72" s="330"/>
      <c r="N72" s="330"/>
      <c r="O72" s="330"/>
      <c r="P72" s="330"/>
      <c r="Q72" s="330"/>
      <c r="R72" s="330"/>
      <c r="S72" s="330"/>
      <c r="T72" s="330"/>
      <c r="U72" s="330"/>
      <c r="V72" s="330"/>
      <c r="W72" s="330"/>
      <c r="X72" s="330"/>
      <c r="Y72" s="330"/>
      <c r="Z72" s="330"/>
      <c r="AA72" s="330"/>
      <c r="AB72" s="330"/>
      <c r="AC72" s="330"/>
      <c r="AD72" s="330"/>
      <c r="AE72" s="330"/>
      <c r="AF72" s="330"/>
      <c r="AG72" s="330"/>
      <c r="AH72" s="330"/>
      <c r="AI72" s="330"/>
      <c r="AJ72" s="330"/>
      <c r="AK72" s="330"/>
      <c r="AL72" s="330"/>
      <c r="AM72" s="330"/>
      <c r="AN72" s="330"/>
      <c r="AO72" s="330"/>
      <c r="AP72" s="330"/>
      <c r="AQ72" s="330"/>
      <c r="AR72" s="330"/>
      <c r="AS72" s="330"/>
      <c r="AT72" s="330"/>
      <c r="AU72" s="330"/>
      <c r="AV72" s="330"/>
      <c r="AW72" s="330"/>
      <c r="AX72" s="330"/>
      <c r="AY72" s="330"/>
      <c r="AZ72" s="330"/>
      <c r="BA72" s="330"/>
      <c r="BB72" s="330"/>
      <c r="BC72" s="330"/>
      <c r="BD72" s="330"/>
      <c r="BE72" s="330"/>
      <c r="BF72" s="330"/>
    </row>
    <row r="73" spans="1:58">
      <c r="A73" s="330"/>
      <c r="B73" s="330"/>
      <c r="C73" s="330"/>
      <c r="D73" s="330"/>
      <c r="E73" s="330"/>
      <c r="F73" s="330"/>
      <c r="G73" s="330"/>
      <c r="H73" s="330"/>
      <c r="I73" s="330"/>
      <c r="J73" s="330"/>
      <c r="K73" s="330"/>
      <c r="L73" s="330"/>
      <c r="M73" s="330"/>
      <c r="N73" s="330"/>
      <c r="O73" s="330"/>
      <c r="P73" s="330"/>
      <c r="Q73" s="330"/>
      <c r="R73" s="330"/>
      <c r="S73" s="330"/>
      <c r="T73" s="330"/>
      <c r="U73" s="330"/>
      <c r="V73" s="330"/>
      <c r="W73" s="330"/>
      <c r="X73" s="330"/>
      <c r="Y73" s="330"/>
      <c r="Z73" s="330"/>
      <c r="AA73" s="330"/>
      <c r="AB73" s="330"/>
      <c r="AC73" s="330"/>
      <c r="AD73" s="330"/>
      <c r="AE73" s="330"/>
      <c r="AF73" s="330"/>
      <c r="AG73" s="330"/>
      <c r="AH73" s="330"/>
      <c r="AI73" s="330"/>
      <c r="AJ73" s="330"/>
      <c r="AK73" s="330"/>
      <c r="AL73" s="330"/>
      <c r="AM73" s="330"/>
      <c r="AN73" s="330"/>
      <c r="AO73" s="330"/>
      <c r="AP73" s="330"/>
      <c r="AQ73" s="330"/>
      <c r="AR73" s="330"/>
      <c r="AS73" s="330"/>
      <c r="AT73" s="330"/>
      <c r="AU73" s="330"/>
      <c r="AV73" s="330"/>
      <c r="AW73" s="330"/>
      <c r="AX73" s="330"/>
      <c r="AY73" s="330"/>
      <c r="AZ73" s="330"/>
      <c r="BA73" s="330"/>
      <c r="BB73" s="330"/>
      <c r="BC73" s="330"/>
      <c r="BD73" s="330"/>
      <c r="BE73" s="330"/>
      <c r="BF73" s="330"/>
    </row>
    <row r="74" spans="1:58">
      <c r="A74" s="330"/>
      <c r="B74" s="330"/>
      <c r="C74" s="330"/>
      <c r="D74" s="330"/>
      <c r="E74" s="330"/>
      <c r="F74" s="330"/>
      <c r="G74" s="330"/>
      <c r="H74" s="330"/>
      <c r="I74" s="330"/>
      <c r="J74" s="330"/>
      <c r="K74" s="330"/>
      <c r="L74" s="330"/>
      <c r="M74" s="330"/>
      <c r="N74" s="330"/>
      <c r="O74" s="330"/>
      <c r="P74" s="330"/>
      <c r="Q74" s="330"/>
      <c r="R74" s="330"/>
      <c r="S74" s="330"/>
      <c r="T74" s="330"/>
      <c r="U74" s="330"/>
      <c r="V74" s="330"/>
      <c r="W74" s="330"/>
      <c r="X74" s="330"/>
      <c r="Y74" s="330"/>
      <c r="Z74" s="330"/>
      <c r="AA74" s="330"/>
      <c r="AB74" s="330"/>
      <c r="AC74" s="330"/>
      <c r="AD74" s="330"/>
      <c r="AE74" s="330"/>
      <c r="AF74" s="330"/>
      <c r="AG74" s="330"/>
      <c r="AH74" s="330"/>
      <c r="AI74" s="330"/>
      <c r="AJ74" s="330"/>
      <c r="AK74" s="330"/>
      <c r="AL74" s="330"/>
      <c r="AM74" s="330"/>
      <c r="AN74" s="330"/>
      <c r="AO74" s="330"/>
      <c r="AP74" s="330"/>
      <c r="AQ74" s="330"/>
      <c r="AR74" s="330"/>
      <c r="AS74" s="330"/>
      <c r="AT74" s="330"/>
      <c r="AU74" s="330"/>
      <c r="AV74" s="330"/>
      <c r="AW74" s="330"/>
      <c r="AX74" s="330"/>
      <c r="AY74" s="330"/>
      <c r="AZ74" s="330"/>
      <c r="BA74" s="330"/>
      <c r="BB74" s="330"/>
      <c r="BC74" s="330"/>
      <c r="BD74" s="330"/>
      <c r="BE74" s="330"/>
      <c r="BF74" s="330"/>
    </row>
    <row r="75" spans="1:58">
      <c r="A75" s="330"/>
      <c r="B75" s="330"/>
      <c r="C75" s="330"/>
      <c r="D75" s="330"/>
      <c r="E75" s="330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0"/>
      <c r="Q75" s="330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0"/>
      <c r="AC75" s="330"/>
      <c r="AD75" s="330"/>
      <c r="AE75" s="330"/>
      <c r="AF75" s="330"/>
      <c r="AG75" s="330"/>
      <c r="AH75" s="330"/>
      <c r="AI75" s="330"/>
      <c r="AJ75" s="330"/>
      <c r="AK75" s="330"/>
      <c r="AL75" s="330"/>
      <c r="AM75" s="330"/>
      <c r="AN75" s="330"/>
      <c r="AO75" s="330"/>
      <c r="AP75" s="330"/>
      <c r="AQ75" s="330"/>
      <c r="AR75" s="330"/>
      <c r="AS75" s="330"/>
      <c r="AT75" s="330"/>
      <c r="AU75" s="330"/>
      <c r="AV75" s="330"/>
      <c r="AW75" s="330"/>
      <c r="AX75" s="330"/>
      <c r="AY75" s="330"/>
      <c r="AZ75" s="330"/>
      <c r="BA75" s="330"/>
      <c r="BB75" s="330"/>
      <c r="BC75" s="330"/>
      <c r="BD75" s="330"/>
      <c r="BE75" s="330"/>
      <c r="BF75" s="330"/>
    </row>
    <row r="76" spans="1:58">
      <c r="A76" s="330"/>
      <c r="B76" s="330"/>
      <c r="C76" s="330"/>
      <c r="D76" s="330"/>
      <c r="E76" s="330"/>
      <c r="F76" s="330"/>
      <c r="G76" s="330"/>
      <c r="H76" s="330"/>
      <c r="I76" s="330"/>
      <c r="J76" s="330"/>
      <c r="K76" s="330"/>
      <c r="L76" s="330"/>
      <c r="M76" s="330"/>
      <c r="N76" s="330"/>
      <c r="O76" s="330"/>
      <c r="P76" s="330"/>
      <c r="Q76" s="330"/>
      <c r="R76" s="330"/>
      <c r="S76" s="330"/>
      <c r="T76" s="330"/>
      <c r="U76" s="330"/>
      <c r="V76" s="330"/>
      <c r="W76" s="330"/>
      <c r="X76" s="330"/>
      <c r="Y76" s="330"/>
      <c r="Z76" s="330"/>
      <c r="AA76" s="330"/>
      <c r="AB76" s="330"/>
      <c r="AC76" s="330"/>
      <c r="AD76" s="330"/>
      <c r="AE76" s="330"/>
      <c r="AF76" s="330"/>
      <c r="AG76" s="330"/>
      <c r="AH76" s="330"/>
      <c r="AI76" s="330"/>
      <c r="AJ76" s="330"/>
      <c r="AK76" s="330"/>
      <c r="AL76" s="330"/>
      <c r="AM76" s="330"/>
      <c r="AN76" s="330"/>
      <c r="AO76" s="330"/>
      <c r="AP76" s="330"/>
      <c r="AQ76" s="330"/>
      <c r="AR76" s="330"/>
      <c r="AS76" s="330"/>
      <c r="AT76" s="330"/>
      <c r="AU76" s="330"/>
      <c r="AV76" s="330"/>
      <c r="AW76" s="330"/>
      <c r="AX76" s="330"/>
      <c r="AY76" s="330"/>
      <c r="AZ76" s="330"/>
      <c r="BA76" s="330"/>
      <c r="BB76" s="330"/>
      <c r="BC76" s="330"/>
      <c r="BD76" s="330"/>
      <c r="BE76" s="330"/>
      <c r="BF76" s="330"/>
    </row>
    <row r="77" spans="1:58">
      <c r="A77" s="330"/>
      <c r="B77" s="330"/>
      <c r="C77" s="330"/>
      <c r="D77" s="330"/>
      <c r="E77" s="330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330"/>
      <c r="Y77" s="330"/>
      <c r="Z77" s="330"/>
      <c r="AA77" s="330"/>
      <c r="AB77" s="330"/>
      <c r="AC77" s="330"/>
      <c r="AD77" s="330"/>
      <c r="AE77" s="330"/>
      <c r="AF77" s="330"/>
      <c r="AG77" s="330"/>
      <c r="AH77" s="330"/>
      <c r="AI77" s="330"/>
      <c r="AJ77" s="330"/>
      <c r="AK77" s="330"/>
      <c r="AL77" s="330"/>
      <c r="AM77" s="330"/>
      <c r="AN77" s="330"/>
      <c r="AO77" s="330"/>
      <c r="AP77" s="330"/>
      <c r="AQ77" s="330"/>
      <c r="AR77" s="330"/>
      <c r="AS77" s="330"/>
      <c r="AT77" s="330"/>
      <c r="AU77" s="330"/>
      <c r="AV77" s="330"/>
      <c r="AW77" s="330"/>
      <c r="AX77" s="330"/>
      <c r="AY77" s="330"/>
      <c r="AZ77" s="330"/>
      <c r="BA77" s="330"/>
      <c r="BB77" s="330"/>
      <c r="BC77" s="330"/>
      <c r="BD77" s="330"/>
      <c r="BE77" s="330"/>
      <c r="BF77" s="330"/>
    </row>
    <row r="78" spans="1:58">
      <c r="A78" s="330"/>
      <c r="B78" s="330"/>
      <c r="C78" s="330"/>
      <c r="D78" s="330"/>
      <c r="E78" s="330"/>
      <c r="F78" s="330"/>
      <c r="G78" s="330"/>
      <c r="H78" s="330"/>
      <c r="I78" s="330"/>
      <c r="J78" s="330"/>
      <c r="K78" s="330"/>
      <c r="L78" s="330"/>
      <c r="M78" s="330"/>
      <c r="N78" s="330"/>
      <c r="O78" s="330"/>
      <c r="P78" s="330"/>
      <c r="Q78" s="330"/>
      <c r="R78" s="330"/>
      <c r="S78" s="330"/>
      <c r="T78" s="330"/>
      <c r="U78" s="330"/>
      <c r="V78" s="330"/>
      <c r="W78" s="330"/>
      <c r="X78" s="330"/>
      <c r="Y78" s="330"/>
      <c r="Z78" s="330"/>
      <c r="AA78" s="330"/>
      <c r="AB78" s="330"/>
      <c r="AC78" s="330"/>
      <c r="AD78" s="330"/>
      <c r="AE78" s="330"/>
      <c r="AF78" s="330"/>
      <c r="AG78" s="330"/>
      <c r="AH78" s="330"/>
      <c r="AI78" s="330"/>
      <c r="AJ78" s="330"/>
      <c r="AK78" s="330"/>
      <c r="AL78" s="330"/>
      <c r="AM78" s="330"/>
      <c r="AN78" s="330"/>
      <c r="AO78" s="330"/>
      <c r="AP78" s="330"/>
      <c r="AQ78" s="330"/>
      <c r="AR78" s="330"/>
      <c r="AS78" s="330"/>
      <c r="AT78" s="330"/>
      <c r="AU78" s="330"/>
      <c r="AV78" s="330"/>
      <c r="AW78" s="330"/>
      <c r="AX78" s="330"/>
      <c r="AY78" s="330"/>
      <c r="AZ78" s="330"/>
      <c r="BA78" s="330"/>
      <c r="BB78" s="330"/>
      <c r="BC78" s="330"/>
      <c r="BD78" s="330"/>
      <c r="BE78" s="330"/>
      <c r="BF78" s="330"/>
    </row>
    <row r="79" spans="1:58">
      <c r="A79" s="330"/>
      <c r="B79" s="330"/>
      <c r="C79" s="330"/>
      <c r="D79" s="330"/>
      <c r="E79" s="330"/>
      <c r="F79" s="330"/>
      <c r="G79" s="330"/>
      <c r="H79" s="330"/>
      <c r="I79" s="330"/>
      <c r="J79" s="330"/>
      <c r="K79" s="330"/>
      <c r="L79" s="330"/>
      <c r="M79" s="330"/>
      <c r="N79" s="330"/>
      <c r="O79" s="330"/>
      <c r="P79" s="330"/>
      <c r="Q79" s="330"/>
      <c r="R79" s="330"/>
      <c r="S79" s="330"/>
      <c r="T79" s="330"/>
      <c r="U79" s="330"/>
      <c r="V79" s="330"/>
      <c r="W79" s="330"/>
      <c r="X79" s="330"/>
      <c r="Y79" s="330"/>
      <c r="Z79" s="330"/>
      <c r="AA79" s="330"/>
      <c r="AB79" s="330"/>
      <c r="AC79" s="330"/>
      <c r="AD79" s="330"/>
      <c r="AE79" s="330"/>
      <c r="AF79" s="330"/>
      <c r="AG79" s="330"/>
      <c r="AH79" s="330"/>
      <c r="AI79" s="330"/>
      <c r="AJ79" s="330"/>
      <c r="AK79" s="330"/>
      <c r="AL79" s="330"/>
      <c r="AM79" s="330"/>
      <c r="AN79" s="330"/>
      <c r="AO79" s="330"/>
      <c r="AP79" s="330"/>
      <c r="AQ79" s="330"/>
      <c r="AR79" s="330"/>
      <c r="AS79" s="330"/>
      <c r="AT79" s="330"/>
      <c r="AU79" s="330"/>
      <c r="AV79" s="330"/>
      <c r="AW79" s="330"/>
      <c r="AX79" s="330"/>
      <c r="AY79" s="330"/>
      <c r="AZ79" s="330"/>
      <c r="BA79" s="330"/>
      <c r="BB79" s="330"/>
      <c r="BC79" s="330"/>
      <c r="BD79" s="330"/>
      <c r="BE79" s="330"/>
      <c r="BF79" s="330"/>
    </row>
    <row r="80" spans="1:58">
      <c r="A80" s="330"/>
      <c r="B80" s="330"/>
      <c r="C80" s="330"/>
      <c r="D80" s="330"/>
      <c r="E80" s="330"/>
      <c r="F80" s="330"/>
      <c r="G80" s="330"/>
      <c r="H80" s="330"/>
      <c r="I80" s="330"/>
      <c r="J80" s="330"/>
      <c r="K80" s="330"/>
      <c r="L80" s="330"/>
      <c r="M80" s="330"/>
      <c r="N80" s="330"/>
      <c r="O80" s="330"/>
      <c r="P80" s="330"/>
      <c r="Q80" s="330"/>
      <c r="R80" s="330"/>
      <c r="S80" s="330"/>
      <c r="T80" s="330"/>
      <c r="U80" s="330"/>
      <c r="V80" s="330"/>
      <c r="W80" s="330"/>
      <c r="X80" s="330"/>
      <c r="Y80" s="330"/>
      <c r="Z80" s="330"/>
      <c r="AA80" s="330"/>
      <c r="AB80" s="330"/>
      <c r="AC80" s="330"/>
      <c r="AD80" s="330"/>
      <c r="AE80" s="330"/>
      <c r="AF80" s="330"/>
      <c r="AG80" s="330"/>
      <c r="AH80" s="330"/>
      <c r="AI80" s="330"/>
      <c r="AJ80" s="330"/>
      <c r="AK80" s="330"/>
      <c r="AL80" s="330"/>
      <c r="AM80" s="330"/>
      <c r="AN80" s="330"/>
      <c r="AO80" s="330"/>
      <c r="AP80" s="330"/>
      <c r="AQ80" s="330"/>
      <c r="AR80" s="330"/>
      <c r="AS80" s="330"/>
      <c r="AT80" s="330"/>
      <c r="AU80" s="330"/>
      <c r="AV80" s="330"/>
      <c r="AW80" s="330"/>
      <c r="AX80" s="330"/>
      <c r="AY80" s="330"/>
      <c r="AZ80" s="330"/>
      <c r="BA80" s="330"/>
      <c r="BB80" s="330"/>
      <c r="BC80" s="330"/>
      <c r="BD80" s="330"/>
      <c r="BE80" s="330"/>
      <c r="BF80" s="330"/>
    </row>
    <row r="81" spans="1:58">
      <c r="A81" s="330"/>
      <c r="B81" s="330"/>
      <c r="C81" s="330"/>
      <c r="D81" s="330"/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330"/>
      <c r="Q81" s="330"/>
      <c r="R81" s="330"/>
      <c r="S81" s="330"/>
      <c r="T81" s="330"/>
      <c r="U81" s="330"/>
      <c r="V81" s="330"/>
      <c r="W81" s="330"/>
      <c r="X81" s="330"/>
      <c r="Y81" s="330"/>
      <c r="Z81" s="330"/>
      <c r="AA81" s="330"/>
      <c r="AB81" s="330"/>
      <c r="AC81" s="330"/>
      <c r="AD81" s="330"/>
      <c r="AE81" s="330"/>
      <c r="AF81" s="330"/>
      <c r="AG81" s="330"/>
      <c r="AH81" s="330"/>
      <c r="AI81" s="330"/>
      <c r="AJ81" s="330"/>
      <c r="AK81" s="330"/>
      <c r="AL81" s="330"/>
      <c r="AM81" s="330"/>
      <c r="AN81" s="330"/>
      <c r="AO81" s="330"/>
      <c r="AP81" s="330"/>
      <c r="AQ81" s="330"/>
      <c r="AR81" s="330"/>
      <c r="AS81" s="330"/>
      <c r="AT81" s="330"/>
      <c r="AU81" s="330"/>
      <c r="AV81" s="330"/>
      <c r="AW81" s="330"/>
      <c r="AX81" s="330"/>
      <c r="AY81" s="330"/>
      <c r="AZ81" s="330"/>
      <c r="BA81" s="330"/>
      <c r="BB81" s="330"/>
      <c r="BC81" s="330"/>
      <c r="BD81" s="330"/>
      <c r="BE81" s="330"/>
      <c r="BF81" s="330"/>
    </row>
    <row r="82" spans="1:58">
      <c r="A82" s="330"/>
      <c r="B82" s="330"/>
      <c r="C82" s="330"/>
      <c r="D82" s="330"/>
      <c r="E82" s="330"/>
      <c r="F82" s="330"/>
      <c r="G82" s="330"/>
      <c r="H82" s="330"/>
      <c r="I82" s="330"/>
      <c r="J82" s="330"/>
      <c r="K82" s="330"/>
      <c r="L82" s="330"/>
      <c r="M82" s="330"/>
      <c r="N82" s="330"/>
      <c r="O82" s="330"/>
      <c r="P82" s="330"/>
      <c r="Q82" s="330"/>
      <c r="R82" s="330"/>
      <c r="S82" s="330"/>
      <c r="T82" s="330"/>
      <c r="U82" s="330"/>
      <c r="V82" s="330"/>
      <c r="W82" s="330"/>
      <c r="X82" s="330"/>
      <c r="Y82" s="330"/>
      <c r="Z82" s="330"/>
      <c r="AA82" s="330"/>
      <c r="AB82" s="330"/>
      <c r="AC82" s="330"/>
      <c r="AD82" s="330"/>
      <c r="AE82" s="330"/>
      <c r="AF82" s="330"/>
      <c r="AG82" s="330"/>
      <c r="AH82" s="330"/>
      <c r="AI82" s="330"/>
      <c r="AJ82" s="330"/>
      <c r="AK82" s="330"/>
      <c r="AL82" s="330"/>
      <c r="AM82" s="330"/>
      <c r="AN82" s="330"/>
      <c r="AO82" s="330"/>
      <c r="AP82" s="330"/>
      <c r="AQ82" s="330"/>
      <c r="AR82" s="330"/>
      <c r="AS82" s="330"/>
      <c r="AT82" s="330"/>
      <c r="AU82" s="330"/>
      <c r="AV82" s="330"/>
      <c r="AW82" s="330"/>
      <c r="AX82" s="330"/>
      <c r="AY82" s="330"/>
      <c r="AZ82" s="330"/>
      <c r="BA82" s="330"/>
      <c r="BB82" s="330"/>
      <c r="BC82" s="330"/>
      <c r="BD82" s="330"/>
      <c r="BE82" s="330"/>
      <c r="BF82" s="330"/>
    </row>
    <row r="83" spans="1:58">
      <c r="A83" s="330"/>
      <c r="B83" s="330"/>
      <c r="C83" s="330"/>
      <c r="D83" s="330"/>
      <c r="E83" s="330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0"/>
      <c r="Q83" s="330"/>
      <c r="R83" s="330"/>
      <c r="S83" s="330"/>
      <c r="T83" s="330"/>
      <c r="U83" s="330"/>
      <c r="V83" s="330"/>
      <c r="W83" s="330"/>
      <c r="X83" s="330"/>
      <c r="Y83" s="330"/>
      <c r="Z83" s="330"/>
      <c r="AA83" s="330"/>
      <c r="AB83" s="330"/>
      <c r="AC83" s="330"/>
      <c r="AD83" s="330"/>
      <c r="AE83" s="330"/>
      <c r="AF83" s="330"/>
      <c r="AG83" s="330"/>
      <c r="AH83" s="330"/>
      <c r="AI83" s="330"/>
      <c r="AJ83" s="330"/>
      <c r="AK83" s="330"/>
      <c r="AL83" s="330"/>
      <c r="AM83" s="330"/>
      <c r="AN83" s="330"/>
      <c r="AO83" s="330"/>
      <c r="AP83" s="330"/>
      <c r="AQ83" s="330"/>
      <c r="AR83" s="330"/>
      <c r="AS83" s="330"/>
      <c r="AT83" s="330"/>
      <c r="AU83" s="330"/>
      <c r="AV83" s="330"/>
      <c r="AW83" s="330"/>
      <c r="AX83" s="330"/>
      <c r="AY83" s="330"/>
      <c r="AZ83" s="330"/>
      <c r="BA83" s="330"/>
      <c r="BB83" s="330"/>
      <c r="BC83" s="330"/>
      <c r="BD83" s="330"/>
      <c r="BE83" s="330"/>
      <c r="BF83" s="330"/>
    </row>
    <row r="84" spans="1:58">
      <c r="A84" s="330"/>
      <c r="B84" s="330"/>
      <c r="C84" s="330"/>
      <c r="D84" s="330"/>
      <c r="E84" s="330"/>
      <c r="F84" s="330"/>
      <c r="G84" s="330"/>
      <c r="H84" s="330"/>
      <c r="I84" s="330"/>
      <c r="J84" s="330"/>
      <c r="K84" s="330"/>
      <c r="L84" s="330"/>
      <c r="M84" s="330"/>
      <c r="N84" s="330"/>
      <c r="O84" s="330"/>
      <c r="P84" s="330"/>
      <c r="Q84" s="330"/>
      <c r="R84" s="330"/>
      <c r="S84" s="330"/>
      <c r="T84" s="330"/>
      <c r="U84" s="330"/>
      <c r="V84" s="330"/>
      <c r="W84" s="330"/>
      <c r="X84" s="330"/>
      <c r="Y84" s="330"/>
      <c r="Z84" s="330"/>
      <c r="AA84" s="330"/>
      <c r="AB84" s="330"/>
      <c r="AC84" s="330"/>
      <c r="AD84" s="330"/>
      <c r="AE84" s="330"/>
      <c r="AF84" s="330"/>
      <c r="AG84" s="330"/>
      <c r="AH84" s="330"/>
      <c r="AI84" s="330"/>
      <c r="AJ84" s="330"/>
      <c r="AK84" s="330"/>
      <c r="AL84" s="330"/>
      <c r="AM84" s="330"/>
      <c r="AN84" s="330"/>
      <c r="AO84" s="330"/>
      <c r="AP84" s="330"/>
      <c r="AQ84" s="330"/>
      <c r="AR84" s="330"/>
      <c r="AS84" s="330"/>
      <c r="AT84" s="330"/>
      <c r="AU84" s="330"/>
      <c r="AV84" s="330"/>
      <c r="AW84" s="330"/>
      <c r="AX84" s="330"/>
      <c r="AY84" s="330"/>
      <c r="AZ84" s="330"/>
      <c r="BA84" s="330"/>
      <c r="BB84" s="330"/>
      <c r="BC84" s="330"/>
      <c r="BD84" s="330"/>
      <c r="BE84" s="330"/>
      <c r="BF84" s="330"/>
    </row>
    <row r="85" spans="1:58">
      <c r="A85" s="330"/>
      <c r="B85" s="330"/>
      <c r="C85" s="330"/>
      <c r="D85" s="330"/>
      <c r="E85" s="330"/>
      <c r="F85" s="330"/>
      <c r="G85" s="330"/>
      <c r="H85" s="330"/>
      <c r="I85" s="330"/>
      <c r="J85" s="330"/>
      <c r="K85" s="330"/>
      <c r="L85" s="330"/>
      <c r="M85" s="330"/>
      <c r="N85" s="330"/>
      <c r="O85" s="330"/>
      <c r="P85" s="330"/>
      <c r="Q85" s="330"/>
      <c r="R85" s="330"/>
      <c r="S85" s="330"/>
      <c r="T85" s="330"/>
      <c r="U85" s="330"/>
      <c r="V85" s="330"/>
      <c r="W85" s="330"/>
      <c r="X85" s="330"/>
      <c r="Y85" s="330"/>
      <c r="Z85" s="330"/>
      <c r="AA85" s="330"/>
      <c r="AB85" s="330"/>
      <c r="AC85" s="330"/>
      <c r="AD85" s="330"/>
      <c r="AE85" s="330"/>
      <c r="AF85" s="330"/>
      <c r="AG85" s="330"/>
      <c r="AH85" s="330"/>
      <c r="AI85" s="330"/>
      <c r="AJ85" s="330"/>
      <c r="AK85" s="330"/>
      <c r="AL85" s="330"/>
      <c r="AM85" s="330"/>
      <c r="AN85" s="330"/>
      <c r="AO85" s="330"/>
      <c r="AP85" s="330"/>
      <c r="AQ85" s="330"/>
      <c r="AR85" s="330"/>
      <c r="AS85" s="330"/>
      <c r="AT85" s="330"/>
      <c r="AU85" s="330"/>
      <c r="AV85" s="330"/>
      <c r="AW85" s="330"/>
      <c r="AX85" s="330"/>
      <c r="AY85" s="330"/>
      <c r="AZ85" s="330"/>
      <c r="BA85" s="330"/>
      <c r="BB85" s="330"/>
      <c r="BC85" s="330"/>
      <c r="BD85" s="330"/>
      <c r="BE85" s="330"/>
      <c r="BF85" s="330"/>
    </row>
    <row r="86" spans="1:58">
      <c r="A86" s="330"/>
      <c r="B86" s="330"/>
      <c r="C86" s="330"/>
      <c r="D86" s="330"/>
      <c r="E86" s="330"/>
      <c r="F86" s="330"/>
      <c r="G86" s="330"/>
      <c r="H86" s="330"/>
      <c r="I86" s="330"/>
      <c r="J86" s="330"/>
      <c r="K86" s="330"/>
      <c r="L86" s="330"/>
      <c r="M86" s="330"/>
      <c r="N86" s="330"/>
      <c r="O86" s="330"/>
      <c r="P86" s="330"/>
      <c r="Q86" s="330"/>
      <c r="R86" s="330"/>
      <c r="S86" s="330"/>
      <c r="T86" s="330"/>
      <c r="U86" s="330"/>
      <c r="V86" s="330"/>
      <c r="W86" s="330"/>
      <c r="X86" s="330"/>
      <c r="Y86" s="330"/>
      <c r="Z86" s="330"/>
      <c r="AA86" s="330"/>
      <c r="AB86" s="330"/>
      <c r="AC86" s="330"/>
      <c r="AD86" s="330"/>
      <c r="AE86" s="330"/>
      <c r="AF86" s="330"/>
      <c r="AG86" s="330"/>
      <c r="AH86" s="330"/>
      <c r="AI86" s="330"/>
      <c r="AJ86" s="330"/>
      <c r="AK86" s="330"/>
      <c r="AL86" s="330"/>
      <c r="AM86" s="330"/>
      <c r="AN86" s="330"/>
      <c r="AO86" s="330"/>
      <c r="AP86" s="330"/>
      <c r="AQ86" s="330"/>
      <c r="AR86" s="330"/>
      <c r="AS86" s="330"/>
      <c r="AT86" s="330"/>
      <c r="AU86" s="330"/>
      <c r="AV86" s="330"/>
      <c r="AW86" s="330"/>
      <c r="AX86" s="330"/>
      <c r="AY86" s="330"/>
      <c r="AZ86" s="330"/>
      <c r="BA86" s="330"/>
      <c r="BB86" s="330"/>
      <c r="BC86" s="330"/>
      <c r="BD86" s="330"/>
      <c r="BE86" s="330"/>
      <c r="BF86" s="330"/>
    </row>
    <row r="87" spans="1:58">
      <c r="A87" s="330"/>
      <c r="B87" s="330"/>
      <c r="C87" s="330"/>
      <c r="D87" s="330"/>
      <c r="E87" s="330"/>
      <c r="F87" s="330"/>
      <c r="G87" s="330"/>
      <c r="H87" s="330"/>
      <c r="I87" s="330"/>
      <c r="J87" s="330"/>
      <c r="K87" s="330"/>
      <c r="L87" s="330"/>
      <c r="M87" s="330"/>
      <c r="N87" s="330"/>
      <c r="O87" s="330"/>
      <c r="P87" s="330"/>
      <c r="Q87" s="330"/>
      <c r="R87" s="330"/>
      <c r="S87" s="330"/>
      <c r="T87" s="330"/>
      <c r="U87" s="330"/>
      <c r="V87" s="330"/>
      <c r="W87" s="330"/>
      <c r="X87" s="330"/>
      <c r="Y87" s="330"/>
      <c r="Z87" s="330"/>
      <c r="AA87" s="330"/>
      <c r="AB87" s="330"/>
      <c r="AC87" s="330"/>
      <c r="AD87" s="330"/>
      <c r="AE87" s="330"/>
      <c r="AF87" s="330"/>
      <c r="AG87" s="330"/>
      <c r="AH87" s="330"/>
      <c r="AI87" s="330"/>
      <c r="AJ87" s="330"/>
      <c r="AK87" s="330"/>
      <c r="AL87" s="330"/>
      <c r="AM87" s="330"/>
      <c r="AN87" s="330"/>
      <c r="AO87" s="330"/>
      <c r="AP87" s="330"/>
      <c r="AQ87" s="330"/>
      <c r="AR87" s="330"/>
      <c r="AS87" s="330"/>
      <c r="AT87" s="330"/>
      <c r="AU87" s="330"/>
      <c r="AV87" s="330"/>
      <c r="AW87" s="330"/>
      <c r="AX87" s="330"/>
      <c r="AY87" s="330"/>
      <c r="AZ87" s="330"/>
      <c r="BA87" s="330"/>
      <c r="BB87" s="330"/>
      <c r="BC87" s="330"/>
      <c r="BD87" s="330"/>
      <c r="BE87" s="330"/>
      <c r="BF87" s="330"/>
    </row>
    <row r="88" spans="1:58">
      <c r="A88" s="330"/>
      <c r="B88" s="330"/>
      <c r="C88" s="330"/>
      <c r="D88" s="330"/>
      <c r="E88" s="330"/>
      <c r="F88" s="330"/>
      <c r="G88" s="330"/>
      <c r="H88" s="330"/>
      <c r="I88" s="330"/>
      <c r="J88" s="330"/>
      <c r="K88" s="330"/>
      <c r="L88" s="330"/>
      <c r="M88" s="330"/>
      <c r="N88" s="330"/>
      <c r="O88" s="330"/>
      <c r="P88" s="330"/>
      <c r="Q88" s="330"/>
      <c r="R88" s="330"/>
      <c r="S88" s="330"/>
      <c r="T88" s="330"/>
      <c r="U88" s="330"/>
      <c r="V88" s="330"/>
      <c r="W88" s="330"/>
      <c r="X88" s="330"/>
      <c r="Y88" s="330"/>
      <c r="Z88" s="330"/>
      <c r="AA88" s="330"/>
      <c r="AB88" s="330"/>
      <c r="AC88" s="330"/>
      <c r="AD88" s="330"/>
      <c r="AE88" s="330"/>
      <c r="AF88" s="330"/>
      <c r="AG88" s="330"/>
      <c r="AH88" s="330"/>
      <c r="AI88" s="330"/>
      <c r="AJ88" s="330"/>
      <c r="AK88" s="330"/>
      <c r="AL88" s="330"/>
      <c r="AM88" s="330"/>
      <c r="AN88" s="330"/>
      <c r="AO88" s="330"/>
      <c r="AP88" s="330"/>
      <c r="AQ88" s="330"/>
      <c r="AR88" s="330"/>
      <c r="AS88" s="330"/>
      <c r="AT88" s="330"/>
      <c r="AU88" s="330"/>
      <c r="AV88" s="330"/>
      <c r="AW88" s="330"/>
      <c r="AX88" s="330"/>
      <c r="AY88" s="330"/>
      <c r="AZ88" s="330"/>
      <c r="BA88" s="330"/>
      <c r="BB88" s="330"/>
      <c r="BC88" s="330"/>
      <c r="BD88" s="330"/>
      <c r="BE88" s="330"/>
      <c r="BF88" s="330"/>
    </row>
    <row r="89" spans="1:58">
      <c r="A89" s="330"/>
      <c r="B89" s="330"/>
      <c r="C89" s="330"/>
      <c r="D89" s="330"/>
      <c r="E89" s="330"/>
      <c r="F89" s="330"/>
      <c r="G89" s="330"/>
      <c r="H89" s="330"/>
      <c r="I89" s="330"/>
      <c r="J89" s="330"/>
      <c r="K89" s="330"/>
      <c r="L89" s="330"/>
      <c r="M89" s="330"/>
      <c r="N89" s="330"/>
      <c r="O89" s="330"/>
      <c r="P89" s="330"/>
      <c r="Q89" s="330"/>
      <c r="R89" s="330"/>
      <c r="S89" s="330"/>
      <c r="T89" s="330"/>
      <c r="U89" s="330"/>
      <c r="V89" s="330"/>
      <c r="W89" s="330"/>
      <c r="X89" s="330"/>
      <c r="Y89" s="330"/>
      <c r="Z89" s="330"/>
      <c r="AA89" s="330"/>
      <c r="AB89" s="330"/>
      <c r="AC89" s="330"/>
      <c r="AD89" s="330"/>
      <c r="AE89" s="330"/>
      <c r="AF89" s="330"/>
      <c r="AG89" s="330"/>
      <c r="AH89" s="330"/>
      <c r="AI89" s="330"/>
      <c r="AJ89" s="330"/>
      <c r="AK89" s="330"/>
      <c r="AL89" s="330"/>
      <c r="AM89" s="330"/>
      <c r="AN89" s="330"/>
      <c r="AO89" s="330"/>
      <c r="AP89" s="330"/>
      <c r="AQ89" s="330"/>
      <c r="AR89" s="330"/>
      <c r="AS89" s="330"/>
      <c r="AT89" s="330"/>
      <c r="AU89" s="330"/>
      <c r="AV89" s="330"/>
      <c r="AW89" s="330"/>
      <c r="AX89" s="330"/>
      <c r="AY89" s="330"/>
      <c r="AZ89" s="330"/>
      <c r="BA89" s="330"/>
      <c r="BB89" s="330"/>
      <c r="BC89" s="330"/>
      <c r="BD89" s="330"/>
      <c r="BE89" s="330"/>
      <c r="BF89" s="330"/>
    </row>
    <row r="90" spans="1:58">
      <c r="A90" s="330"/>
      <c r="B90" s="330"/>
      <c r="C90" s="330"/>
      <c r="D90" s="330"/>
      <c r="E90" s="330"/>
      <c r="F90" s="330"/>
      <c r="G90" s="330"/>
      <c r="H90" s="330"/>
      <c r="I90" s="330"/>
      <c r="J90" s="330"/>
      <c r="K90" s="330"/>
      <c r="L90" s="330"/>
      <c r="M90" s="330"/>
      <c r="N90" s="330"/>
      <c r="O90" s="330"/>
      <c r="P90" s="330"/>
      <c r="Q90" s="330"/>
      <c r="R90" s="330"/>
      <c r="S90" s="330"/>
      <c r="T90" s="330"/>
      <c r="U90" s="330"/>
      <c r="V90" s="330"/>
      <c r="W90" s="330"/>
      <c r="X90" s="330"/>
      <c r="Y90" s="330"/>
      <c r="Z90" s="330"/>
      <c r="AA90" s="330"/>
      <c r="AB90" s="330"/>
      <c r="AC90" s="330"/>
      <c r="AD90" s="330"/>
      <c r="AE90" s="330"/>
      <c r="AF90" s="330"/>
      <c r="AG90" s="330"/>
      <c r="AH90" s="330"/>
      <c r="AI90" s="330"/>
      <c r="AJ90" s="330"/>
      <c r="AK90" s="330"/>
      <c r="AL90" s="330"/>
      <c r="AM90" s="330"/>
      <c r="AN90" s="330"/>
      <c r="AO90" s="330"/>
      <c r="AP90" s="330"/>
      <c r="AQ90" s="330"/>
      <c r="AR90" s="330"/>
      <c r="AS90" s="330"/>
      <c r="AT90" s="330"/>
      <c r="AU90" s="330"/>
      <c r="AV90" s="330"/>
      <c r="AW90" s="330"/>
      <c r="AX90" s="330"/>
      <c r="AY90" s="330"/>
      <c r="AZ90" s="330"/>
      <c r="BA90" s="330"/>
      <c r="BB90" s="330"/>
      <c r="BC90" s="330"/>
      <c r="BD90" s="330"/>
      <c r="BE90" s="330"/>
      <c r="BF90" s="330"/>
    </row>
    <row r="91" spans="1:58">
      <c r="A91" s="330"/>
      <c r="B91" s="330"/>
      <c r="C91" s="330"/>
      <c r="D91" s="330"/>
      <c r="E91" s="330"/>
      <c r="F91" s="330"/>
      <c r="G91" s="330"/>
      <c r="H91" s="330"/>
      <c r="I91" s="330"/>
      <c r="J91" s="330"/>
      <c r="K91" s="330"/>
      <c r="L91" s="330"/>
      <c r="M91" s="330"/>
      <c r="N91" s="330"/>
      <c r="O91" s="330"/>
      <c r="P91" s="330"/>
      <c r="Q91" s="330"/>
      <c r="R91" s="330"/>
      <c r="S91" s="330"/>
      <c r="T91" s="330"/>
      <c r="U91" s="330"/>
      <c r="V91" s="330"/>
      <c r="W91" s="330"/>
      <c r="X91" s="330"/>
      <c r="Y91" s="330"/>
      <c r="Z91" s="330"/>
      <c r="AA91" s="330"/>
      <c r="AB91" s="330"/>
      <c r="AC91" s="330"/>
      <c r="AD91" s="330"/>
      <c r="AE91" s="330"/>
      <c r="AF91" s="330"/>
      <c r="AG91" s="330"/>
      <c r="AH91" s="330"/>
      <c r="AI91" s="330"/>
      <c r="AJ91" s="330"/>
      <c r="AK91" s="330"/>
      <c r="AL91" s="330"/>
      <c r="AM91" s="330"/>
      <c r="AN91" s="330"/>
      <c r="AO91" s="330"/>
      <c r="AP91" s="330"/>
      <c r="AQ91" s="330"/>
      <c r="AR91" s="330"/>
      <c r="AS91" s="330"/>
      <c r="AT91" s="330"/>
      <c r="AU91" s="330"/>
      <c r="AV91" s="330"/>
      <c r="AW91" s="330"/>
      <c r="AX91" s="330"/>
      <c r="AY91" s="330"/>
      <c r="AZ91" s="330"/>
      <c r="BA91" s="330"/>
      <c r="BB91" s="330"/>
      <c r="BC91" s="330"/>
      <c r="BD91" s="330"/>
      <c r="BE91" s="330"/>
      <c r="BF91" s="330"/>
    </row>
    <row r="92" spans="1:58">
      <c r="A92" s="330"/>
      <c r="B92" s="330"/>
      <c r="C92" s="330"/>
      <c r="D92" s="330"/>
      <c r="E92" s="330"/>
      <c r="F92" s="330"/>
      <c r="G92" s="330"/>
      <c r="H92" s="330"/>
      <c r="I92" s="330"/>
      <c r="J92" s="330"/>
      <c r="K92" s="330"/>
      <c r="L92" s="330"/>
      <c r="M92" s="330"/>
      <c r="N92" s="330"/>
      <c r="O92" s="330"/>
      <c r="P92" s="330"/>
      <c r="Q92" s="330"/>
      <c r="R92" s="330"/>
      <c r="S92" s="330"/>
      <c r="T92" s="330"/>
      <c r="U92" s="330"/>
      <c r="V92" s="330"/>
      <c r="W92" s="330"/>
      <c r="X92" s="330"/>
      <c r="Y92" s="330"/>
      <c r="Z92" s="330"/>
      <c r="AA92" s="330"/>
      <c r="AB92" s="330"/>
      <c r="AC92" s="330"/>
      <c r="AD92" s="330"/>
      <c r="AE92" s="330"/>
      <c r="AF92" s="330"/>
      <c r="AG92" s="330"/>
      <c r="AH92" s="330"/>
      <c r="AI92" s="330"/>
      <c r="AJ92" s="330"/>
      <c r="AK92" s="330"/>
      <c r="AL92" s="330"/>
      <c r="AM92" s="330"/>
      <c r="AN92" s="330"/>
      <c r="AO92" s="330"/>
      <c r="AP92" s="330"/>
      <c r="AQ92" s="330"/>
      <c r="AR92" s="330"/>
      <c r="AS92" s="330"/>
      <c r="AT92" s="330"/>
      <c r="AU92" s="330"/>
      <c r="AV92" s="330"/>
      <c r="AW92" s="330"/>
      <c r="AX92" s="330"/>
      <c r="AY92" s="330"/>
      <c r="AZ92" s="330"/>
      <c r="BA92" s="330"/>
      <c r="BB92" s="330"/>
      <c r="BC92" s="330"/>
      <c r="BD92" s="330"/>
      <c r="BE92" s="330"/>
      <c r="BF92" s="330"/>
    </row>
    <row r="93" spans="1:58">
      <c r="A93" s="330"/>
      <c r="B93" s="330"/>
      <c r="C93" s="330"/>
      <c r="D93" s="330"/>
      <c r="E93" s="330"/>
      <c r="F93" s="330"/>
      <c r="G93" s="330"/>
      <c r="H93" s="330"/>
      <c r="I93" s="330"/>
      <c r="J93" s="330"/>
      <c r="K93" s="330"/>
      <c r="L93" s="330"/>
      <c r="M93" s="330"/>
      <c r="N93" s="330"/>
      <c r="O93" s="330"/>
      <c r="P93" s="330"/>
      <c r="Q93" s="330"/>
      <c r="R93" s="330"/>
      <c r="S93" s="330"/>
      <c r="T93" s="330"/>
      <c r="U93" s="330"/>
      <c r="V93" s="330"/>
      <c r="W93" s="330"/>
      <c r="X93" s="330"/>
      <c r="Y93" s="330"/>
      <c r="Z93" s="330"/>
      <c r="AA93" s="330"/>
      <c r="AB93" s="330"/>
      <c r="AC93" s="330"/>
      <c r="AD93" s="330"/>
      <c r="AE93" s="330"/>
      <c r="AF93" s="330"/>
      <c r="AG93" s="330"/>
      <c r="AH93" s="330"/>
      <c r="AI93" s="330"/>
      <c r="AJ93" s="330"/>
      <c r="AK93" s="330"/>
      <c r="AL93" s="330"/>
      <c r="AM93" s="330"/>
      <c r="AN93" s="330"/>
      <c r="AO93" s="330"/>
      <c r="AP93" s="330"/>
      <c r="AQ93" s="330"/>
      <c r="AR93" s="330"/>
      <c r="AS93" s="330"/>
      <c r="AT93" s="330"/>
      <c r="AU93" s="330"/>
      <c r="AV93" s="330"/>
      <c r="AW93" s="330"/>
      <c r="AX93" s="330"/>
      <c r="AY93" s="330"/>
      <c r="AZ93" s="330"/>
      <c r="BA93" s="330"/>
      <c r="BB93" s="330"/>
      <c r="BC93" s="330"/>
      <c r="BD93" s="330"/>
      <c r="BE93" s="330"/>
      <c r="BF93" s="330"/>
    </row>
    <row r="94" spans="1:58">
      <c r="A94" s="330"/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0"/>
      <c r="P94" s="330"/>
      <c r="Q94" s="330"/>
      <c r="R94" s="330"/>
      <c r="S94" s="330"/>
      <c r="T94" s="330"/>
      <c r="U94" s="330"/>
      <c r="V94" s="330"/>
      <c r="W94" s="330"/>
      <c r="X94" s="330"/>
      <c r="Y94" s="330"/>
      <c r="Z94" s="330"/>
      <c r="AA94" s="330"/>
      <c r="AB94" s="330"/>
      <c r="AC94" s="330"/>
      <c r="AD94" s="330"/>
      <c r="AE94" s="330"/>
      <c r="AF94" s="330"/>
      <c r="AG94" s="330"/>
      <c r="AH94" s="330"/>
      <c r="AI94" s="330"/>
      <c r="AJ94" s="330"/>
      <c r="AK94" s="330"/>
      <c r="AL94" s="330"/>
      <c r="AM94" s="330"/>
      <c r="AN94" s="330"/>
      <c r="AO94" s="330"/>
      <c r="AP94" s="330"/>
      <c r="AQ94" s="330"/>
      <c r="AR94" s="330"/>
      <c r="AS94" s="330"/>
      <c r="AT94" s="330"/>
      <c r="AU94" s="330"/>
      <c r="AV94" s="330"/>
      <c r="AW94" s="330"/>
      <c r="AX94" s="330"/>
      <c r="AY94" s="330"/>
      <c r="AZ94" s="330"/>
      <c r="BA94" s="330"/>
      <c r="BB94" s="330"/>
      <c r="BC94" s="330"/>
      <c r="BD94" s="330"/>
      <c r="BE94" s="330"/>
      <c r="BF94" s="330"/>
    </row>
    <row r="95" spans="1:58">
      <c r="A95" s="330"/>
      <c r="B95" s="330"/>
      <c r="C95" s="330"/>
      <c r="D95" s="330"/>
      <c r="E95" s="330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0"/>
      <c r="Q95" s="330"/>
      <c r="R95" s="330"/>
      <c r="S95" s="330"/>
      <c r="T95" s="330"/>
      <c r="U95" s="330"/>
      <c r="V95" s="330"/>
      <c r="W95" s="330"/>
      <c r="X95" s="330"/>
      <c r="Y95" s="330"/>
      <c r="Z95" s="330"/>
      <c r="AA95" s="330"/>
      <c r="AB95" s="330"/>
      <c r="AC95" s="330"/>
      <c r="AD95" s="330"/>
      <c r="AE95" s="330"/>
      <c r="AF95" s="330"/>
      <c r="AG95" s="330"/>
      <c r="AH95" s="330"/>
      <c r="AI95" s="330"/>
      <c r="AJ95" s="330"/>
      <c r="AK95" s="330"/>
      <c r="AL95" s="330"/>
      <c r="AM95" s="330"/>
      <c r="AN95" s="330"/>
      <c r="AO95" s="330"/>
      <c r="AP95" s="330"/>
      <c r="AQ95" s="330"/>
      <c r="AR95" s="330"/>
      <c r="AS95" s="330"/>
      <c r="AT95" s="330"/>
      <c r="AU95" s="330"/>
      <c r="AV95" s="330"/>
      <c r="AW95" s="330"/>
      <c r="AX95" s="330"/>
      <c r="AY95" s="330"/>
      <c r="AZ95" s="330"/>
      <c r="BA95" s="330"/>
      <c r="BB95" s="330"/>
      <c r="BC95" s="330"/>
      <c r="BD95" s="330"/>
      <c r="BE95" s="330"/>
      <c r="BF95" s="330"/>
    </row>
    <row r="96" spans="1:58">
      <c r="A96" s="330"/>
      <c r="B96" s="330"/>
      <c r="C96" s="330"/>
      <c r="D96" s="330"/>
      <c r="E96" s="330"/>
      <c r="F96" s="330"/>
      <c r="G96" s="330"/>
      <c r="H96" s="330"/>
      <c r="I96" s="330"/>
      <c r="J96" s="330"/>
      <c r="K96" s="330"/>
      <c r="L96" s="330"/>
      <c r="M96" s="330"/>
      <c r="N96" s="330"/>
      <c r="O96" s="330"/>
      <c r="P96" s="330"/>
      <c r="Q96" s="330"/>
      <c r="R96" s="330"/>
      <c r="S96" s="330"/>
      <c r="T96" s="330"/>
      <c r="U96" s="330"/>
      <c r="V96" s="330"/>
      <c r="W96" s="330"/>
      <c r="X96" s="330"/>
      <c r="Y96" s="330"/>
      <c r="Z96" s="330"/>
      <c r="AA96" s="330"/>
      <c r="AB96" s="330"/>
      <c r="AC96" s="330"/>
      <c r="AD96" s="330"/>
      <c r="AE96" s="330"/>
      <c r="AF96" s="330"/>
      <c r="AG96" s="330"/>
      <c r="AH96" s="330"/>
      <c r="AI96" s="330"/>
      <c r="AJ96" s="330"/>
      <c r="AK96" s="330"/>
      <c r="AL96" s="330"/>
      <c r="AM96" s="330"/>
      <c r="AN96" s="330"/>
      <c r="AO96" s="330"/>
      <c r="AP96" s="330"/>
      <c r="AQ96" s="330"/>
      <c r="AR96" s="330"/>
      <c r="AS96" s="330"/>
      <c r="AT96" s="330"/>
      <c r="AU96" s="330"/>
      <c r="AV96" s="330"/>
      <c r="AW96" s="330"/>
      <c r="AX96" s="330"/>
      <c r="AY96" s="330"/>
      <c r="AZ96" s="330"/>
      <c r="BA96" s="330"/>
      <c r="BB96" s="330"/>
      <c r="BC96" s="330"/>
      <c r="BD96" s="330"/>
      <c r="BE96" s="330"/>
      <c r="BF96" s="330"/>
    </row>
    <row r="97" spans="1:58">
      <c r="A97" s="330"/>
      <c r="B97" s="330"/>
      <c r="C97" s="330"/>
      <c r="D97" s="330"/>
      <c r="E97" s="330"/>
      <c r="F97" s="330"/>
      <c r="G97" s="330"/>
      <c r="H97" s="330"/>
      <c r="I97" s="330"/>
      <c r="J97" s="330"/>
      <c r="K97" s="330"/>
      <c r="L97" s="330"/>
      <c r="M97" s="330"/>
      <c r="N97" s="330"/>
      <c r="O97" s="330"/>
      <c r="P97" s="330"/>
      <c r="Q97" s="330"/>
      <c r="R97" s="330"/>
      <c r="S97" s="330"/>
      <c r="T97" s="330"/>
      <c r="U97" s="330"/>
      <c r="V97" s="330"/>
      <c r="W97" s="330"/>
      <c r="X97" s="330"/>
      <c r="Y97" s="330"/>
      <c r="Z97" s="330"/>
      <c r="AA97" s="330"/>
      <c r="AB97" s="330"/>
      <c r="AC97" s="330"/>
      <c r="AD97" s="330"/>
      <c r="AE97" s="330"/>
      <c r="AF97" s="330"/>
      <c r="AG97" s="330"/>
      <c r="AH97" s="330"/>
      <c r="AI97" s="330"/>
      <c r="AJ97" s="330"/>
      <c r="AK97" s="330"/>
      <c r="AL97" s="330"/>
      <c r="AM97" s="330"/>
      <c r="AN97" s="330"/>
      <c r="AO97" s="330"/>
      <c r="AP97" s="330"/>
      <c r="AQ97" s="330"/>
      <c r="AR97" s="330"/>
      <c r="AS97" s="330"/>
      <c r="AT97" s="330"/>
      <c r="AU97" s="330"/>
      <c r="AV97" s="330"/>
      <c r="AW97" s="330"/>
      <c r="AX97" s="330"/>
      <c r="AY97" s="330"/>
      <c r="AZ97" s="330"/>
      <c r="BA97" s="330"/>
      <c r="BB97" s="330"/>
      <c r="BC97" s="330"/>
      <c r="BD97" s="330"/>
      <c r="BE97" s="330"/>
      <c r="BF97" s="330"/>
    </row>
    <row r="98" spans="1:58">
      <c r="A98" s="330"/>
      <c r="B98" s="330"/>
      <c r="C98" s="330"/>
      <c r="D98" s="330"/>
      <c r="E98" s="330"/>
      <c r="F98" s="330"/>
      <c r="G98" s="330"/>
      <c r="H98" s="330"/>
      <c r="I98" s="330"/>
      <c r="J98" s="330"/>
      <c r="K98" s="330"/>
      <c r="L98" s="330"/>
      <c r="M98" s="330"/>
      <c r="N98" s="330"/>
      <c r="O98" s="330"/>
      <c r="P98" s="330"/>
      <c r="Q98" s="330"/>
      <c r="R98" s="330"/>
      <c r="S98" s="330"/>
      <c r="T98" s="330"/>
      <c r="U98" s="330"/>
      <c r="V98" s="330"/>
      <c r="W98" s="330"/>
      <c r="X98" s="330"/>
      <c r="Y98" s="330"/>
      <c r="Z98" s="330"/>
      <c r="AA98" s="330"/>
      <c r="AB98" s="330"/>
      <c r="AC98" s="330"/>
      <c r="AD98" s="330"/>
      <c r="AE98" s="330"/>
      <c r="AF98" s="330"/>
      <c r="AG98" s="330"/>
      <c r="AH98" s="330"/>
      <c r="AI98" s="330"/>
      <c r="AJ98" s="330"/>
      <c r="AK98" s="330"/>
      <c r="AL98" s="330"/>
      <c r="AM98" s="330"/>
      <c r="AN98" s="330"/>
      <c r="AO98" s="330"/>
      <c r="AP98" s="330"/>
      <c r="AQ98" s="330"/>
      <c r="AR98" s="330"/>
      <c r="AS98" s="330"/>
      <c r="AT98" s="330"/>
      <c r="AU98" s="330"/>
      <c r="AV98" s="330"/>
      <c r="AW98" s="330"/>
      <c r="AX98" s="330"/>
      <c r="AY98" s="330"/>
      <c r="AZ98" s="330"/>
      <c r="BA98" s="330"/>
      <c r="BB98" s="330"/>
      <c r="BC98" s="330"/>
      <c r="BD98" s="330"/>
      <c r="BE98" s="330"/>
      <c r="BF98" s="330"/>
    </row>
    <row r="99" spans="1:58">
      <c r="A99" s="330"/>
      <c r="B99" s="330"/>
      <c r="C99" s="330"/>
      <c r="D99" s="330"/>
      <c r="E99" s="330"/>
      <c r="F99" s="330"/>
      <c r="G99" s="330"/>
      <c r="H99" s="330"/>
      <c r="I99" s="330"/>
      <c r="J99" s="330"/>
      <c r="K99" s="330"/>
      <c r="L99" s="330"/>
      <c r="M99" s="330"/>
      <c r="N99" s="330"/>
      <c r="O99" s="330"/>
      <c r="P99" s="330"/>
      <c r="Q99" s="330"/>
      <c r="R99" s="330"/>
      <c r="S99" s="330"/>
      <c r="T99" s="330"/>
      <c r="U99" s="330"/>
      <c r="V99" s="330"/>
      <c r="W99" s="330"/>
      <c r="X99" s="330"/>
      <c r="Y99" s="330"/>
      <c r="Z99" s="330"/>
      <c r="AA99" s="330"/>
      <c r="AB99" s="330"/>
      <c r="AC99" s="330"/>
      <c r="AD99" s="330"/>
      <c r="AE99" s="330"/>
      <c r="AF99" s="330"/>
      <c r="AG99" s="330"/>
      <c r="AH99" s="330"/>
      <c r="AI99" s="330"/>
      <c r="AJ99" s="330"/>
      <c r="AK99" s="330"/>
      <c r="AL99" s="330"/>
      <c r="AM99" s="330"/>
      <c r="AN99" s="330"/>
      <c r="AO99" s="330"/>
      <c r="AP99" s="330"/>
      <c r="AQ99" s="330"/>
      <c r="AR99" s="330"/>
      <c r="AS99" s="330"/>
      <c r="AT99" s="330"/>
      <c r="AU99" s="330"/>
      <c r="AV99" s="330"/>
      <c r="AW99" s="330"/>
      <c r="AX99" s="330"/>
      <c r="AY99" s="330"/>
      <c r="AZ99" s="330"/>
      <c r="BA99" s="330"/>
      <c r="BB99" s="330"/>
      <c r="BC99" s="330"/>
      <c r="BD99" s="330"/>
      <c r="BE99" s="330"/>
      <c r="BF99" s="330"/>
    </row>
    <row r="100" spans="1:58">
      <c r="A100" s="330"/>
      <c r="B100" s="330"/>
      <c r="C100" s="330"/>
      <c r="D100" s="330"/>
      <c r="E100" s="330"/>
      <c r="F100" s="330"/>
      <c r="G100" s="330"/>
      <c r="H100" s="330"/>
      <c r="I100" s="330"/>
      <c r="J100" s="330"/>
      <c r="K100" s="330"/>
      <c r="L100" s="330"/>
      <c r="M100" s="330"/>
      <c r="N100" s="330"/>
      <c r="O100" s="330"/>
      <c r="P100" s="330"/>
      <c r="Q100" s="330"/>
      <c r="R100" s="330"/>
      <c r="S100" s="330"/>
      <c r="T100" s="330"/>
      <c r="U100" s="330"/>
      <c r="V100" s="330"/>
      <c r="W100" s="330"/>
      <c r="X100" s="330"/>
      <c r="Y100" s="330"/>
      <c r="Z100" s="330"/>
      <c r="AA100" s="330"/>
      <c r="AB100" s="330"/>
      <c r="AC100" s="330"/>
      <c r="AD100" s="330"/>
      <c r="AE100" s="330"/>
      <c r="AF100" s="330"/>
      <c r="AG100" s="330"/>
      <c r="AH100" s="330"/>
      <c r="AI100" s="330"/>
      <c r="AJ100" s="330"/>
      <c r="AK100" s="330"/>
      <c r="AL100" s="330"/>
      <c r="AM100" s="330"/>
      <c r="AN100" s="330"/>
      <c r="AO100" s="330"/>
      <c r="AP100" s="330"/>
      <c r="AQ100" s="330"/>
      <c r="AR100" s="330"/>
      <c r="AS100" s="330"/>
      <c r="AT100" s="330"/>
      <c r="AU100" s="330"/>
      <c r="AV100" s="330"/>
      <c r="AW100" s="330"/>
      <c r="AX100" s="330"/>
      <c r="AY100" s="330"/>
      <c r="AZ100" s="330"/>
      <c r="BA100" s="330"/>
      <c r="BB100" s="330"/>
      <c r="BC100" s="330"/>
      <c r="BD100" s="330"/>
      <c r="BE100" s="330"/>
      <c r="BF100" s="330"/>
    </row>
    <row r="101" spans="1:58">
      <c r="A101" s="330"/>
      <c r="B101" s="330"/>
      <c r="C101" s="330"/>
      <c r="D101" s="330"/>
      <c r="E101" s="330"/>
      <c r="F101" s="330"/>
      <c r="G101" s="330"/>
      <c r="H101" s="330"/>
      <c r="I101" s="330"/>
      <c r="J101" s="330"/>
      <c r="K101" s="330"/>
      <c r="L101" s="330"/>
      <c r="M101" s="330"/>
      <c r="N101" s="330"/>
      <c r="O101" s="330"/>
      <c r="P101" s="330"/>
      <c r="Q101" s="330"/>
      <c r="R101" s="330"/>
      <c r="S101" s="330"/>
      <c r="T101" s="330"/>
      <c r="U101" s="330"/>
      <c r="V101" s="330"/>
      <c r="W101" s="330"/>
      <c r="X101" s="330"/>
      <c r="Y101" s="330"/>
      <c r="Z101" s="330"/>
      <c r="AA101" s="330"/>
      <c r="AB101" s="330"/>
      <c r="AC101" s="330"/>
      <c r="AD101" s="330"/>
      <c r="AE101" s="330"/>
      <c r="AF101" s="330"/>
      <c r="AG101" s="330"/>
      <c r="AH101" s="330"/>
      <c r="AI101" s="330"/>
      <c r="AJ101" s="330"/>
      <c r="AK101" s="330"/>
      <c r="AL101" s="330"/>
      <c r="AM101" s="330"/>
      <c r="AN101" s="330"/>
      <c r="AO101" s="330"/>
      <c r="AP101" s="330"/>
      <c r="AQ101" s="330"/>
      <c r="AR101" s="330"/>
      <c r="AS101" s="330"/>
      <c r="AT101" s="330"/>
      <c r="AU101" s="330"/>
      <c r="AV101" s="330"/>
      <c r="AW101" s="330"/>
      <c r="AX101" s="330"/>
      <c r="AY101" s="330"/>
      <c r="AZ101" s="330"/>
      <c r="BA101" s="330"/>
      <c r="BB101" s="330"/>
      <c r="BC101" s="330"/>
      <c r="BD101" s="330"/>
      <c r="BE101" s="330"/>
      <c r="BF101" s="330"/>
    </row>
    <row r="102" spans="1:58">
      <c r="A102" s="330"/>
      <c r="B102" s="330"/>
      <c r="C102" s="330"/>
      <c r="D102" s="330"/>
      <c r="E102" s="330"/>
      <c r="F102" s="330"/>
      <c r="G102" s="330"/>
      <c r="H102" s="330"/>
      <c r="I102" s="330"/>
      <c r="J102" s="330"/>
      <c r="K102" s="330"/>
      <c r="L102" s="330"/>
      <c r="M102" s="330"/>
      <c r="N102" s="330"/>
      <c r="O102" s="330"/>
      <c r="P102" s="330"/>
      <c r="Q102" s="330"/>
      <c r="R102" s="330"/>
      <c r="S102" s="330"/>
      <c r="T102" s="330"/>
      <c r="U102" s="330"/>
      <c r="V102" s="330"/>
      <c r="W102" s="330"/>
      <c r="X102" s="330"/>
      <c r="Y102" s="330"/>
      <c r="Z102" s="330"/>
      <c r="AA102" s="330"/>
      <c r="AB102" s="330"/>
      <c r="AC102" s="330"/>
      <c r="AD102" s="330"/>
      <c r="AE102" s="330"/>
      <c r="AF102" s="330"/>
      <c r="AG102" s="330"/>
      <c r="AH102" s="330"/>
      <c r="AI102" s="330"/>
      <c r="AJ102" s="330"/>
      <c r="AK102" s="330"/>
      <c r="AL102" s="330"/>
      <c r="AM102" s="330"/>
      <c r="AN102" s="330"/>
      <c r="AO102" s="330"/>
      <c r="AP102" s="330"/>
      <c r="AQ102" s="330"/>
      <c r="AR102" s="330"/>
      <c r="AS102" s="330"/>
      <c r="AT102" s="330"/>
      <c r="AU102" s="330"/>
      <c r="AV102" s="330"/>
      <c r="AW102" s="330"/>
      <c r="AX102" s="330"/>
      <c r="AY102" s="330"/>
      <c r="AZ102" s="330"/>
      <c r="BA102" s="330"/>
      <c r="BB102" s="330"/>
      <c r="BC102" s="330"/>
      <c r="BD102" s="330"/>
      <c r="BE102" s="330"/>
      <c r="BF102" s="330"/>
    </row>
    <row r="103" spans="1:58">
      <c r="A103" s="33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</row>
    <row r="104" spans="1:58">
      <c r="A104" s="330"/>
      <c r="B104" s="330"/>
      <c r="C104" s="330"/>
      <c r="D104" s="330"/>
      <c r="E104" s="330"/>
      <c r="F104" s="330"/>
      <c r="G104" s="330"/>
      <c r="H104" s="330"/>
      <c r="I104" s="330"/>
      <c r="J104" s="330"/>
      <c r="K104" s="330"/>
      <c r="L104" s="330"/>
      <c r="M104" s="330"/>
      <c r="N104" s="330"/>
      <c r="O104" s="330"/>
      <c r="P104" s="330"/>
      <c r="Q104" s="330"/>
      <c r="R104" s="330"/>
      <c r="S104" s="330"/>
      <c r="T104" s="330"/>
      <c r="U104" s="330"/>
      <c r="V104" s="330"/>
      <c r="W104" s="330"/>
      <c r="X104" s="330"/>
      <c r="Y104" s="330"/>
      <c r="Z104" s="330"/>
      <c r="AA104" s="330"/>
      <c r="AB104" s="330"/>
      <c r="AC104" s="330"/>
      <c r="AD104" s="330"/>
      <c r="AE104" s="330"/>
      <c r="AF104" s="330"/>
      <c r="AG104" s="330"/>
      <c r="AH104" s="330"/>
      <c r="AI104" s="330"/>
      <c r="AJ104" s="330"/>
      <c r="AK104" s="330"/>
      <c r="AL104" s="330"/>
      <c r="AM104" s="330"/>
      <c r="AN104" s="330"/>
      <c r="AO104" s="330"/>
      <c r="AP104" s="330"/>
      <c r="AQ104" s="330"/>
      <c r="AR104" s="330"/>
      <c r="AS104" s="330"/>
      <c r="AT104" s="330"/>
      <c r="AU104" s="330"/>
      <c r="AV104" s="330"/>
      <c r="AW104" s="330"/>
      <c r="AX104" s="330"/>
      <c r="AY104" s="330"/>
      <c r="AZ104" s="330"/>
      <c r="BA104" s="330"/>
      <c r="BB104" s="330"/>
      <c r="BC104" s="330"/>
      <c r="BD104" s="330"/>
      <c r="BE104" s="330"/>
      <c r="BF104" s="330"/>
    </row>
    <row r="105" spans="1:58">
      <c r="A105" s="330"/>
      <c r="B105" s="330"/>
      <c r="C105" s="330"/>
      <c r="D105" s="330"/>
      <c r="E105" s="330"/>
      <c r="F105" s="330"/>
      <c r="G105" s="330"/>
      <c r="H105" s="330"/>
      <c r="I105" s="330"/>
      <c r="J105" s="330"/>
      <c r="K105" s="330"/>
      <c r="L105" s="330"/>
      <c r="M105" s="330"/>
      <c r="N105" s="330"/>
      <c r="O105" s="330"/>
      <c r="P105" s="330"/>
      <c r="Q105" s="330"/>
      <c r="R105" s="330"/>
      <c r="S105" s="330"/>
      <c r="T105" s="330"/>
      <c r="U105" s="330"/>
      <c r="V105" s="330"/>
      <c r="W105" s="330"/>
      <c r="X105" s="330"/>
      <c r="Y105" s="330"/>
      <c r="Z105" s="330"/>
      <c r="AA105" s="330"/>
      <c r="AB105" s="330"/>
      <c r="AC105" s="330"/>
      <c r="AD105" s="330"/>
      <c r="AE105" s="330"/>
      <c r="AF105" s="330"/>
      <c r="AG105" s="330"/>
      <c r="AH105" s="330"/>
      <c r="AI105" s="330"/>
      <c r="AJ105" s="330"/>
      <c r="AK105" s="330"/>
      <c r="AL105" s="330"/>
      <c r="AM105" s="330"/>
      <c r="AN105" s="330"/>
      <c r="AO105" s="330"/>
      <c r="AP105" s="330"/>
      <c r="AQ105" s="330"/>
      <c r="AR105" s="330"/>
      <c r="AS105" s="330"/>
      <c r="AT105" s="330"/>
      <c r="AU105" s="330"/>
      <c r="AV105" s="330"/>
      <c r="AW105" s="330"/>
      <c r="AX105" s="330"/>
      <c r="AY105" s="330"/>
      <c r="AZ105" s="330"/>
      <c r="BA105" s="330"/>
      <c r="BB105" s="330"/>
      <c r="BC105" s="330"/>
      <c r="BD105" s="330"/>
      <c r="BE105" s="330"/>
      <c r="BF105" s="330"/>
    </row>
    <row r="106" spans="1:58">
      <c r="A106" s="330"/>
      <c r="B106" s="330"/>
      <c r="C106" s="330"/>
      <c r="D106" s="330"/>
      <c r="E106" s="330"/>
      <c r="F106" s="330"/>
      <c r="G106" s="330"/>
      <c r="H106" s="330"/>
      <c r="I106" s="330"/>
      <c r="J106" s="330"/>
      <c r="K106" s="330"/>
      <c r="L106" s="330"/>
      <c r="M106" s="330"/>
      <c r="N106" s="330"/>
      <c r="O106" s="330"/>
      <c r="P106" s="330"/>
      <c r="Q106" s="330"/>
      <c r="R106" s="330"/>
      <c r="S106" s="330"/>
      <c r="T106" s="330"/>
      <c r="U106" s="330"/>
      <c r="V106" s="330"/>
      <c r="W106" s="330"/>
      <c r="X106" s="330"/>
      <c r="Y106" s="330"/>
      <c r="Z106" s="330"/>
      <c r="AA106" s="330"/>
      <c r="AB106" s="330"/>
      <c r="AC106" s="330"/>
      <c r="AD106" s="330"/>
      <c r="AE106" s="330"/>
      <c r="AF106" s="330"/>
      <c r="AG106" s="330"/>
      <c r="AH106" s="330"/>
      <c r="AI106" s="330"/>
      <c r="AJ106" s="330"/>
      <c r="AK106" s="330"/>
      <c r="AL106" s="330"/>
      <c r="AM106" s="330"/>
      <c r="AN106" s="330"/>
      <c r="AO106" s="330"/>
      <c r="AP106" s="330"/>
      <c r="AQ106" s="330"/>
      <c r="AR106" s="330"/>
      <c r="AS106" s="330"/>
      <c r="AT106" s="330"/>
      <c r="AU106" s="330"/>
      <c r="AV106" s="330"/>
      <c r="AW106" s="330"/>
      <c r="AX106" s="330"/>
      <c r="AY106" s="330"/>
      <c r="AZ106" s="330"/>
      <c r="BA106" s="330"/>
      <c r="BB106" s="330"/>
      <c r="BC106" s="330"/>
      <c r="BD106" s="330"/>
      <c r="BE106" s="330"/>
      <c r="BF106" s="330"/>
    </row>
    <row r="107" spans="1:58">
      <c r="A107" s="330"/>
      <c r="B107" s="330"/>
      <c r="C107" s="330"/>
      <c r="D107" s="330"/>
      <c r="E107" s="330"/>
      <c r="F107" s="330"/>
      <c r="G107" s="330"/>
      <c r="H107" s="330"/>
      <c r="I107" s="330"/>
      <c r="J107" s="330"/>
      <c r="K107" s="330"/>
      <c r="L107" s="330"/>
      <c r="M107" s="330"/>
      <c r="N107" s="330"/>
      <c r="O107" s="330"/>
      <c r="P107" s="330"/>
      <c r="Q107" s="330"/>
      <c r="R107" s="330"/>
      <c r="S107" s="330"/>
      <c r="T107" s="330"/>
      <c r="U107" s="330"/>
      <c r="V107" s="330"/>
      <c r="W107" s="330"/>
      <c r="X107" s="330"/>
      <c r="Y107" s="330"/>
      <c r="Z107" s="330"/>
      <c r="AA107" s="330"/>
      <c r="AB107" s="330"/>
      <c r="AC107" s="330"/>
      <c r="AD107" s="330"/>
      <c r="AE107" s="330"/>
      <c r="AF107" s="330"/>
      <c r="AG107" s="330"/>
      <c r="AH107" s="330"/>
      <c r="AI107" s="330"/>
      <c r="AJ107" s="330"/>
      <c r="AK107" s="330"/>
      <c r="AL107" s="330"/>
      <c r="AM107" s="330"/>
      <c r="AN107" s="330"/>
      <c r="AO107" s="330"/>
      <c r="AP107" s="330"/>
      <c r="AQ107" s="330"/>
      <c r="AR107" s="330"/>
      <c r="AS107" s="330"/>
      <c r="AT107" s="330"/>
      <c r="AU107" s="330"/>
      <c r="AV107" s="330"/>
      <c r="AW107" s="330"/>
      <c r="AX107" s="330"/>
      <c r="AY107" s="330"/>
      <c r="AZ107" s="330"/>
      <c r="BA107" s="330"/>
      <c r="BB107" s="330"/>
      <c r="BC107" s="330"/>
      <c r="BD107" s="330"/>
      <c r="BE107" s="330"/>
      <c r="BF107" s="330"/>
    </row>
    <row r="108" spans="1:58">
      <c r="A108" s="330"/>
      <c r="B108" s="330"/>
      <c r="C108" s="330"/>
      <c r="D108" s="330"/>
      <c r="E108" s="330"/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330"/>
      <c r="R108" s="330"/>
      <c r="S108" s="330"/>
      <c r="T108" s="330"/>
      <c r="U108" s="330"/>
      <c r="V108" s="330"/>
      <c r="W108" s="330"/>
      <c r="X108" s="330"/>
      <c r="Y108" s="330"/>
      <c r="Z108" s="330"/>
      <c r="AA108" s="330"/>
      <c r="AB108" s="330"/>
      <c r="AC108" s="330"/>
      <c r="AD108" s="330"/>
      <c r="AE108" s="330"/>
      <c r="AF108" s="330"/>
      <c r="AG108" s="330"/>
      <c r="AH108" s="330"/>
      <c r="AI108" s="330"/>
      <c r="AJ108" s="330"/>
      <c r="AK108" s="330"/>
      <c r="AL108" s="330"/>
      <c r="AM108" s="330"/>
      <c r="AN108" s="330"/>
      <c r="AO108" s="330"/>
      <c r="AP108" s="330"/>
      <c r="AQ108" s="330"/>
      <c r="AR108" s="330"/>
      <c r="AS108" s="330"/>
      <c r="AT108" s="330"/>
      <c r="AU108" s="330"/>
      <c r="AV108" s="330"/>
      <c r="AW108" s="330"/>
      <c r="AX108" s="330"/>
      <c r="AY108" s="330"/>
      <c r="AZ108" s="330"/>
      <c r="BA108" s="330"/>
      <c r="BB108" s="330"/>
      <c r="BC108" s="330"/>
      <c r="BD108" s="330"/>
      <c r="BE108" s="330"/>
      <c r="BF108" s="330"/>
    </row>
    <row r="109" spans="1:58">
      <c r="A109" s="330"/>
      <c r="B109" s="330"/>
      <c r="C109" s="330"/>
      <c r="D109" s="330"/>
      <c r="E109" s="330"/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330"/>
      <c r="R109" s="330"/>
      <c r="S109" s="330"/>
      <c r="T109" s="330"/>
      <c r="U109" s="330"/>
      <c r="V109" s="330"/>
      <c r="W109" s="330"/>
      <c r="X109" s="330"/>
      <c r="Y109" s="330"/>
      <c r="Z109" s="330"/>
      <c r="AA109" s="330"/>
      <c r="AB109" s="330"/>
      <c r="AC109" s="330"/>
      <c r="AD109" s="330"/>
      <c r="AE109" s="330"/>
      <c r="AF109" s="330"/>
      <c r="AG109" s="330"/>
      <c r="AH109" s="330"/>
      <c r="AI109" s="330"/>
      <c r="AJ109" s="330"/>
      <c r="AK109" s="330"/>
      <c r="AL109" s="330"/>
      <c r="AM109" s="330"/>
      <c r="AN109" s="330"/>
      <c r="AO109" s="330"/>
      <c r="AP109" s="330"/>
      <c r="AQ109" s="330"/>
      <c r="AR109" s="330"/>
      <c r="AS109" s="330"/>
      <c r="AT109" s="330"/>
      <c r="AU109" s="330"/>
      <c r="AV109" s="330"/>
      <c r="AW109" s="330"/>
      <c r="AX109" s="330"/>
      <c r="AY109" s="330"/>
      <c r="AZ109" s="330"/>
      <c r="BA109" s="330"/>
      <c r="BB109" s="330"/>
      <c r="BC109" s="330"/>
      <c r="BD109" s="330"/>
      <c r="BE109" s="330"/>
      <c r="BF109" s="330"/>
    </row>
    <row r="110" spans="1:58">
      <c r="A110" s="330"/>
      <c r="B110" s="330"/>
      <c r="C110" s="330"/>
      <c r="D110" s="330"/>
      <c r="E110" s="330"/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330"/>
      <c r="R110" s="330"/>
      <c r="S110" s="330"/>
      <c r="T110" s="330"/>
      <c r="U110" s="330"/>
      <c r="V110" s="330"/>
      <c r="W110" s="330"/>
      <c r="X110" s="330"/>
      <c r="Y110" s="330"/>
      <c r="Z110" s="330"/>
      <c r="AA110" s="330"/>
      <c r="AB110" s="330"/>
      <c r="AC110" s="330"/>
      <c r="AD110" s="330"/>
      <c r="AE110" s="330"/>
      <c r="AF110" s="330"/>
      <c r="AG110" s="330"/>
      <c r="AH110" s="330"/>
      <c r="AI110" s="330"/>
      <c r="AJ110" s="330"/>
      <c r="AK110" s="330"/>
      <c r="AL110" s="330"/>
      <c r="AM110" s="330"/>
      <c r="AN110" s="330"/>
      <c r="AO110" s="330"/>
      <c r="AP110" s="330"/>
      <c r="AQ110" s="330"/>
      <c r="AR110" s="330"/>
      <c r="AS110" s="330"/>
      <c r="AT110" s="330"/>
      <c r="AU110" s="330"/>
      <c r="AV110" s="330"/>
      <c r="AW110" s="330"/>
      <c r="AX110" s="330"/>
      <c r="AY110" s="330"/>
      <c r="AZ110" s="330"/>
      <c r="BA110" s="330"/>
      <c r="BB110" s="330"/>
      <c r="BC110" s="330"/>
      <c r="BD110" s="330"/>
      <c r="BE110" s="330"/>
      <c r="BF110" s="330"/>
    </row>
    <row r="111" spans="1:58">
      <c r="A111" s="330"/>
      <c r="B111" s="330"/>
      <c r="C111" s="330"/>
      <c r="D111" s="330"/>
      <c r="E111" s="330"/>
      <c r="F111" s="330"/>
      <c r="G111" s="330"/>
      <c r="H111" s="330"/>
      <c r="I111" s="330"/>
      <c r="J111" s="330"/>
      <c r="K111" s="330"/>
      <c r="L111" s="330"/>
      <c r="M111" s="330"/>
      <c r="N111" s="330"/>
      <c r="O111" s="330"/>
      <c r="P111" s="330"/>
      <c r="Q111" s="330"/>
      <c r="R111" s="330"/>
      <c r="S111" s="330"/>
      <c r="T111" s="330"/>
      <c r="U111" s="330"/>
      <c r="V111" s="330"/>
      <c r="W111" s="330"/>
      <c r="X111" s="330"/>
      <c r="Y111" s="330"/>
      <c r="Z111" s="330"/>
      <c r="AA111" s="330"/>
      <c r="AB111" s="330"/>
      <c r="AC111" s="330"/>
      <c r="AD111" s="330"/>
      <c r="AE111" s="330"/>
      <c r="AF111" s="330"/>
      <c r="AG111" s="330"/>
      <c r="AH111" s="330"/>
      <c r="AI111" s="330"/>
      <c r="AJ111" s="330"/>
      <c r="AK111" s="330"/>
      <c r="AL111" s="330"/>
      <c r="AM111" s="330"/>
      <c r="AN111" s="330"/>
      <c r="AO111" s="330"/>
      <c r="AP111" s="330"/>
      <c r="AQ111" s="330"/>
      <c r="AR111" s="330"/>
      <c r="AS111" s="330"/>
      <c r="AT111" s="330"/>
      <c r="AU111" s="330"/>
      <c r="AV111" s="330"/>
      <c r="AW111" s="330"/>
      <c r="AX111" s="330"/>
      <c r="AY111" s="330"/>
      <c r="AZ111" s="330"/>
      <c r="BA111" s="330"/>
      <c r="BB111" s="330"/>
      <c r="BC111" s="330"/>
      <c r="BD111" s="330"/>
      <c r="BE111" s="330"/>
      <c r="BF111" s="330"/>
    </row>
    <row r="112" spans="1:58">
      <c r="A112" s="330"/>
      <c r="B112" s="330"/>
      <c r="C112" s="330"/>
      <c r="D112" s="330"/>
      <c r="E112" s="330"/>
      <c r="F112" s="330"/>
      <c r="G112" s="330"/>
      <c r="H112" s="330"/>
      <c r="I112" s="330"/>
      <c r="J112" s="330"/>
      <c r="K112" s="330"/>
      <c r="L112" s="330"/>
      <c r="M112" s="330"/>
      <c r="N112" s="330"/>
      <c r="O112" s="330"/>
      <c r="P112" s="330"/>
      <c r="Q112" s="330"/>
      <c r="R112" s="330"/>
      <c r="S112" s="330"/>
      <c r="T112" s="330"/>
      <c r="U112" s="330"/>
      <c r="V112" s="330"/>
      <c r="W112" s="330"/>
      <c r="X112" s="330"/>
      <c r="Y112" s="330"/>
      <c r="Z112" s="330"/>
      <c r="AA112" s="330"/>
      <c r="AB112" s="330"/>
      <c r="AC112" s="330"/>
      <c r="AD112" s="330"/>
      <c r="AE112" s="330"/>
      <c r="AF112" s="330"/>
      <c r="AG112" s="330"/>
      <c r="AH112" s="330"/>
      <c r="AI112" s="330"/>
      <c r="AJ112" s="330"/>
      <c r="AK112" s="330"/>
      <c r="AL112" s="330"/>
      <c r="AM112" s="330"/>
      <c r="AN112" s="330"/>
      <c r="AO112" s="330"/>
      <c r="AP112" s="330"/>
      <c r="AQ112" s="330"/>
      <c r="AR112" s="330"/>
      <c r="AS112" s="330"/>
      <c r="AT112" s="330"/>
      <c r="AU112" s="330"/>
      <c r="AV112" s="330"/>
      <c r="AW112" s="330"/>
      <c r="AX112" s="330"/>
      <c r="AY112" s="330"/>
      <c r="AZ112" s="330"/>
      <c r="BA112" s="330"/>
      <c r="BB112" s="330"/>
      <c r="BC112" s="330"/>
      <c r="BD112" s="330"/>
      <c r="BE112" s="330"/>
      <c r="BF112" s="330"/>
    </row>
    <row r="113" spans="1:58">
      <c r="A113" s="330"/>
      <c r="B113" s="330"/>
      <c r="C113" s="330"/>
      <c r="D113" s="330"/>
      <c r="E113" s="330"/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330"/>
      <c r="R113" s="330"/>
      <c r="S113" s="330"/>
      <c r="T113" s="330"/>
      <c r="U113" s="330"/>
      <c r="V113" s="330"/>
      <c r="W113" s="330"/>
      <c r="X113" s="330"/>
      <c r="Y113" s="330"/>
      <c r="Z113" s="330"/>
      <c r="AA113" s="330"/>
      <c r="AB113" s="330"/>
      <c r="AC113" s="330"/>
      <c r="AD113" s="330"/>
      <c r="AE113" s="330"/>
      <c r="AF113" s="330"/>
      <c r="AG113" s="330"/>
      <c r="AH113" s="330"/>
      <c r="AI113" s="330"/>
      <c r="AJ113" s="330"/>
      <c r="AK113" s="330"/>
      <c r="AL113" s="330"/>
      <c r="AM113" s="330"/>
      <c r="AN113" s="330"/>
      <c r="AO113" s="330"/>
      <c r="AP113" s="330"/>
      <c r="AQ113" s="330"/>
      <c r="AR113" s="330"/>
      <c r="AS113" s="330"/>
      <c r="AT113" s="330"/>
      <c r="AU113" s="330"/>
      <c r="AV113" s="330"/>
      <c r="AW113" s="330"/>
      <c r="AX113" s="330"/>
      <c r="AY113" s="330"/>
      <c r="AZ113" s="330"/>
      <c r="BA113" s="330"/>
      <c r="BB113" s="330"/>
      <c r="BC113" s="330"/>
      <c r="BD113" s="330"/>
      <c r="BE113" s="330"/>
      <c r="BF113" s="330"/>
    </row>
    <row r="114" spans="1:58">
      <c r="A114" s="330"/>
      <c r="B114" s="330"/>
      <c r="C114" s="330"/>
      <c r="D114" s="330"/>
      <c r="E114" s="330"/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330"/>
      <c r="R114" s="330"/>
      <c r="S114" s="330"/>
      <c r="T114" s="330"/>
      <c r="U114" s="330"/>
      <c r="V114" s="330"/>
      <c r="W114" s="330"/>
      <c r="X114" s="330"/>
      <c r="Y114" s="330"/>
      <c r="Z114" s="330"/>
      <c r="AA114" s="330"/>
      <c r="AB114" s="330"/>
      <c r="AC114" s="330"/>
      <c r="AD114" s="330"/>
      <c r="AE114" s="330"/>
      <c r="AF114" s="330"/>
      <c r="AG114" s="330"/>
      <c r="AH114" s="330"/>
      <c r="AI114" s="330"/>
      <c r="AJ114" s="330"/>
      <c r="AK114" s="330"/>
      <c r="AL114" s="330"/>
      <c r="AM114" s="330"/>
      <c r="AN114" s="330"/>
      <c r="AO114" s="330"/>
      <c r="AP114" s="330"/>
      <c r="AQ114" s="330"/>
      <c r="AR114" s="330"/>
      <c r="AS114" s="330"/>
      <c r="AT114" s="330"/>
      <c r="AU114" s="330"/>
      <c r="AV114" s="330"/>
      <c r="AW114" s="330"/>
      <c r="AX114" s="330"/>
      <c r="AY114" s="330"/>
      <c r="AZ114" s="330"/>
      <c r="BA114" s="330"/>
      <c r="BB114" s="330"/>
      <c r="BC114" s="330"/>
      <c r="BD114" s="330"/>
      <c r="BE114" s="330"/>
      <c r="BF114" s="330"/>
    </row>
    <row r="115" spans="1:58">
      <c r="A115" s="330"/>
      <c r="B115" s="330"/>
      <c r="C115" s="330"/>
      <c r="D115" s="330"/>
      <c r="E115" s="330"/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330"/>
      <c r="R115" s="330"/>
      <c r="S115" s="330"/>
      <c r="T115" s="330"/>
      <c r="U115" s="330"/>
      <c r="V115" s="330"/>
      <c r="W115" s="330"/>
      <c r="X115" s="330"/>
      <c r="Y115" s="330"/>
      <c r="Z115" s="330"/>
      <c r="AA115" s="330"/>
      <c r="AB115" s="330"/>
      <c r="AC115" s="330"/>
      <c r="AD115" s="330"/>
      <c r="AE115" s="330"/>
      <c r="AF115" s="330"/>
      <c r="AG115" s="330"/>
      <c r="AH115" s="330"/>
      <c r="AI115" s="330"/>
      <c r="AJ115" s="330"/>
      <c r="AK115" s="330"/>
      <c r="AL115" s="330"/>
      <c r="AM115" s="330"/>
      <c r="AN115" s="330"/>
      <c r="AO115" s="330"/>
      <c r="AP115" s="330"/>
      <c r="AQ115" s="330"/>
      <c r="AR115" s="330"/>
      <c r="AS115" s="330"/>
      <c r="AT115" s="330"/>
      <c r="AU115" s="330"/>
      <c r="AV115" s="330"/>
      <c r="AW115" s="330"/>
      <c r="AX115" s="330"/>
      <c r="AY115" s="330"/>
      <c r="AZ115" s="330"/>
      <c r="BA115" s="330"/>
      <c r="BB115" s="330"/>
      <c r="BC115" s="330"/>
      <c r="BD115" s="330"/>
      <c r="BE115" s="330"/>
      <c r="BF115" s="330"/>
    </row>
    <row r="116" spans="1:58">
      <c r="A116" s="330"/>
      <c r="B116" s="330"/>
      <c r="C116" s="330"/>
      <c r="D116" s="330"/>
      <c r="E116" s="330"/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330"/>
      <c r="R116" s="330"/>
      <c r="S116" s="330"/>
      <c r="T116" s="330"/>
      <c r="U116" s="330"/>
      <c r="V116" s="330"/>
      <c r="W116" s="330"/>
      <c r="X116" s="330"/>
      <c r="Y116" s="330"/>
      <c r="Z116" s="330"/>
      <c r="AA116" s="330"/>
      <c r="AB116" s="330"/>
      <c r="AC116" s="330"/>
      <c r="AD116" s="330"/>
      <c r="AE116" s="330"/>
      <c r="AF116" s="330"/>
      <c r="AG116" s="330"/>
      <c r="AH116" s="330"/>
      <c r="AI116" s="330"/>
      <c r="AJ116" s="330"/>
      <c r="AK116" s="330"/>
      <c r="AL116" s="330"/>
      <c r="AM116" s="330"/>
      <c r="AN116" s="330"/>
      <c r="AO116" s="330"/>
      <c r="AP116" s="330"/>
      <c r="AQ116" s="330"/>
      <c r="AR116" s="330"/>
      <c r="AS116" s="330"/>
      <c r="AT116" s="330"/>
      <c r="AU116" s="330"/>
      <c r="AV116" s="330"/>
      <c r="AW116" s="330"/>
      <c r="AX116" s="330"/>
      <c r="AY116" s="330"/>
      <c r="AZ116" s="330"/>
      <c r="BA116" s="330"/>
      <c r="BB116" s="330"/>
      <c r="BC116" s="330"/>
      <c r="BD116" s="330"/>
      <c r="BE116" s="330"/>
      <c r="BF116" s="330"/>
    </row>
    <row r="117" spans="1:58">
      <c r="A117" s="330"/>
      <c r="B117" s="330"/>
      <c r="C117" s="330"/>
      <c r="D117" s="330"/>
      <c r="E117" s="330"/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330"/>
      <c r="R117" s="330"/>
      <c r="S117" s="330"/>
      <c r="T117" s="330"/>
      <c r="U117" s="330"/>
      <c r="V117" s="330"/>
      <c r="W117" s="330"/>
      <c r="X117" s="330"/>
      <c r="Y117" s="330"/>
      <c r="Z117" s="330"/>
      <c r="AA117" s="330"/>
      <c r="AB117" s="330"/>
      <c r="AC117" s="330"/>
      <c r="AD117" s="330"/>
      <c r="AE117" s="330"/>
      <c r="AF117" s="330"/>
      <c r="AG117" s="330"/>
      <c r="AH117" s="330"/>
      <c r="AI117" s="330"/>
      <c r="AJ117" s="330"/>
      <c r="AK117" s="330"/>
      <c r="AL117" s="330"/>
      <c r="AM117" s="330"/>
      <c r="AN117" s="330"/>
      <c r="AO117" s="330"/>
      <c r="AP117" s="330"/>
      <c r="AQ117" s="330"/>
      <c r="AR117" s="330"/>
      <c r="AS117" s="330"/>
      <c r="AT117" s="330"/>
      <c r="AU117" s="330"/>
      <c r="AV117" s="330"/>
      <c r="AW117" s="330"/>
      <c r="AX117" s="330"/>
      <c r="AY117" s="330"/>
      <c r="AZ117" s="330"/>
      <c r="BA117" s="330"/>
      <c r="BB117" s="330"/>
      <c r="BC117" s="330"/>
      <c r="BD117" s="330"/>
      <c r="BE117" s="330"/>
      <c r="BF117" s="330"/>
    </row>
    <row r="118" spans="1:58">
      <c r="A118" s="330"/>
      <c r="B118" s="330"/>
      <c r="C118" s="330"/>
      <c r="D118" s="330"/>
      <c r="E118" s="330"/>
      <c r="F118" s="330"/>
      <c r="G118" s="330"/>
      <c r="H118" s="330"/>
      <c r="I118" s="330"/>
      <c r="J118" s="330"/>
      <c r="K118" s="330"/>
      <c r="L118" s="330"/>
      <c r="M118" s="330"/>
      <c r="N118" s="330"/>
      <c r="O118" s="330"/>
      <c r="P118" s="330"/>
      <c r="Q118" s="330"/>
      <c r="R118" s="330"/>
      <c r="S118" s="330"/>
      <c r="T118" s="330"/>
      <c r="U118" s="330"/>
      <c r="V118" s="330"/>
      <c r="W118" s="330"/>
      <c r="X118" s="330"/>
      <c r="Y118" s="330"/>
      <c r="Z118" s="330"/>
      <c r="AA118" s="330"/>
      <c r="AB118" s="330"/>
      <c r="AC118" s="330"/>
      <c r="AD118" s="330"/>
      <c r="AE118" s="330"/>
      <c r="AF118" s="330"/>
      <c r="AG118" s="330"/>
      <c r="AH118" s="330"/>
      <c r="AI118" s="330"/>
      <c r="AJ118" s="330"/>
      <c r="AK118" s="330"/>
      <c r="AL118" s="330"/>
      <c r="AM118" s="330"/>
      <c r="AN118" s="330"/>
      <c r="AO118" s="330"/>
      <c r="AP118" s="330"/>
      <c r="AQ118" s="330"/>
      <c r="AR118" s="330"/>
      <c r="AS118" s="330"/>
      <c r="AT118" s="330"/>
      <c r="AU118" s="330"/>
      <c r="AV118" s="330"/>
      <c r="AW118" s="330"/>
      <c r="AX118" s="330"/>
      <c r="AY118" s="330"/>
      <c r="AZ118" s="330"/>
      <c r="BA118" s="330"/>
      <c r="BB118" s="330"/>
      <c r="BC118" s="330"/>
      <c r="BD118" s="330"/>
      <c r="BE118" s="330"/>
      <c r="BF118" s="330"/>
    </row>
    <row r="119" spans="1:58">
      <c r="A119" s="330"/>
      <c r="B119" s="330"/>
      <c r="C119" s="330"/>
      <c r="D119" s="330"/>
      <c r="E119" s="330"/>
      <c r="F119" s="330"/>
      <c r="G119" s="330"/>
      <c r="H119" s="330"/>
      <c r="I119" s="330"/>
      <c r="J119" s="330"/>
      <c r="K119" s="330"/>
      <c r="L119" s="330"/>
      <c r="M119" s="330"/>
      <c r="N119" s="330"/>
      <c r="O119" s="330"/>
      <c r="P119" s="330"/>
      <c r="Q119" s="330"/>
      <c r="R119" s="330"/>
      <c r="S119" s="330"/>
      <c r="T119" s="330"/>
      <c r="U119" s="330"/>
      <c r="V119" s="330"/>
      <c r="W119" s="330"/>
      <c r="X119" s="330"/>
      <c r="Y119" s="330"/>
      <c r="Z119" s="330"/>
      <c r="AA119" s="330"/>
      <c r="AB119" s="330"/>
      <c r="AC119" s="330"/>
      <c r="AD119" s="330"/>
      <c r="AE119" s="330"/>
      <c r="AF119" s="330"/>
      <c r="AG119" s="330"/>
      <c r="AH119" s="330"/>
      <c r="AI119" s="330"/>
      <c r="AJ119" s="330"/>
      <c r="AK119" s="330"/>
      <c r="AL119" s="330"/>
      <c r="AM119" s="330"/>
      <c r="AN119" s="330"/>
      <c r="AO119" s="330"/>
      <c r="AP119" s="330"/>
      <c r="AQ119" s="330"/>
      <c r="AR119" s="330"/>
      <c r="AS119" s="330"/>
      <c r="AT119" s="330"/>
      <c r="AU119" s="330"/>
      <c r="AV119" s="330"/>
      <c r="AW119" s="330"/>
      <c r="AX119" s="330"/>
      <c r="AY119" s="330"/>
      <c r="AZ119" s="330"/>
      <c r="BA119" s="330"/>
      <c r="BB119" s="330"/>
      <c r="BC119" s="330"/>
      <c r="BD119" s="330"/>
      <c r="BE119" s="330"/>
      <c r="BF119" s="330"/>
    </row>
    <row r="120" spans="1:58">
      <c r="A120" s="330"/>
      <c r="B120" s="330"/>
      <c r="C120" s="330"/>
      <c r="D120" s="330"/>
      <c r="E120" s="330"/>
      <c r="F120" s="330"/>
      <c r="G120" s="330"/>
      <c r="H120" s="330"/>
      <c r="I120" s="330"/>
      <c r="J120" s="330"/>
      <c r="K120" s="330"/>
      <c r="L120" s="330"/>
      <c r="M120" s="330"/>
      <c r="N120" s="330"/>
      <c r="O120" s="330"/>
      <c r="P120" s="330"/>
      <c r="Q120" s="330"/>
      <c r="R120" s="330"/>
      <c r="S120" s="330"/>
      <c r="T120" s="330"/>
      <c r="U120" s="330"/>
      <c r="V120" s="330"/>
      <c r="W120" s="330"/>
      <c r="X120" s="330"/>
      <c r="Y120" s="330"/>
      <c r="Z120" s="330"/>
      <c r="AA120" s="330"/>
      <c r="AB120" s="330"/>
      <c r="AC120" s="330"/>
      <c r="AD120" s="330"/>
      <c r="AE120" s="330"/>
      <c r="AF120" s="330"/>
      <c r="AG120" s="330"/>
      <c r="AH120" s="330"/>
      <c r="AI120" s="330"/>
      <c r="AJ120" s="330"/>
      <c r="AK120" s="330"/>
      <c r="AL120" s="330"/>
      <c r="AM120" s="330"/>
      <c r="AN120" s="330"/>
      <c r="AO120" s="330"/>
      <c r="AP120" s="330"/>
      <c r="AQ120" s="330"/>
      <c r="AR120" s="330"/>
      <c r="AS120" s="330"/>
      <c r="AT120" s="330"/>
      <c r="AU120" s="330"/>
      <c r="AV120" s="330"/>
      <c r="AW120" s="330"/>
      <c r="AX120" s="330"/>
      <c r="AY120" s="330"/>
      <c r="AZ120" s="330"/>
      <c r="BA120" s="330"/>
      <c r="BB120" s="330"/>
      <c r="BC120" s="330"/>
      <c r="BD120" s="330"/>
      <c r="BE120" s="330"/>
      <c r="BF120" s="330"/>
    </row>
    <row r="121" spans="1:58">
      <c r="A121" s="330"/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0"/>
      <c r="P121" s="330"/>
      <c r="Q121" s="330"/>
      <c r="R121" s="330"/>
      <c r="S121" s="330"/>
      <c r="T121" s="330"/>
      <c r="U121" s="330"/>
      <c r="V121" s="330"/>
      <c r="W121" s="330"/>
      <c r="X121" s="330"/>
      <c r="Y121" s="330"/>
      <c r="Z121" s="330"/>
      <c r="AA121" s="330"/>
      <c r="AB121" s="330"/>
      <c r="AC121" s="330"/>
      <c r="AD121" s="330"/>
      <c r="AE121" s="330"/>
      <c r="AF121" s="330"/>
      <c r="AG121" s="330"/>
      <c r="AH121" s="330"/>
      <c r="AI121" s="330"/>
      <c r="AJ121" s="330"/>
      <c r="AK121" s="330"/>
      <c r="AL121" s="330"/>
      <c r="AM121" s="330"/>
      <c r="AN121" s="330"/>
      <c r="AO121" s="330"/>
      <c r="AP121" s="330"/>
      <c r="AQ121" s="330"/>
      <c r="AR121" s="330"/>
      <c r="AS121" s="330"/>
      <c r="AT121" s="330"/>
      <c r="AU121" s="330"/>
      <c r="AV121" s="330"/>
      <c r="AW121" s="330"/>
      <c r="AX121" s="330"/>
      <c r="AY121" s="330"/>
      <c r="AZ121" s="330"/>
      <c r="BA121" s="330"/>
      <c r="BB121" s="330"/>
      <c r="BC121" s="330"/>
      <c r="BD121" s="330"/>
      <c r="BE121" s="330"/>
      <c r="BF121" s="330"/>
    </row>
    <row r="122" spans="1:58">
      <c r="A122" s="330"/>
      <c r="B122" s="330"/>
      <c r="C122" s="330"/>
      <c r="D122" s="330"/>
      <c r="E122" s="330"/>
      <c r="F122" s="330"/>
      <c r="G122" s="330"/>
      <c r="H122" s="330"/>
      <c r="I122" s="330"/>
      <c r="J122" s="330"/>
      <c r="K122" s="330"/>
      <c r="L122" s="330"/>
      <c r="M122" s="330"/>
      <c r="N122" s="330"/>
      <c r="O122" s="330"/>
      <c r="P122" s="330"/>
      <c r="Q122" s="330"/>
      <c r="R122" s="330"/>
      <c r="S122" s="330"/>
      <c r="T122" s="330"/>
      <c r="U122" s="330"/>
      <c r="V122" s="330"/>
      <c r="W122" s="330"/>
      <c r="X122" s="330"/>
      <c r="Y122" s="330"/>
      <c r="Z122" s="330"/>
      <c r="AA122" s="330"/>
      <c r="AB122" s="330"/>
      <c r="AC122" s="330"/>
      <c r="AD122" s="330"/>
      <c r="AE122" s="330"/>
      <c r="AF122" s="330"/>
      <c r="AG122" s="330"/>
      <c r="AH122" s="330"/>
      <c r="AI122" s="330"/>
      <c r="AJ122" s="330"/>
      <c r="AK122" s="330"/>
      <c r="AL122" s="330"/>
      <c r="AM122" s="330"/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330"/>
      <c r="AZ122" s="330"/>
      <c r="BA122" s="330"/>
      <c r="BB122" s="330"/>
      <c r="BC122" s="330"/>
      <c r="BD122" s="330"/>
      <c r="BE122" s="330"/>
      <c r="BF122" s="330"/>
    </row>
    <row r="123" spans="1:58">
      <c r="A123" s="330"/>
      <c r="B123" s="330"/>
      <c r="C123" s="330"/>
      <c r="D123" s="330"/>
      <c r="E123" s="330"/>
      <c r="F123" s="330"/>
      <c r="G123" s="330"/>
      <c r="H123" s="330"/>
      <c r="I123" s="330"/>
      <c r="J123" s="330"/>
      <c r="K123" s="330"/>
      <c r="L123" s="330"/>
      <c r="M123" s="330"/>
      <c r="N123" s="330"/>
      <c r="O123" s="330"/>
      <c r="P123" s="330"/>
      <c r="Q123" s="330"/>
      <c r="R123" s="330"/>
      <c r="S123" s="330"/>
      <c r="T123" s="330"/>
      <c r="U123" s="330"/>
      <c r="V123" s="330"/>
      <c r="W123" s="330"/>
      <c r="X123" s="330"/>
      <c r="Y123" s="330"/>
      <c r="Z123" s="330"/>
      <c r="AA123" s="330"/>
      <c r="AB123" s="330"/>
      <c r="AC123" s="330"/>
      <c r="AD123" s="330"/>
      <c r="AE123" s="330"/>
      <c r="AF123" s="330"/>
      <c r="AG123" s="330"/>
      <c r="AH123" s="330"/>
      <c r="AI123" s="330"/>
      <c r="AJ123" s="330"/>
      <c r="AK123" s="330"/>
      <c r="AL123" s="330"/>
      <c r="AM123" s="330"/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330"/>
      <c r="AZ123" s="330"/>
      <c r="BA123" s="330"/>
      <c r="BB123" s="330"/>
      <c r="BC123" s="330"/>
      <c r="BD123" s="330"/>
      <c r="BE123" s="330"/>
      <c r="BF123" s="330"/>
    </row>
    <row r="124" spans="1:58">
      <c r="A124" s="330"/>
      <c r="B124" s="330"/>
      <c r="C124" s="330"/>
      <c r="D124" s="330"/>
      <c r="E124" s="330"/>
      <c r="F124" s="330"/>
      <c r="G124" s="330"/>
      <c r="H124" s="330"/>
      <c r="I124" s="330"/>
      <c r="J124" s="330"/>
      <c r="K124" s="330"/>
      <c r="L124" s="330"/>
      <c r="M124" s="330"/>
      <c r="N124" s="330"/>
      <c r="O124" s="330"/>
      <c r="P124" s="330"/>
      <c r="Q124" s="330"/>
      <c r="R124" s="330"/>
      <c r="S124" s="330"/>
      <c r="T124" s="330"/>
      <c r="U124" s="330"/>
      <c r="V124" s="330"/>
      <c r="W124" s="330"/>
      <c r="X124" s="330"/>
      <c r="Y124" s="330"/>
      <c r="Z124" s="330"/>
      <c r="AA124" s="330"/>
      <c r="AB124" s="330"/>
      <c r="AC124" s="330"/>
      <c r="AD124" s="330"/>
      <c r="AE124" s="330"/>
      <c r="AF124" s="330"/>
      <c r="AG124" s="330"/>
      <c r="AH124" s="330"/>
      <c r="AI124" s="330"/>
      <c r="AJ124" s="330"/>
      <c r="AK124" s="330"/>
      <c r="AL124" s="330"/>
      <c r="AM124" s="330"/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330"/>
      <c r="AZ124" s="330"/>
      <c r="BA124" s="330"/>
      <c r="BB124" s="330"/>
      <c r="BC124" s="330"/>
      <c r="BD124" s="330"/>
      <c r="BE124" s="330"/>
      <c r="BF124" s="330"/>
    </row>
    <row r="125" spans="1:58">
      <c r="A125" s="330"/>
      <c r="B125" s="330"/>
      <c r="C125" s="330"/>
      <c r="D125" s="330"/>
      <c r="E125" s="330"/>
      <c r="F125" s="330"/>
      <c r="G125" s="330"/>
      <c r="H125" s="330"/>
      <c r="I125" s="330"/>
      <c r="J125" s="330"/>
      <c r="K125" s="330"/>
      <c r="L125" s="330"/>
      <c r="M125" s="330"/>
      <c r="N125" s="330"/>
      <c r="O125" s="330"/>
      <c r="P125" s="330"/>
      <c r="Q125" s="330"/>
      <c r="R125" s="330"/>
      <c r="S125" s="330"/>
      <c r="T125" s="330"/>
      <c r="U125" s="330"/>
      <c r="V125" s="330"/>
      <c r="W125" s="330"/>
      <c r="X125" s="330"/>
      <c r="Y125" s="330"/>
      <c r="Z125" s="330"/>
      <c r="AA125" s="330"/>
      <c r="AB125" s="330"/>
      <c r="AC125" s="330"/>
      <c r="AD125" s="330"/>
      <c r="AE125" s="330"/>
      <c r="AF125" s="330"/>
      <c r="AG125" s="330"/>
      <c r="AH125" s="330"/>
      <c r="AI125" s="330"/>
      <c r="AJ125" s="330"/>
      <c r="AK125" s="330"/>
      <c r="AL125" s="330"/>
      <c r="AM125" s="330"/>
      <c r="AN125" s="330"/>
      <c r="AO125" s="330"/>
      <c r="AP125" s="330"/>
      <c r="AQ125" s="330"/>
      <c r="AR125" s="330"/>
      <c r="AS125" s="330"/>
      <c r="AT125" s="330"/>
      <c r="AU125" s="330"/>
      <c r="AV125" s="330"/>
      <c r="AW125" s="330"/>
      <c r="AX125" s="330"/>
      <c r="AY125" s="330"/>
      <c r="AZ125" s="330"/>
      <c r="BA125" s="330"/>
      <c r="BB125" s="330"/>
      <c r="BC125" s="330"/>
      <c r="BD125" s="330"/>
      <c r="BE125" s="330"/>
      <c r="BF125" s="330"/>
    </row>
    <row r="126" spans="1:58">
      <c r="A126" s="330"/>
      <c r="B126" s="330"/>
      <c r="C126" s="330"/>
      <c r="D126" s="330"/>
      <c r="E126" s="330"/>
      <c r="F126" s="330"/>
      <c r="G126" s="330"/>
      <c r="H126" s="330"/>
      <c r="I126" s="330"/>
      <c r="J126" s="330"/>
      <c r="K126" s="330"/>
      <c r="L126" s="330"/>
      <c r="M126" s="330"/>
      <c r="N126" s="330"/>
      <c r="O126" s="330"/>
      <c r="P126" s="330"/>
      <c r="Q126" s="330"/>
      <c r="R126" s="330"/>
      <c r="S126" s="330"/>
      <c r="T126" s="330"/>
      <c r="U126" s="330"/>
      <c r="V126" s="330"/>
      <c r="W126" s="330"/>
      <c r="X126" s="330"/>
      <c r="Y126" s="330"/>
      <c r="Z126" s="330"/>
      <c r="AA126" s="330"/>
      <c r="AB126" s="330"/>
      <c r="AC126" s="330"/>
      <c r="AD126" s="330"/>
      <c r="AE126" s="330"/>
      <c r="AF126" s="330"/>
      <c r="AG126" s="330"/>
      <c r="AH126" s="330"/>
      <c r="AI126" s="330"/>
      <c r="AJ126" s="330"/>
      <c r="AK126" s="330"/>
      <c r="AL126" s="330"/>
      <c r="AM126" s="330"/>
      <c r="AN126" s="330"/>
      <c r="AO126" s="330"/>
      <c r="AP126" s="330"/>
      <c r="AQ126" s="330"/>
      <c r="AR126" s="330"/>
      <c r="AS126" s="330"/>
      <c r="AT126" s="330"/>
      <c r="AU126" s="330"/>
      <c r="AV126" s="330"/>
      <c r="AW126" s="330"/>
      <c r="AX126" s="330"/>
      <c r="AY126" s="330"/>
      <c r="AZ126" s="330"/>
      <c r="BA126" s="330"/>
      <c r="BB126" s="330"/>
      <c r="BC126" s="330"/>
      <c r="BD126" s="330"/>
      <c r="BE126" s="330"/>
      <c r="BF126" s="330"/>
    </row>
    <row r="127" spans="1:58">
      <c r="A127" s="330"/>
      <c r="B127" s="330"/>
      <c r="C127" s="330"/>
      <c r="D127" s="330"/>
      <c r="E127" s="330"/>
      <c r="F127" s="330"/>
      <c r="G127" s="330"/>
      <c r="H127" s="330"/>
      <c r="I127" s="330"/>
      <c r="J127" s="330"/>
      <c r="K127" s="330"/>
      <c r="L127" s="330"/>
      <c r="M127" s="330"/>
      <c r="N127" s="330"/>
      <c r="O127" s="330"/>
      <c r="P127" s="330"/>
      <c r="Q127" s="330"/>
      <c r="R127" s="330"/>
      <c r="S127" s="330"/>
      <c r="T127" s="330"/>
      <c r="U127" s="330"/>
      <c r="V127" s="330"/>
      <c r="W127" s="330"/>
      <c r="X127" s="330"/>
      <c r="Y127" s="330"/>
      <c r="Z127" s="330"/>
      <c r="AA127" s="330"/>
      <c r="AB127" s="330"/>
      <c r="AC127" s="330"/>
      <c r="AD127" s="330"/>
      <c r="AE127" s="330"/>
      <c r="AF127" s="330"/>
      <c r="AG127" s="330"/>
      <c r="AH127" s="330"/>
      <c r="AI127" s="330"/>
      <c r="AJ127" s="330"/>
      <c r="AK127" s="330"/>
      <c r="AL127" s="330"/>
      <c r="AM127" s="330"/>
      <c r="AN127" s="330"/>
      <c r="AO127" s="330"/>
      <c r="AP127" s="330"/>
      <c r="AQ127" s="330"/>
      <c r="AR127" s="330"/>
      <c r="AS127" s="330"/>
      <c r="AT127" s="330"/>
      <c r="AU127" s="330"/>
      <c r="AV127" s="330"/>
      <c r="AW127" s="330"/>
      <c r="AX127" s="330"/>
      <c r="AY127" s="330"/>
      <c r="AZ127" s="330"/>
      <c r="BA127" s="330"/>
      <c r="BB127" s="330"/>
      <c r="BC127" s="330"/>
      <c r="BD127" s="330"/>
      <c r="BE127" s="330"/>
      <c r="BF127" s="330"/>
    </row>
    <row r="128" spans="1:58">
      <c r="A128" s="330"/>
      <c r="B128" s="330"/>
      <c r="C128" s="330"/>
      <c r="D128" s="330"/>
      <c r="E128" s="330"/>
      <c r="F128" s="330"/>
      <c r="G128" s="330"/>
      <c r="H128" s="330"/>
      <c r="I128" s="330"/>
      <c r="J128" s="330"/>
      <c r="K128" s="330"/>
      <c r="L128" s="330"/>
      <c r="M128" s="330"/>
      <c r="N128" s="330"/>
      <c r="O128" s="330"/>
      <c r="P128" s="330"/>
      <c r="Q128" s="330"/>
      <c r="R128" s="330"/>
      <c r="S128" s="330"/>
      <c r="T128" s="330"/>
      <c r="U128" s="330"/>
      <c r="V128" s="330"/>
      <c r="W128" s="330"/>
      <c r="X128" s="330"/>
      <c r="Y128" s="330"/>
      <c r="Z128" s="330"/>
      <c r="AA128" s="330"/>
      <c r="AB128" s="330"/>
      <c r="AC128" s="330"/>
      <c r="AD128" s="330"/>
      <c r="AE128" s="330"/>
      <c r="AF128" s="330"/>
      <c r="AG128" s="330"/>
      <c r="AH128" s="330"/>
      <c r="AI128" s="330"/>
      <c r="AJ128" s="330"/>
      <c r="AK128" s="330"/>
      <c r="AL128" s="330"/>
      <c r="AM128" s="330"/>
      <c r="AN128" s="330"/>
      <c r="AO128" s="330"/>
      <c r="AP128" s="330"/>
      <c r="AQ128" s="330"/>
      <c r="AR128" s="330"/>
      <c r="AS128" s="330"/>
      <c r="AT128" s="330"/>
      <c r="AU128" s="330"/>
      <c r="AV128" s="330"/>
      <c r="AW128" s="330"/>
      <c r="AX128" s="330"/>
      <c r="AY128" s="330"/>
      <c r="AZ128" s="330"/>
      <c r="BA128" s="330"/>
      <c r="BB128" s="330"/>
      <c r="BC128" s="330"/>
      <c r="BD128" s="330"/>
      <c r="BE128" s="330"/>
      <c r="BF128" s="330"/>
    </row>
    <row r="129" spans="1:58">
      <c r="A129" s="330"/>
      <c r="B129" s="330"/>
      <c r="C129" s="330"/>
      <c r="D129" s="330"/>
      <c r="E129" s="330"/>
      <c r="F129" s="330"/>
      <c r="G129" s="330"/>
      <c r="H129" s="330"/>
      <c r="I129" s="330"/>
      <c r="J129" s="330"/>
      <c r="K129" s="330"/>
      <c r="L129" s="330"/>
      <c r="M129" s="330"/>
      <c r="N129" s="330"/>
      <c r="O129" s="330"/>
      <c r="P129" s="330"/>
      <c r="Q129" s="330"/>
      <c r="R129" s="330"/>
      <c r="S129" s="330"/>
      <c r="T129" s="330"/>
      <c r="U129" s="330"/>
      <c r="V129" s="330"/>
      <c r="W129" s="330"/>
      <c r="X129" s="330"/>
      <c r="Y129" s="330"/>
      <c r="Z129" s="330"/>
      <c r="AA129" s="330"/>
      <c r="AB129" s="330"/>
      <c r="AC129" s="330"/>
      <c r="AD129" s="330"/>
      <c r="AE129" s="330"/>
      <c r="AF129" s="330"/>
      <c r="AG129" s="330"/>
      <c r="AH129" s="330"/>
      <c r="AI129" s="330"/>
      <c r="AJ129" s="330"/>
      <c r="AK129" s="330"/>
      <c r="AL129" s="330"/>
      <c r="AM129" s="330"/>
      <c r="AN129" s="330"/>
      <c r="AO129" s="330"/>
      <c r="AP129" s="330"/>
      <c r="AQ129" s="330"/>
      <c r="AR129" s="330"/>
      <c r="AS129" s="330"/>
      <c r="AT129" s="330"/>
      <c r="AU129" s="330"/>
      <c r="AV129" s="330"/>
      <c r="AW129" s="330"/>
      <c r="AX129" s="330"/>
      <c r="AY129" s="330"/>
      <c r="AZ129" s="330"/>
      <c r="BA129" s="330"/>
      <c r="BB129" s="330"/>
      <c r="BC129" s="330"/>
      <c r="BD129" s="330"/>
      <c r="BE129" s="330"/>
      <c r="BF129" s="330"/>
    </row>
    <row r="130" spans="1:58">
      <c r="A130" s="330"/>
      <c r="B130" s="330"/>
      <c r="C130" s="330"/>
      <c r="D130" s="330"/>
      <c r="E130" s="330"/>
      <c r="F130" s="330"/>
      <c r="G130" s="330"/>
      <c r="H130" s="330"/>
      <c r="I130" s="330"/>
      <c r="J130" s="330"/>
      <c r="K130" s="330"/>
      <c r="L130" s="330"/>
      <c r="M130" s="330"/>
      <c r="N130" s="330"/>
      <c r="O130" s="330"/>
      <c r="P130" s="330"/>
      <c r="Q130" s="330"/>
      <c r="R130" s="330"/>
      <c r="S130" s="330"/>
      <c r="T130" s="330"/>
      <c r="U130" s="330"/>
      <c r="V130" s="330"/>
      <c r="W130" s="330"/>
      <c r="X130" s="330"/>
      <c r="Y130" s="330"/>
      <c r="Z130" s="330"/>
      <c r="AA130" s="330"/>
      <c r="AB130" s="330"/>
      <c r="AC130" s="330"/>
      <c r="AD130" s="330"/>
      <c r="AE130" s="330"/>
      <c r="AF130" s="330"/>
      <c r="AG130" s="330"/>
      <c r="AH130" s="330"/>
      <c r="AI130" s="330"/>
      <c r="AJ130" s="330"/>
      <c r="AK130" s="330"/>
      <c r="AL130" s="330"/>
      <c r="AM130" s="330"/>
      <c r="AN130" s="330"/>
      <c r="AO130" s="330"/>
      <c r="AP130" s="330"/>
      <c r="AQ130" s="330"/>
      <c r="AR130" s="330"/>
      <c r="AS130" s="330"/>
      <c r="AT130" s="330"/>
      <c r="AU130" s="330"/>
      <c r="AV130" s="330"/>
      <c r="AW130" s="330"/>
      <c r="AX130" s="330"/>
      <c r="AY130" s="330"/>
      <c r="AZ130" s="330"/>
      <c r="BA130" s="330"/>
      <c r="BB130" s="330"/>
      <c r="BC130" s="330"/>
      <c r="BD130" s="330"/>
      <c r="BE130" s="330"/>
      <c r="BF130" s="330"/>
    </row>
    <row r="131" spans="1:58">
      <c r="A131" s="330"/>
      <c r="B131" s="330"/>
      <c r="C131" s="330"/>
      <c r="D131" s="330"/>
      <c r="E131" s="330"/>
      <c r="F131" s="330"/>
      <c r="G131" s="330"/>
      <c r="H131" s="330"/>
      <c r="I131" s="330"/>
      <c r="J131" s="330"/>
      <c r="K131" s="330"/>
      <c r="L131" s="330"/>
      <c r="M131" s="330"/>
      <c r="N131" s="330"/>
      <c r="O131" s="330"/>
      <c r="P131" s="330"/>
      <c r="Q131" s="330"/>
      <c r="R131" s="330"/>
      <c r="S131" s="330"/>
      <c r="T131" s="330"/>
      <c r="U131" s="330"/>
      <c r="V131" s="330"/>
      <c r="W131" s="330"/>
      <c r="X131" s="330"/>
      <c r="Y131" s="330"/>
      <c r="Z131" s="330"/>
      <c r="AA131" s="330"/>
      <c r="AB131" s="330"/>
      <c r="AC131" s="330"/>
      <c r="AD131" s="330"/>
      <c r="AE131" s="330"/>
      <c r="AF131" s="330"/>
      <c r="AG131" s="330"/>
      <c r="AH131" s="330"/>
      <c r="AI131" s="330"/>
      <c r="AJ131" s="330"/>
      <c r="AK131" s="330"/>
      <c r="AL131" s="330"/>
      <c r="AM131" s="330"/>
      <c r="AN131" s="330"/>
      <c r="AO131" s="330"/>
      <c r="AP131" s="330"/>
      <c r="AQ131" s="330"/>
      <c r="AR131" s="330"/>
      <c r="AS131" s="330"/>
      <c r="AT131" s="330"/>
      <c r="AU131" s="330"/>
      <c r="AV131" s="330"/>
      <c r="AW131" s="330"/>
      <c r="AX131" s="330"/>
      <c r="AY131" s="330"/>
      <c r="AZ131" s="330"/>
      <c r="BA131" s="330"/>
      <c r="BB131" s="330"/>
      <c r="BC131" s="330"/>
      <c r="BD131" s="330"/>
      <c r="BE131" s="330"/>
      <c r="BF131" s="330"/>
    </row>
    <row r="132" spans="1:58">
      <c r="A132" s="330"/>
      <c r="B132" s="330"/>
      <c r="C132" s="330"/>
      <c r="D132" s="330"/>
      <c r="E132" s="330"/>
      <c r="F132" s="330"/>
      <c r="G132" s="330"/>
      <c r="H132" s="330"/>
      <c r="I132" s="330"/>
      <c r="J132" s="330"/>
      <c r="K132" s="330"/>
      <c r="L132" s="330"/>
      <c r="M132" s="330"/>
      <c r="N132" s="330"/>
      <c r="O132" s="330"/>
      <c r="P132" s="330"/>
      <c r="Q132" s="330"/>
      <c r="R132" s="330"/>
      <c r="S132" s="330"/>
      <c r="T132" s="330"/>
      <c r="U132" s="330"/>
      <c r="V132" s="330"/>
      <c r="W132" s="330"/>
      <c r="X132" s="330"/>
      <c r="Y132" s="330"/>
      <c r="Z132" s="330"/>
      <c r="AA132" s="330"/>
      <c r="AB132" s="330"/>
      <c r="AC132" s="330"/>
      <c r="AD132" s="330"/>
      <c r="AE132" s="330"/>
      <c r="AF132" s="330"/>
      <c r="AG132" s="330"/>
      <c r="AH132" s="330"/>
      <c r="AI132" s="330"/>
      <c r="AJ132" s="330"/>
      <c r="AK132" s="330"/>
      <c r="AL132" s="330"/>
      <c r="AM132" s="330"/>
      <c r="AN132" s="330"/>
      <c r="AO132" s="330"/>
      <c r="AP132" s="330"/>
      <c r="AQ132" s="330"/>
      <c r="AR132" s="330"/>
      <c r="AS132" s="330"/>
      <c r="AT132" s="330"/>
      <c r="AU132" s="330"/>
      <c r="AV132" s="330"/>
      <c r="AW132" s="330"/>
      <c r="AX132" s="330"/>
      <c r="AY132" s="330"/>
      <c r="AZ132" s="330"/>
      <c r="BA132" s="330"/>
      <c r="BB132" s="330"/>
      <c r="BC132" s="330"/>
      <c r="BD132" s="330"/>
      <c r="BE132" s="330"/>
      <c r="BF132" s="330"/>
    </row>
    <row r="133" spans="1:58">
      <c r="A133" s="330"/>
      <c r="B133" s="330"/>
      <c r="C133" s="330"/>
      <c r="D133" s="330"/>
      <c r="E133" s="330"/>
      <c r="F133" s="330"/>
      <c r="G133" s="330"/>
      <c r="H133" s="330"/>
      <c r="I133" s="330"/>
      <c r="J133" s="330"/>
      <c r="K133" s="330"/>
      <c r="L133" s="330"/>
      <c r="M133" s="330"/>
      <c r="N133" s="330"/>
      <c r="O133" s="330"/>
      <c r="P133" s="330"/>
      <c r="Q133" s="330"/>
      <c r="R133" s="330"/>
      <c r="S133" s="330"/>
      <c r="T133" s="330"/>
      <c r="U133" s="330"/>
      <c r="V133" s="330"/>
      <c r="W133" s="330"/>
      <c r="X133" s="330"/>
      <c r="Y133" s="330"/>
      <c r="Z133" s="330"/>
      <c r="AA133" s="330"/>
      <c r="AB133" s="330"/>
      <c r="AC133" s="330"/>
      <c r="AD133" s="330"/>
      <c r="AE133" s="330"/>
      <c r="AF133" s="330"/>
      <c r="AG133" s="330"/>
      <c r="AH133" s="330"/>
      <c r="AI133" s="330"/>
      <c r="AJ133" s="330"/>
      <c r="AK133" s="330"/>
      <c r="AL133" s="330"/>
      <c r="AM133" s="330"/>
      <c r="AN133" s="330"/>
      <c r="AO133" s="330"/>
      <c r="AP133" s="330"/>
      <c r="AQ133" s="330"/>
      <c r="AR133" s="330"/>
      <c r="AS133" s="330"/>
      <c r="AT133" s="330"/>
      <c r="AU133" s="330"/>
      <c r="AV133" s="330"/>
      <c r="AW133" s="330"/>
      <c r="AX133" s="330"/>
      <c r="AY133" s="330"/>
      <c r="AZ133" s="330"/>
      <c r="BA133" s="330"/>
      <c r="BB133" s="330"/>
      <c r="BC133" s="330"/>
      <c r="BD133" s="330"/>
      <c r="BE133" s="330"/>
      <c r="BF133" s="330"/>
    </row>
    <row r="134" spans="1:58">
      <c r="A134" s="330"/>
      <c r="B134" s="330"/>
      <c r="C134" s="330"/>
      <c r="D134" s="330"/>
      <c r="E134" s="330"/>
      <c r="F134" s="330"/>
      <c r="G134" s="330"/>
      <c r="H134" s="330"/>
      <c r="I134" s="330"/>
      <c r="J134" s="330"/>
      <c r="K134" s="330"/>
      <c r="L134" s="330"/>
      <c r="M134" s="330"/>
      <c r="N134" s="330"/>
      <c r="O134" s="330"/>
      <c r="P134" s="330"/>
      <c r="Q134" s="330"/>
      <c r="R134" s="330"/>
      <c r="S134" s="330"/>
      <c r="T134" s="330"/>
      <c r="U134" s="330"/>
      <c r="V134" s="330"/>
      <c r="W134" s="330"/>
      <c r="X134" s="330"/>
      <c r="Y134" s="330"/>
      <c r="Z134" s="330"/>
      <c r="AA134" s="330"/>
      <c r="AB134" s="330"/>
      <c r="AC134" s="330"/>
      <c r="AD134" s="330"/>
      <c r="AE134" s="330"/>
      <c r="AF134" s="330"/>
      <c r="AG134" s="330"/>
      <c r="AH134" s="330"/>
      <c r="AI134" s="330"/>
      <c r="AJ134" s="330"/>
      <c r="AK134" s="330"/>
      <c r="AL134" s="330"/>
      <c r="AM134" s="330"/>
      <c r="AN134" s="330"/>
      <c r="AO134" s="330"/>
      <c r="AP134" s="330"/>
      <c r="AQ134" s="330"/>
      <c r="AR134" s="330"/>
      <c r="AS134" s="330"/>
      <c r="AT134" s="330"/>
      <c r="AU134" s="330"/>
      <c r="AV134" s="330"/>
      <c r="AW134" s="330"/>
      <c r="AX134" s="330"/>
      <c r="AY134" s="330"/>
      <c r="AZ134" s="330"/>
      <c r="BA134" s="330"/>
      <c r="BB134" s="330"/>
      <c r="BC134" s="330"/>
      <c r="BD134" s="330"/>
      <c r="BE134" s="330"/>
      <c r="BF134" s="330"/>
    </row>
    <row r="135" spans="1:58">
      <c r="A135" s="330"/>
      <c r="B135" s="330"/>
      <c r="C135" s="330"/>
      <c r="D135" s="330"/>
      <c r="E135" s="330"/>
      <c r="F135" s="330"/>
      <c r="G135" s="330"/>
      <c r="H135" s="330"/>
      <c r="I135" s="330"/>
      <c r="J135" s="330"/>
      <c r="K135" s="330"/>
      <c r="L135" s="330"/>
      <c r="M135" s="330"/>
      <c r="N135" s="330"/>
      <c r="O135" s="330"/>
      <c r="P135" s="330"/>
      <c r="Q135" s="330"/>
      <c r="R135" s="330"/>
      <c r="S135" s="330"/>
      <c r="T135" s="330"/>
      <c r="U135" s="330"/>
      <c r="V135" s="330"/>
      <c r="W135" s="330"/>
      <c r="X135" s="330"/>
      <c r="Y135" s="330"/>
      <c r="Z135" s="330"/>
      <c r="AA135" s="330"/>
      <c r="AB135" s="330"/>
      <c r="AC135" s="330"/>
      <c r="AD135" s="330"/>
      <c r="AE135" s="330"/>
      <c r="AF135" s="330"/>
      <c r="AG135" s="330"/>
      <c r="AH135" s="330"/>
      <c r="AI135" s="330"/>
      <c r="AJ135" s="330"/>
      <c r="AK135" s="330"/>
      <c r="AL135" s="330"/>
      <c r="AM135" s="330"/>
      <c r="AN135" s="330"/>
      <c r="AO135" s="330"/>
      <c r="AP135" s="330"/>
      <c r="AQ135" s="330"/>
      <c r="AR135" s="330"/>
      <c r="AS135" s="330"/>
      <c r="AT135" s="330"/>
      <c r="AU135" s="330"/>
      <c r="AV135" s="330"/>
      <c r="AW135" s="330"/>
      <c r="AX135" s="330"/>
      <c r="AY135" s="330"/>
      <c r="AZ135" s="330"/>
      <c r="BA135" s="330"/>
      <c r="BB135" s="330"/>
      <c r="BC135" s="330"/>
      <c r="BD135" s="330"/>
      <c r="BE135" s="330"/>
      <c r="BF135" s="330"/>
    </row>
    <row r="136" spans="1:58">
      <c r="A136" s="330"/>
      <c r="B136" s="330"/>
      <c r="C136" s="330"/>
      <c r="D136" s="330"/>
      <c r="E136" s="330"/>
      <c r="F136" s="330"/>
      <c r="G136" s="330"/>
      <c r="H136" s="330"/>
      <c r="I136" s="330"/>
      <c r="J136" s="330"/>
      <c r="K136" s="330"/>
      <c r="L136" s="330"/>
      <c r="M136" s="330"/>
      <c r="N136" s="330"/>
      <c r="O136" s="330"/>
      <c r="P136" s="330"/>
      <c r="Q136" s="330"/>
      <c r="R136" s="330"/>
      <c r="S136" s="330"/>
      <c r="T136" s="330"/>
      <c r="U136" s="330"/>
      <c r="V136" s="330"/>
      <c r="W136" s="330"/>
      <c r="X136" s="330"/>
      <c r="Y136" s="330"/>
      <c r="Z136" s="330"/>
      <c r="AA136" s="330"/>
      <c r="AB136" s="330"/>
      <c r="AC136" s="330"/>
      <c r="AD136" s="330"/>
      <c r="AE136" s="330"/>
      <c r="AF136" s="330"/>
      <c r="AG136" s="330"/>
      <c r="AH136" s="330"/>
      <c r="AI136" s="330"/>
      <c r="AJ136" s="330"/>
      <c r="AK136" s="330"/>
      <c r="AL136" s="330"/>
      <c r="AM136" s="330"/>
      <c r="AN136" s="330"/>
      <c r="AO136" s="330"/>
      <c r="AP136" s="330"/>
      <c r="AQ136" s="330"/>
      <c r="AR136" s="330"/>
      <c r="AS136" s="330"/>
      <c r="AT136" s="330"/>
      <c r="AU136" s="330"/>
      <c r="AV136" s="330"/>
      <c r="AW136" s="330"/>
      <c r="AX136" s="330"/>
      <c r="AY136" s="330"/>
      <c r="AZ136" s="330"/>
      <c r="BA136" s="330"/>
      <c r="BB136" s="330"/>
      <c r="BC136" s="330"/>
      <c r="BD136" s="330"/>
      <c r="BE136" s="330"/>
      <c r="BF136" s="330"/>
    </row>
    <row r="137" spans="1:58">
      <c r="A137" s="330"/>
      <c r="B137" s="330"/>
      <c r="C137" s="330"/>
      <c r="D137" s="330"/>
      <c r="E137" s="330"/>
      <c r="F137" s="330"/>
      <c r="G137" s="330"/>
      <c r="H137" s="330"/>
      <c r="I137" s="330"/>
      <c r="J137" s="330"/>
      <c r="K137" s="330"/>
      <c r="L137" s="330"/>
      <c r="M137" s="330"/>
      <c r="N137" s="330"/>
      <c r="O137" s="330"/>
      <c r="P137" s="330"/>
      <c r="Q137" s="330"/>
      <c r="R137" s="330"/>
      <c r="S137" s="330"/>
      <c r="T137" s="330"/>
      <c r="U137" s="330"/>
      <c r="V137" s="330"/>
      <c r="W137" s="330"/>
      <c r="X137" s="330"/>
      <c r="Y137" s="330"/>
      <c r="Z137" s="330"/>
      <c r="AA137" s="330"/>
      <c r="AB137" s="330"/>
      <c r="AC137" s="330"/>
      <c r="AD137" s="330"/>
      <c r="AE137" s="330"/>
      <c r="AF137" s="330"/>
      <c r="AG137" s="330"/>
      <c r="AH137" s="330"/>
      <c r="AI137" s="330"/>
      <c r="AJ137" s="330"/>
      <c r="AK137" s="330"/>
      <c r="AL137" s="330"/>
      <c r="AM137" s="330"/>
      <c r="AN137" s="330"/>
      <c r="AO137" s="330"/>
      <c r="AP137" s="330"/>
      <c r="AQ137" s="330"/>
      <c r="AR137" s="330"/>
      <c r="AS137" s="330"/>
      <c r="AT137" s="330"/>
      <c r="AU137" s="330"/>
      <c r="AV137" s="330"/>
      <c r="AW137" s="330"/>
      <c r="AX137" s="330"/>
      <c r="AY137" s="330"/>
      <c r="AZ137" s="330"/>
      <c r="BA137" s="330"/>
      <c r="BB137" s="330"/>
      <c r="BC137" s="330"/>
      <c r="BD137" s="330"/>
      <c r="BE137" s="330"/>
      <c r="BF137" s="330"/>
    </row>
    <row r="138" spans="1:58">
      <c r="A138" s="330"/>
      <c r="B138" s="330"/>
      <c r="C138" s="330"/>
      <c r="D138" s="330"/>
      <c r="E138" s="330"/>
      <c r="F138" s="330"/>
      <c r="G138" s="330"/>
      <c r="H138" s="330"/>
      <c r="I138" s="330"/>
      <c r="J138" s="330"/>
      <c r="K138" s="330"/>
      <c r="L138" s="330"/>
      <c r="M138" s="330"/>
      <c r="N138" s="330"/>
      <c r="O138" s="330"/>
      <c r="P138" s="330"/>
      <c r="Q138" s="330"/>
      <c r="R138" s="330"/>
      <c r="S138" s="330"/>
      <c r="T138" s="330"/>
      <c r="U138" s="330"/>
      <c r="V138" s="330"/>
      <c r="W138" s="330"/>
      <c r="X138" s="330"/>
      <c r="Y138" s="330"/>
      <c r="Z138" s="330"/>
      <c r="AA138" s="330"/>
      <c r="AB138" s="330"/>
      <c r="AC138" s="330"/>
      <c r="AD138" s="330"/>
      <c r="AE138" s="330"/>
      <c r="AF138" s="330"/>
      <c r="AG138" s="330"/>
      <c r="AH138" s="330"/>
      <c r="AI138" s="330"/>
      <c r="AJ138" s="330"/>
      <c r="AK138" s="330"/>
      <c r="AL138" s="330"/>
      <c r="AM138" s="330"/>
      <c r="AN138" s="330"/>
      <c r="AO138" s="330"/>
      <c r="AP138" s="330"/>
      <c r="AQ138" s="330"/>
      <c r="AR138" s="330"/>
      <c r="AS138" s="330"/>
      <c r="AT138" s="330"/>
      <c r="AU138" s="330"/>
      <c r="AV138" s="330"/>
      <c r="AW138" s="330"/>
      <c r="AX138" s="330"/>
      <c r="AY138" s="330"/>
      <c r="AZ138" s="330"/>
      <c r="BA138" s="330"/>
      <c r="BB138" s="330"/>
      <c r="BC138" s="330"/>
      <c r="BD138" s="330"/>
      <c r="BE138" s="330"/>
      <c r="BF138" s="330"/>
    </row>
    <row r="139" spans="1:58">
      <c r="A139" s="330"/>
      <c r="B139" s="330"/>
      <c r="C139" s="330"/>
      <c r="D139" s="330"/>
      <c r="E139" s="330"/>
      <c r="F139" s="330"/>
      <c r="G139" s="330"/>
      <c r="H139" s="330"/>
      <c r="I139" s="330"/>
      <c r="J139" s="330"/>
      <c r="K139" s="330"/>
      <c r="L139" s="330"/>
      <c r="M139" s="330"/>
      <c r="N139" s="330"/>
      <c r="O139" s="330"/>
      <c r="P139" s="330"/>
      <c r="Q139" s="330"/>
      <c r="R139" s="330"/>
      <c r="S139" s="330"/>
      <c r="T139" s="330"/>
      <c r="U139" s="330"/>
      <c r="V139" s="330"/>
      <c r="W139" s="330"/>
      <c r="X139" s="330"/>
      <c r="Y139" s="330"/>
      <c r="Z139" s="330"/>
      <c r="AA139" s="330"/>
      <c r="AB139" s="330"/>
      <c r="AC139" s="330"/>
      <c r="AD139" s="330"/>
      <c r="AE139" s="330"/>
      <c r="AF139" s="330"/>
      <c r="AG139" s="330"/>
      <c r="AH139" s="330"/>
      <c r="AI139" s="330"/>
      <c r="AJ139" s="330"/>
      <c r="AK139" s="330"/>
      <c r="AL139" s="330"/>
      <c r="AM139" s="330"/>
      <c r="AN139" s="330"/>
      <c r="AO139" s="330"/>
      <c r="AP139" s="330"/>
      <c r="AQ139" s="330"/>
      <c r="AR139" s="330"/>
      <c r="AS139" s="330"/>
      <c r="AT139" s="330"/>
      <c r="AU139" s="330"/>
      <c r="AV139" s="330"/>
      <c r="AW139" s="330"/>
      <c r="AX139" s="330"/>
      <c r="AY139" s="330"/>
      <c r="AZ139" s="330"/>
      <c r="BA139" s="330"/>
      <c r="BB139" s="330"/>
      <c r="BC139" s="330"/>
      <c r="BD139" s="330"/>
      <c r="BE139" s="330"/>
      <c r="BF139" s="330"/>
    </row>
    <row r="140" spans="1:58">
      <c r="A140" s="330"/>
      <c r="B140" s="330"/>
      <c r="C140" s="330"/>
      <c r="D140" s="330"/>
      <c r="E140" s="330"/>
      <c r="F140" s="330"/>
      <c r="G140" s="330"/>
      <c r="H140" s="330"/>
      <c r="I140" s="330"/>
      <c r="J140" s="330"/>
      <c r="K140" s="330"/>
      <c r="L140" s="330"/>
      <c r="M140" s="330"/>
      <c r="N140" s="330"/>
      <c r="O140" s="330"/>
      <c r="P140" s="330"/>
      <c r="Q140" s="330"/>
      <c r="R140" s="330"/>
      <c r="S140" s="330"/>
      <c r="T140" s="330"/>
      <c r="U140" s="330"/>
      <c r="V140" s="330"/>
      <c r="W140" s="330"/>
      <c r="X140" s="330"/>
      <c r="Y140" s="330"/>
      <c r="Z140" s="330"/>
      <c r="AA140" s="330"/>
      <c r="AB140" s="330"/>
      <c r="AC140" s="330"/>
      <c r="AD140" s="330"/>
      <c r="AE140" s="330"/>
      <c r="AF140" s="330"/>
      <c r="AG140" s="330"/>
      <c r="AH140" s="330"/>
      <c r="AI140" s="330"/>
      <c r="AJ140" s="330"/>
      <c r="AK140" s="330"/>
      <c r="AL140" s="330"/>
      <c r="AM140" s="330"/>
      <c r="AN140" s="330"/>
      <c r="AO140" s="330"/>
      <c r="AP140" s="330"/>
      <c r="AQ140" s="330"/>
      <c r="AR140" s="330"/>
      <c r="AS140" s="330"/>
      <c r="AT140" s="330"/>
      <c r="AU140" s="330"/>
      <c r="AV140" s="330"/>
      <c r="AW140" s="330"/>
      <c r="AX140" s="330"/>
      <c r="AY140" s="330"/>
      <c r="AZ140" s="330"/>
      <c r="BA140" s="330"/>
      <c r="BB140" s="330"/>
      <c r="BC140" s="330"/>
      <c r="BD140" s="330"/>
      <c r="BE140" s="330"/>
      <c r="BF140" s="330"/>
    </row>
    <row r="141" spans="1:58">
      <c r="A141" s="330"/>
      <c r="B141" s="330"/>
      <c r="C141" s="330"/>
      <c r="D141" s="330"/>
      <c r="E141" s="330"/>
      <c r="F141" s="330"/>
      <c r="G141" s="330"/>
      <c r="H141" s="330"/>
      <c r="I141" s="330"/>
      <c r="J141" s="330"/>
      <c r="K141" s="330"/>
      <c r="L141" s="330"/>
      <c r="M141" s="330"/>
      <c r="N141" s="330"/>
      <c r="O141" s="330"/>
      <c r="P141" s="330"/>
      <c r="Q141" s="330"/>
      <c r="R141" s="330"/>
      <c r="S141" s="330"/>
      <c r="T141" s="330"/>
      <c r="U141" s="330"/>
      <c r="V141" s="330"/>
      <c r="W141" s="330"/>
      <c r="X141" s="330"/>
      <c r="Y141" s="330"/>
      <c r="Z141" s="330"/>
      <c r="AA141" s="330"/>
      <c r="AB141" s="330"/>
      <c r="AC141" s="330"/>
      <c r="AD141" s="330"/>
      <c r="AE141" s="330"/>
      <c r="AF141" s="330"/>
      <c r="AG141" s="330"/>
      <c r="AH141" s="330"/>
      <c r="AI141" s="330"/>
      <c r="AJ141" s="330"/>
      <c r="AK141" s="330"/>
      <c r="AL141" s="330"/>
      <c r="AM141" s="330"/>
      <c r="AN141" s="330"/>
      <c r="AO141" s="330"/>
      <c r="AP141" s="330"/>
      <c r="AQ141" s="330"/>
      <c r="AR141" s="330"/>
      <c r="AS141" s="330"/>
      <c r="AT141" s="330"/>
      <c r="AU141" s="330"/>
      <c r="AV141" s="330"/>
      <c r="AW141" s="330"/>
      <c r="AX141" s="330"/>
      <c r="AY141" s="330"/>
      <c r="AZ141" s="330"/>
      <c r="BA141" s="330"/>
      <c r="BB141" s="330"/>
      <c r="BC141" s="330"/>
      <c r="BD141" s="330"/>
      <c r="BE141" s="330"/>
      <c r="BF141" s="330"/>
    </row>
    <row r="142" spans="1:58">
      <c r="A142" s="330"/>
      <c r="B142" s="330"/>
      <c r="C142" s="330"/>
      <c r="D142" s="330"/>
      <c r="E142" s="330"/>
      <c r="F142" s="330"/>
      <c r="G142" s="330"/>
      <c r="H142" s="330"/>
      <c r="I142" s="330"/>
      <c r="J142" s="330"/>
      <c r="K142" s="330"/>
      <c r="L142" s="330"/>
      <c r="M142" s="330"/>
      <c r="N142" s="330"/>
      <c r="O142" s="330"/>
      <c r="P142" s="330"/>
      <c r="Q142" s="330"/>
      <c r="R142" s="330"/>
      <c r="S142" s="330"/>
      <c r="T142" s="330"/>
      <c r="U142" s="330"/>
      <c r="V142" s="330"/>
      <c r="W142" s="330"/>
      <c r="X142" s="330"/>
      <c r="Y142" s="330"/>
      <c r="Z142" s="330"/>
      <c r="AA142" s="330"/>
      <c r="AB142" s="330"/>
      <c r="AC142" s="330"/>
      <c r="AD142" s="330"/>
      <c r="AE142" s="330"/>
      <c r="AF142" s="330"/>
      <c r="AG142" s="330"/>
      <c r="AH142" s="330"/>
      <c r="AI142" s="330"/>
      <c r="AJ142" s="330"/>
      <c r="AK142" s="330"/>
      <c r="AL142" s="330"/>
      <c r="AM142" s="330"/>
      <c r="AN142" s="330"/>
      <c r="AO142" s="330"/>
      <c r="AP142" s="330"/>
      <c r="AQ142" s="330"/>
      <c r="AR142" s="330"/>
      <c r="AS142" s="330"/>
      <c r="AT142" s="330"/>
      <c r="AU142" s="330"/>
      <c r="AV142" s="330"/>
      <c r="AW142" s="330"/>
      <c r="AX142" s="330"/>
      <c r="AY142" s="330"/>
      <c r="AZ142" s="330"/>
      <c r="BA142" s="330"/>
      <c r="BB142" s="330"/>
      <c r="BC142" s="330"/>
      <c r="BD142" s="330"/>
      <c r="BE142" s="330"/>
      <c r="BF142" s="330"/>
    </row>
    <row r="143" spans="1:58">
      <c r="A143" s="330"/>
      <c r="B143" s="330"/>
      <c r="C143" s="330"/>
      <c r="D143" s="330"/>
      <c r="E143" s="330"/>
      <c r="F143" s="330"/>
      <c r="G143" s="330"/>
      <c r="H143" s="330"/>
      <c r="I143" s="330"/>
      <c r="J143" s="330"/>
      <c r="K143" s="330"/>
      <c r="L143" s="330"/>
      <c r="M143" s="330"/>
      <c r="N143" s="330"/>
      <c r="O143" s="330"/>
      <c r="P143" s="330"/>
      <c r="Q143" s="330"/>
      <c r="R143" s="330"/>
      <c r="S143" s="330"/>
      <c r="T143" s="330"/>
      <c r="U143" s="330"/>
      <c r="V143" s="330"/>
      <c r="W143" s="330"/>
      <c r="X143" s="330"/>
      <c r="Y143" s="330"/>
      <c r="Z143" s="330"/>
      <c r="AA143" s="330"/>
      <c r="AB143" s="330"/>
      <c r="AC143" s="330"/>
      <c r="AD143" s="330"/>
      <c r="AE143" s="330"/>
      <c r="AF143" s="330"/>
      <c r="AG143" s="330"/>
      <c r="AH143" s="330"/>
      <c r="AI143" s="330"/>
      <c r="AJ143" s="330"/>
      <c r="AK143" s="330"/>
      <c r="AL143" s="330"/>
      <c r="AM143" s="330"/>
      <c r="AN143" s="330"/>
      <c r="AO143" s="330"/>
      <c r="AP143" s="330"/>
      <c r="AQ143" s="330"/>
      <c r="AR143" s="330"/>
      <c r="AS143" s="330"/>
      <c r="AT143" s="330"/>
      <c r="AU143" s="330"/>
      <c r="AV143" s="330"/>
      <c r="AW143" s="330"/>
      <c r="AX143" s="330"/>
      <c r="AY143" s="330"/>
      <c r="AZ143" s="330"/>
      <c r="BA143" s="330"/>
      <c r="BB143" s="330"/>
      <c r="BC143" s="330"/>
      <c r="BD143" s="330"/>
      <c r="BE143" s="330"/>
      <c r="BF143" s="330"/>
    </row>
    <row r="144" spans="1:58">
      <c r="A144" s="330"/>
      <c r="B144" s="330"/>
      <c r="C144" s="330"/>
      <c r="D144" s="330"/>
      <c r="E144" s="330"/>
      <c r="F144" s="330"/>
      <c r="G144" s="330"/>
      <c r="H144" s="330"/>
      <c r="I144" s="330"/>
      <c r="J144" s="330"/>
      <c r="K144" s="330"/>
      <c r="L144" s="330"/>
      <c r="M144" s="330"/>
      <c r="N144" s="330"/>
      <c r="O144" s="330"/>
      <c r="P144" s="330"/>
      <c r="Q144" s="330"/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330"/>
      <c r="AD144" s="330"/>
      <c r="AE144" s="330"/>
      <c r="AF144" s="330"/>
      <c r="AG144" s="330"/>
      <c r="AH144" s="330"/>
      <c r="AI144" s="330"/>
      <c r="AJ144" s="330"/>
      <c r="AK144" s="330"/>
      <c r="AL144" s="330"/>
      <c r="AM144" s="330"/>
      <c r="AN144" s="330"/>
      <c r="AO144" s="330"/>
      <c r="AP144" s="330"/>
      <c r="AQ144" s="330"/>
      <c r="AR144" s="330"/>
      <c r="AS144" s="330"/>
      <c r="AT144" s="330"/>
      <c r="AU144" s="330"/>
      <c r="AV144" s="330"/>
      <c r="AW144" s="330"/>
      <c r="AX144" s="330"/>
      <c r="AY144" s="330"/>
      <c r="AZ144" s="330"/>
      <c r="BA144" s="330"/>
      <c r="BB144" s="330"/>
      <c r="BC144" s="330"/>
      <c r="BD144" s="330"/>
      <c r="BE144" s="330"/>
      <c r="BF144" s="330"/>
    </row>
    <row r="145" spans="1:58">
      <c r="A145" s="330"/>
      <c r="B145" s="330"/>
      <c r="C145" s="330"/>
      <c r="D145" s="330"/>
      <c r="E145" s="330"/>
      <c r="F145" s="330"/>
      <c r="G145" s="330"/>
      <c r="H145" s="330"/>
      <c r="I145" s="330"/>
      <c r="J145" s="330"/>
      <c r="K145" s="330"/>
      <c r="L145" s="330"/>
      <c r="M145" s="330"/>
      <c r="N145" s="330"/>
      <c r="O145" s="330"/>
      <c r="P145" s="330"/>
      <c r="Q145" s="330"/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330"/>
      <c r="AD145" s="330"/>
      <c r="AE145" s="330"/>
      <c r="AF145" s="330"/>
      <c r="AG145" s="330"/>
      <c r="AH145" s="330"/>
      <c r="AI145" s="330"/>
      <c r="AJ145" s="330"/>
      <c r="AK145" s="330"/>
      <c r="AL145" s="330"/>
      <c r="AM145" s="330"/>
      <c r="AN145" s="330"/>
      <c r="AO145" s="330"/>
      <c r="AP145" s="330"/>
      <c r="AQ145" s="330"/>
      <c r="AR145" s="330"/>
      <c r="AS145" s="330"/>
      <c r="AT145" s="330"/>
      <c r="AU145" s="330"/>
      <c r="AV145" s="330"/>
      <c r="AW145" s="330"/>
      <c r="AX145" s="330"/>
      <c r="AY145" s="330"/>
      <c r="AZ145" s="330"/>
      <c r="BA145" s="330"/>
      <c r="BB145" s="330"/>
      <c r="BC145" s="330"/>
      <c r="BD145" s="330"/>
      <c r="BE145" s="330"/>
      <c r="BF145" s="330"/>
    </row>
    <row r="146" spans="1:58">
      <c r="A146" s="330"/>
      <c r="B146" s="330"/>
      <c r="C146" s="330"/>
      <c r="D146" s="330"/>
      <c r="E146" s="330"/>
      <c r="F146" s="330"/>
      <c r="G146" s="330"/>
      <c r="H146" s="330"/>
      <c r="I146" s="330"/>
      <c r="J146" s="330"/>
      <c r="K146" s="330"/>
      <c r="L146" s="330"/>
      <c r="M146" s="330"/>
      <c r="N146" s="330"/>
      <c r="O146" s="330"/>
      <c r="P146" s="330"/>
      <c r="Q146" s="330"/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330"/>
      <c r="AD146" s="330"/>
      <c r="AE146" s="330"/>
      <c r="AF146" s="330"/>
      <c r="AG146" s="330"/>
      <c r="AH146" s="330"/>
      <c r="AI146" s="330"/>
      <c r="AJ146" s="330"/>
      <c r="AK146" s="330"/>
      <c r="AL146" s="330"/>
      <c r="AM146" s="330"/>
      <c r="AN146" s="330"/>
      <c r="AO146" s="330"/>
      <c r="AP146" s="330"/>
      <c r="AQ146" s="330"/>
      <c r="AR146" s="330"/>
      <c r="AS146" s="330"/>
      <c r="AT146" s="330"/>
      <c r="AU146" s="330"/>
      <c r="AV146" s="330"/>
      <c r="AW146" s="330"/>
      <c r="AX146" s="330"/>
      <c r="AY146" s="330"/>
      <c r="AZ146" s="330"/>
      <c r="BA146" s="330"/>
      <c r="BB146" s="330"/>
      <c r="BC146" s="330"/>
      <c r="BD146" s="330"/>
      <c r="BE146" s="330"/>
      <c r="BF146" s="330"/>
    </row>
    <row r="147" spans="1:58">
      <c r="A147" s="330"/>
      <c r="B147" s="330"/>
      <c r="C147" s="330"/>
      <c r="D147" s="330"/>
      <c r="E147" s="330"/>
      <c r="F147" s="330"/>
      <c r="G147" s="330"/>
      <c r="H147" s="330"/>
      <c r="I147" s="330"/>
      <c r="J147" s="330"/>
      <c r="K147" s="330"/>
      <c r="L147" s="330"/>
      <c r="M147" s="330"/>
      <c r="N147" s="330"/>
      <c r="O147" s="330"/>
      <c r="P147" s="330"/>
      <c r="Q147" s="330"/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330"/>
      <c r="AD147" s="330"/>
      <c r="AE147" s="330"/>
      <c r="AF147" s="330"/>
      <c r="AG147" s="330"/>
      <c r="AH147" s="330"/>
      <c r="AI147" s="330"/>
      <c r="AJ147" s="330"/>
      <c r="AK147" s="330"/>
      <c r="AL147" s="330"/>
      <c r="AM147" s="330"/>
      <c r="AN147" s="330"/>
      <c r="AO147" s="330"/>
      <c r="AP147" s="330"/>
      <c r="AQ147" s="330"/>
      <c r="AR147" s="330"/>
      <c r="AS147" s="330"/>
      <c r="AT147" s="330"/>
      <c r="AU147" s="330"/>
      <c r="AV147" s="330"/>
      <c r="AW147" s="330"/>
      <c r="AX147" s="330"/>
      <c r="AY147" s="330"/>
      <c r="AZ147" s="330"/>
      <c r="BA147" s="330"/>
      <c r="BB147" s="330"/>
      <c r="BC147" s="330"/>
      <c r="BD147" s="330"/>
      <c r="BE147" s="330"/>
      <c r="BF147" s="330"/>
    </row>
    <row r="148" spans="1:58">
      <c r="A148" s="330"/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0"/>
      <c r="P148" s="330"/>
      <c r="Q148" s="330"/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330"/>
      <c r="AD148" s="330"/>
      <c r="AE148" s="330"/>
      <c r="AF148" s="330"/>
      <c r="AG148" s="330"/>
      <c r="AH148" s="330"/>
      <c r="AI148" s="330"/>
      <c r="AJ148" s="330"/>
      <c r="AK148" s="330"/>
      <c r="AL148" s="330"/>
      <c r="AM148" s="330"/>
      <c r="AN148" s="330"/>
      <c r="AO148" s="330"/>
      <c r="AP148" s="330"/>
      <c r="AQ148" s="330"/>
      <c r="AR148" s="330"/>
      <c r="AS148" s="330"/>
      <c r="AT148" s="330"/>
      <c r="AU148" s="330"/>
      <c r="AV148" s="330"/>
      <c r="AW148" s="330"/>
      <c r="AX148" s="330"/>
      <c r="AY148" s="330"/>
      <c r="AZ148" s="330"/>
      <c r="BA148" s="330"/>
      <c r="BB148" s="330"/>
      <c r="BC148" s="330"/>
      <c r="BD148" s="330"/>
      <c r="BE148" s="330"/>
      <c r="BF148" s="330"/>
    </row>
    <row r="149" spans="1:58">
      <c r="A149" s="330"/>
      <c r="B149" s="330"/>
      <c r="C149" s="330"/>
      <c r="D149" s="330"/>
      <c r="E149" s="330"/>
      <c r="F149" s="330"/>
      <c r="G149" s="330"/>
      <c r="H149" s="330"/>
      <c r="I149" s="330"/>
      <c r="J149" s="330"/>
      <c r="K149" s="330"/>
      <c r="L149" s="330"/>
      <c r="M149" s="330"/>
      <c r="N149" s="330"/>
      <c r="O149" s="330"/>
      <c r="P149" s="330"/>
      <c r="Q149" s="330"/>
      <c r="R149" s="330"/>
      <c r="S149" s="330"/>
      <c r="T149" s="330"/>
      <c r="U149" s="330"/>
      <c r="V149" s="330"/>
      <c r="W149" s="330"/>
      <c r="X149" s="330"/>
      <c r="Y149" s="330"/>
      <c r="Z149" s="330"/>
      <c r="AA149" s="330"/>
      <c r="AB149" s="330"/>
      <c r="AC149" s="330"/>
      <c r="AD149" s="330"/>
      <c r="AE149" s="330"/>
      <c r="AF149" s="330"/>
      <c r="AG149" s="330"/>
      <c r="AH149" s="330"/>
      <c r="AI149" s="330"/>
      <c r="AJ149" s="330"/>
      <c r="AK149" s="330"/>
      <c r="AL149" s="330"/>
      <c r="AM149" s="330"/>
      <c r="AN149" s="330"/>
      <c r="AO149" s="330"/>
      <c r="AP149" s="330"/>
      <c r="AQ149" s="330"/>
      <c r="AR149" s="330"/>
      <c r="AS149" s="330"/>
      <c r="AT149" s="330"/>
      <c r="AU149" s="330"/>
      <c r="AV149" s="330"/>
      <c r="AW149" s="330"/>
      <c r="AX149" s="330"/>
      <c r="AY149" s="330"/>
      <c r="AZ149" s="330"/>
      <c r="BA149" s="330"/>
      <c r="BB149" s="330"/>
      <c r="BC149" s="330"/>
      <c r="BD149" s="330"/>
      <c r="BE149" s="330"/>
      <c r="BF149" s="330"/>
    </row>
    <row r="150" spans="1:58">
      <c r="A150" s="330"/>
      <c r="B150" s="330"/>
      <c r="C150" s="330"/>
      <c r="D150" s="330"/>
      <c r="E150" s="330"/>
      <c r="F150" s="330"/>
      <c r="G150" s="330"/>
      <c r="H150" s="330"/>
      <c r="I150" s="330"/>
      <c r="J150" s="330"/>
      <c r="K150" s="330"/>
      <c r="L150" s="330"/>
      <c r="M150" s="330"/>
      <c r="N150" s="330"/>
      <c r="O150" s="330"/>
      <c r="P150" s="330"/>
      <c r="Q150" s="330"/>
      <c r="R150" s="330"/>
      <c r="S150" s="330"/>
      <c r="T150" s="330"/>
      <c r="U150" s="330"/>
      <c r="V150" s="330"/>
      <c r="W150" s="330"/>
      <c r="X150" s="330"/>
      <c r="Y150" s="330"/>
      <c r="Z150" s="330"/>
      <c r="AA150" s="330"/>
      <c r="AB150" s="330"/>
      <c r="AC150" s="330"/>
      <c r="AD150" s="330"/>
      <c r="AE150" s="330"/>
      <c r="AF150" s="330"/>
      <c r="AG150" s="330"/>
      <c r="AH150" s="330"/>
      <c r="AI150" s="330"/>
      <c r="AJ150" s="330"/>
      <c r="AK150" s="330"/>
      <c r="AL150" s="330"/>
      <c r="AM150" s="330"/>
      <c r="AN150" s="330"/>
      <c r="AO150" s="330"/>
      <c r="AP150" s="330"/>
      <c r="AQ150" s="330"/>
      <c r="AR150" s="330"/>
      <c r="AS150" s="330"/>
      <c r="AT150" s="330"/>
      <c r="AU150" s="330"/>
      <c r="AV150" s="330"/>
      <c r="AW150" s="330"/>
      <c r="AX150" s="330"/>
      <c r="AY150" s="330"/>
      <c r="AZ150" s="330"/>
      <c r="BA150" s="330"/>
      <c r="BB150" s="330"/>
      <c r="BC150" s="330"/>
      <c r="BD150" s="330"/>
      <c r="BE150" s="330"/>
      <c r="BF150" s="330"/>
    </row>
    <row r="151" spans="1:58">
      <c r="A151" s="330"/>
      <c r="B151" s="330"/>
      <c r="C151" s="330"/>
      <c r="D151" s="330"/>
      <c r="E151" s="330"/>
      <c r="F151" s="330"/>
      <c r="G151" s="330"/>
      <c r="H151" s="330"/>
      <c r="I151" s="330"/>
      <c r="J151" s="330"/>
      <c r="K151" s="330"/>
      <c r="L151" s="330"/>
      <c r="M151" s="330"/>
      <c r="N151" s="330"/>
      <c r="O151" s="330"/>
      <c r="P151" s="330"/>
      <c r="Q151" s="330"/>
      <c r="R151" s="330"/>
      <c r="S151" s="330"/>
      <c r="T151" s="330"/>
      <c r="U151" s="330"/>
      <c r="V151" s="330"/>
      <c r="W151" s="330"/>
      <c r="X151" s="330"/>
      <c r="Y151" s="330"/>
      <c r="Z151" s="330"/>
      <c r="AA151" s="330"/>
      <c r="AB151" s="330"/>
      <c r="AC151" s="330"/>
      <c r="AD151" s="330"/>
      <c r="AE151" s="330"/>
      <c r="AF151" s="330"/>
      <c r="AG151" s="330"/>
      <c r="AH151" s="330"/>
      <c r="AI151" s="330"/>
      <c r="AJ151" s="330"/>
      <c r="AK151" s="330"/>
      <c r="AL151" s="330"/>
      <c r="AM151" s="330"/>
      <c r="AN151" s="330"/>
      <c r="AO151" s="330"/>
      <c r="AP151" s="330"/>
      <c r="AQ151" s="330"/>
      <c r="AR151" s="330"/>
      <c r="AS151" s="330"/>
      <c r="AT151" s="330"/>
      <c r="AU151" s="330"/>
      <c r="AV151" s="330"/>
      <c r="AW151" s="330"/>
      <c r="AX151" s="330"/>
      <c r="AY151" s="330"/>
      <c r="AZ151" s="330"/>
      <c r="BA151" s="330"/>
      <c r="BB151" s="330"/>
      <c r="BC151" s="330"/>
      <c r="BD151" s="330"/>
      <c r="BE151" s="330"/>
      <c r="BF151" s="330"/>
    </row>
    <row r="152" spans="1:58">
      <c r="A152" s="330"/>
      <c r="B152" s="330"/>
      <c r="C152" s="330"/>
      <c r="D152" s="330"/>
      <c r="E152" s="330"/>
      <c r="F152" s="330"/>
      <c r="G152" s="330"/>
      <c r="H152" s="330"/>
      <c r="I152" s="330"/>
      <c r="J152" s="330"/>
      <c r="K152" s="330"/>
      <c r="L152" s="330"/>
      <c r="M152" s="330"/>
      <c r="N152" s="330"/>
      <c r="O152" s="330"/>
      <c r="P152" s="330"/>
      <c r="Q152" s="330"/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330"/>
      <c r="AD152" s="330"/>
      <c r="AE152" s="330"/>
      <c r="AF152" s="330"/>
      <c r="AG152" s="330"/>
      <c r="AH152" s="330"/>
      <c r="AI152" s="330"/>
      <c r="AJ152" s="330"/>
      <c r="AK152" s="330"/>
      <c r="AL152" s="330"/>
      <c r="AM152" s="330"/>
      <c r="AN152" s="330"/>
      <c r="AO152" s="330"/>
      <c r="AP152" s="330"/>
      <c r="AQ152" s="330"/>
      <c r="AR152" s="330"/>
      <c r="AS152" s="330"/>
      <c r="AT152" s="330"/>
      <c r="AU152" s="330"/>
      <c r="AV152" s="330"/>
      <c r="AW152" s="330"/>
      <c r="AX152" s="330"/>
      <c r="AY152" s="330"/>
      <c r="AZ152" s="330"/>
      <c r="BA152" s="330"/>
      <c r="BB152" s="330"/>
      <c r="BC152" s="330"/>
      <c r="BD152" s="330"/>
      <c r="BE152" s="330"/>
      <c r="BF152" s="330"/>
    </row>
    <row r="153" spans="1:58">
      <c r="A153" s="330"/>
      <c r="B153" s="330"/>
      <c r="C153" s="330"/>
      <c r="D153" s="330"/>
      <c r="E153" s="330"/>
      <c r="F153" s="330"/>
      <c r="G153" s="330"/>
      <c r="H153" s="330"/>
      <c r="I153" s="330"/>
      <c r="J153" s="330"/>
      <c r="K153" s="330"/>
      <c r="L153" s="330"/>
      <c r="M153" s="330"/>
      <c r="N153" s="330"/>
      <c r="O153" s="330"/>
      <c r="P153" s="330"/>
      <c r="Q153" s="330"/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330"/>
      <c r="AD153" s="330"/>
      <c r="AE153" s="330"/>
      <c r="AF153" s="330"/>
      <c r="AG153" s="330"/>
      <c r="AH153" s="330"/>
      <c r="AI153" s="330"/>
      <c r="AJ153" s="330"/>
      <c r="AK153" s="330"/>
      <c r="AL153" s="330"/>
      <c r="AM153" s="330"/>
      <c r="AN153" s="330"/>
      <c r="AO153" s="330"/>
      <c r="AP153" s="330"/>
      <c r="AQ153" s="330"/>
      <c r="AR153" s="330"/>
      <c r="AS153" s="330"/>
      <c r="AT153" s="330"/>
      <c r="AU153" s="330"/>
      <c r="AV153" s="330"/>
      <c r="AW153" s="330"/>
      <c r="AX153" s="330"/>
      <c r="AY153" s="330"/>
      <c r="AZ153" s="330"/>
      <c r="BA153" s="330"/>
      <c r="BB153" s="330"/>
      <c r="BC153" s="330"/>
      <c r="BD153" s="330"/>
      <c r="BE153" s="330"/>
      <c r="BF153" s="330"/>
    </row>
    <row r="154" spans="1:58">
      <c r="A154" s="330"/>
      <c r="B154" s="330"/>
      <c r="C154" s="330"/>
      <c r="D154" s="330"/>
      <c r="E154" s="330"/>
      <c r="F154" s="330"/>
      <c r="G154" s="330"/>
      <c r="H154" s="330"/>
      <c r="I154" s="330"/>
      <c r="J154" s="330"/>
      <c r="K154" s="330"/>
      <c r="L154" s="330"/>
      <c r="M154" s="330"/>
      <c r="N154" s="330"/>
      <c r="O154" s="330"/>
      <c r="P154" s="330"/>
      <c r="Q154" s="330"/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330"/>
      <c r="AD154" s="330"/>
      <c r="AE154" s="330"/>
      <c r="AF154" s="330"/>
      <c r="AG154" s="330"/>
      <c r="AH154" s="330"/>
      <c r="AI154" s="330"/>
      <c r="AJ154" s="330"/>
      <c r="AK154" s="330"/>
      <c r="AL154" s="330"/>
      <c r="AM154" s="330"/>
      <c r="AN154" s="330"/>
      <c r="AO154" s="330"/>
      <c r="AP154" s="330"/>
      <c r="AQ154" s="330"/>
      <c r="AR154" s="330"/>
      <c r="AS154" s="330"/>
      <c r="AT154" s="330"/>
      <c r="AU154" s="330"/>
      <c r="AV154" s="330"/>
      <c r="AW154" s="330"/>
      <c r="AX154" s="330"/>
      <c r="AY154" s="330"/>
      <c r="AZ154" s="330"/>
      <c r="BA154" s="330"/>
      <c r="BB154" s="330"/>
      <c r="BC154" s="330"/>
      <c r="BD154" s="330"/>
      <c r="BE154" s="330"/>
      <c r="BF154" s="330"/>
    </row>
    <row r="155" spans="1:58">
      <c r="A155" s="330"/>
      <c r="B155" s="330"/>
      <c r="C155" s="330"/>
      <c r="D155" s="330"/>
      <c r="E155" s="330"/>
      <c r="F155" s="330"/>
      <c r="G155" s="330"/>
      <c r="H155" s="330"/>
      <c r="I155" s="330"/>
      <c r="J155" s="330"/>
      <c r="K155" s="330"/>
      <c r="L155" s="330"/>
      <c r="M155" s="330"/>
      <c r="N155" s="330"/>
      <c r="O155" s="330"/>
      <c r="P155" s="330"/>
      <c r="Q155" s="330"/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330"/>
      <c r="AD155" s="330"/>
      <c r="AE155" s="330"/>
      <c r="AF155" s="330"/>
      <c r="AG155" s="330"/>
      <c r="AH155" s="330"/>
      <c r="AI155" s="330"/>
      <c r="AJ155" s="330"/>
      <c r="AK155" s="330"/>
      <c r="AL155" s="330"/>
      <c r="AM155" s="330"/>
      <c r="AN155" s="330"/>
      <c r="AO155" s="330"/>
      <c r="AP155" s="330"/>
      <c r="AQ155" s="330"/>
      <c r="AR155" s="330"/>
      <c r="AS155" s="330"/>
      <c r="AT155" s="330"/>
      <c r="AU155" s="330"/>
      <c r="AV155" s="330"/>
      <c r="AW155" s="330"/>
      <c r="AX155" s="330"/>
      <c r="AY155" s="330"/>
      <c r="AZ155" s="330"/>
      <c r="BA155" s="330"/>
      <c r="BB155" s="330"/>
      <c r="BC155" s="330"/>
      <c r="BD155" s="330"/>
      <c r="BE155" s="330"/>
      <c r="BF155" s="330"/>
    </row>
    <row r="156" spans="1:58">
      <c r="A156" s="330"/>
      <c r="B156" s="330"/>
      <c r="C156" s="330"/>
      <c r="D156" s="330"/>
      <c r="E156" s="330"/>
      <c r="F156" s="330"/>
      <c r="G156" s="330"/>
      <c r="H156" s="330"/>
      <c r="I156" s="330"/>
      <c r="J156" s="330"/>
      <c r="K156" s="330"/>
      <c r="L156" s="330"/>
      <c r="M156" s="330"/>
      <c r="N156" s="330"/>
      <c r="O156" s="330"/>
      <c r="P156" s="330"/>
      <c r="Q156" s="330"/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330"/>
      <c r="AD156" s="330"/>
      <c r="AE156" s="330"/>
      <c r="AF156" s="330"/>
      <c r="AG156" s="330"/>
      <c r="AH156" s="330"/>
      <c r="AI156" s="330"/>
      <c r="AJ156" s="330"/>
      <c r="AK156" s="330"/>
      <c r="AL156" s="330"/>
      <c r="AM156" s="330"/>
      <c r="AN156" s="330"/>
      <c r="AO156" s="330"/>
      <c r="AP156" s="330"/>
      <c r="AQ156" s="330"/>
      <c r="AR156" s="330"/>
      <c r="AS156" s="330"/>
      <c r="AT156" s="330"/>
      <c r="AU156" s="330"/>
      <c r="AV156" s="330"/>
      <c r="AW156" s="330"/>
      <c r="AX156" s="330"/>
      <c r="AY156" s="330"/>
      <c r="AZ156" s="330"/>
      <c r="BA156" s="330"/>
      <c r="BB156" s="330"/>
      <c r="BC156" s="330"/>
      <c r="BD156" s="330"/>
      <c r="BE156" s="330"/>
      <c r="BF156" s="330"/>
    </row>
    <row r="157" spans="1:58">
      <c r="A157" s="330"/>
      <c r="B157" s="330"/>
      <c r="C157" s="330"/>
      <c r="D157" s="330"/>
      <c r="E157" s="330"/>
      <c r="F157" s="330"/>
      <c r="G157" s="330"/>
      <c r="H157" s="330"/>
      <c r="I157" s="330"/>
      <c r="J157" s="330"/>
      <c r="K157" s="330"/>
      <c r="L157" s="330"/>
      <c r="M157" s="330"/>
      <c r="N157" s="330"/>
      <c r="O157" s="330"/>
      <c r="P157" s="330"/>
      <c r="Q157" s="330"/>
      <c r="R157" s="330"/>
      <c r="S157" s="330"/>
      <c r="T157" s="330"/>
      <c r="U157" s="330"/>
      <c r="V157" s="330"/>
      <c r="W157" s="330"/>
      <c r="X157" s="330"/>
      <c r="Y157" s="330"/>
      <c r="Z157" s="330"/>
      <c r="AA157" s="330"/>
      <c r="AB157" s="330"/>
      <c r="AC157" s="330"/>
      <c r="AD157" s="330"/>
      <c r="AE157" s="330"/>
      <c r="AF157" s="330"/>
      <c r="AG157" s="330"/>
      <c r="AH157" s="330"/>
      <c r="AI157" s="330"/>
      <c r="AJ157" s="330"/>
      <c r="AK157" s="330"/>
      <c r="AL157" s="330"/>
      <c r="AM157" s="330"/>
      <c r="AN157" s="330"/>
      <c r="AO157" s="330"/>
      <c r="AP157" s="330"/>
      <c r="AQ157" s="330"/>
      <c r="AR157" s="330"/>
      <c r="AS157" s="330"/>
      <c r="AT157" s="330"/>
      <c r="AU157" s="330"/>
      <c r="AV157" s="330"/>
      <c r="AW157" s="330"/>
      <c r="AX157" s="330"/>
      <c r="AY157" s="330"/>
      <c r="AZ157" s="330"/>
      <c r="BA157" s="330"/>
      <c r="BB157" s="330"/>
      <c r="BC157" s="330"/>
      <c r="BD157" s="330"/>
      <c r="BE157" s="330"/>
      <c r="BF157" s="330"/>
    </row>
    <row r="158" spans="1:58">
      <c r="A158" s="330"/>
      <c r="B158" s="330"/>
      <c r="C158" s="330"/>
      <c r="D158" s="330"/>
      <c r="E158" s="330"/>
      <c r="F158" s="330"/>
      <c r="G158" s="330"/>
      <c r="H158" s="330"/>
      <c r="I158" s="330"/>
      <c r="J158" s="330"/>
      <c r="K158" s="330"/>
      <c r="L158" s="330"/>
      <c r="M158" s="330"/>
      <c r="N158" s="330"/>
      <c r="O158" s="330"/>
      <c r="P158" s="330"/>
      <c r="Q158" s="330"/>
      <c r="R158" s="330"/>
      <c r="S158" s="330"/>
      <c r="T158" s="330"/>
      <c r="U158" s="330"/>
      <c r="V158" s="330"/>
      <c r="W158" s="330"/>
      <c r="X158" s="330"/>
      <c r="Y158" s="330"/>
      <c r="Z158" s="330"/>
      <c r="AA158" s="330"/>
      <c r="AB158" s="330"/>
      <c r="AC158" s="330"/>
      <c r="AD158" s="330"/>
      <c r="AE158" s="330"/>
      <c r="AF158" s="330"/>
      <c r="AG158" s="330"/>
      <c r="AH158" s="330"/>
      <c r="AI158" s="330"/>
      <c r="AJ158" s="330"/>
      <c r="AK158" s="330"/>
      <c r="AL158" s="330"/>
      <c r="AM158" s="330"/>
      <c r="AN158" s="330"/>
      <c r="AO158" s="330"/>
      <c r="AP158" s="330"/>
      <c r="AQ158" s="330"/>
      <c r="AR158" s="330"/>
      <c r="AS158" s="330"/>
      <c r="AT158" s="330"/>
      <c r="AU158" s="330"/>
      <c r="AV158" s="330"/>
      <c r="AW158" s="330"/>
      <c r="AX158" s="330"/>
      <c r="AY158" s="330"/>
      <c r="AZ158" s="330"/>
      <c r="BA158" s="330"/>
      <c r="BB158" s="330"/>
      <c r="BC158" s="330"/>
      <c r="BD158" s="330"/>
      <c r="BE158" s="330"/>
      <c r="BF158" s="330"/>
    </row>
    <row r="159" spans="1:58">
      <c r="A159" s="330"/>
      <c r="B159" s="330"/>
      <c r="C159" s="330"/>
      <c r="D159" s="330"/>
      <c r="E159" s="330"/>
      <c r="F159" s="330"/>
      <c r="G159" s="330"/>
      <c r="H159" s="330"/>
      <c r="I159" s="330"/>
      <c r="J159" s="330"/>
      <c r="K159" s="330"/>
      <c r="L159" s="330"/>
      <c r="M159" s="330"/>
      <c r="N159" s="330"/>
      <c r="O159" s="330"/>
      <c r="P159" s="330"/>
      <c r="Q159" s="330"/>
      <c r="R159" s="330"/>
      <c r="S159" s="330"/>
      <c r="T159" s="330"/>
      <c r="U159" s="330"/>
      <c r="V159" s="330"/>
      <c r="W159" s="330"/>
      <c r="X159" s="330"/>
      <c r="Y159" s="330"/>
      <c r="Z159" s="330"/>
      <c r="AA159" s="330"/>
      <c r="AB159" s="330"/>
      <c r="AC159" s="330"/>
      <c r="AD159" s="330"/>
      <c r="AE159" s="330"/>
      <c r="AF159" s="330"/>
      <c r="AG159" s="330"/>
      <c r="AH159" s="330"/>
      <c r="AI159" s="330"/>
      <c r="AJ159" s="330"/>
      <c r="AK159" s="330"/>
      <c r="AL159" s="330"/>
      <c r="AM159" s="330"/>
      <c r="AN159" s="330"/>
      <c r="AO159" s="330"/>
      <c r="AP159" s="330"/>
      <c r="AQ159" s="330"/>
      <c r="AR159" s="330"/>
      <c r="AS159" s="330"/>
      <c r="AT159" s="330"/>
      <c r="AU159" s="330"/>
      <c r="AV159" s="330"/>
      <c r="AW159" s="330"/>
      <c r="AX159" s="330"/>
      <c r="AY159" s="330"/>
      <c r="AZ159" s="330"/>
      <c r="BA159" s="330"/>
      <c r="BB159" s="330"/>
      <c r="BC159" s="330"/>
      <c r="BD159" s="330"/>
      <c r="BE159" s="330"/>
      <c r="BF159" s="330"/>
    </row>
    <row r="160" spans="1:58">
      <c r="A160" s="330"/>
      <c r="B160" s="330"/>
      <c r="C160" s="330"/>
      <c r="D160" s="330"/>
      <c r="E160" s="330"/>
      <c r="F160" s="330"/>
      <c r="G160" s="330"/>
      <c r="H160" s="330"/>
      <c r="I160" s="330"/>
      <c r="J160" s="330"/>
      <c r="K160" s="330"/>
      <c r="L160" s="330"/>
      <c r="M160" s="330"/>
      <c r="N160" s="330"/>
      <c r="O160" s="330"/>
      <c r="P160" s="330"/>
      <c r="Q160" s="330"/>
      <c r="R160" s="330"/>
      <c r="S160" s="330"/>
      <c r="T160" s="330"/>
      <c r="U160" s="330"/>
      <c r="V160" s="330"/>
      <c r="W160" s="330"/>
      <c r="X160" s="330"/>
      <c r="Y160" s="330"/>
      <c r="Z160" s="330"/>
      <c r="AA160" s="330"/>
      <c r="AB160" s="330"/>
      <c r="AC160" s="330"/>
      <c r="AD160" s="330"/>
      <c r="AE160" s="330"/>
      <c r="AF160" s="330"/>
      <c r="AG160" s="330"/>
      <c r="AH160" s="330"/>
      <c r="AI160" s="330"/>
      <c r="AJ160" s="330"/>
      <c r="AK160" s="330"/>
      <c r="AL160" s="330"/>
      <c r="AM160" s="330"/>
      <c r="AN160" s="330"/>
      <c r="AO160" s="330"/>
      <c r="AP160" s="330"/>
      <c r="AQ160" s="330"/>
      <c r="AR160" s="330"/>
      <c r="AS160" s="330"/>
      <c r="AT160" s="330"/>
      <c r="AU160" s="330"/>
      <c r="AV160" s="330"/>
      <c r="AW160" s="330"/>
      <c r="AX160" s="330"/>
      <c r="AY160" s="330"/>
      <c r="AZ160" s="330"/>
      <c r="BA160" s="330"/>
      <c r="BB160" s="330"/>
      <c r="BC160" s="330"/>
      <c r="BD160" s="330"/>
      <c r="BE160" s="330"/>
      <c r="BF160" s="330"/>
    </row>
    <row r="161" spans="1:58">
      <c r="A161" s="330"/>
      <c r="B161" s="330"/>
      <c r="C161" s="330"/>
      <c r="D161" s="330"/>
      <c r="E161" s="330"/>
      <c r="F161" s="330"/>
      <c r="G161" s="330"/>
      <c r="H161" s="330"/>
      <c r="I161" s="330"/>
      <c r="J161" s="330"/>
      <c r="K161" s="330"/>
      <c r="L161" s="330"/>
      <c r="M161" s="330"/>
      <c r="N161" s="330"/>
      <c r="O161" s="330"/>
      <c r="P161" s="330"/>
      <c r="Q161" s="330"/>
      <c r="R161" s="330"/>
      <c r="S161" s="330"/>
      <c r="T161" s="330"/>
      <c r="U161" s="330"/>
      <c r="V161" s="330"/>
      <c r="W161" s="330"/>
      <c r="X161" s="330"/>
      <c r="Y161" s="330"/>
      <c r="Z161" s="330"/>
      <c r="AA161" s="330"/>
      <c r="AB161" s="330"/>
      <c r="AC161" s="330"/>
      <c r="AD161" s="330"/>
      <c r="AE161" s="330"/>
      <c r="AF161" s="330"/>
      <c r="AG161" s="330"/>
      <c r="AH161" s="330"/>
      <c r="AI161" s="330"/>
      <c r="AJ161" s="330"/>
      <c r="AK161" s="330"/>
      <c r="AL161" s="330"/>
      <c r="AM161" s="330"/>
      <c r="AN161" s="330"/>
      <c r="AO161" s="330"/>
      <c r="AP161" s="330"/>
      <c r="AQ161" s="330"/>
      <c r="AR161" s="330"/>
      <c r="AS161" s="330"/>
      <c r="AT161" s="330"/>
      <c r="AU161" s="330"/>
      <c r="AV161" s="330"/>
      <c r="AW161" s="330"/>
      <c r="AX161" s="330"/>
      <c r="AY161" s="330"/>
      <c r="AZ161" s="330"/>
      <c r="BA161" s="330"/>
      <c r="BB161" s="330"/>
      <c r="BC161" s="330"/>
      <c r="BD161" s="330"/>
      <c r="BE161" s="330"/>
      <c r="BF161" s="330"/>
    </row>
    <row r="162" spans="1:58">
      <c r="A162" s="330"/>
      <c r="B162" s="330"/>
      <c r="C162" s="330"/>
      <c r="D162" s="330"/>
      <c r="E162" s="330"/>
      <c r="F162" s="330"/>
      <c r="G162" s="330"/>
      <c r="H162" s="330"/>
      <c r="I162" s="330"/>
      <c r="J162" s="330"/>
      <c r="K162" s="330"/>
      <c r="L162" s="330"/>
      <c r="M162" s="330"/>
      <c r="N162" s="330"/>
      <c r="O162" s="330"/>
      <c r="P162" s="330"/>
      <c r="Q162" s="330"/>
      <c r="R162" s="330"/>
      <c r="S162" s="330"/>
      <c r="T162" s="330"/>
      <c r="U162" s="330"/>
      <c r="V162" s="330"/>
      <c r="W162" s="330"/>
      <c r="X162" s="330"/>
      <c r="Y162" s="330"/>
      <c r="Z162" s="330"/>
      <c r="AA162" s="330"/>
      <c r="AB162" s="330"/>
      <c r="AC162" s="330"/>
      <c r="AD162" s="330"/>
      <c r="AE162" s="330"/>
      <c r="AF162" s="330"/>
      <c r="AG162" s="330"/>
      <c r="AH162" s="330"/>
      <c r="AI162" s="330"/>
      <c r="AJ162" s="330"/>
      <c r="AK162" s="330"/>
      <c r="AL162" s="330"/>
      <c r="AM162" s="330"/>
      <c r="AN162" s="330"/>
      <c r="AO162" s="330"/>
      <c r="AP162" s="330"/>
      <c r="AQ162" s="330"/>
      <c r="AR162" s="330"/>
      <c r="AS162" s="330"/>
      <c r="AT162" s="330"/>
      <c r="AU162" s="330"/>
      <c r="AV162" s="330"/>
      <c r="AW162" s="330"/>
      <c r="AX162" s="330"/>
      <c r="AY162" s="330"/>
      <c r="AZ162" s="330"/>
      <c r="BA162" s="330"/>
      <c r="BB162" s="330"/>
      <c r="BC162" s="330"/>
      <c r="BD162" s="330"/>
      <c r="BE162" s="330"/>
      <c r="BF162" s="330"/>
    </row>
    <row r="163" spans="1:58">
      <c r="A163" s="330"/>
      <c r="B163" s="330"/>
      <c r="C163" s="330"/>
      <c r="D163" s="330"/>
      <c r="E163" s="330"/>
      <c r="F163" s="330"/>
      <c r="G163" s="330"/>
      <c r="H163" s="330"/>
      <c r="I163" s="330"/>
      <c r="J163" s="330"/>
      <c r="K163" s="330"/>
      <c r="L163" s="330"/>
      <c r="M163" s="330"/>
      <c r="N163" s="330"/>
      <c r="O163" s="330"/>
      <c r="P163" s="330"/>
      <c r="Q163" s="330"/>
      <c r="R163" s="330"/>
      <c r="S163" s="330"/>
      <c r="T163" s="330"/>
      <c r="U163" s="330"/>
      <c r="V163" s="330"/>
      <c r="W163" s="330"/>
      <c r="X163" s="330"/>
      <c r="Y163" s="330"/>
      <c r="Z163" s="330"/>
      <c r="AA163" s="330"/>
      <c r="AB163" s="330"/>
      <c r="AC163" s="330"/>
      <c r="AD163" s="330"/>
      <c r="AE163" s="330"/>
      <c r="AF163" s="330"/>
      <c r="AG163" s="330"/>
      <c r="AH163" s="330"/>
      <c r="AI163" s="330"/>
      <c r="AJ163" s="330"/>
      <c r="AK163" s="330"/>
      <c r="AL163" s="330"/>
      <c r="AM163" s="330"/>
      <c r="AN163" s="330"/>
      <c r="AO163" s="330"/>
      <c r="AP163" s="330"/>
      <c r="AQ163" s="330"/>
      <c r="AR163" s="330"/>
      <c r="AS163" s="330"/>
      <c r="AT163" s="330"/>
      <c r="AU163" s="330"/>
      <c r="AV163" s="330"/>
      <c r="AW163" s="330"/>
      <c r="AX163" s="330"/>
      <c r="AY163" s="330"/>
      <c r="AZ163" s="330"/>
      <c r="BA163" s="330"/>
      <c r="BB163" s="330"/>
      <c r="BC163" s="330"/>
      <c r="BD163" s="330"/>
      <c r="BE163" s="330"/>
      <c r="BF163" s="330"/>
    </row>
    <row r="164" spans="1:58">
      <c r="A164" s="330"/>
      <c r="B164" s="330"/>
      <c r="C164" s="330"/>
      <c r="D164" s="330"/>
      <c r="E164" s="330"/>
      <c r="F164" s="330"/>
      <c r="G164" s="330"/>
      <c r="H164" s="330"/>
      <c r="I164" s="330"/>
      <c r="J164" s="330"/>
      <c r="K164" s="330"/>
      <c r="L164" s="330"/>
      <c r="M164" s="330"/>
      <c r="N164" s="330"/>
      <c r="O164" s="330"/>
      <c r="P164" s="330"/>
      <c r="Q164" s="330"/>
      <c r="R164" s="330"/>
      <c r="S164" s="330"/>
      <c r="T164" s="330"/>
      <c r="U164" s="330"/>
      <c r="V164" s="330"/>
      <c r="W164" s="330"/>
      <c r="X164" s="330"/>
      <c r="Y164" s="330"/>
      <c r="Z164" s="330"/>
      <c r="AA164" s="330"/>
      <c r="AB164" s="330"/>
      <c r="AC164" s="330"/>
      <c r="AD164" s="330"/>
      <c r="AE164" s="330"/>
      <c r="AF164" s="330"/>
      <c r="AG164" s="330"/>
      <c r="AH164" s="330"/>
      <c r="AI164" s="330"/>
      <c r="AJ164" s="330"/>
      <c r="AK164" s="330"/>
      <c r="AL164" s="330"/>
      <c r="AM164" s="330"/>
      <c r="AN164" s="330"/>
      <c r="AO164" s="330"/>
      <c r="AP164" s="330"/>
      <c r="AQ164" s="330"/>
      <c r="AR164" s="330"/>
      <c r="AS164" s="330"/>
      <c r="AT164" s="330"/>
      <c r="AU164" s="330"/>
      <c r="AV164" s="330"/>
      <c r="AW164" s="330"/>
      <c r="AX164" s="330"/>
      <c r="AY164" s="330"/>
      <c r="AZ164" s="330"/>
      <c r="BA164" s="330"/>
      <c r="BB164" s="330"/>
      <c r="BC164" s="330"/>
      <c r="BD164" s="330"/>
      <c r="BE164" s="330"/>
      <c r="BF164" s="330"/>
    </row>
    <row r="165" spans="1:58">
      <c r="A165" s="330"/>
      <c r="B165" s="330"/>
      <c r="C165" s="330"/>
      <c r="D165" s="330"/>
      <c r="E165" s="330"/>
      <c r="F165" s="330"/>
      <c r="G165" s="330"/>
      <c r="H165" s="330"/>
      <c r="I165" s="330"/>
      <c r="J165" s="330"/>
      <c r="K165" s="330"/>
      <c r="L165" s="330"/>
      <c r="M165" s="330"/>
      <c r="N165" s="330"/>
      <c r="O165" s="330"/>
      <c r="P165" s="330"/>
      <c r="Q165" s="330"/>
      <c r="R165" s="330"/>
      <c r="S165" s="330"/>
      <c r="T165" s="330"/>
      <c r="U165" s="330"/>
      <c r="V165" s="330"/>
      <c r="W165" s="330"/>
      <c r="X165" s="330"/>
      <c r="Y165" s="330"/>
      <c r="Z165" s="330"/>
      <c r="AA165" s="330"/>
      <c r="AB165" s="330"/>
      <c r="AC165" s="330"/>
      <c r="AD165" s="330"/>
      <c r="AE165" s="330"/>
      <c r="AF165" s="330"/>
      <c r="AG165" s="330"/>
      <c r="AH165" s="330"/>
      <c r="AI165" s="330"/>
      <c r="AJ165" s="330"/>
      <c r="AK165" s="330"/>
      <c r="AL165" s="330"/>
      <c r="AM165" s="330"/>
      <c r="AN165" s="330"/>
      <c r="AO165" s="330"/>
      <c r="AP165" s="330"/>
      <c r="AQ165" s="330"/>
      <c r="AR165" s="330"/>
      <c r="AS165" s="330"/>
      <c r="AT165" s="330"/>
      <c r="AU165" s="330"/>
      <c r="AV165" s="330"/>
      <c r="AW165" s="330"/>
      <c r="AX165" s="330"/>
      <c r="AY165" s="330"/>
      <c r="AZ165" s="330"/>
      <c r="BA165" s="330"/>
      <c r="BB165" s="330"/>
      <c r="BC165" s="330"/>
      <c r="BD165" s="330"/>
      <c r="BE165" s="330"/>
      <c r="BF165" s="330"/>
    </row>
    <row r="166" spans="1:58">
      <c r="A166" s="330"/>
      <c r="B166" s="330"/>
      <c r="C166" s="330"/>
      <c r="D166" s="330"/>
      <c r="E166" s="330"/>
      <c r="F166" s="330"/>
      <c r="G166" s="330"/>
      <c r="H166" s="330"/>
      <c r="I166" s="330"/>
      <c r="J166" s="330"/>
      <c r="K166" s="330"/>
      <c r="L166" s="330"/>
      <c r="M166" s="330"/>
      <c r="N166" s="330"/>
      <c r="O166" s="330"/>
      <c r="P166" s="330"/>
      <c r="Q166" s="330"/>
      <c r="R166" s="330"/>
      <c r="S166" s="330"/>
      <c r="T166" s="330"/>
      <c r="U166" s="330"/>
      <c r="V166" s="330"/>
      <c r="W166" s="330"/>
      <c r="X166" s="330"/>
      <c r="Y166" s="330"/>
      <c r="Z166" s="330"/>
      <c r="AA166" s="330"/>
      <c r="AB166" s="330"/>
      <c r="AC166" s="330"/>
      <c r="AD166" s="330"/>
      <c r="AE166" s="330"/>
      <c r="AF166" s="330"/>
      <c r="AG166" s="330"/>
      <c r="AH166" s="330"/>
      <c r="AI166" s="330"/>
      <c r="AJ166" s="330"/>
      <c r="AK166" s="330"/>
      <c r="AL166" s="330"/>
      <c r="AM166" s="330"/>
      <c r="AN166" s="330"/>
      <c r="AO166" s="330"/>
      <c r="AP166" s="330"/>
      <c r="AQ166" s="330"/>
      <c r="AR166" s="330"/>
      <c r="AS166" s="330"/>
      <c r="AT166" s="330"/>
      <c r="AU166" s="330"/>
      <c r="AV166" s="330"/>
      <c r="AW166" s="330"/>
      <c r="AX166" s="330"/>
      <c r="AY166" s="330"/>
      <c r="AZ166" s="330"/>
      <c r="BA166" s="330"/>
      <c r="BB166" s="330"/>
      <c r="BC166" s="330"/>
      <c r="BD166" s="330"/>
      <c r="BE166" s="330"/>
      <c r="BF166" s="330"/>
    </row>
    <row r="167" spans="1:58">
      <c r="A167" s="330"/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330"/>
      <c r="P167" s="330"/>
      <c r="Q167" s="330"/>
      <c r="R167" s="330"/>
      <c r="S167" s="330"/>
      <c r="T167" s="330"/>
      <c r="U167" s="330"/>
      <c r="V167" s="330"/>
      <c r="W167" s="330"/>
      <c r="X167" s="330"/>
      <c r="Y167" s="330"/>
      <c r="Z167" s="330"/>
      <c r="AA167" s="330"/>
      <c r="AB167" s="330"/>
      <c r="AC167" s="330"/>
      <c r="AD167" s="330"/>
      <c r="AE167" s="330"/>
      <c r="AF167" s="330"/>
      <c r="AG167" s="330"/>
      <c r="AH167" s="330"/>
      <c r="AI167" s="330"/>
      <c r="AJ167" s="330"/>
      <c r="AK167" s="330"/>
      <c r="AL167" s="330"/>
      <c r="AM167" s="330"/>
      <c r="AN167" s="330"/>
      <c r="AO167" s="330"/>
      <c r="AP167" s="330"/>
      <c r="AQ167" s="330"/>
      <c r="AR167" s="330"/>
      <c r="AS167" s="330"/>
      <c r="AT167" s="330"/>
      <c r="AU167" s="330"/>
      <c r="AV167" s="330"/>
      <c r="AW167" s="330"/>
      <c r="AX167" s="330"/>
      <c r="AY167" s="330"/>
      <c r="AZ167" s="330"/>
      <c r="BA167" s="330"/>
      <c r="BB167" s="330"/>
      <c r="BC167" s="330"/>
      <c r="BD167" s="330"/>
      <c r="BE167" s="330"/>
      <c r="BF167" s="330"/>
    </row>
    <row r="168" spans="1:58">
      <c r="A168" s="330"/>
      <c r="B168" s="330"/>
      <c r="C168" s="330"/>
      <c r="D168" s="330"/>
      <c r="E168" s="330"/>
      <c r="F168" s="330"/>
      <c r="G168" s="330"/>
      <c r="H168" s="330"/>
      <c r="I168" s="330"/>
      <c r="J168" s="330"/>
      <c r="K168" s="330"/>
      <c r="L168" s="330"/>
      <c r="M168" s="330"/>
      <c r="N168" s="330"/>
      <c r="O168" s="330"/>
      <c r="P168" s="330"/>
      <c r="Q168" s="330"/>
      <c r="R168" s="330"/>
      <c r="S168" s="330"/>
      <c r="T168" s="330"/>
      <c r="U168" s="330"/>
      <c r="V168" s="330"/>
      <c r="W168" s="330"/>
      <c r="X168" s="330"/>
      <c r="Y168" s="330"/>
      <c r="Z168" s="330"/>
      <c r="AA168" s="330"/>
      <c r="AB168" s="330"/>
      <c r="AC168" s="330"/>
      <c r="AD168" s="330"/>
      <c r="AE168" s="330"/>
      <c r="AF168" s="330"/>
      <c r="AG168" s="330"/>
      <c r="AH168" s="330"/>
      <c r="AI168" s="330"/>
      <c r="AJ168" s="330"/>
      <c r="AK168" s="330"/>
      <c r="AL168" s="330"/>
      <c r="AM168" s="330"/>
      <c r="AN168" s="330"/>
      <c r="AO168" s="330"/>
      <c r="AP168" s="330"/>
      <c r="AQ168" s="330"/>
      <c r="AR168" s="330"/>
      <c r="AS168" s="330"/>
      <c r="AT168" s="330"/>
      <c r="AU168" s="330"/>
      <c r="AV168" s="330"/>
      <c r="AW168" s="330"/>
      <c r="AX168" s="330"/>
      <c r="AY168" s="330"/>
      <c r="AZ168" s="330"/>
      <c r="BA168" s="330"/>
      <c r="BB168" s="330"/>
      <c r="BC168" s="330"/>
      <c r="BD168" s="330"/>
      <c r="BE168" s="330"/>
      <c r="BF168" s="330"/>
    </row>
    <row r="169" spans="1:58">
      <c r="A169" s="330"/>
      <c r="B169" s="330"/>
      <c r="C169" s="330"/>
      <c r="D169" s="330"/>
      <c r="E169" s="330"/>
      <c r="F169" s="330"/>
      <c r="G169" s="330"/>
      <c r="H169" s="330"/>
      <c r="I169" s="330"/>
      <c r="J169" s="330"/>
      <c r="K169" s="330"/>
      <c r="L169" s="330"/>
      <c r="M169" s="330"/>
      <c r="N169" s="330"/>
      <c r="O169" s="330"/>
      <c r="P169" s="330"/>
      <c r="Q169" s="330"/>
      <c r="R169" s="330"/>
      <c r="S169" s="330"/>
      <c r="T169" s="330"/>
      <c r="U169" s="330"/>
      <c r="V169" s="330"/>
      <c r="W169" s="330"/>
      <c r="X169" s="330"/>
      <c r="Y169" s="330"/>
      <c r="Z169" s="330"/>
      <c r="AA169" s="330"/>
      <c r="AB169" s="330"/>
      <c r="AC169" s="330"/>
      <c r="AD169" s="330"/>
      <c r="AE169" s="330"/>
      <c r="AF169" s="330"/>
      <c r="AG169" s="330"/>
      <c r="AH169" s="330"/>
      <c r="AI169" s="330"/>
      <c r="AJ169" s="330"/>
      <c r="AK169" s="330"/>
      <c r="AL169" s="330"/>
      <c r="AM169" s="330"/>
      <c r="AN169" s="330"/>
      <c r="AO169" s="330"/>
      <c r="AP169" s="330"/>
      <c r="AQ169" s="330"/>
      <c r="AR169" s="330"/>
      <c r="AS169" s="330"/>
      <c r="AT169" s="330"/>
      <c r="AU169" s="330"/>
      <c r="AV169" s="330"/>
      <c r="AW169" s="330"/>
      <c r="AX169" s="330"/>
      <c r="AY169" s="330"/>
      <c r="AZ169" s="330"/>
      <c r="BA169" s="330"/>
      <c r="BB169" s="330"/>
      <c r="BC169" s="330"/>
      <c r="BD169" s="330"/>
      <c r="BE169" s="330"/>
      <c r="BF169" s="330"/>
    </row>
    <row r="170" spans="1:58">
      <c r="A170" s="330"/>
      <c r="B170" s="330"/>
      <c r="C170" s="330"/>
      <c r="D170" s="330"/>
      <c r="E170" s="330"/>
      <c r="F170" s="330"/>
      <c r="G170" s="330"/>
      <c r="H170" s="330"/>
      <c r="I170" s="330"/>
      <c r="J170" s="330"/>
      <c r="K170" s="330"/>
      <c r="L170" s="330"/>
      <c r="M170" s="330"/>
      <c r="N170" s="330"/>
      <c r="O170" s="330"/>
      <c r="P170" s="330"/>
      <c r="Q170" s="330"/>
      <c r="R170" s="330"/>
      <c r="S170" s="330"/>
      <c r="T170" s="330"/>
      <c r="U170" s="330"/>
      <c r="V170" s="330"/>
      <c r="W170" s="330"/>
      <c r="X170" s="330"/>
      <c r="Y170" s="330"/>
      <c r="Z170" s="330"/>
      <c r="AA170" s="330"/>
      <c r="AB170" s="330"/>
      <c r="AC170" s="330"/>
      <c r="AD170" s="330"/>
      <c r="AE170" s="330"/>
      <c r="AF170" s="330"/>
      <c r="AG170" s="330"/>
      <c r="AH170" s="330"/>
      <c r="AI170" s="330"/>
      <c r="AJ170" s="330"/>
      <c r="AK170" s="330"/>
      <c r="AL170" s="330"/>
      <c r="AM170" s="330"/>
      <c r="AN170" s="330"/>
      <c r="AO170" s="330"/>
      <c r="AP170" s="330"/>
      <c r="AQ170" s="330"/>
      <c r="AR170" s="330"/>
      <c r="AS170" s="330"/>
      <c r="AT170" s="330"/>
      <c r="AU170" s="330"/>
      <c r="AV170" s="330"/>
      <c r="AW170" s="330"/>
      <c r="AX170" s="330"/>
      <c r="AY170" s="330"/>
      <c r="AZ170" s="330"/>
      <c r="BA170" s="330"/>
      <c r="BB170" s="330"/>
      <c r="BC170" s="330"/>
      <c r="BD170" s="330"/>
      <c r="BE170" s="330"/>
      <c r="BF170" s="330"/>
    </row>
    <row r="171" spans="1:58">
      <c r="A171" s="330"/>
      <c r="B171" s="330"/>
      <c r="C171" s="330"/>
      <c r="D171" s="330"/>
      <c r="E171" s="330"/>
      <c r="F171" s="330"/>
      <c r="G171" s="330"/>
      <c r="H171" s="330"/>
      <c r="I171" s="330"/>
      <c r="J171" s="330"/>
      <c r="K171" s="330"/>
      <c r="L171" s="330"/>
      <c r="M171" s="330"/>
      <c r="N171" s="330"/>
      <c r="O171" s="330"/>
      <c r="P171" s="330"/>
      <c r="Q171" s="330"/>
      <c r="R171" s="330"/>
      <c r="S171" s="330"/>
      <c r="T171" s="330"/>
      <c r="U171" s="330"/>
      <c r="V171" s="330"/>
      <c r="W171" s="330"/>
      <c r="X171" s="330"/>
      <c r="Y171" s="330"/>
      <c r="Z171" s="330"/>
      <c r="AA171" s="330"/>
      <c r="AB171" s="330"/>
      <c r="AC171" s="330"/>
      <c r="AD171" s="330"/>
      <c r="AE171" s="330"/>
      <c r="AF171" s="330"/>
      <c r="AG171" s="330"/>
      <c r="AH171" s="330"/>
      <c r="AI171" s="330"/>
      <c r="AJ171" s="330"/>
      <c r="AK171" s="330"/>
      <c r="AL171" s="330"/>
      <c r="AM171" s="330"/>
      <c r="AN171" s="330"/>
      <c r="AO171" s="330"/>
      <c r="AP171" s="330"/>
      <c r="AQ171" s="330"/>
      <c r="AR171" s="330"/>
      <c r="AS171" s="330"/>
      <c r="AT171" s="330"/>
      <c r="AU171" s="330"/>
      <c r="AV171" s="330"/>
      <c r="AW171" s="330"/>
      <c r="AX171" s="330"/>
      <c r="AY171" s="330"/>
      <c r="AZ171" s="330"/>
      <c r="BA171" s="330"/>
      <c r="BB171" s="330"/>
      <c r="BC171" s="330"/>
      <c r="BD171" s="330"/>
      <c r="BE171" s="330"/>
      <c r="BF171" s="330"/>
    </row>
    <row r="172" spans="1:58">
      <c r="A172" s="330"/>
      <c r="B172" s="330"/>
      <c r="C172" s="330"/>
      <c r="D172" s="330"/>
      <c r="E172" s="330"/>
      <c r="F172" s="330"/>
      <c r="G172" s="330"/>
      <c r="H172" s="330"/>
      <c r="I172" s="330"/>
      <c r="J172" s="330"/>
      <c r="K172" s="330"/>
      <c r="L172" s="330"/>
      <c r="M172" s="330"/>
      <c r="N172" s="330"/>
      <c r="O172" s="330"/>
      <c r="P172" s="330"/>
      <c r="Q172" s="330"/>
      <c r="R172" s="330"/>
      <c r="S172" s="330"/>
      <c r="T172" s="330"/>
      <c r="U172" s="330"/>
      <c r="V172" s="330"/>
      <c r="W172" s="330"/>
      <c r="X172" s="330"/>
      <c r="Y172" s="330"/>
      <c r="Z172" s="330"/>
      <c r="AA172" s="330"/>
      <c r="AB172" s="330"/>
      <c r="AC172" s="330"/>
      <c r="AD172" s="330"/>
      <c r="AE172" s="330"/>
      <c r="AF172" s="330"/>
      <c r="AG172" s="330"/>
      <c r="AH172" s="330"/>
      <c r="AI172" s="330"/>
      <c r="AJ172" s="330"/>
      <c r="AK172" s="330"/>
      <c r="AL172" s="330"/>
      <c r="AM172" s="330"/>
      <c r="AN172" s="330"/>
      <c r="AO172" s="330"/>
      <c r="AP172" s="330"/>
      <c r="AQ172" s="330"/>
      <c r="AR172" s="330"/>
      <c r="AS172" s="330"/>
      <c r="AT172" s="330"/>
      <c r="AU172" s="330"/>
      <c r="AV172" s="330"/>
      <c r="AW172" s="330"/>
      <c r="AX172" s="330"/>
      <c r="AY172" s="330"/>
      <c r="AZ172" s="330"/>
      <c r="BA172" s="330"/>
      <c r="BB172" s="330"/>
      <c r="BC172" s="330"/>
      <c r="BD172" s="330"/>
      <c r="BE172" s="330"/>
      <c r="BF172" s="330"/>
    </row>
    <row r="173" spans="1:58">
      <c r="A173" s="330"/>
      <c r="B173" s="330"/>
      <c r="C173" s="330"/>
      <c r="D173" s="330"/>
      <c r="E173" s="330"/>
      <c r="F173" s="330"/>
      <c r="G173" s="330"/>
      <c r="H173" s="330"/>
      <c r="I173" s="330"/>
      <c r="J173" s="330"/>
      <c r="K173" s="330"/>
      <c r="L173" s="330"/>
      <c r="M173" s="330"/>
      <c r="N173" s="330"/>
      <c r="O173" s="330"/>
      <c r="P173" s="330"/>
      <c r="Q173" s="330"/>
      <c r="R173" s="330"/>
      <c r="S173" s="330"/>
      <c r="T173" s="330"/>
      <c r="U173" s="330"/>
      <c r="V173" s="330"/>
      <c r="W173" s="330"/>
      <c r="X173" s="330"/>
      <c r="Y173" s="330"/>
      <c r="Z173" s="330"/>
      <c r="AA173" s="330"/>
      <c r="AB173" s="330"/>
      <c r="AC173" s="330"/>
      <c r="AD173" s="330"/>
      <c r="AE173" s="330"/>
      <c r="AF173" s="330"/>
      <c r="AG173" s="330"/>
      <c r="AH173" s="330"/>
      <c r="AI173" s="330"/>
      <c r="AJ173" s="330"/>
      <c r="AK173" s="330"/>
      <c r="AL173" s="330"/>
      <c r="AM173" s="330"/>
      <c r="AN173" s="330"/>
      <c r="AO173" s="330"/>
      <c r="AP173" s="330"/>
      <c r="AQ173" s="330"/>
      <c r="AR173" s="330"/>
      <c r="AS173" s="330"/>
      <c r="AT173" s="330"/>
      <c r="AU173" s="330"/>
      <c r="AV173" s="330"/>
      <c r="AW173" s="330"/>
      <c r="AX173" s="330"/>
      <c r="AY173" s="330"/>
      <c r="AZ173" s="330"/>
      <c r="BA173" s="330"/>
      <c r="BB173" s="330"/>
      <c r="BC173" s="330"/>
      <c r="BD173" s="330"/>
      <c r="BE173" s="330"/>
      <c r="BF173" s="330"/>
    </row>
    <row r="174" spans="1:58">
      <c r="A174" s="330"/>
      <c r="B174" s="330"/>
      <c r="C174" s="330"/>
      <c r="D174" s="330"/>
      <c r="E174" s="330"/>
      <c r="F174" s="330"/>
      <c r="G174" s="330"/>
      <c r="H174" s="330"/>
      <c r="I174" s="330"/>
      <c r="J174" s="330"/>
      <c r="K174" s="330"/>
      <c r="L174" s="330"/>
      <c r="M174" s="330"/>
      <c r="N174" s="330"/>
      <c r="O174" s="330"/>
      <c r="P174" s="330"/>
      <c r="Q174" s="330"/>
      <c r="R174" s="330"/>
      <c r="S174" s="330"/>
      <c r="T174" s="330"/>
      <c r="U174" s="330"/>
      <c r="V174" s="330"/>
      <c r="W174" s="330"/>
      <c r="X174" s="330"/>
      <c r="Y174" s="330"/>
      <c r="Z174" s="330"/>
      <c r="AA174" s="330"/>
      <c r="AB174" s="330"/>
      <c r="AC174" s="330"/>
      <c r="AD174" s="330"/>
      <c r="AE174" s="330"/>
      <c r="AF174" s="330"/>
      <c r="AG174" s="330"/>
      <c r="AH174" s="330"/>
      <c r="AI174" s="330"/>
      <c r="AJ174" s="330"/>
      <c r="AK174" s="330"/>
      <c r="AL174" s="330"/>
      <c r="AM174" s="330"/>
      <c r="AN174" s="330"/>
      <c r="AO174" s="330"/>
      <c r="AP174" s="330"/>
      <c r="AQ174" s="330"/>
      <c r="AR174" s="330"/>
      <c r="AS174" s="330"/>
      <c r="AT174" s="330"/>
      <c r="AU174" s="330"/>
      <c r="AV174" s="330"/>
      <c r="AW174" s="330"/>
      <c r="AX174" s="330"/>
      <c r="AY174" s="330"/>
      <c r="AZ174" s="330"/>
      <c r="BA174" s="330"/>
      <c r="BB174" s="330"/>
      <c r="BC174" s="330"/>
      <c r="BD174" s="330"/>
      <c r="BE174" s="330"/>
      <c r="BF174" s="330"/>
    </row>
    <row r="175" spans="1:58">
      <c r="A175" s="330"/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0"/>
      <c r="P175" s="330"/>
      <c r="Q175" s="330"/>
      <c r="R175" s="330"/>
      <c r="S175" s="330"/>
      <c r="T175" s="330"/>
      <c r="U175" s="330"/>
      <c r="V175" s="330"/>
      <c r="W175" s="330"/>
      <c r="X175" s="330"/>
      <c r="Y175" s="330"/>
      <c r="Z175" s="330"/>
      <c r="AA175" s="330"/>
      <c r="AB175" s="330"/>
      <c r="AC175" s="330"/>
      <c r="AD175" s="330"/>
      <c r="AE175" s="330"/>
      <c r="AF175" s="330"/>
      <c r="AG175" s="330"/>
      <c r="AH175" s="330"/>
      <c r="AI175" s="330"/>
      <c r="AJ175" s="330"/>
      <c r="AK175" s="330"/>
      <c r="AL175" s="330"/>
      <c r="AM175" s="330"/>
      <c r="AN175" s="330"/>
      <c r="AO175" s="330"/>
      <c r="AP175" s="330"/>
      <c r="AQ175" s="330"/>
      <c r="AR175" s="330"/>
      <c r="AS175" s="330"/>
      <c r="AT175" s="330"/>
      <c r="AU175" s="330"/>
      <c r="AV175" s="330"/>
      <c r="AW175" s="330"/>
      <c r="AX175" s="330"/>
      <c r="AY175" s="330"/>
      <c r="AZ175" s="330"/>
      <c r="BA175" s="330"/>
      <c r="BB175" s="330"/>
      <c r="BC175" s="330"/>
      <c r="BD175" s="330"/>
      <c r="BE175" s="330"/>
      <c r="BF175" s="330"/>
    </row>
    <row r="176" spans="1:58">
      <c r="A176" s="330"/>
      <c r="B176" s="330"/>
      <c r="C176" s="330"/>
      <c r="D176" s="330"/>
      <c r="E176" s="330"/>
      <c r="F176" s="330"/>
      <c r="G176" s="330"/>
      <c r="H176" s="330"/>
      <c r="I176" s="330"/>
      <c r="J176" s="330"/>
      <c r="K176" s="330"/>
      <c r="L176" s="330"/>
      <c r="M176" s="330"/>
      <c r="N176" s="330"/>
      <c r="O176" s="330"/>
      <c r="P176" s="330"/>
      <c r="Q176" s="330"/>
      <c r="R176" s="330"/>
      <c r="S176" s="330"/>
      <c r="T176" s="330"/>
      <c r="U176" s="330"/>
      <c r="V176" s="330"/>
      <c r="W176" s="330"/>
      <c r="X176" s="330"/>
      <c r="Y176" s="330"/>
      <c r="Z176" s="330"/>
      <c r="AA176" s="330"/>
      <c r="AB176" s="330"/>
      <c r="AC176" s="330"/>
      <c r="AD176" s="330"/>
      <c r="AE176" s="330"/>
      <c r="AF176" s="330"/>
      <c r="AG176" s="330"/>
      <c r="AH176" s="330"/>
      <c r="AI176" s="330"/>
      <c r="AJ176" s="330"/>
      <c r="AK176" s="330"/>
      <c r="AL176" s="330"/>
      <c r="AM176" s="330"/>
      <c r="AN176" s="330"/>
      <c r="AO176" s="330"/>
      <c r="AP176" s="330"/>
      <c r="AQ176" s="330"/>
      <c r="AR176" s="330"/>
      <c r="AS176" s="330"/>
      <c r="AT176" s="330"/>
      <c r="AU176" s="330"/>
      <c r="AV176" s="330"/>
      <c r="AW176" s="330"/>
      <c r="AX176" s="330"/>
      <c r="AY176" s="330"/>
      <c r="AZ176" s="330"/>
      <c r="BA176" s="330"/>
      <c r="BB176" s="330"/>
      <c r="BC176" s="330"/>
      <c r="BD176" s="330"/>
      <c r="BE176" s="330"/>
      <c r="BF176" s="330"/>
    </row>
    <row r="177" spans="1:58">
      <c r="A177" s="330"/>
      <c r="B177" s="330"/>
      <c r="C177" s="330"/>
      <c r="D177" s="330"/>
      <c r="E177" s="330"/>
      <c r="F177" s="330"/>
      <c r="G177" s="330"/>
      <c r="H177" s="330"/>
      <c r="I177" s="330"/>
      <c r="J177" s="330"/>
      <c r="K177" s="330"/>
      <c r="L177" s="330"/>
      <c r="M177" s="330"/>
      <c r="N177" s="330"/>
      <c r="O177" s="330"/>
      <c r="P177" s="330"/>
      <c r="Q177" s="330"/>
      <c r="R177" s="330"/>
      <c r="S177" s="330"/>
      <c r="T177" s="330"/>
      <c r="U177" s="330"/>
      <c r="V177" s="330"/>
      <c r="W177" s="330"/>
      <c r="X177" s="330"/>
      <c r="Y177" s="330"/>
      <c r="Z177" s="330"/>
      <c r="AA177" s="330"/>
      <c r="AB177" s="330"/>
      <c r="AC177" s="330"/>
      <c r="AD177" s="330"/>
      <c r="AE177" s="330"/>
      <c r="AF177" s="330"/>
      <c r="AG177" s="330"/>
      <c r="AH177" s="330"/>
      <c r="AI177" s="330"/>
      <c r="AJ177" s="330"/>
      <c r="AK177" s="330"/>
      <c r="AL177" s="330"/>
      <c r="AM177" s="330"/>
      <c r="AN177" s="330"/>
      <c r="AO177" s="330"/>
      <c r="AP177" s="330"/>
      <c r="AQ177" s="330"/>
      <c r="AR177" s="330"/>
      <c r="AS177" s="330"/>
      <c r="AT177" s="330"/>
      <c r="AU177" s="330"/>
      <c r="AV177" s="330"/>
      <c r="AW177" s="330"/>
      <c r="AX177" s="330"/>
      <c r="AY177" s="330"/>
      <c r="AZ177" s="330"/>
      <c r="BA177" s="330"/>
      <c r="BB177" s="330"/>
      <c r="BC177" s="330"/>
      <c r="BD177" s="330"/>
      <c r="BE177" s="330"/>
      <c r="BF177" s="330"/>
    </row>
    <row r="178" spans="1:58">
      <c r="A178" s="330"/>
      <c r="B178" s="330"/>
      <c r="C178" s="330"/>
      <c r="D178" s="330"/>
      <c r="E178" s="330"/>
      <c r="F178" s="330"/>
      <c r="G178" s="330"/>
      <c r="H178" s="330"/>
      <c r="I178" s="330"/>
      <c r="J178" s="330"/>
      <c r="K178" s="330"/>
      <c r="L178" s="330"/>
      <c r="M178" s="330"/>
      <c r="N178" s="330"/>
      <c r="O178" s="330"/>
      <c r="P178" s="330"/>
      <c r="Q178" s="330"/>
      <c r="R178" s="330"/>
      <c r="S178" s="330"/>
      <c r="T178" s="330"/>
      <c r="U178" s="330"/>
      <c r="V178" s="330"/>
      <c r="W178" s="330"/>
      <c r="X178" s="330"/>
      <c r="Y178" s="330"/>
      <c r="Z178" s="330"/>
      <c r="AA178" s="330"/>
      <c r="AB178" s="330"/>
      <c r="AC178" s="330"/>
      <c r="AD178" s="330"/>
      <c r="AE178" s="330"/>
      <c r="AF178" s="330"/>
      <c r="AG178" s="330"/>
      <c r="AH178" s="330"/>
      <c r="AI178" s="330"/>
      <c r="AJ178" s="330"/>
      <c r="AK178" s="330"/>
      <c r="AL178" s="330"/>
      <c r="AM178" s="330"/>
      <c r="AN178" s="330"/>
      <c r="AO178" s="330"/>
      <c r="AP178" s="330"/>
      <c r="AQ178" s="330"/>
      <c r="AR178" s="330"/>
      <c r="AS178" s="330"/>
      <c r="AT178" s="330"/>
      <c r="AU178" s="330"/>
      <c r="AV178" s="330"/>
      <c r="AW178" s="330"/>
      <c r="AX178" s="330"/>
      <c r="AY178" s="330"/>
      <c r="AZ178" s="330"/>
      <c r="BA178" s="330"/>
      <c r="BB178" s="330"/>
      <c r="BC178" s="330"/>
      <c r="BD178" s="330"/>
      <c r="BE178" s="330"/>
      <c r="BF178" s="330"/>
    </row>
    <row r="179" spans="1:58">
      <c r="A179" s="330"/>
      <c r="B179" s="330"/>
      <c r="C179" s="330"/>
      <c r="D179" s="330"/>
      <c r="E179" s="330"/>
      <c r="F179" s="330"/>
      <c r="G179" s="330"/>
      <c r="H179" s="330"/>
      <c r="I179" s="330"/>
      <c r="J179" s="330"/>
      <c r="K179" s="330"/>
      <c r="L179" s="330"/>
      <c r="M179" s="330"/>
      <c r="N179" s="330"/>
      <c r="O179" s="330"/>
      <c r="P179" s="330"/>
      <c r="Q179" s="330"/>
      <c r="R179" s="330"/>
      <c r="S179" s="330"/>
      <c r="T179" s="330"/>
      <c r="U179" s="330"/>
      <c r="V179" s="330"/>
      <c r="W179" s="330"/>
      <c r="X179" s="330"/>
      <c r="Y179" s="330"/>
      <c r="Z179" s="330"/>
      <c r="AA179" s="330"/>
      <c r="AB179" s="330"/>
      <c r="AC179" s="330"/>
      <c r="AD179" s="330"/>
      <c r="AE179" s="330"/>
      <c r="AF179" s="330"/>
      <c r="AG179" s="330"/>
      <c r="AH179" s="330"/>
      <c r="AI179" s="330"/>
      <c r="AJ179" s="330"/>
      <c r="AK179" s="330"/>
      <c r="AL179" s="330"/>
      <c r="AM179" s="330"/>
      <c r="AN179" s="330"/>
      <c r="AO179" s="330"/>
      <c r="AP179" s="330"/>
      <c r="AQ179" s="330"/>
      <c r="AR179" s="330"/>
      <c r="AS179" s="330"/>
      <c r="AT179" s="330"/>
      <c r="AU179" s="330"/>
      <c r="AV179" s="330"/>
      <c r="AW179" s="330"/>
      <c r="AX179" s="330"/>
      <c r="AY179" s="330"/>
      <c r="AZ179" s="330"/>
      <c r="BA179" s="330"/>
      <c r="BB179" s="330"/>
      <c r="BC179" s="330"/>
      <c r="BD179" s="330"/>
      <c r="BE179" s="330"/>
      <c r="BF179" s="330"/>
    </row>
    <row r="180" spans="1:58">
      <c r="A180" s="330"/>
      <c r="B180" s="330"/>
      <c r="C180" s="330"/>
      <c r="D180" s="330"/>
      <c r="E180" s="330"/>
      <c r="F180" s="330"/>
      <c r="G180" s="330"/>
      <c r="H180" s="330"/>
      <c r="I180" s="330"/>
      <c r="J180" s="330"/>
      <c r="K180" s="330"/>
      <c r="L180" s="330"/>
      <c r="M180" s="330"/>
      <c r="N180" s="330"/>
      <c r="O180" s="330"/>
      <c r="P180" s="330"/>
      <c r="Q180" s="330"/>
      <c r="R180" s="330"/>
      <c r="S180" s="330"/>
      <c r="T180" s="330"/>
      <c r="U180" s="330"/>
      <c r="V180" s="330"/>
      <c r="W180" s="330"/>
      <c r="X180" s="330"/>
      <c r="Y180" s="330"/>
      <c r="Z180" s="330"/>
      <c r="AA180" s="330"/>
      <c r="AB180" s="330"/>
      <c r="AC180" s="330"/>
      <c r="AD180" s="330"/>
      <c r="AE180" s="330"/>
      <c r="AF180" s="330"/>
      <c r="AG180" s="330"/>
      <c r="AH180" s="330"/>
      <c r="AI180" s="330"/>
      <c r="AJ180" s="330"/>
      <c r="AK180" s="330"/>
      <c r="AL180" s="330"/>
      <c r="AM180" s="330"/>
      <c r="AN180" s="330"/>
      <c r="AO180" s="330"/>
      <c r="AP180" s="330"/>
      <c r="AQ180" s="330"/>
      <c r="AR180" s="330"/>
      <c r="AS180" s="330"/>
      <c r="AT180" s="330"/>
      <c r="AU180" s="330"/>
      <c r="AV180" s="330"/>
      <c r="AW180" s="330"/>
      <c r="AX180" s="330"/>
      <c r="AY180" s="330"/>
      <c r="AZ180" s="330"/>
      <c r="BA180" s="330"/>
      <c r="BB180" s="330"/>
      <c r="BC180" s="330"/>
      <c r="BD180" s="330"/>
      <c r="BE180" s="330"/>
      <c r="BF180" s="330"/>
    </row>
    <row r="181" spans="1:58">
      <c r="A181" s="330"/>
      <c r="B181" s="330"/>
      <c r="C181" s="330"/>
      <c r="D181" s="330"/>
      <c r="E181" s="330"/>
      <c r="F181" s="330"/>
      <c r="G181" s="330"/>
      <c r="H181" s="330"/>
      <c r="I181" s="330"/>
      <c r="J181" s="330"/>
      <c r="K181" s="330"/>
      <c r="L181" s="330"/>
      <c r="M181" s="330"/>
      <c r="N181" s="330"/>
      <c r="O181" s="330"/>
      <c r="P181" s="330"/>
      <c r="Q181" s="330"/>
      <c r="R181" s="330"/>
      <c r="S181" s="330"/>
      <c r="T181" s="330"/>
      <c r="U181" s="330"/>
      <c r="V181" s="330"/>
      <c r="W181" s="330"/>
      <c r="X181" s="330"/>
      <c r="Y181" s="330"/>
      <c r="Z181" s="330"/>
      <c r="AA181" s="330"/>
      <c r="AB181" s="330"/>
      <c r="AC181" s="330"/>
      <c r="AD181" s="330"/>
      <c r="AE181" s="330"/>
      <c r="AF181" s="330"/>
      <c r="AG181" s="330"/>
      <c r="AH181" s="330"/>
      <c r="AI181" s="330"/>
      <c r="AJ181" s="330"/>
      <c r="AK181" s="330"/>
      <c r="AL181" s="330"/>
      <c r="AM181" s="330"/>
      <c r="AN181" s="330"/>
      <c r="AO181" s="330"/>
      <c r="AP181" s="330"/>
      <c r="AQ181" s="330"/>
      <c r="AR181" s="330"/>
      <c r="AS181" s="330"/>
      <c r="AT181" s="330"/>
      <c r="AU181" s="330"/>
      <c r="AV181" s="330"/>
      <c r="AW181" s="330"/>
      <c r="AX181" s="330"/>
      <c r="AY181" s="330"/>
      <c r="AZ181" s="330"/>
      <c r="BA181" s="330"/>
      <c r="BB181" s="330"/>
      <c r="BC181" s="330"/>
      <c r="BD181" s="330"/>
      <c r="BE181" s="330"/>
      <c r="BF181" s="330"/>
    </row>
    <row r="182" spans="1:58">
      <c r="A182" s="330"/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330"/>
      <c r="P182" s="330"/>
      <c r="Q182" s="330"/>
      <c r="R182" s="330"/>
      <c r="S182" s="330"/>
      <c r="T182" s="330"/>
      <c r="U182" s="330"/>
      <c r="V182" s="330"/>
      <c r="W182" s="330"/>
      <c r="X182" s="330"/>
      <c r="Y182" s="330"/>
      <c r="Z182" s="330"/>
      <c r="AA182" s="330"/>
      <c r="AB182" s="330"/>
      <c r="AC182" s="330"/>
      <c r="AD182" s="330"/>
      <c r="AE182" s="330"/>
      <c r="AF182" s="330"/>
      <c r="AG182" s="330"/>
      <c r="AH182" s="330"/>
      <c r="AI182" s="330"/>
      <c r="AJ182" s="330"/>
      <c r="AK182" s="330"/>
      <c r="AL182" s="330"/>
      <c r="AM182" s="330"/>
      <c r="AN182" s="330"/>
      <c r="AO182" s="330"/>
      <c r="AP182" s="330"/>
      <c r="AQ182" s="330"/>
      <c r="AR182" s="330"/>
      <c r="AS182" s="330"/>
      <c r="AT182" s="330"/>
      <c r="AU182" s="330"/>
      <c r="AV182" s="330"/>
      <c r="AW182" s="330"/>
      <c r="AX182" s="330"/>
      <c r="AY182" s="330"/>
      <c r="AZ182" s="330"/>
      <c r="BA182" s="330"/>
      <c r="BB182" s="330"/>
      <c r="BC182" s="330"/>
      <c r="BD182" s="330"/>
      <c r="BE182" s="330"/>
      <c r="BF182" s="330"/>
    </row>
    <row r="183" spans="1:58">
      <c r="A183" s="330"/>
      <c r="B183" s="330"/>
      <c r="C183" s="330"/>
      <c r="D183" s="330"/>
      <c r="E183" s="330"/>
      <c r="F183" s="330"/>
      <c r="G183" s="330"/>
      <c r="H183" s="330"/>
      <c r="I183" s="330"/>
      <c r="J183" s="330"/>
      <c r="K183" s="330"/>
      <c r="L183" s="330"/>
      <c r="M183" s="330"/>
      <c r="N183" s="330"/>
      <c r="O183" s="330"/>
      <c r="P183" s="330"/>
      <c r="Q183" s="330"/>
      <c r="R183" s="330"/>
      <c r="S183" s="330"/>
      <c r="T183" s="330"/>
      <c r="U183" s="330"/>
      <c r="V183" s="330"/>
      <c r="W183" s="330"/>
      <c r="X183" s="330"/>
      <c r="Y183" s="330"/>
      <c r="Z183" s="330"/>
      <c r="AA183" s="330"/>
      <c r="AB183" s="330"/>
      <c r="AC183" s="330"/>
      <c r="AD183" s="330"/>
      <c r="AE183" s="330"/>
      <c r="AF183" s="330"/>
      <c r="AG183" s="330"/>
      <c r="AH183" s="330"/>
      <c r="AI183" s="330"/>
      <c r="AJ183" s="330"/>
      <c r="AK183" s="330"/>
      <c r="AL183" s="330"/>
      <c r="AM183" s="330"/>
      <c r="AN183" s="330"/>
      <c r="AO183" s="330"/>
      <c r="AP183" s="330"/>
      <c r="AQ183" s="330"/>
      <c r="AR183" s="330"/>
      <c r="AS183" s="330"/>
      <c r="AT183" s="330"/>
      <c r="AU183" s="330"/>
      <c r="AV183" s="330"/>
      <c r="AW183" s="330"/>
      <c r="AX183" s="330"/>
      <c r="AY183" s="330"/>
      <c r="AZ183" s="330"/>
      <c r="BA183" s="330"/>
      <c r="BB183" s="330"/>
      <c r="BC183" s="330"/>
      <c r="BD183" s="330"/>
      <c r="BE183" s="330"/>
      <c r="BF183" s="330"/>
    </row>
    <row r="184" spans="1:58">
      <c r="A184" s="330"/>
      <c r="B184" s="330"/>
      <c r="C184" s="330"/>
      <c r="D184" s="330"/>
      <c r="E184" s="330"/>
      <c r="F184" s="330"/>
      <c r="G184" s="330"/>
      <c r="H184" s="330"/>
      <c r="I184" s="330"/>
      <c r="J184" s="330"/>
      <c r="K184" s="330"/>
      <c r="L184" s="330"/>
      <c r="M184" s="330"/>
      <c r="N184" s="330"/>
      <c r="O184" s="330"/>
      <c r="P184" s="330"/>
      <c r="Q184" s="330"/>
      <c r="R184" s="330"/>
      <c r="S184" s="330"/>
      <c r="T184" s="330"/>
      <c r="U184" s="330"/>
      <c r="V184" s="330"/>
      <c r="W184" s="330"/>
      <c r="X184" s="330"/>
      <c r="Y184" s="330"/>
      <c r="Z184" s="330"/>
      <c r="AA184" s="330"/>
      <c r="AB184" s="330"/>
      <c r="AC184" s="330"/>
      <c r="AD184" s="330"/>
      <c r="AE184" s="330"/>
      <c r="AF184" s="330"/>
      <c r="AG184" s="330"/>
      <c r="AH184" s="330"/>
      <c r="AI184" s="330"/>
      <c r="AJ184" s="330"/>
      <c r="AK184" s="330"/>
      <c r="AL184" s="330"/>
      <c r="AM184" s="330"/>
      <c r="AN184" s="330"/>
      <c r="AO184" s="330"/>
      <c r="AP184" s="330"/>
      <c r="AQ184" s="330"/>
      <c r="AR184" s="330"/>
      <c r="AS184" s="330"/>
      <c r="AT184" s="330"/>
      <c r="AU184" s="330"/>
      <c r="AV184" s="330"/>
      <c r="AW184" s="330"/>
      <c r="AX184" s="330"/>
      <c r="AY184" s="330"/>
      <c r="AZ184" s="330"/>
      <c r="BA184" s="330"/>
      <c r="BB184" s="330"/>
      <c r="BC184" s="330"/>
      <c r="BD184" s="330"/>
      <c r="BE184" s="330"/>
      <c r="BF184" s="330"/>
    </row>
    <row r="185" spans="1:58">
      <c r="A185" s="330"/>
      <c r="B185" s="330"/>
      <c r="C185" s="330"/>
      <c r="D185" s="330"/>
      <c r="E185" s="330"/>
      <c r="F185" s="330"/>
      <c r="G185" s="330"/>
      <c r="H185" s="330"/>
      <c r="I185" s="330"/>
      <c r="J185" s="330"/>
      <c r="K185" s="330"/>
      <c r="L185" s="330"/>
      <c r="M185" s="330"/>
      <c r="N185" s="330"/>
      <c r="O185" s="330"/>
      <c r="P185" s="330"/>
      <c r="Q185" s="330"/>
      <c r="R185" s="330"/>
      <c r="S185" s="330"/>
      <c r="T185" s="330"/>
      <c r="U185" s="330"/>
      <c r="V185" s="330"/>
      <c r="W185" s="330"/>
      <c r="X185" s="330"/>
      <c r="Y185" s="330"/>
      <c r="Z185" s="330"/>
      <c r="AA185" s="330"/>
      <c r="AB185" s="330"/>
      <c r="AC185" s="330"/>
      <c r="AD185" s="330"/>
      <c r="AE185" s="330"/>
      <c r="AF185" s="330"/>
      <c r="AG185" s="330"/>
      <c r="AH185" s="330"/>
      <c r="AI185" s="330"/>
      <c r="AJ185" s="330"/>
      <c r="AK185" s="330"/>
      <c r="AL185" s="330"/>
      <c r="AM185" s="330"/>
      <c r="AN185" s="330"/>
      <c r="AO185" s="330"/>
      <c r="AP185" s="330"/>
      <c r="AQ185" s="330"/>
      <c r="AR185" s="330"/>
      <c r="AS185" s="330"/>
      <c r="AT185" s="330"/>
      <c r="AU185" s="330"/>
      <c r="AV185" s="330"/>
      <c r="AW185" s="330"/>
      <c r="AX185" s="330"/>
      <c r="AY185" s="330"/>
      <c r="AZ185" s="330"/>
      <c r="BA185" s="330"/>
      <c r="BB185" s="330"/>
      <c r="BC185" s="330"/>
      <c r="BD185" s="330"/>
      <c r="BE185" s="330"/>
      <c r="BF185" s="330"/>
    </row>
    <row r="186" spans="1:58">
      <c r="A186" s="330"/>
      <c r="B186" s="330"/>
      <c r="C186" s="330"/>
      <c r="D186" s="330"/>
      <c r="E186" s="330"/>
      <c r="F186" s="330"/>
      <c r="G186" s="330"/>
      <c r="H186" s="330"/>
      <c r="I186" s="330"/>
      <c r="J186" s="330"/>
      <c r="K186" s="330"/>
      <c r="L186" s="330"/>
      <c r="M186" s="330"/>
      <c r="N186" s="330"/>
      <c r="O186" s="330"/>
      <c r="P186" s="330"/>
      <c r="Q186" s="330"/>
      <c r="R186" s="330"/>
      <c r="S186" s="330"/>
      <c r="T186" s="330"/>
      <c r="U186" s="330"/>
      <c r="V186" s="330"/>
      <c r="W186" s="330"/>
      <c r="X186" s="330"/>
      <c r="Y186" s="330"/>
      <c r="Z186" s="330"/>
      <c r="AA186" s="330"/>
      <c r="AB186" s="330"/>
      <c r="AC186" s="330"/>
      <c r="AD186" s="330"/>
      <c r="AE186" s="330"/>
      <c r="AF186" s="330"/>
      <c r="AG186" s="330"/>
      <c r="AH186" s="330"/>
      <c r="AI186" s="330"/>
      <c r="AJ186" s="330"/>
      <c r="AK186" s="330"/>
      <c r="AL186" s="330"/>
      <c r="AM186" s="330"/>
      <c r="AN186" s="330"/>
      <c r="AO186" s="330"/>
      <c r="AP186" s="330"/>
      <c r="AQ186" s="330"/>
      <c r="AR186" s="330"/>
      <c r="AS186" s="330"/>
      <c r="AT186" s="330"/>
      <c r="AU186" s="330"/>
      <c r="AV186" s="330"/>
      <c r="AW186" s="330"/>
      <c r="AX186" s="330"/>
      <c r="AY186" s="330"/>
      <c r="AZ186" s="330"/>
      <c r="BA186" s="330"/>
      <c r="BB186" s="330"/>
      <c r="BC186" s="330"/>
      <c r="BD186" s="330"/>
      <c r="BE186" s="330"/>
      <c r="BF186" s="330"/>
    </row>
    <row r="187" spans="1:58">
      <c r="A187" s="330"/>
      <c r="B187" s="330"/>
      <c r="C187" s="330"/>
      <c r="D187" s="330"/>
      <c r="E187" s="330"/>
      <c r="F187" s="330"/>
      <c r="G187" s="330"/>
      <c r="H187" s="330"/>
      <c r="I187" s="330"/>
      <c r="J187" s="330"/>
      <c r="K187" s="330"/>
      <c r="L187" s="330"/>
      <c r="M187" s="330"/>
      <c r="N187" s="330"/>
      <c r="O187" s="330"/>
      <c r="P187" s="330"/>
      <c r="Q187" s="330"/>
      <c r="R187" s="330"/>
      <c r="S187" s="330"/>
      <c r="T187" s="330"/>
      <c r="U187" s="330"/>
      <c r="V187" s="330"/>
      <c r="W187" s="330"/>
      <c r="X187" s="330"/>
      <c r="Y187" s="330"/>
      <c r="Z187" s="330"/>
      <c r="AA187" s="330"/>
      <c r="AB187" s="330"/>
      <c r="AC187" s="330"/>
      <c r="AD187" s="330"/>
      <c r="AE187" s="330"/>
      <c r="AF187" s="330"/>
      <c r="AG187" s="330"/>
      <c r="AH187" s="330"/>
      <c r="AI187" s="330"/>
      <c r="AJ187" s="330"/>
      <c r="AK187" s="330"/>
      <c r="AL187" s="330"/>
      <c r="AM187" s="330"/>
      <c r="AN187" s="330"/>
      <c r="AO187" s="330"/>
      <c r="AP187" s="330"/>
      <c r="AQ187" s="330"/>
      <c r="AR187" s="330"/>
      <c r="AS187" s="330"/>
      <c r="AT187" s="330"/>
      <c r="AU187" s="330"/>
      <c r="AV187" s="330"/>
      <c r="AW187" s="330"/>
      <c r="AX187" s="330"/>
      <c r="AY187" s="330"/>
      <c r="AZ187" s="330"/>
      <c r="BA187" s="330"/>
      <c r="BB187" s="330"/>
      <c r="BC187" s="330"/>
      <c r="BD187" s="330"/>
      <c r="BE187" s="330"/>
      <c r="BF187" s="330"/>
    </row>
    <row r="188" spans="1:58">
      <c r="A188" s="330"/>
      <c r="B188" s="330"/>
      <c r="C188" s="330"/>
      <c r="D188" s="330"/>
      <c r="E188" s="330"/>
      <c r="F188" s="330"/>
      <c r="G188" s="330"/>
      <c r="H188" s="330"/>
      <c r="I188" s="330"/>
      <c r="J188" s="330"/>
      <c r="K188" s="330"/>
      <c r="L188" s="330"/>
      <c r="M188" s="330"/>
      <c r="N188" s="330"/>
      <c r="O188" s="330"/>
      <c r="P188" s="330"/>
      <c r="Q188" s="330"/>
      <c r="R188" s="330"/>
      <c r="S188" s="330"/>
      <c r="T188" s="330"/>
      <c r="U188" s="330"/>
      <c r="V188" s="330"/>
      <c r="W188" s="330"/>
      <c r="X188" s="330"/>
      <c r="Y188" s="330"/>
      <c r="Z188" s="330"/>
      <c r="AA188" s="330"/>
      <c r="AB188" s="330"/>
      <c r="AC188" s="330"/>
      <c r="AD188" s="330"/>
      <c r="AE188" s="330"/>
      <c r="AF188" s="330"/>
      <c r="AG188" s="330"/>
      <c r="AH188" s="330"/>
      <c r="AI188" s="330"/>
      <c r="AJ188" s="330"/>
      <c r="AK188" s="330"/>
      <c r="AL188" s="330"/>
      <c r="AM188" s="330"/>
      <c r="AN188" s="330"/>
      <c r="AO188" s="330"/>
      <c r="AP188" s="330"/>
      <c r="AQ188" s="330"/>
      <c r="AR188" s="330"/>
      <c r="AS188" s="330"/>
      <c r="AT188" s="330"/>
      <c r="AU188" s="330"/>
      <c r="AV188" s="330"/>
      <c r="AW188" s="330"/>
      <c r="AX188" s="330"/>
      <c r="AY188" s="330"/>
      <c r="AZ188" s="330"/>
      <c r="BA188" s="330"/>
      <c r="BB188" s="330"/>
      <c r="BC188" s="330"/>
      <c r="BD188" s="330"/>
      <c r="BE188" s="330"/>
      <c r="BF188" s="330"/>
    </row>
    <row r="189" spans="1:58">
      <c r="A189" s="330"/>
      <c r="B189" s="330"/>
      <c r="C189" s="330"/>
      <c r="D189" s="330"/>
      <c r="E189" s="330"/>
      <c r="F189" s="330"/>
      <c r="G189" s="330"/>
      <c r="H189" s="330"/>
      <c r="I189" s="330"/>
      <c r="J189" s="330"/>
      <c r="K189" s="330"/>
      <c r="L189" s="330"/>
      <c r="M189" s="330"/>
      <c r="N189" s="330"/>
      <c r="O189" s="330"/>
      <c r="P189" s="330"/>
      <c r="Q189" s="330"/>
      <c r="R189" s="330"/>
      <c r="S189" s="330"/>
      <c r="T189" s="330"/>
      <c r="U189" s="330"/>
      <c r="V189" s="330"/>
      <c r="W189" s="330"/>
      <c r="X189" s="330"/>
      <c r="Y189" s="330"/>
      <c r="Z189" s="330"/>
      <c r="AA189" s="330"/>
      <c r="AB189" s="330"/>
      <c r="AC189" s="330"/>
      <c r="AD189" s="330"/>
      <c r="AE189" s="330"/>
      <c r="AF189" s="330"/>
      <c r="AG189" s="330"/>
      <c r="AH189" s="330"/>
      <c r="AI189" s="330"/>
      <c r="AJ189" s="330"/>
      <c r="AK189" s="330"/>
      <c r="AL189" s="330"/>
      <c r="AM189" s="330"/>
      <c r="AN189" s="330"/>
      <c r="AO189" s="330"/>
      <c r="AP189" s="330"/>
      <c r="AQ189" s="330"/>
      <c r="AR189" s="330"/>
      <c r="AS189" s="330"/>
      <c r="AT189" s="330"/>
      <c r="AU189" s="330"/>
      <c r="AV189" s="330"/>
      <c r="AW189" s="330"/>
      <c r="AX189" s="330"/>
      <c r="AY189" s="330"/>
      <c r="AZ189" s="330"/>
      <c r="BA189" s="330"/>
      <c r="BB189" s="330"/>
      <c r="BC189" s="330"/>
      <c r="BD189" s="330"/>
      <c r="BE189" s="330"/>
      <c r="BF189" s="330"/>
    </row>
    <row r="190" spans="1:58">
      <c r="A190" s="330"/>
      <c r="B190" s="330"/>
      <c r="C190" s="330"/>
      <c r="D190" s="330"/>
      <c r="E190" s="330"/>
      <c r="F190" s="330"/>
      <c r="G190" s="330"/>
      <c r="H190" s="330"/>
      <c r="I190" s="330"/>
      <c r="J190" s="330"/>
      <c r="K190" s="330"/>
      <c r="L190" s="330"/>
      <c r="M190" s="330"/>
      <c r="N190" s="330"/>
      <c r="O190" s="330"/>
      <c r="P190" s="330"/>
      <c r="Q190" s="330"/>
      <c r="R190" s="330"/>
      <c r="S190" s="330"/>
      <c r="T190" s="330"/>
      <c r="U190" s="330"/>
      <c r="V190" s="330"/>
      <c r="W190" s="330"/>
      <c r="X190" s="330"/>
      <c r="Y190" s="330"/>
      <c r="Z190" s="330"/>
      <c r="AA190" s="330"/>
      <c r="AB190" s="330"/>
      <c r="AC190" s="330"/>
      <c r="AD190" s="330"/>
      <c r="AE190" s="330"/>
      <c r="AF190" s="330"/>
      <c r="AG190" s="330"/>
      <c r="AH190" s="330"/>
      <c r="AI190" s="330"/>
      <c r="AJ190" s="330"/>
      <c r="AK190" s="330"/>
      <c r="AL190" s="330"/>
      <c r="AM190" s="330"/>
      <c r="AN190" s="330"/>
      <c r="AO190" s="330"/>
      <c r="AP190" s="330"/>
      <c r="AQ190" s="330"/>
      <c r="AR190" s="330"/>
      <c r="AS190" s="330"/>
      <c r="AT190" s="330"/>
      <c r="AU190" s="330"/>
      <c r="AV190" s="330"/>
      <c r="AW190" s="330"/>
      <c r="AX190" s="330"/>
      <c r="AY190" s="330"/>
      <c r="AZ190" s="330"/>
      <c r="BA190" s="330"/>
      <c r="BB190" s="330"/>
      <c r="BC190" s="330"/>
      <c r="BD190" s="330"/>
      <c r="BE190" s="330"/>
      <c r="BF190" s="330"/>
    </row>
    <row r="191" spans="1:58">
      <c r="A191" s="330"/>
      <c r="B191" s="330"/>
      <c r="C191" s="330"/>
      <c r="D191" s="330"/>
      <c r="E191" s="330"/>
      <c r="F191" s="330"/>
      <c r="G191" s="330"/>
      <c r="H191" s="330"/>
      <c r="I191" s="330"/>
      <c r="J191" s="330"/>
      <c r="K191" s="330"/>
      <c r="L191" s="330"/>
      <c r="M191" s="330"/>
      <c r="N191" s="330"/>
      <c r="O191" s="330"/>
      <c r="P191" s="330"/>
      <c r="Q191" s="330"/>
      <c r="R191" s="330"/>
      <c r="S191" s="330"/>
      <c r="T191" s="330"/>
      <c r="U191" s="330"/>
      <c r="V191" s="330"/>
      <c r="W191" s="330"/>
      <c r="X191" s="330"/>
      <c r="Y191" s="330"/>
      <c r="Z191" s="330"/>
      <c r="AA191" s="330"/>
      <c r="AB191" s="330"/>
      <c r="AC191" s="330"/>
      <c r="AD191" s="330"/>
      <c r="AE191" s="330"/>
      <c r="AF191" s="330"/>
      <c r="AG191" s="330"/>
      <c r="AH191" s="330"/>
      <c r="AI191" s="330"/>
      <c r="AJ191" s="330"/>
      <c r="AK191" s="330"/>
      <c r="AL191" s="330"/>
      <c r="AM191" s="330"/>
      <c r="AN191" s="330"/>
      <c r="AO191" s="330"/>
      <c r="AP191" s="330"/>
      <c r="AQ191" s="330"/>
      <c r="AR191" s="330"/>
      <c r="AS191" s="330"/>
      <c r="AT191" s="330"/>
      <c r="AU191" s="330"/>
      <c r="AV191" s="330"/>
      <c r="AW191" s="330"/>
      <c r="AX191" s="330"/>
      <c r="AY191" s="330"/>
      <c r="AZ191" s="330"/>
      <c r="BA191" s="330"/>
      <c r="BB191" s="330"/>
      <c r="BC191" s="330"/>
      <c r="BD191" s="330"/>
      <c r="BE191" s="330"/>
      <c r="BF191" s="330"/>
    </row>
    <row r="192" spans="1:58">
      <c r="A192" s="330"/>
      <c r="B192" s="330"/>
      <c r="C192" s="330"/>
      <c r="D192" s="330"/>
      <c r="E192" s="330"/>
      <c r="F192" s="330"/>
      <c r="G192" s="330"/>
      <c r="H192" s="330"/>
      <c r="I192" s="330"/>
      <c r="J192" s="330"/>
      <c r="K192" s="330"/>
      <c r="L192" s="330"/>
      <c r="M192" s="330"/>
      <c r="N192" s="330"/>
      <c r="O192" s="330"/>
      <c r="P192" s="330"/>
      <c r="Q192" s="330"/>
      <c r="R192" s="330"/>
      <c r="S192" s="330"/>
      <c r="T192" s="330"/>
      <c r="U192" s="330"/>
      <c r="V192" s="330"/>
      <c r="W192" s="330"/>
      <c r="X192" s="330"/>
      <c r="Y192" s="330"/>
      <c r="Z192" s="330"/>
      <c r="AA192" s="330"/>
      <c r="AB192" s="330"/>
      <c r="AC192" s="330"/>
      <c r="AD192" s="330"/>
      <c r="AE192" s="330"/>
      <c r="AF192" s="330"/>
      <c r="AG192" s="330"/>
      <c r="AH192" s="330"/>
      <c r="AI192" s="330"/>
      <c r="AJ192" s="330"/>
      <c r="AK192" s="330"/>
      <c r="AL192" s="330"/>
      <c r="AM192" s="330"/>
      <c r="AN192" s="330"/>
      <c r="AO192" s="330"/>
      <c r="AP192" s="330"/>
      <c r="AQ192" s="330"/>
      <c r="AR192" s="330"/>
      <c r="AS192" s="330"/>
      <c r="AT192" s="330"/>
      <c r="AU192" s="330"/>
      <c r="AV192" s="330"/>
      <c r="AW192" s="330"/>
      <c r="AX192" s="330"/>
      <c r="AY192" s="330"/>
      <c r="AZ192" s="330"/>
      <c r="BA192" s="330"/>
      <c r="BB192" s="330"/>
      <c r="BC192" s="330"/>
      <c r="BD192" s="330"/>
      <c r="BE192" s="330"/>
      <c r="BF192" s="330"/>
    </row>
    <row r="193" spans="1:58">
      <c r="A193" s="330"/>
      <c r="B193" s="330"/>
      <c r="C193" s="330"/>
      <c r="D193" s="330"/>
      <c r="E193" s="330"/>
      <c r="F193" s="330"/>
      <c r="G193" s="330"/>
      <c r="H193" s="330"/>
      <c r="I193" s="330"/>
      <c r="J193" s="330"/>
      <c r="K193" s="330"/>
      <c r="L193" s="330"/>
      <c r="M193" s="330"/>
      <c r="N193" s="330"/>
      <c r="O193" s="330"/>
      <c r="P193" s="330"/>
      <c r="Q193" s="330"/>
      <c r="R193" s="330"/>
      <c r="S193" s="330"/>
      <c r="T193" s="330"/>
      <c r="U193" s="330"/>
      <c r="V193" s="330"/>
      <c r="W193" s="330"/>
      <c r="X193" s="330"/>
      <c r="Y193" s="330"/>
      <c r="Z193" s="330"/>
      <c r="AA193" s="330"/>
      <c r="AB193" s="330"/>
      <c r="AC193" s="330"/>
      <c r="AD193" s="330"/>
      <c r="AE193" s="330"/>
      <c r="AF193" s="330"/>
      <c r="AG193" s="330"/>
      <c r="AH193" s="330"/>
      <c r="AI193" s="330"/>
      <c r="AJ193" s="330"/>
      <c r="AK193" s="330"/>
      <c r="AL193" s="330"/>
      <c r="AM193" s="330"/>
      <c r="AN193" s="330"/>
      <c r="AO193" s="330"/>
      <c r="AP193" s="330"/>
      <c r="AQ193" s="330"/>
      <c r="AR193" s="330"/>
      <c r="AS193" s="330"/>
      <c r="AT193" s="330"/>
      <c r="AU193" s="330"/>
      <c r="AV193" s="330"/>
      <c r="AW193" s="330"/>
      <c r="AX193" s="330"/>
      <c r="AY193" s="330"/>
      <c r="AZ193" s="330"/>
      <c r="BA193" s="330"/>
      <c r="BB193" s="330"/>
      <c r="BC193" s="330"/>
      <c r="BD193" s="330"/>
      <c r="BE193" s="330"/>
      <c r="BF193" s="330"/>
    </row>
    <row r="194" spans="1:58">
      <c r="A194" s="330"/>
      <c r="B194" s="330"/>
      <c r="C194" s="330"/>
      <c r="D194" s="330"/>
      <c r="E194" s="330"/>
      <c r="F194" s="330"/>
      <c r="G194" s="330"/>
      <c r="H194" s="330"/>
      <c r="I194" s="330"/>
      <c r="J194" s="330"/>
      <c r="K194" s="330"/>
      <c r="L194" s="330"/>
      <c r="M194" s="330"/>
      <c r="N194" s="330"/>
      <c r="O194" s="330"/>
      <c r="P194" s="330"/>
      <c r="Q194" s="330"/>
      <c r="R194" s="330"/>
      <c r="S194" s="330"/>
      <c r="T194" s="330"/>
      <c r="U194" s="330"/>
      <c r="V194" s="330"/>
      <c r="W194" s="330"/>
      <c r="X194" s="330"/>
      <c r="Y194" s="330"/>
      <c r="Z194" s="330"/>
      <c r="AA194" s="330"/>
      <c r="AB194" s="330"/>
      <c r="AC194" s="330"/>
      <c r="AD194" s="330"/>
      <c r="AE194" s="330"/>
      <c r="AF194" s="330"/>
      <c r="AG194" s="330"/>
      <c r="AH194" s="330"/>
      <c r="AI194" s="330"/>
      <c r="AJ194" s="330"/>
      <c r="AK194" s="330"/>
      <c r="AL194" s="330"/>
      <c r="AM194" s="330"/>
      <c r="AN194" s="330"/>
      <c r="AO194" s="330"/>
      <c r="AP194" s="330"/>
      <c r="AQ194" s="330"/>
      <c r="AR194" s="330"/>
      <c r="AS194" s="330"/>
      <c r="AT194" s="330"/>
      <c r="AU194" s="330"/>
      <c r="AV194" s="330"/>
      <c r="AW194" s="330"/>
      <c r="AX194" s="330"/>
      <c r="AY194" s="330"/>
      <c r="AZ194" s="330"/>
      <c r="BA194" s="330"/>
      <c r="BB194" s="330"/>
      <c r="BC194" s="330"/>
      <c r="BD194" s="330"/>
      <c r="BE194" s="330"/>
      <c r="BF194" s="330"/>
    </row>
    <row r="195" spans="1:58">
      <c r="A195" s="330"/>
      <c r="B195" s="330"/>
      <c r="C195" s="330"/>
      <c r="D195" s="330"/>
      <c r="E195" s="330"/>
      <c r="F195" s="330"/>
      <c r="G195" s="330"/>
      <c r="H195" s="330"/>
      <c r="I195" s="330"/>
      <c r="J195" s="330"/>
      <c r="K195" s="330"/>
      <c r="L195" s="330"/>
      <c r="M195" s="330"/>
      <c r="N195" s="330"/>
      <c r="O195" s="330"/>
      <c r="P195" s="330"/>
      <c r="Q195" s="330"/>
      <c r="R195" s="330"/>
      <c r="S195" s="330"/>
      <c r="T195" s="330"/>
      <c r="U195" s="330"/>
      <c r="V195" s="330"/>
      <c r="W195" s="330"/>
      <c r="X195" s="330"/>
      <c r="Y195" s="330"/>
      <c r="Z195" s="330"/>
      <c r="AA195" s="330"/>
      <c r="AB195" s="330"/>
      <c r="AC195" s="330"/>
      <c r="AD195" s="330"/>
      <c r="AE195" s="330"/>
      <c r="AF195" s="330"/>
      <c r="AG195" s="330"/>
      <c r="AH195" s="330"/>
      <c r="AI195" s="330"/>
      <c r="AJ195" s="330"/>
      <c r="AK195" s="330"/>
      <c r="AL195" s="330"/>
      <c r="AM195" s="330"/>
      <c r="AN195" s="330"/>
      <c r="AO195" s="330"/>
      <c r="AP195" s="330"/>
      <c r="AQ195" s="330"/>
      <c r="AR195" s="330"/>
      <c r="AS195" s="330"/>
      <c r="AT195" s="330"/>
      <c r="AU195" s="330"/>
      <c r="AV195" s="330"/>
      <c r="AW195" s="330"/>
      <c r="AX195" s="330"/>
      <c r="AY195" s="330"/>
      <c r="AZ195" s="330"/>
      <c r="BA195" s="330"/>
      <c r="BB195" s="330"/>
      <c r="BC195" s="330"/>
      <c r="BD195" s="330"/>
      <c r="BE195" s="330"/>
      <c r="BF195" s="330"/>
    </row>
    <row r="196" spans="1:58">
      <c r="A196" s="330"/>
      <c r="B196" s="330"/>
      <c r="C196" s="330"/>
      <c r="D196" s="330"/>
      <c r="E196" s="330"/>
      <c r="F196" s="330"/>
      <c r="G196" s="330"/>
      <c r="H196" s="330"/>
      <c r="I196" s="330"/>
      <c r="J196" s="330"/>
      <c r="K196" s="330"/>
      <c r="L196" s="330"/>
      <c r="M196" s="330"/>
      <c r="N196" s="330"/>
      <c r="O196" s="330"/>
      <c r="P196" s="330"/>
      <c r="Q196" s="330"/>
      <c r="R196" s="330"/>
      <c r="S196" s="330"/>
      <c r="T196" s="330"/>
      <c r="U196" s="330"/>
      <c r="V196" s="330"/>
      <c r="W196" s="330"/>
      <c r="X196" s="330"/>
      <c r="Y196" s="330"/>
      <c r="Z196" s="330"/>
      <c r="AA196" s="330"/>
      <c r="AB196" s="330"/>
      <c r="AC196" s="330"/>
      <c r="AD196" s="330"/>
      <c r="AE196" s="330"/>
      <c r="AF196" s="330"/>
      <c r="AG196" s="330"/>
      <c r="AH196" s="330"/>
      <c r="AI196" s="330"/>
      <c r="AJ196" s="330"/>
      <c r="AK196" s="330"/>
      <c r="AL196" s="330"/>
      <c r="AM196" s="330"/>
      <c r="AN196" s="330"/>
      <c r="AO196" s="330"/>
      <c r="AP196" s="330"/>
      <c r="AQ196" s="330"/>
      <c r="AR196" s="330"/>
      <c r="AS196" s="330"/>
      <c r="AT196" s="330"/>
      <c r="AU196" s="330"/>
      <c r="AV196" s="330"/>
      <c r="AW196" s="330"/>
      <c r="AX196" s="330"/>
      <c r="AY196" s="330"/>
      <c r="AZ196" s="330"/>
      <c r="BA196" s="330"/>
      <c r="BB196" s="330"/>
      <c r="BC196" s="330"/>
      <c r="BD196" s="330"/>
      <c r="BE196" s="330"/>
      <c r="BF196" s="330"/>
    </row>
    <row r="197" spans="1:58">
      <c r="A197" s="330"/>
      <c r="B197" s="330"/>
      <c r="C197" s="330"/>
      <c r="D197" s="330"/>
      <c r="E197" s="330"/>
      <c r="F197" s="330"/>
      <c r="G197" s="330"/>
      <c r="H197" s="330"/>
      <c r="I197" s="330"/>
      <c r="J197" s="330"/>
      <c r="K197" s="330"/>
      <c r="L197" s="330"/>
      <c r="M197" s="330"/>
      <c r="N197" s="330"/>
      <c r="O197" s="330"/>
      <c r="P197" s="330"/>
      <c r="Q197" s="330"/>
      <c r="R197" s="330"/>
      <c r="S197" s="330"/>
      <c r="T197" s="330"/>
      <c r="U197" s="330"/>
      <c r="V197" s="330"/>
      <c r="W197" s="330"/>
      <c r="X197" s="330"/>
      <c r="Y197" s="330"/>
      <c r="Z197" s="330"/>
      <c r="AA197" s="330"/>
      <c r="AB197" s="330"/>
      <c r="AC197" s="330"/>
      <c r="AD197" s="330"/>
      <c r="AE197" s="330"/>
      <c r="AF197" s="330"/>
      <c r="AG197" s="330"/>
      <c r="AH197" s="330"/>
      <c r="AI197" s="330"/>
      <c r="AJ197" s="330"/>
      <c r="AK197" s="330"/>
      <c r="AL197" s="330"/>
      <c r="AM197" s="330"/>
      <c r="AN197" s="330"/>
      <c r="AO197" s="330"/>
      <c r="AP197" s="330"/>
      <c r="AQ197" s="330"/>
      <c r="AR197" s="330"/>
      <c r="AS197" s="330"/>
      <c r="AT197" s="330"/>
      <c r="AU197" s="330"/>
      <c r="AV197" s="330"/>
      <c r="AW197" s="330"/>
      <c r="AX197" s="330"/>
      <c r="AY197" s="330"/>
      <c r="AZ197" s="330"/>
      <c r="BA197" s="330"/>
      <c r="BB197" s="330"/>
      <c r="BC197" s="330"/>
      <c r="BD197" s="330"/>
      <c r="BE197" s="330"/>
      <c r="BF197" s="330"/>
    </row>
    <row r="198" spans="1:58">
      <c r="A198" s="330"/>
      <c r="B198" s="330"/>
      <c r="C198" s="330"/>
      <c r="D198" s="330"/>
      <c r="E198" s="330"/>
      <c r="F198" s="330"/>
      <c r="G198" s="330"/>
      <c r="H198" s="330"/>
      <c r="I198" s="330"/>
      <c r="J198" s="330"/>
      <c r="K198" s="330"/>
      <c r="L198" s="330"/>
      <c r="M198" s="330"/>
      <c r="N198" s="330"/>
      <c r="O198" s="330"/>
      <c r="P198" s="330"/>
      <c r="Q198" s="330"/>
      <c r="R198" s="330"/>
      <c r="S198" s="330"/>
      <c r="T198" s="330"/>
      <c r="U198" s="330"/>
      <c r="V198" s="330"/>
      <c r="W198" s="330"/>
      <c r="X198" s="330"/>
      <c r="Y198" s="330"/>
      <c r="Z198" s="330"/>
      <c r="AA198" s="330"/>
      <c r="AB198" s="330"/>
      <c r="AC198" s="330"/>
      <c r="AD198" s="330"/>
      <c r="AE198" s="330"/>
      <c r="AF198" s="330"/>
      <c r="AG198" s="330"/>
      <c r="AH198" s="330"/>
      <c r="AI198" s="330"/>
      <c r="AJ198" s="330"/>
      <c r="AK198" s="330"/>
      <c r="AL198" s="330"/>
      <c r="AM198" s="330"/>
      <c r="AN198" s="330"/>
      <c r="AO198" s="330"/>
      <c r="AP198" s="330"/>
      <c r="AQ198" s="330"/>
      <c r="AR198" s="330"/>
      <c r="AS198" s="330"/>
      <c r="AT198" s="330"/>
      <c r="AU198" s="330"/>
      <c r="AV198" s="330"/>
      <c r="AW198" s="330"/>
      <c r="AX198" s="330"/>
      <c r="AY198" s="330"/>
      <c r="AZ198" s="330"/>
      <c r="BA198" s="330"/>
      <c r="BB198" s="330"/>
      <c r="BC198" s="330"/>
      <c r="BD198" s="330"/>
      <c r="BE198" s="330"/>
      <c r="BF198" s="330"/>
    </row>
    <row r="199" spans="1:58">
      <c r="A199" s="330"/>
      <c r="B199" s="330"/>
      <c r="C199" s="330"/>
      <c r="D199" s="330"/>
      <c r="E199" s="330"/>
      <c r="F199" s="330"/>
      <c r="G199" s="330"/>
      <c r="H199" s="330"/>
      <c r="I199" s="330"/>
      <c r="J199" s="330"/>
      <c r="K199" s="330"/>
      <c r="L199" s="330"/>
      <c r="M199" s="330"/>
      <c r="N199" s="330"/>
      <c r="O199" s="330"/>
      <c r="P199" s="330"/>
      <c r="Q199" s="330"/>
      <c r="R199" s="330"/>
      <c r="S199" s="330"/>
      <c r="T199" s="330"/>
      <c r="U199" s="330"/>
      <c r="V199" s="330"/>
      <c r="W199" s="330"/>
      <c r="X199" s="330"/>
      <c r="Y199" s="330"/>
      <c r="Z199" s="330"/>
      <c r="AA199" s="330"/>
      <c r="AB199" s="330"/>
      <c r="AC199" s="330"/>
      <c r="AD199" s="330"/>
      <c r="AE199" s="330"/>
      <c r="AF199" s="330"/>
      <c r="AG199" s="330"/>
      <c r="AH199" s="330"/>
      <c r="AI199" s="330"/>
      <c r="AJ199" s="330"/>
      <c r="AK199" s="330"/>
      <c r="AL199" s="330"/>
      <c r="AM199" s="330"/>
      <c r="AN199" s="330"/>
      <c r="AO199" s="330"/>
      <c r="AP199" s="330"/>
      <c r="AQ199" s="330"/>
      <c r="AR199" s="330"/>
      <c r="AS199" s="330"/>
      <c r="AT199" s="330"/>
      <c r="AU199" s="330"/>
      <c r="AV199" s="330"/>
      <c r="AW199" s="330"/>
      <c r="AX199" s="330"/>
      <c r="AY199" s="330"/>
      <c r="AZ199" s="330"/>
      <c r="BA199" s="330"/>
      <c r="BB199" s="330"/>
      <c r="BC199" s="330"/>
      <c r="BD199" s="330"/>
      <c r="BE199" s="330"/>
      <c r="BF199" s="330"/>
    </row>
    <row r="200" spans="1:58">
      <c r="A200" s="330"/>
      <c r="B200" s="330"/>
      <c r="C200" s="330"/>
      <c r="D200" s="330"/>
      <c r="E200" s="330"/>
      <c r="F200" s="330"/>
      <c r="G200" s="330"/>
      <c r="H200" s="330"/>
      <c r="I200" s="330"/>
      <c r="J200" s="330"/>
      <c r="K200" s="330"/>
      <c r="L200" s="330"/>
      <c r="M200" s="330"/>
      <c r="N200" s="330"/>
      <c r="O200" s="330"/>
      <c r="P200" s="330"/>
      <c r="Q200" s="330"/>
      <c r="R200" s="330"/>
      <c r="S200" s="330"/>
      <c r="T200" s="330"/>
      <c r="U200" s="330"/>
      <c r="V200" s="330"/>
      <c r="W200" s="330"/>
      <c r="X200" s="330"/>
      <c r="Y200" s="330"/>
      <c r="Z200" s="330"/>
      <c r="AA200" s="330"/>
      <c r="AB200" s="330"/>
      <c r="AC200" s="330"/>
      <c r="AD200" s="330"/>
      <c r="AE200" s="330"/>
      <c r="AF200" s="330"/>
      <c r="AG200" s="330"/>
      <c r="AH200" s="330"/>
      <c r="AI200" s="330"/>
      <c r="AJ200" s="330"/>
      <c r="AK200" s="330"/>
      <c r="AL200" s="330"/>
      <c r="AM200" s="330"/>
      <c r="AN200" s="330"/>
      <c r="AO200" s="330"/>
      <c r="AP200" s="330"/>
      <c r="AQ200" s="330"/>
      <c r="AR200" s="330"/>
      <c r="AS200" s="330"/>
      <c r="AT200" s="330"/>
      <c r="AU200" s="330"/>
      <c r="AV200" s="330"/>
      <c r="AW200" s="330"/>
      <c r="AX200" s="330"/>
      <c r="AY200" s="330"/>
      <c r="AZ200" s="330"/>
      <c r="BA200" s="330"/>
      <c r="BB200" s="330"/>
      <c r="BC200" s="330"/>
      <c r="BD200" s="330"/>
      <c r="BE200" s="330"/>
      <c r="BF200" s="330"/>
    </row>
    <row r="201" spans="1:58">
      <c r="A201" s="330"/>
      <c r="B201" s="330"/>
      <c r="C201" s="330"/>
      <c r="D201" s="330"/>
      <c r="E201" s="330"/>
      <c r="F201" s="330"/>
      <c r="G201" s="330"/>
      <c r="H201" s="330"/>
      <c r="I201" s="330"/>
      <c r="J201" s="330"/>
      <c r="K201" s="330"/>
      <c r="L201" s="330"/>
      <c r="M201" s="330"/>
      <c r="N201" s="330"/>
      <c r="O201" s="330"/>
      <c r="P201" s="330"/>
      <c r="Q201" s="330"/>
      <c r="R201" s="330"/>
      <c r="S201" s="330"/>
      <c r="T201" s="330"/>
      <c r="U201" s="330"/>
      <c r="V201" s="330"/>
      <c r="W201" s="330"/>
      <c r="X201" s="330"/>
      <c r="Y201" s="330"/>
      <c r="Z201" s="330"/>
      <c r="AA201" s="330"/>
      <c r="AB201" s="330"/>
      <c r="AC201" s="330"/>
      <c r="AD201" s="330"/>
      <c r="AE201" s="330"/>
      <c r="AF201" s="330"/>
      <c r="AG201" s="330"/>
      <c r="AH201" s="330"/>
      <c r="AI201" s="330"/>
      <c r="AJ201" s="330"/>
      <c r="AK201" s="330"/>
      <c r="AL201" s="330"/>
      <c r="AM201" s="330"/>
      <c r="AN201" s="330"/>
      <c r="AO201" s="330"/>
      <c r="AP201" s="330"/>
      <c r="AQ201" s="330"/>
      <c r="AR201" s="330"/>
      <c r="AS201" s="330"/>
      <c r="AT201" s="330"/>
      <c r="AU201" s="330"/>
      <c r="AV201" s="330"/>
      <c r="AW201" s="330"/>
      <c r="AX201" s="330"/>
      <c r="AY201" s="330"/>
      <c r="AZ201" s="330"/>
      <c r="BA201" s="330"/>
      <c r="BB201" s="330"/>
      <c r="BC201" s="330"/>
      <c r="BD201" s="330"/>
      <c r="BE201" s="330"/>
      <c r="BF201" s="330"/>
    </row>
    <row r="202" spans="1:58">
      <c r="A202" s="330"/>
      <c r="B202" s="330"/>
      <c r="C202" s="330"/>
      <c r="D202" s="330"/>
      <c r="E202" s="330"/>
      <c r="F202" s="330"/>
      <c r="G202" s="330"/>
      <c r="H202" s="330"/>
      <c r="I202" s="330"/>
      <c r="J202" s="330"/>
      <c r="K202" s="330"/>
      <c r="L202" s="330"/>
      <c r="M202" s="330"/>
      <c r="N202" s="330"/>
      <c r="O202" s="330"/>
      <c r="P202" s="330"/>
      <c r="Q202" s="330"/>
      <c r="R202" s="330"/>
      <c r="S202" s="330"/>
      <c r="T202" s="330"/>
      <c r="U202" s="330"/>
      <c r="V202" s="330"/>
      <c r="W202" s="330"/>
      <c r="X202" s="330"/>
      <c r="Y202" s="330"/>
      <c r="Z202" s="330"/>
      <c r="AA202" s="330"/>
      <c r="AB202" s="330"/>
      <c r="AC202" s="330"/>
      <c r="AD202" s="330"/>
      <c r="AE202" s="330"/>
      <c r="AF202" s="330"/>
      <c r="AG202" s="330"/>
      <c r="AH202" s="330"/>
      <c r="AI202" s="330"/>
      <c r="AJ202" s="330"/>
      <c r="AK202" s="330"/>
      <c r="AL202" s="330"/>
      <c r="AM202" s="330"/>
      <c r="AN202" s="330"/>
      <c r="AO202" s="330"/>
      <c r="AP202" s="330"/>
      <c r="AQ202" s="330"/>
      <c r="AR202" s="330"/>
      <c r="AS202" s="330"/>
      <c r="AT202" s="330"/>
      <c r="AU202" s="330"/>
      <c r="AV202" s="330"/>
      <c r="AW202" s="330"/>
      <c r="AX202" s="330"/>
      <c r="AY202" s="330"/>
      <c r="AZ202" s="330"/>
      <c r="BA202" s="330"/>
      <c r="BB202" s="330"/>
      <c r="BC202" s="330"/>
      <c r="BD202" s="330"/>
      <c r="BE202" s="330"/>
      <c r="BF202" s="330"/>
    </row>
    <row r="203" spans="1:58">
      <c r="A203" s="330"/>
      <c r="B203" s="330"/>
      <c r="C203" s="330"/>
      <c r="D203" s="330"/>
      <c r="E203" s="330"/>
      <c r="F203" s="330"/>
      <c r="G203" s="330"/>
      <c r="H203" s="330"/>
      <c r="I203" s="330"/>
      <c r="J203" s="330"/>
      <c r="K203" s="330"/>
      <c r="L203" s="330"/>
      <c r="M203" s="330"/>
      <c r="N203" s="330"/>
      <c r="O203" s="330"/>
      <c r="P203" s="330"/>
      <c r="Q203" s="330"/>
      <c r="R203" s="330"/>
      <c r="S203" s="330"/>
      <c r="T203" s="330"/>
      <c r="U203" s="330"/>
      <c r="V203" s="330"/>
      <c r="W203" s="330"/>
      <c r="X203" s="330"/>
      <c r="Y203" s="330"/>
      <c r="Z203" s="330"/>
      <c r="AA203" s="330"/>
      <c r="AB203" s="330"/>
      <c r="AC203" s="330"/>
      <c r="AD203" s="330"/>
      <c r="AE203" s="330"/>
      <c r="AF203" s="330"/>
      <c r="AG203" s="330"/>
      <c r="AH203" s="330"/>
      <c r="AI203" s="330"/>
      <c r="AJ203" s="330"/>
      <c r="AK203" s="330"/>
      <c r="AL203" s="330"/>
      <c r="AM203" s="330"/>
      <c r="AN203" s="330"/>
      <c r="AO203" s="330"/>
      <c r="AP203" s="330"/>
      <c r="AQ203" s="330"/>
      <c r="AR203" s="330"/>
      <c r="AS203" s="330"/>
      <c r="AT203" s="330"/>
      <c r="AU203" s="330"/>
      <c r="AV203" s="330"/>
      <c r="AW203" s="330"/>
      <c r="AX203" s="330"/>
      <c r="AY203" s="330"/>
      <c r="AZ203" s="330"/>
      <c r="BA203" s="330"/>
      <c r="BB203" s="330"/>
      <c r="BC203" s="330"/>
      <c r="BD203" s="330"/>
      <c r="BE203" s="330"/>
      <c r="BF203" s="330"/>
    </row>
    <row r="204" spans="1:58">
      <c r="A204" s="330"/>
      <c r="B204" s="330"/>
      <c r="C204" s="330"/>
      <c r="D204" s="330"/>
      <c r="E204" s="330"/>
      <c r="F204" s="330"/>
      <c r="G204" s="330"/>
      <c r="H204" s="330"/>
      <c r="I204" s="330"/>
      <c r="J204" s="330"/>
      <c r="K204" s="330"/>
      <c r="L204" s="330"/>
      <c r="M204" s="330"/>
      <c r="N204" s="330"/>
      <c r="O204" s="330"/>
      <c r="P204" s="330"/>
      <c r="Q204" s="330"/>
      <c r="R204" s="330"/>
      <c r="S204" s="330"/>
      <c r="T204" s="330"/>
      <c r="U204" s="330"/>
      <c r="V204" s="330"/>
      <c r="W204" s="330"/>
      <c r="X204" s="330"/>
      <c r="Y204" s="330"/>
      <c r="Z204" s="330"/>
      <c r="AA204" s="330"/>
      <c r="AB204" s="330"/>
      <c r="AC204" s="330"/>
      <c r="AD204" s="330"/>
      <c r="AE204" s="330"/>
      <c r="AF204" s="330"/>
      <c r="AG204" s="330"/>
      <c r="AH204" s="330"/>
      <c r="AI204" s="330"/>
      <c r="AJ204" s="330"/>
      <c r="AK204" s="330"/>
      <c r="AL204" s="330"/>
      <c r="AM204" s="330"/>
      <c r="AN204" s="330"/>
      <c r="AO204" s="330"/>
      <c r="AP204" s="330"/>
      <c r="AQ204" s="330"/>
      <c r="AR204" s="330"/>
      <c r="AS204" s="330"/>
      <c r="AT204" s="330"/>
      <c r="AU204" s="330"/>
      <c r="AV204" s="330"/>
      <c r="AW204" s="330"/>
      <c r="AX204" s="330"/>
      <c r="AY204" s="330"/>
      <c r="AZ204" s="330"/>
      <c r="BA204" s="330"/>
      <c r="BB204" s="330"/>
      <c r="BC204" s="330"/>
      <c r="BD204" s="330"/>
      <c r="BE204" s="330"/>
      <c r="BF204" s="330"/>
    </row>
    <row r="205" spans="1:58">
      <c r="A205" s="330"/>
      <c r="B205" s="330"/>
      <c r="C205" s="330"/>
      <c r="D205" s="330"/>
      <c r="E205" s="330"/>
      <c r="F205" s="330"/>
      <c r="G205" s="330"/>
      <c r="H205" s="330"/>
      <c r="I205" s="330"/>
      <c r="J205" s="330"/>
      <c r="K205" s="330"/>
      <c r="L205" s="330"/>
      <c r="M205" s="330"/>
      <c r="N205" s="330"/>
      <c r="O205" s="330"/>
      <c r="P205" s="330"/>
      <c r="Q205" s="330"/>
      <c r="R205" s="330"/>
      <c r="S205" s="330"/>
      <c r="T205" s="330"/>
      <c r="U205" s="330"/>
      <c r="V205" s="330"/>
      <c r="W205" s="330"/>
      <c r="X205" s="330"/>
      <c r="Y205" s="330"/>
      <c r="Z205" s="330"/>
      <c r="AA205" s="330"/>
      <c r="AB205" s="330"/>
      <c r="AC205" s="330"/>
      <c r="AD205" s="330"/>
      <c r="AE205" s="330"/>
      <c r="AF205" s="330"/>
      <c r="AG205" s="330"/>
      <c r="AH205" s="330"/>
      <c r="AI205" s="330"/>
      <c r="AJ205" s="330"/>
      <c r="AK205" s="330"/>
      <c r="AL205" s="330"/>
      <c r="AM205" s="330"/>
      <c r="AN205" s="330"/>
      <c r="AO205" s="330"/>
      <c r="AP205" s="330"/>
      <c r="AQ205" s="330"/>
      <c r="AR205" s="330"/>
      <c r="AS205" s="330"/>
      <c r="AT205" s="330"/>
      <c r="AU205" s="330"/>
      <c r="AV205" s="330"/>
      <c r="AW205" s="330"/>
      <c r="AX205" s="330"/>
      <c r="AY205" s="330"/>
      <c r="AZ205" s="330"/>
      <c r="BA205" s="330"/>
      <c r="BB205" s="330"/>
      <c r="BC205" s="330"/>
      <c r="BD205" s="330"/>
      <c r="BE205" s="330"/>
      <c r="BF205" s="330"/>
    </row>
    <row r="206" spans="1:58">
      <c r="A206" s="330"/>
      <c r="B206" s="330"/>
      <c r="C206" s="330"/>
      <c r="D206" s="330"/>
      <c r="E206" s="330"/>
      <c r="F206" s="330"/>
      <c r="G206" s="330"/>
      <c r="H206" s="330"/>
      <c r="I206" s="330"/>
      <c r="J206" s="330"/>
      <c r="K206" s="330"/>
      <c r="L206" s="330"/>
      <c r="M206" s="330"/>
      <c r="N206" s="330"/>
      <c r="O206" s="330"/>
      <c r="P206" s="330"/>
      <c r="Q206" s="330"/>
      <c r="R206" s="330"/>
      <c r="S206" s="330"/>
      <c r="T206" s="330"/>
      <c r="U206" s="330"/>
      <c r="V206" s="330"/>
      <c r="W206" s="330"/>
      <c r="X206" s="330"/>
      <c r="Y206" s="330"/>
      <c r="Z206" s="330"/>
      <c r="AA206" s="330"/>
      <c r="AB206" s="330"/>
      <c r="AC206" s="330"/>
      <c r="AD206" s="330"/>
      <c r="AE206" s="330"/>
      <c r="AF206" s="330"/>
      <c r="AG206" s="330"/>
      <c r="AH206" s="330"/>
      <c r="AI206" s="330"/>
      <c r="AJ206" s="330"/>
      <c r="AK206" s="330"/>
      <c r="AL206" s="330"/>
      <c r="AM206" s="330"/>
      <c r="AN206" s="330"/>
      <c r="AO206" s="330"/>
      <c r="AP206" s="330"/>
      <c r="AQ206" s="330"/>
      <c r="AR206" s="330"/>
      <c r="AS206" s="330"/>
      <c r="AT206" s="330"/>
      <c r="AU206" s="330"/>
      <c r="AV206" s="330"/>
      <c r="AW206" s="330"/>
      <c r="AX206" s="330"/>
      <c r="AY206" s="330"/>
      <c r="AZ206" s="330"/>
      <c r="BA206" s="330"/>
      <c r="BB206" s="330"/>
      <c r="BC206" s="330"/>
      <c r="BD206" s="330"/>
      <c r="BE206" s="330"/>
      <c r="BF206" s="330"/>
    </row>
    <row r="207" spans="1:58">
      <c r="A207" s="330"/>
      <c r="B207" s="330"/>
      <c r="C207" s="330"/>
      <c r="D207" s="330"/>
      <c r="E207" s="330"/>
      <c r="F207" s="330"/>
      <c r="G207" s="330"/>
      <c r="H207" s="330"/>
      <c r="I207" s="330"/>
      <c r="J207" s="330"/>
      <c r="K207" s="330"/>
      <c r="L207" s="330"/>
      <c r="M207" s="330"/>
      <c r="N207" s="330"/>
      <c r="O207" s="330"/>
      <c r="P207" s="330"/>
      <c r="Q207" s="330"/>
      <c r="R207" s="330"/>
      <c r="S207" s="330"/>
      <c r="T207" s="330"/>
      <c r="U207" s="330"/>
      <c r="V207" s="330"/>
      <c r="W207" s="330"/>
      <c r="X207" s="330"/>
      <c r="Y207" s="330"/>
      <c r="Z207" s="330"/>
      <c r="AA207" s="330"/>
      <c r="AB207" s="330"/>
      <c r="AC207" s="330"/>
      <c r="AD207" s="330"/>
      <c r="AE207" s="330"/>
      <c r="AF207" s="330"/>
      <c r="AG207" s="330"/>
      <c r="AH207" s="330"/>
      <c r="AI207" s="330"/>
      <c r="AJ207" s="330"/>
      <c r="AK207" s="330"/>
      <c r="AL207" s="330"/>
      <c r="AM207" s="330"/>
      <c r="AN207" s="330"/>
      <c r="AO207" s="330"/>
      <c r="AP207" s="330"/>
      <c r="AQ207" s="330"/>
      <c r="AR207" s="330"/>
      <c r="AS207" s="330"/>
      <c r="AT207" s="330"/>
      <c r="AU207" s="330"/>
      <c r="AV207" s="330"/>
      <c r="AW207" s="330"/>
      <c r="AX207" s="330"/>
      <c r="AY207" s="330"/>
      <c r="AZ207" s="330"/>
      <c r="BA207" s="330"/>
      <c r="BB207" s="330"/>
      <c r="BC207" s="330"/>
      <c r="BD207" s="330"/>
      <c r="BE207" s="330"/>
      <c r="BF207" s="330"/>
    </row>
    <row r="208" spans="1:58">
      <c r="A208" s="330"/>
      <c r="B208" s="330"/>
      <c r="C208" s="330"/>
      <c r="D208" s="330"/>
      <c r="E208" s="330"/>
      <c r="F208" s="330"/>
      <c r="G208" s="330"/>
      <c r="H208" s="330"/>
      <c r="I208" s="330"/>
      <c r="J208" s="330"/>
      <c r="K208" s="330"/>
      <c r="L208" s="330"/>
      <c r="M208" s="330"/>
      <c r="N208" s="330"/>
      <c r="O208" s="330"/>
      <c r="P208" s="330"/>
      <c r="Q208" s="330"/>
      <c r="R208" s="330"/>
      <c r="S208" s="330"/>
      <c r="T208" s="330"/>
      <c r="U208" s="330"/>
      <c r="V208" s="330"/>
      <c r="W208" s="330"/>
      <c r="X208" s="330"/>
      <c r="Y208" s="330"/>
      <c r="Z208" s="330"/>
      <c r="AA208" s="330"/>
      <c r="AB208" s="330"/>
      <c r="AC208" s="330"/>
      <c r="AD208" s="330"/>
      <c r="AE208" s="330"/>
      <c r="AF208" s="330"/>
      <c r="AG208" s="330"/>
      <c r="AH208" s="330"/>
      <c r="AI208" s="330"/>
      <c r="AJ208" s="330"/>
      <c r="AK208" s="330"/>
      <c r="AL208" s="330"/>
      <c r="AM208" s="330"/>
      <c r="AN208" s="330"/>
      <c r="AO208" s="330"/>
      <c r="AP208" s="330"/>
      <c r="AQ208" s="330"/>
      <c r="AR208" s="330"/>
      <c r="AS208" s="330"/>
      <c r="AT208" s="330"/>
      <c r="AU208" s="330"/>
      <c r="AV208" s="330"/>
      <c r="AW208" s="330"/>
      <c r="AX208" s="330"/>
      <c r="AY208" s="330"/>
      <c r="AZ208" s="330"/>
      <c r="BA208" s="330"/>
      <c r="BB208" s="330"/>
      <c r="BC208" s="330"/>
      <c r="BD208" s="330"/>
      <c r="BE208" s="330"/>
      <c r="BF208" s="330"/>
    </row>
    <row r="209" spans="1:58">
      <c r="A209" s="330"/>
      <c r="B209" s="330"/>
      <c r="C209" s="330"/>
      <c r="D209" s="330"/>
      <c r="E209" s="330"/>
      <c r="F209" s="330"/>
      <c r="G209" s="330"/>
      <c r="H209" s="330"/>
      <c r="I209" s="330"/>
      <c r="J209" s="330"/>
      <c r="K209" s="330"/>
      <c r="L209" s="330"/>
      <c r="M209" s="330"/>
      <c r="N209" s="330"/>
      <c r="O209" s="330"/>
      <c r="P209" s="330"/>
      <c r="Q209" s="330"/>
      <c r="R209" s="330"/>
      <c r="S209" s="330"/>
      <c r="T209" s="330"/>
      <c r="U209" s="330"/>
      <c r="V209" s="330"/>
      <c r="W209" s="330"/>
      <c r="X209" s="330"/>
      <c r="Y209" s="330"/>
      <c r="Z209" s="330"/>
      <c r="AA209" s="330"/>
      <c r="AB209" s="330"/>
      <c r="AC209" s="330"/>
      <c r="AD209" s="330"/>
      <c r="AE209" s="330"/>
      <c r="AF209" s="330"/>
      <c r="AG209" s="330"/>
      <c r="AH209" s="330"/>
      <c r="AI209" s="330"/>
      <c r="AJ209" s="330"/>
      <c r="AK209" s="330"/>
      <c r="AL209" s="330"/>
      <c r="AM209" s="330"/>
      <c r="AN209" s="330"/>
      <c r="AO209" s="330"/>
      <c r="AP209" s="330"/>
      <c r="AQ209" s="330"/>
      <c r="AR209" s="330"/>
      <c r="AS209" s="330"/>
      <c r="AT209" s="330"/>
      <c r="AU209" s="330"/>
      <c r="AV209" s="330"/>
      <c r="AW209" s="330"/>
      <c r="AX209" s="330"/>
      <c r="AY209" s="330"/>
      <c r="AZ209" s="330"/>
      <c r="BA209" s="330"/>
      <c r="BB209" s="330"/>
      <c r="BC209" s="330"/>
      <c r="BD209" s="330"/>
      <c r="BE209" s="330"/>
      <c r="BF209" s="330"/>
    </row>
    <row r="210" spans="1:58">
      <c r="A210" s="330"/>
      <c r="B210" s="330"/>
      <c r="C210" s="330"/>
      <c r="D210" s="330"/>
      <c r="E210" s="330"/>
      <c r="F210" s="330"/>
      <c r="G210" s="330"/>
      <c r="H210" s="330"/>
      <c r="I210" s="330"/>
      <c r="J210" s="330"/>
      <c r="K210" s="330"/>
      <c r="L210" s="330"/>
      <c r="M210" s="330"/>
      <c r="N210" s="330"/>
      <c r="O210" s="330"/>
      <c r="P210" s="330"/>
      <c r="Q210" s="330"/>
      <c r="R210" s="330"/>
      <c r="S210" s="330"/>
      <c r="T210" s="330"/>
      <c r="U210" s="330"/>
      <c r="V210" s="330"/>
      <c r="W210" s="330"/>
      <c r="X210" s="330"/>
      <c r="Y210" s="330"/>
      <c r="Z210" s="330"/>
      <c r="AA210" s="330"/>
      <c r="AB210" s="330"/>
      <c r="AC210" s="330"/>
      <c r="AD210" s="330"/>
      <c r="AE210" s="330"/>
      <c r="AF210" s="330"/>
      <c r="AG210" s="330"/>
      <c r="AH210" s="330"/>
      <c r="AI210" s="330"/>
      <c r="AJ210" s="330"/>
      <c r="AK210" s="330"/>
      <c r="AL210" s="330"/>
      <c r="AM210" s="330"/>
      <c r="AN210" s="330"/>
      <c r="AO210" s="330"/>
      <c r="AP210" s="330"/>
      <c r="AQ210" s="330"/>
      <c r="AR210" s="330"/>
      <c r="AS210" s="330"/>
      <c r="AT210" s="330"/>
      <c r="AU210" s="330"/>
      <c r="AV210" s="330"/>
      <c r="AW210" s="330"/>
      <c r="AX210" s="330"/>
      <c r="AY210" s="330"/>
      <c r="AZ210" s="330"/>
      <c r="BA210" s="330"/>
      <c r="BB210" s="330"/>
      <c r="BC210" s="330"/>
      <c r="BD210" s="330"/>
      <c r="BE210" s="330"/>
      <c r="BF210" s="330"/>
    </row>
    <row r="211" spans="1:58">
      <c r="A211" s="330"/>
      <c r="B211" s="330"/>
      <c r="C211" s="330"/>
      <c r="D211" s="330"/>
      <c r="E211" s="330"/>
      <c r="F211" s="330"/>
      <c r="G211" s="330"/>
      <c r="H211" s="330"/>
      <c r="I211" s="330"/>
      <c r="J211" s="330"/>
      <c r="K211" s="330"/>
      <c r="L211" s="330"/>
      <c r="M211" s="330"/>
      <c r="N211" s="330"/>
      <c r="O211" s="330"/>
      <c r="P211" s="330"/>
      <c r="Q211" s="330"/>
      <c r="R211" s="330"/>
      <c r="S211" s="330"/>
      <c r="T211" s="330"/>
      <c r="U211" s="330"/>
      <c r="V211" s="330"/>
      <c r="W211" s="330"/>
      <c r="X211" s="330"/>
      <c r="Y211" s="330"/>
      <c r="Z211" s="330"/>
      <c r="AA211" s="330"/>
      <c r="AB211" s="330"/>
      <c r="AC211" s="330"/>
      <c r="AD211" s="330"/>
      <c r="AE211" s="330"/>
      <c r="AF211" s="330"/>
      <c r="AG211" s="330"/>
      <c r="AH211" s="330"/>
      <c r="AI211" s="330"/>
      <c r="AJ211" s="330"/>
      <c r="AK211" s="330"/>
      <c r="AL211" s="330"/>
      <c r="AM211" s="330"/>
      <c r="AN211" s="330"/>
      <c r="AO211" s="330"/>
      <c r="AP211" s="330"/>
      <c r="AQ211" s="330"/>
      <c r="AR211" s="330"/>
      <c r="AS211" s="330"/>
      <c r="AT211" s="330"/>
      <c r="AU211" s="330"/>
      <c r="AV211" s="330"/>
      <c r="AW211" s="330"/>
      <c r="AX211" s="330"/>
      <c r="AY211" s="330"/>
      <c r="AZ211" s="330"/>
      <c r="BA211" s="330"/>
      <c r="BB211" s="330"/>
      <c r="BC211" s="330"/>
      <c r="BD211" s="330"/>
      <c r="BE211" s="330"/>
      <c r="BF211" s="330"/>
    </row>
    <row r="212" spans="1:58">
      <c r="A212" s="330"/>
      <c r="B212" s="330"/>
      <c r="C212" s="330"/>
      <c r="D212" s="330"/>
      <c r="E212" s="330"/>
      <c r="F212" s="330"/>
      <c r="G212" s="330"/>
      <c r="H212" s="330"/>
      <c r="I212" s="330"/>
      <c r="J212" s="330"/>
      <c r="K212" s="330"/>
      <c r="L212" s="330"/>
      <c r="M212" s="330"/>
      <c r="N212" s="330"/>
      <c r="O212" s="330"/>
      <c r="P212" s="330"/>
      <c r="Q212" s="330"/>
      <c r="R212" s="330"/>
      <c r="S212" s="330"/>
      <c r="T212" s="330"/>
      <c r="U212" s="330"/>
      <c r="V212" s="330"/>
      <c r="W212" s="330"/>
      <c r="X212" s="330"/>
      <c r="Y212" s="330"/>
      <c r="Z212" s="330"/>
      <c r="AA212" s="330"/>
      <c r="AB212" s="330"/>
      <c r="AC212" s="330"/>
      <c r="AD212" s="330"/>
      <c r="AE212" s="330"/>
      <c r="AF212" s="330"/>
      <c r="AG212" s="330"/>
      <c r="AH212" s="330"/>
      <c r="AI212" s="330"/>
      <c r="AJ212" s="330"/>
      <c r="AK212" s="330"/>
      <c r="AL212" s="330"/>
      <c r="AM212" s="330"/>
      <c r="AN212" s="330"/>
      <c r="AO212" s="330"/>
      <c r="AP212" s="330"/>
      <c r="AQ212" s="330"/>
      <c r="AR212" s="330"/>
      <c r="AS212" s="330"/>
      <c r="AT212" s="330"/>
      <c r="AU212" s="330"/>
      <c r="AV212" s="330"/>
      <c r="AW212" s="330"/>
      <c r="AX212" s="330"/>
      <c r="AY212" s="330"/>
      <c r="AZ212" s="330"/>
      <c r="BA212" s="330"/>
      <c r="BB212" s="330"/>
      <c r="BC212" s="330"/>
      <c r="BD212" s="330"/>
      <c r="BE212" s="330"/>
      <c r="BF212" s="330"/>
    </row>
    <row r="213" spans="1:58">
      <c r="A213" s="330"/>
      <c r="B213" s="330"/>
      <c r="C213" s="330"/>
      <c r="D213" s="330"/>
      <c r="E213" s="330"/>
      <c r="F213" s="330"/>
      <c r="G213" s="330"/>
      <c r="H213" s="330"/>
      <c r="I213" s="330"/>
      <c r="J213" s="330"/>
      <c r="K213" s="330"/>
      <c r="L213" s="330"/>
      <c r="M213" s="330"/>
      <c r="N213" s="330"/>
      <c r="O213" s="330"/>
      <c r="P213" s="330"/>
      <c r="Q213" s="330"/>
      <c r="R213" s="330"/>
      <c r="S213" s="330"/>
      <c r="T213" s="330"/>
      <c r="U213" s="330"/>
      <c r="V213" s="330"/>
      <c r="W213" s="330"/>
      <c r="X213" s="330"/>
      <c r="Y213" s="330"/>
      <c r="Z213" s="330"/>
      <c r="AA213" s="330"/>
      <c r="AB213" s="330"/>
      <c r="AC213" s="330"/>
      <c r="AD213" s="330"/>
      <c r="AE213" s="330"/>
      <c r="AF213" s="330"/>
      <c r="AG213" s="330"/>
      <c r="AH213" s="330"/>
      <c r="AI213" s="330"/>
      <c r="AJ213" s="330"/>
      <c r="AK213" s="330"/>
      <c r="AL213" s="330"/>
      <c r="AM213" s="330"/>
      <c r="AN213" s="330"/>
      <c r="AO213" s="330"/>
      <c r="AP213" s="330"/>
      <c r="AQ213" s="330"/>
      <c r="AR213" s="330"/>
      <c r="AS213" s="330"/>
      <c r="AT213" s="330"/>
      <c r="AU213" s="330"/>
      <c r="AV213" s="330"/>
      <c r="AW213" s="330"/>
      <c r="AX213" s="330"/>
      <c r="AY213" s="330"/>
      <c r="AZ213" s="330"/>
      <c r="BA213" s="330"/>
      <c r="BB213" s="330"/>
      <c r="BC213" s="330"/>
      <c r="BD213" s="330"/>
      <c r="BE213" s="330"/>
      <c r="BF213" s="330"/>
    </row>
    <row r="214" spans="1:58">
      <c r="A214" s="330"/>
      <c r="B214" s="330"/>
      <c r="C214" s="330"/>
      <c r="D214" s="330"/>
      <c r="E214" s="330"/>
      <c r="F214" s="330"/>
      <c r="G214" s="330"/>
      <c r="H214" s="330"/>
      <c r="I214" s="330"/>
      <c r="J214" s="330"/>
      <c r="K214" s="330"/>
      <c r="L214" s="330"/>
      <c r="M214" s="330"/>
      <c r="N214" s="330"/>
      <c r="O214" s="330"/>
      <c r="P214" s="330"/>
      <c r="Q214" s="330"/>
      <c r="R214" s="330"/>
      <c r="S214" s="330"/>
      <c r="T214" s="330"/>
      <c r="U214" s="330"/>
      <c r="V214" s="330"/>
      <c r="W214" s="330"/>
      <c r="X214" s="330"/>
      <c r="Y214" s="330"/>
      <c r="Z214" s="330"/>
      <c r="AA214" s="330"/>
      <c r="AB214" s="330"/>
      <c r="AC214" s="330"/>
      <c r="AD214" s="330"/>
      <c r="AE214" s="330"/>
      <c r="AF214" s="330"/>
      <c r="AG214" s="330"/>
      <c r="AH214" s="330"/>
      <c r="AI214" s="330"/>
      <c r="AJ214" s="330"/>
      <c r="AK214" s="330"/>
      <c r="AL214" s="330"/>
      <c r="AM214" s="330"/>
      <c r="AN214" s="330"/>
      <c r="AO214" s="330"/>
      <c r="AP214" s="330"/>
      <c r="AQ214" s="330"/>
      <c r="AR214" s="330"/>
      <c r="AS214" s="330"/>
      <c r="AT214" s="330"/>
      <c r="AU214" s="330"/>
      <c r="AV214" s="330"/>
      <c r="AW214" s="330"/>
      <c r="AX214" s="330"/>
      <c r="AY214" s="330"/>
      <c r="AZ214" s="330"/>
      <c r="BA214" s="330"/>
      <c r="BB214" s="330"/>
      <c r="BC214" s="330"/>
      <c r="BD214" s="330"/>
      <c r="BE214" s="330"/>
      <c r="BF214" s="330"/>
    </row>
    <row r="215" spans="1:58">
      <c r="A215" s="330"/>
      <c r="B215" s="330"/>
      <c r="C215" s="330"/>
      <c r="D215" s="330"/>
      <c r="E215" s="330"/>
      <c r="F215" s="330"/>
      <c r="G215" s="330"/>
      <c r="H215" s="330"/>
      <c r="I215" s="330"/>
      <c r="J215" s="330"/>
      <c r="K215" s="330"/>
      <c r="L215" s="330"/>
      <c r="M215" s="330"/>
      <c r="N215" s="330"/>
      <c r="O215" s="330"/>
      <c r="P215" s="330"/>
      <c r="Q215" s="330"/>
      <c r="R215" s="330"/>
      <c r="S215" s="330"/>
      <c r="T215" s="330"/>
      <c r="U215" s="330"/>
      <c r="V215" s="330"/>
      <c r="W215" s="330"/>
      <c r="X215" s="330"/>
      <c r="Y215" s="330"/>
      <c r="Z215" s="330"/>
      <c r="AA215" s="330"/>
      <c r="AB215" s="330"/>
      <c r="AC215" s="330"/>
      <c r="AD215" s="330"/>
      <c r="AE215" s="330"/>
      <c r="AF215" s="330"/>
      <c r="AG215" s="330"/>
      <c r="AH215" s="330"/>
      <c r="AI215" s="330"/>
      <c r="AJ215" s="330"/>
      <c r="AK215" s="330"/>
      <c r="AL215" s="330"/>
      <c r="AM215" s="330"/>
      <c r="AN215" s="330"/>
      <c r="AO215" s="330"/>
      <c r="AP215" s="330"/>
      <c r="AQ215" s="330"/>
      <c r="AR215" s="330"/>
      <c r="AS215" s="330"/>
      <c r="AT215" s="330"/>
      <c r="AU215" s="330"/>
      <c r="AV215" s="330"/>
      <c r="AW215" s="330"/>
      <c r="AX215" s="330"/>
      <c r="AY215" s="330"/>
      <c r="AZ215" s="330"/>
      <c r="BA215" s="330"/>
      <c r="BB215" s="330"/>
      <c r="BC215" s="330"/>
      <c r="BD215" s="330"/>
      <c r="BE215" s="330"/>
      <c r="BF215" s="330"/>
    </row>
    <row r="216" spans="1:58">
      <c r="A216" s="330"/>
      <c r="B216" s="330"/>
      <c r="C216" s="330"/>
      <c r="D216" s="330"/>
      <c r="E216" s="330"/>
      <c r="F216" s="330"/>
      <c r="G216" s="330"/>
      <c r="H216" s="330"/>
      <c r="I216" s="330"/>
      <c r="J216" s="330"/>
      <c r="K216" s="330"/>
      <c r="L216" s="330"/>
      <c r="M216" s="330"/>
      <c r="N216" s="330"/>
      <c r="O216" s="330"/>
      <c r="P216" s="330"/>
      <c r="Q216" s="330"/>
      <c r="R216" s="330"/>
      <c r="S216" s="330"/>
      <c r="T216" s="330"/>
      <c r="U216" s="330"/>
      <c r="V216" s="330"/>
      <c r="W216" s="330"/>
      <c r="X216" s="330"/>
      <c r="Y216" s="330"/>
      <c r="Z216" s="330"/>
      <c r="AA216" s="330"/>
      <c r="AB216" s="330"/>
      <c r="AC216" s="330"/>
      <c r="AD216" s="330"/>
      <c r="AE216" s="330"/>
      <c r="AF216" s="330"/>
      <c r="AG216" s="330"/>
      <c r="AH216" s="330"/>
      <c r="AI216" s="330"/>
      <c r="AJ216" s="330"/>
      <c r="AK216" s="330"/>
      <c r="AL216" s="330"/>
      <c r="AM216" s="330"/>
      <c r="AN216" s="330"/>
      <c r="AO216" s="330"/>
      <c r="AP216" s="330"/>
      <c r="AQ216" s="330"/>
      <c r="AR216" s="330"/>
      <c r="AS216" s="330"/>
      <c r="AT216" s="330"/>
      <c r="AU216" s="330"/>
      <c r="AV216" s="330"/>
      <c r="AW216" s="330"/>
      <c r="AX216" s="330"/>
      <c r="AY216" s="330"/>
      <c r="AZ216" s="330"/>
      <c r="BA216" s="330"/>
      <c r="BB216" s="330"/>
      <c r="BC216" s="330"/>
      <c r="BD216" s="330"/>
      <c r="BE216" s="330"/>
      <c r="BF216" s="330"/>
    </row>
    <row r="217" spans="1:58">
      <c r="A217" s="330"/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330"/>
      <c r="P217" s="330"/>
      <c r="Q217" s="330"/>
      <c r="R217" s="330"/>
      <c r="S217" s="330"/>
      <c r="T217" s="330"/>
      <c r="U217" s="330"/>
      <c r="V217" s="330"/>
      <c r="W217" s="330"/>
      <c r="X217" s="330"/>
      <c r="Y217" s="330"/>
      <c r="Z217" s="330"/>
      <c r="AA217" s="330"/>
      <c r="AB217" s="330"/>
      <c r="AC217" s="330"/>
      <c r="AD217" s="330"/>
      <c r="AE217" s="330"/>
      <c r="AF217" s="330"/>
      <c r="AG217" s="330"/>
      <c r="AH217" s="330"/>
      <c r="AI217" s="330"/>
      <c r="AJ217" s="330"/>
      <c r="AK217" s="330"/>
      <c r="AL217" s="330"/>
      <c r="AM217" s="330"/>
      <c r="AN217" s="330"/>
      <c r="AO217" s="330"/>
      <c r="AP217" s="330"/>
      <c r="AQ217" s="330"/>
      <c r="AR217" s="330"/>
      <c r="AS217" s="330"/>
      <c r="AT217" s="330"/>
      <c r="AU217" s="330"/>
      <c r="AV217" s="330"/>
      <c r="AW217" s="330"/>
      <c r="AX217" s="330"/>
      <c r="AY217" s="330"/>
      <c r="AZ217" s="330"/>
      <c r="BA217" s="330"/>
      <c r="BB217" s="330"/>
      <c r="BC217" s="330"/>
      <c r="BD217" s="330"/>
      <c r="BE217" s="330"/>
      <c r="BF217" s="330"/>
    </row>
    <row r="218" spans="1:58">
      <c r="A218" s="330"/>
      <c r="B218" s="330"/>
      <c r="C218" s="330"/>
      <c r="D218" s="330"/>
      <c r="E218" s="330"/>
      <c r="F218" s="330"/>
      <c r="G218" s="330"/>
      <c r="H218" s="330"/>
      <c r="I218" s="330"/>
      <c r="J218" s="330"/>
      <c r="K218" s="330"/>
      <c r="L218" s="330"/>
      <c r="M218" s="330"/>
      <c r="N218" s="330"/>
      <c r="O218" s="330"/>
      <c r="P218" s="330"/>
      <c r="Q218" s="330"/>
      <c r="R218" s="330"/>
      <c r="S218" s="330"/>
      <c r="T218" s="330"/>
      <c r="U218" s="330"/>
      <c r="V218" s="330"/>
      <c r="W218" s="330"/>
      <c r="X218" s="330"/>
      <c r="Y218" s="330"/>
      <c r="Z218" s="330"/>
      <c r="AA218" s="330"/>
      <c r="AB218" s="330"/>
      <c r="AC218" s="330"/>
      <c r="AD218" s="330"/>
      <c r="AE218" s="330"/>
      <c r="AF218" s="330"/>
      <c r="AG218" s="330"/>
      <c r="AH218" s="330"/>
      <c r="AI218" s="330"/>
      <c r="AJ218" s="330"/>
      <c r="AK218" s="330"/>
      <c r="AL218" s="330"/>
      <c r="AM218" s="330"/>
      <c r="AN218" s="330"/>
      <c r="AO218" s="330"/>
      <c r="AP218" s="330"/>
      <c r="AQ218" s="330"/>
      <c r="AR218" s="330"/>
      <c r="AS218" s="330"/>
      <c r="AT218" s="330"/>
      <c r="AU218" s="330"/>
      <c r="AV218" s="330"/>
      <c r="AW218" s="330"/>
      <c r="AX218" s="330"/>
      <c r="AY218" s="330"/>
      <c r="AZ218" s="330"/>
      <c r="BA218" s="330"/>
      <c r="BB218" s="330"/>
      <c r="BC218" s="330"/>
      <c r="BD218" s="330"/>
      <c r="BE218" s="330"/>
      <c r="BF218" s="330"/>
    </row>
    <row r="219" spans="1:58">
      <c r="A219" s="330"/>
      <c r="B219" s="330"/>
      <c r="C219" s="330"/>
      <c r="D219" s="330"/>
      <c r="E219" s="330"/>
      <c r="F219" s="330"/>
      <c r="G219" s="330"/>
      <c r="H219" s="330"/>
      <c r="I219" s="330"/>
      <c r="J219" s="330"/>
      <c r="K219" s="330"/>
      <c r="L219" s="330"/>
      <c r="M219" s="330"/>
      <c r="N219" s="330"/>
      <c r="O219" s="330"/>
      <c r="P219" s="330"/>
      <c r="Q219" s="330"/>
      <c r="R219" s="330"/>
      <c r="S219" s="330"/>
      <c r="T219" s="330"/>
      <c r="U219" s="330"/>
      <c r="V219" s="330"/>
      <c r="W219" s="330"/>
      <c r="X219" s="330"/>
      <c r="Y219" s="330"/>
      <c r="Z219" s="330"/>
      <c r="AA219" s="330"/>
      <c r="AB219" s="330"/>
      <c r="AC219" s="330"/>
      <c r="AD219" s="330"/>
      <c r="AE219" s="330"/>
      <c r="AF219" s="330"/>
      <c r="AG219" s="330"/>
      <c r="AH219" s="330"/>
      <c r="AI219" s="330"/>
      <c r="AJ219" s="330"/>
      <c r="AK219" s="330"/>
      <c r="AL219" s="330"/>
      <c r="AM219" s="330"/>
      <c r="AN219" s="330"/>
      <c r="AO219" s="330"/>
      <c r="AP219" s="330"/>
      <c r="AQ219" s="330"/>
      <c r="AR219" s="330"/>
      <c r="AS219" s="330"/>
      <c r="AT219" s="330"/>
      <c r="AU219" s="330"/>
      <c r="AV219" s="330"/>
      <c r="AW219" s="330"/>
      <c r="AX219" s="330"/>
      <c r="AY219" s="330"/>
      <c r="AZ219" s="330"/>
      <c r="BA219" s="330"/>
      <c r="BB219" s="330"/>
      <c r="BC219" s="330"/>
      <c r="BD219" s="330"/>
      <c r="BE219" s="330"/>
      <c r="BF219" s="330"/>
    </row>
    <row r="220" spans="1:58">
      <c r="A220" s="330"/>
      <c r="B220" s="330"/>
      <c r="C220" s="330"/>
      <c r="D220" s="330"/>
      <c r="E220" s="330"/>
      <c r="F220" s="330"/>
      <c r="G220" s="330"/>
      <c r="H220" s="330"/>
      <c r="I220" s="330"/>
      <c r="J220" s="330"/>
      <c r="K220" s="330"/>
      <c r="L220" s="330"/>
      <c r="M220" s="330"/>
      <c r="N220" s="330"/>
      <c r="O220" s="330"/>
      <c r="P220" s="330"/>
      <c r="Q220" s="330"/>
      <c r="R220" s="330"/>
      <c r="S220" s="330"/>
      <c r="T220" s="330"/>
      <c r="U220" s="330"/>
      <c r="V220" s="330"/>
      <c r="W220" s="330"/>
      <c r="X220" s="330"/>
      <c r="Y220" s="330"/>
      <c r="Z220" s="330"/>
      <c r="AA220" s="330"/>
      <c r="AB220" s="330"/>
      <c r="AC220" s="330"/>
      <c r="AD220" s="330"/>
      <c r="AE220" s="330"/>
      <c r="AF220" s="330"/>
      <c r="AG220" s="330"/>
      <c r="AH220" s="330"/>
      <c r="AI220" s="330"/>
      <c r="AJ220" s="330"/>
      <c r="AK220" s="330"/>
      <c r="AL220" s="330"/>
      <c r="AM220" s="330"/>
      <c r="AN220" s="330"/>
      <c r="AO220" s="330"/>
      <c r="AP220" s="330"/>
      <c r="AQ220" s="330"/>
      <c r="AR220" s="330"/>
      <c r="AS220" s="330"/>
      <c r="AT220" s="330"/>
      <c r="AU220" s="330"/>
      <c r="AV220" s="330"/>
      <c r="AW220" s="330"/>
      <c r="AX220" s="330"/>
      <c r="AY220" s="330"/>
      <c r="AZ220" s="330"/>
      <c r="BA220" s="330"/>
      <c r="BB220" s="330"/>
      <c r="BC220" s="330"/>
      <c r="BD220" s="330"/>
      <c r="BE220" s="330"/>
      <c r="BF220" s="330"/>
    </row>
    <row r="221" spans="1:58">
      <c r="A221" s="330"/>
      <c r="B221" s="330"/>
      <c r="C221" s="330"/>
      <c r="D221" s="330"/>
      <c r="E221" s="330"/>
      <c r="F221" s="330"/>
      <c r="G221" s="330"/>
      <c r="H221" s="330"/>
      <c r="I221" s="330"/>
      <c r="J221" s="330"/>
      <c r="K221" s="330"/>
      <c r="L221" s="330"/>
      <c r="M221" s="330"/>
      <c r="N221" s="330"/>
      <c r="O221" s="330"/>
      <c r="P221" s="330"/>
      <c r="Q221" s="330"/>
      <c r="R221" s="330"/>
      <c r="S221" s="330"/>
      <c r="T221" s="330"/>
      <c r="U221" s="330"/>
      <c r="V221" s="330"/>
      <c r="W221" s="330"/>
      <c r="X221" s="330"/>
      <c r="Y221" s="330"/>
      <c r="Z221" s="330"/>
      <c r="AA221" s="330"/>
      <c r="AB221" s="330"/>
      <c r="AC221" s="330"/>
      <c r="AD221" s="330"/>
      <c r="AE221" s="330"/>
      <c r="AF221" s="330"/>
      <c r="AG221" s="330"/>
      <c r="AH221" s="330"/>
      <c r="AI221" s="330"/>
      <c r="AJ221" s="330"/>
      <c r="AK221" s="330"/>
      <c r="AL221" s="330"/>
      <c r="AM221" s="330"/>
      <c r="AN221" s="330"/>
      <c r="AO221" s="330"/>
      <c r="AP221" s="330"/>
      <c r="AQ221" s="330"/>
      <c r="AR221" s="330"/>
      <c r="AS221" s="330"/>
      <c r="AT221" s="330"/>
      <c r="AU221" s="330"/>
      <c r="AV221" s="330"/>
      <c r="AW221" s="330"/>
      <c r="AX221" s="330"/>
      <c r="AY221" s="330"/>
      <c r="AZ221" s="330"/>
      <c r="BA221" s="330"/>
      <c r="BB221" s="330"/>
      <c r="BC221" s="330"/>
      <c r="BD221" s="330"/>
      <c r="BE221" s="330"/>
      <c r="BF221" s="330"/>
    </row>
    <row r="222" spans="1:58">
      <c r="A222" s="330"/>
      <c r="B222" s="330"/>
      <c r="C222" s="330"/>
      <c r="D222" s="330"/>
      <c r="E222" s="330"/>
      <c r="F222" s="330"/>
      <c r="G222" s="330"/>
      <c r="H222" s="330"/>
      <c r="I222" s="330"/>
      <c r="J222" s="330"/>
      <c r="K222" s="330"/>
      <c r="L222" s="330"/>
      <c r="M222" s="330"/>
      <c r="N222" s="330"/>
      <c r="O222" s="330"/>
      <c r="P222" s="330"/>
      <c r="Q222" s="330"/>
      <c r="R222" s="330"/>
      <c r="S222" s="330"/>
      <c r="T222" s="330"/>
      <c r="U222" s="330"/>
      <c r="V222" s="330"/>
      <c r="W222" s="330"/>
      <c r="X222" s="330"/>
      <c r="Y222" s="330"/>
      <c r="Z222" s="330"/>
      <c r="AA222" s="330"/>
      <c r="AB222" s="330"/>
      <c r="AC222" s="330"/>
      <c r="AD222" s="330"/>
      <c r="AE222" s="330"/>
      <c r="AF222" s="330"/>
      <c r="AG222" s="330"/>
      <c r="AH222" s="330"/>
      <c r="AI222" s="330"/>
      <c r="AJ222" s="330"/>
      <c r="AK222" s="330"/>
      <c r="AL222" s="330"/>
      <c r="AM222" s="330"/>
      <c r="AN222" s="330"/>
      <c r="AO222" s="330"/>
      <c r="AP222" s="330"/>
      <c r="AQ222" s="330"/>
      <c r="AR222" s="330"/>
      <c r="AS222" s="330"/>
      <c r="AT222" s="330"/>
      <c r="AU222" s="330"/>
      <c r="AV222" s="330"/>
      <c r="AW222" s="330"/>
      <c r="AX222" s="330"/>
      <c r="AY222" s="330"/>
      <c r="AZ222" s="330"/>
      <c r="BA222" s="330"/>
      <c r="BB222" s="330"/>
      <c r="BC222" s="330"/>
      <c r="BD222" s="330"/>
      <c r="BE222" s="330"/>
      <c r="BF222" s="330"/>
    </row>
    <row r="223" spans="1:58">
      <c r="A223" s="330"/>
      <c r="B223" s="330"/>
      <c r="C223" s="330"/>
      <c r="D223" s="330"/>
      <c r="E223" s="330"/>
      <c r="F223" s="330"/>
      <c r="G223" s="330"/>
      <c r="H223" s="330"/>
      <c r="I223" s="330"/>
      <c r="J223" s="330"/>
      <c r="K223" s="330"/>
      <c r="L223" s="330"/>
      <c r="M223" s="330"/>
      <c r="N223" s="330"/>
      <c r="O223" s="330"/>
      <c r="P223" s="330"/>
      <c r="Q223" s="330"/>
      <c r="R223" s="330"/>
      <c r="S223" s="330"/>
      <c r="T223" s="330"/>
      <c r="U223" s="330"/>
      <c r="V223" s="330"/>
      <c r="W223" s="330"/>
      <c r="X223" s="330"/>
      <c r="Y223" s="330"/>
      <c r="Z223" s="330"/>
      <c r="AA223" s="330"/>
      <c r="AB223" s="330"/>
      <c r="AC223" s="330"/>
      <c r="AD223" s="330"/>
      <c r="AE223" s="330"/>
      <c r="AF223" s="330"/>
      <c r="AG223" s="330"/>
      <c r="AH223" s="330"/>
      <c r="AI223" s="330"/>
      <c r="AJ223" s="330"/>
      <c r="AK223" s="330"/>
      <c r="AL223" s="330"/>
      <c r="AM223" s="330"/>
      <c r="AN223" s="330"/>
      <c r="AO223" s="330"/>
      <c r="AP223" s="330"/>
      <c r="AQ223" s="330"/>
      <c r="AR223" s="330"/>
      <c r="AS223" s="330"/>
      <c r="AT223" s="330"/>
      <c r="AU223" s="330"/>
      <c r="AV223" s="330"/>
      <c r="AW223" s="330"/>
      <c r="AX223" s="330"/>
      <c r="AY223" s="330"/>
      <c r="AZ223" s="330"/>
      <c r="BA223" s="330"/>
      <c r="BB223" s="330"/>
      <c r="BC223" s="330"/>
      <c r="BD223" s="330"/>
      <c r="BE223" s="330"/>
      <c r="BF223" s="330"/>
    </row>
    <row r="224" spans="1:58">
      <c r="A224" s="330"/>
      <c r="B224" s="330"/>
      <c r="C224" s="330"/>
      <c r="D224" s="330"/>
      <c r="E224" s="330"/>
      <c r="F224" s="330"/>
      <c r="G224" s="330"/>
      <c r="H224" s="330"/>
      <c r="I224" s="330"/>
      <c r="J224" s="330"/>
      <c r="K224" s="330"/>
      <c r="L224" s="330"/>
      <c r="M224" s="330"/>
      <c r="N224" s="330"/>
      <c r="O224" s="330"/>
      <c r="P224" s="330"/>
      <c r="Q224" s="330"/>
      <c r="R224" s="330"/>
      <c r="S224" s="330"/>
      <c r="T224" s="330"/>
      <c r="U224" s="330"/>
      <c r="V224" s="330"/>
      <c r="W224" s="330"/>
      <c r="X224" s="330"/>
      <c r="Y224" s="330"/>
      <c r="Z224" s="330"/>
      <c r="AA224" s="330"/>
      <c r="AB224" s="330"/>
      <c r="AC224" s="330"/>
      <c r="AD224" s="330"/>
      <c r="AE224" s="330"/>
      <c r="AF224" s="330"/>
      <c r="AG224" s="330"/>
      <c r="AH224" s="330"/>
      <c r="AI224" s="330"/>
      <c r="AJ224" s="330"/>
      <c r="AK224" s="330"/>
      <c r="AL224" s="330"/>
      <c r="AM224" s="330"/>
      <c r="AN224" s="330"/>
      <c r="AO224" s="330"/>
      <c r="AP224" s="330"/>
      <c r="AQ224" s="330"/>
      <c r="AR224" s="330"/>
      <c r="AS224" s="330"/>
      <c r="AT224" s="330"/>
      <c r="AU224" s="330"/>
      <c r="AV224" s="330"/>
      <c r="AW224" s="330"/>
      <c r="AX224" s="330"/>
      <c r="AY224" s="330"/>
      <c r="AZ224" s="330"/>
      <c r="BA224" s="330"/>
      <c r="BB224" s="330"/>
      <c r="BC224" s="330"/>
      <c r="BD224" s="330"/>
      <c r="BE224" s="330"/>
      <c r="BF224" s="330"/>
    </row>
    <row r="225" spans="1:58">
      <c r="A225" s="330"/>
      <c r="B225" s="330"/>
      <c r="C225" s="330"/>
      <c r="D225" s="330"/>
      <c r="E225" s="330"/>
      <c r="F225" s="330"/>
      <c r="G225" s="330"/>
      <c r="H225" s="330"/>
      <c r="I225" s="330"/>
      <c r="J225" s="330"/>
      <c r="K225" s="330"/>
      <c r="L225" s="330"/>
      <c r="M225" s="330"/>
      <c r="N225" s="330"/>
      <c r="O225" s="330"/>
      <c r="P225" s="330"/>
      <c r="Q225" s="330"/>
      <c r="R225" s="330"/>
      <c r="S225" s="330"/>
      <c r="T225" s="330"/>
      <c r="U225" s="330"/>
      <c r="V225" s="330"/>
      <c r="W225" s="330"/>
      <c r="X225" s="330"/>
      <c r="Y225" s="330"/>
      <c r="Z225" s="330"/>
      <c r="AA225" s="330"/>
      <c r="AB225" s="330"/>
      <c r="AC225" s="330"/>
      <c r="AD225" s="330"/>
      <c r="AE225" s="330"/>
      <c r="AF225" s="330"/>
      <c r="AG225" s="330"/>
      <c r="AH225" s="330"/>
      <c r="AI225" s="330"/>
      <c r="AJ225" s="330"/>
      <c r="AK225" s="330"/>
      <c r="AL225" s="330"/>
      <c r="AM225" s="330"/>
      <c r="AN225" s="330"/>
      <c r="AO225" s="330"/>
      <c r="AP225" s="330"/>
      <c r="AQ225" s="330"/>
      <c r="AR225" s="330"/>
      <c r="AS225" s="330"/>
      <c r="AT225" s="330"/>
      <c r="AU225" s="330"/>
      <c r="AV225" s="330"/>
      <c r="AW225" s="330"/>
      <c r="AX225" s="330"/>
      <c r="AY225" s="330"/>
      <c r="AZ225" s="330"/>
      <c r="BA225" s="330"/>
      <c r="BB225" s="330"/>
      <c r="BC225" s="330"/>
      <c r="BD225" s="330"/>
      <c r="BE225" s="330"/>
      <c r="BF225" s="330"/>
    </row>
    <row r="226" spans="1:58">
      <c r="A226" s="330"/>
      <c r="B226" s="330"/>
      <c r="C226" s="330"/>
      <c r="D226" s="330"/>
      <c r="E226" s="330"/>
      <c r="F226" s="330"/>
      <c r="G226" s="330"/>
      <c r="H226" s="330"/>
      <c r="I226" s="330"/>
      <c r="J226" s="330"/>
      <c r="K226" s="330"/>
      <c r="L226" s="330"/>
      <c r="M226" s="330"/>
      <c r="N226" s="330"/>
      <c r="O226" s="330"/>
      <c r="P226" s="330"/>
      <c r="Q226" s="330"/>
      <c r="R226" s="330"/>
      <c r="S226" s="330"/>
      <c r="T226" s="330"/>
      <c r="U226" s="330"/>
      <c r="V226" s="330"/>
      <c r="W226" s="330"/>
      <c r="X226" s="330"/>
      <c r="Y226" s="330"/>
      <c r="Z226" s="330"/>
      <c r="AA226" s="330"/>
      <c r="AB226" s="330"/>
      <c r="AC226" s="330"/>
      <c r="AD226" s="330"/>
      <c r="AE226" s="330"/>
      <c r="AF226" s="330"/>
      <c r="AG226" s="330"/>
      <c r="AH226" s="330"/>
      <c r="AI226" s="330"/>
      <c r="AJ226" s="330"/>
      <c r="AK226" s="330"/>
      <c r="AL226" s="330"/>
      <c r="AM226" s="330"/>
      <c r="AN226" s="330"/>
      <c r="AO226" s="330"/>
      <c r="AP226" s="330"/>
      <c r="AQ226" s="330"/>
      <c r="AR226" s="330"/>
      <c r="AS226" s="330"/>
      <c r="AT226" s="330"/>
      <c r="AU226" s="330"/>
      <c r="AV226" s="330"/>
      <c r="AW226" s="330"/>
      <c r="AX226" s="330"/>
      <c r="AY226" s="330"/>
      <c r="AZ226" s="330"/>
      <c r="BA226" s="330"/>
      <c r="BB226" s="330"/>
      <c r="BC226" s="330"/>
      <c r="BD226" s="330"/>
      <c r="BE226" s="330"/>
      <c r="BF226" s="330"/>
    </row>
    <row r="227" spans="1:58">
      <c r="A227" s="330"/>
      <c r="B227" s="330"/>
      <c r="C227" s="330"/>
      <c r="D227" s="330"/>
      <c r="E227" s="330"/>
      <c r="F227" s="330"/>
      <c r="G227" s="330"/>
      <c r="H227" s="330"/>
      <c r="I227" s="330"/>
      <c r="J227" s="330"/>
      <c r="K227" s="330"/>
      <c r="L227" s="330"/>
      <c r="M227" s="330"/>
      <c r="N227" s="330"/>
      <c r="O227" s="330"/>
      <c r="P227" s="330"/>
      <c r="Q227" s="330"/>
      <c r="R227" s="330"/>
      <c r="S227" s="330"/>
      <c r="T227" s="330"/>
      <c r="U227" s="330"/>
      <c r="V227" s="330"/>
      <c r="W227" s="330"/>
      <c r="X227" s="330"/>
      <c r="Y227" s="330"/>
      <c r="Z227" s="330"/>
      <c r="AA227" s="330"/>
      <c r="AB227" s="330"/>
      <c r="AC227" s="330"/>
      <c r="AD227" s="330"/>
      <c r="AE227" s="330"/>
      <c r="AF227" s="330"/>
      <c r="AG227" s="330"/>
      <c r="AH227" s="330"/>
      <c r="AI227" s="330"/>
      <c r="AJ227" s="330"/>
      <c r="AK227" s="330"/>
      <c r="AL227" s="330"/>
      <c r="AM227" s="330"/>
      <c r="AN227" s="330"/>
      <c r="AO227" s="330"/>
      <c r="AP227" s="330"/>
      <c r="AQ227" s="330"/>
      <c r="AR227" s="330"/>
      <c r="AS227" s="330"/>
      <c r="AT227" s="330"/>
      <c r="AU227" s="330"/>
      <c r="AV227" s="330"/>
      <c r="AW227" s="330"/>
      <c r="AX227" s="330"/>
      <c r="AY227" s="330"/>
      <c r="AZ227" s="330"/>
      <c r="BA227" s="330"/>
      <c r="BB227" s="330"/>
      <c r="BC227" s="330"/>
      <c r="BD227" s="330"/>
      <c r="BE227" s="330"/>
      <c r="BF227" s="330"/>
    </row>
    <row r="228" spans="1:58">
      <c r="A228" s="330"/>
      <c r="B228" s="330"/>
      <c r="C228" s="330"/>
      <c r="D228" s="330"/>
      <c r="E228" s="330"/>
      <c r="F228" s="330"/>
      <c r="G228" s="330"/>
      <c r="H228" s="330"/>
      <c r="I228" s="330"/>
      <c r="J228" s="330"/>
      <c r="K228" s="330"/>
      <c r="L228" s="330"/>
      <c r="M228" s="330"/>
      <c r="N228" s="330"/>
      <c r="O228" s="330"/>
      <c r="P228" s="330"/>
      <c r="Q228" s="330"/>
      <c r="R228" s="330"/>
      <c r="S228" s="330"/>
      <c r="T228" s="330"/>
      <c r="U228" s="330"/>
      <c r="V228" s="330"/>
      <c r="W228" s="330"/>
      <c r="X228" s="330"/>
      <c r="Y228" s="330"/>
      <c r="Z228" s="330"/>
      <c r="AA228" s="330"/>
      <c r="AB228" s="330"/>
      <c r="AC228" s="330"/>
      <c r="AD228" s="330"/>
      <c r="AE228" s="330"/>
      <c r="AF228" s="330"/>
      <c r="AG228" s="330"/>
      <c r="AH228" s="330"/>
      <c r="AI228" s="330"/>
      <c r="AJ228" s="330"/>
      <c r="AK228" s="330"/>
      <c r="AL228" s="330"/>
      <c r="AM228" s="330"/>
      <c r="AN228" s="330"/>
      <c r="AO228" s="330"/>
      <c r="AP228" s="330"/>
      <c r="AQ228" s="330"/>
      <c r="AR228" s="330"/>
      <c r="AS228" s="330"/>
      <c r="AT228" s="330"/>
      <c r="AU228" s="330"/>
      <c r="AV228" s="330"/>
      <c r="AW228" s="330"/>
      <c r="AX228" s="330"/>
      <c r="AY228" s="330"/>
      <c r="AZ228" s="330"/>
      <c r="BA228" s="330"/>
      <c r="BB228" s="330"/>
      <c r="BC228" s="330"/>
      <c r="BD228" s="330"/>
      <c r="BE228" s="330"/>
      <c r="BF228" s="330"/>
    </row>
    <row r="229" spans="1:58">
      <c r="A229" s="330"/>
      <c r="B229" s="330"/>
      <c r="C229" s="330"/>
      <c r="D229" s="330"/>
      <c r="E229" s="330"/>
      <c r="F229" s="330"/>
      <c r="G229" s="330"/>
      <c r="H229" s="330"/>
      <c r="I229" s="330"/>
      <c r="J229" s="330"/>
      <c r="K229" s="330"/>
      <c r="L229" s="330"/>
      <c r="M229" s="330"/>
      <c r="N229" s="330"/>
      <c r="O229" s="330"/>
      <c r="P229" s="330"/>
      <c r="Q229" s="330"/>
      <c r="R229" s="330"/>
      <c r="S229" s="330"/>
      <c r="T229" s="330"/>
      <c r="U229" s="330"/>
      <c r="V229" s="330"/>
      <c r="W229" s="330"/>
      <c r="X229" s="330"/>
      <c r="Y229" s="330"/>
      <c r="Z229" s="330"/>
      <c r="AA229" s="330"/>
      <c r="AB229" s="330"/>
      <c r="AC229" s="330"/>
      <c r="AD229" s="330"/>
      <c r="AE229" s="330"/>
      <c r="AF229" s="330"/>
      <c r="AG229" s="330"/>
      <c r="AH229" s="330"/>
      <c r="AI229" s="330"/>
      <c r="AJ229" s="330"/>
      <c r="AK229" s="330"/>
      <c r="AL229" s="330"/>
      <c r="AM229" s="330"/>
      <c r="AN229" s="330"/>
      <c r="AO229" s="330"/>
      <c r="AP229" s="330"/>
      <c r="AQ229" s="330"/>
      <c r="AR229" s="330"/>
      <c r="AS229" s="330"/>
      <c r="AT229" s="330"/>
      <c r="AU229" s="330"/>
      <c r="AV229" s="330"/>
      <c r="AW229" s="330"/>
      <c r="AX229" s="330"/>
      <c r="AY229" s="330"/>
      <c r="AZ229" s="330"/>
      <c r="BA229" s="330"/>
      <c r="BB229" s="330"/>
      <c r="BC229" s="330"/>
      <c r="BD229" s="330"/>
      <c r="BE229" s="330"/>
      <c r="BF229" s="330"/>
    </row>
    <row r="230" spans="1:58">
      <c r="A230" s="330"/>
      <c r="B230" s="330"/>
      <c r="C230" s="330"/>
      <c r="D230" s="330"/>
      <c r="E230" s="330"/>
      <c r="F230" s="330"/>
      <c r="G230" s="330"/>
      <c r="H230" s="330"/>
      <c r="I230" s="330"/>
      <c r="J230" s="330"/>
      <c r="K230" s="330"/>
      <c r="L230" s="330"/>
      <c r="M230" s="330"/>
      <c r="N230" s="330"/>
      <c r="O230" s="330"/>
      <c r="P230" s="330"/>
      <c r="Q230" s="330"/>
      <c r="R230" s="330"/>
      <c r="S230" s="330"/>
      <c r="T230" s="330"/>
      <c r="U230" s="330"/>
      <c r="V230" s="330"/>
      <c r="W230" s="330"/>
      <c r="X230" s="330"/>
      <c r="Y230" s="330"/>
      <c r="Z230" s="330"/>
      <c r="AA230" s="330"/>
      <c r="AB230" s="330"/>
      <c r="AC230" s="330"/>
      <c r="AD230" s="330"/>
      <c r="AE230" s="330"/>
      <c r="AF230" s="330"/>
      <c r="AG230" s="330"/>
      <c r="AH230" s="330"/>
      <c r="AI230" s="330"/>
      <c r="AJ230" s="330"/>
      <c r="AK230" s="330"/>
      <c r="AL230" s="330"/>
      <c r="AM230" s="330"/>
      <c r="AN230" s="330"/>
      <c r="AO230" s="330"/>
      <c r="AP230" s="330"/>
      <c r="AQ230" s="330"/>
      <c r="AR230" s="330"/>
      <c r="AS230" s="330"/>
      <c r="AT230" s="330"/>
      <c r="AU230" s="330"/>
      <c r="AV230" s="330"/>
      <c r="AW230" s="330"/>
      <c r="AX230" s="330"/>
      <c r="AY230" s="330"/>
      <c r="AZ230" s="330"/>
      <c r="BA230" s="330"/>
      <c r="BB230" s="330"/>
      <c r="BC230" s="330"/>
      <c r="BD230" s="330"/>
      <c r="BE230" s="330"/>
      <c r="BF230" s="330"/>
    </row>
    <row r="231" spans="1:58">
      <c r="A231" s="330"/>
      <c r="B231" s="330"/>
      <c r="C231" s="330"/>
      <c r="D231" s="330"/>
      <c r="E231" s="330"/>
      <c r="F231" s="330"/>
      <c r="G231" s="330"/>
      <c r="H231" s="330"/>
      <c r="I231" s="330"/>
      <c r="J231" s="330"/>
      <c r="K231" s="330"/>
      <c r="L231" s="330"/>
      <c r="M231" s="330"/>
      <c r="N231" s="330"/>
      <c r="O231" s="330"/>
      <c r="P231" s="330"/>
      <c r="Q231" s="330"/>
      <c r="R231" s="330"/>
      <c r="S231" s="330"/>
      <c r="T231" s="330"/>
      <c r="U231" s="330"/>
      <c r="V231" s="330"/>
      <c r="W231" s="330"/>
      <c r="X231" s="330"/>
      <c r="Y231" s="330"/>
      <c r="Z231" s="330"/>
      <c r="AA231" s="330"/>
      <c r="AB231" s="330"/>
      <c r="AC231" s="330"/>
      <c r="AD231" s="330"/>
      <c r="AE231" s="330"/>
      <c r="AF231" s="330"/>
      <c r="AG231" s="330"/>
      <c r="AH231" s="330"/>
      <c r="AI231" s="330"/>
      <c r="AJ231" s="330"/>
      <c r="AK231" s="330"/>
      <c r="AL231" s="330"/>
      <c r="AM231" s="330"/>
      <c r="AN231" s="330"/>
      <c r="AO231" s="330"/>
      <c r="AP231" s="330"/>
      <c r="AQ231" s="330"/>
      <c r="AR231" s="330"/>
      <c r="AS231" s="330"/>
      <c r="AT231" s="330"/>
      <c r="AU231" s="330"/>
      <c r="AV231" s="330"/>
      <c r="AW231" s="330"/>
      <c r="AX231" s="330"/>
      <c r="AY231" s="330"/>
      <c r="AZ231" s="330"/>
      <c r="BA231" s="330"/>
      <c r="BB231" s="330"/>
      <c r="BC231" s="330"/>
      <c r="BD231" s="330"/>
      <c r="BE231" s="330"/>
      <c r="BF231" s="330"/>
    </row>
    <row r="232" spans="1:58">
      <c r="A232" s="330"/>
      <c r="B232" s="330"/>
      <c r="C232" s="330"/>
      <c r="D232" s="330"/>
      <c r="E232" s="330"/>
      <c r="F232" s="330"/>
      <c r="G232" s="330"/>
      <c r="H232" s="330"/>
      <c r="I232" s="330"/>
      <c r="J232" s="330"/>
      <c r="K232" s="330"/>
      <c r="L232" s="330"/>
      <c r="M232" s="330"/>
      <c r="N232" s="330"/>
      <c r="O232" s="330"/>
      <c r="P232" s="330"/>
      <c r="Q232" s="330"/>
      <c r="R232" s="330"/>
      <c r="S232" s="330"/>
      <c r="T232" s="330"/>
      <c r="U232" s="330"/>
      <c r="V232" s="330"/>
      <c r="W232" s="330"/>
      <c r="X232" s="330"/>
      <c r="Y232" s="330"/>
      <c r="Z232" s="330"/>
      <c r="AA232" s="330"/>
      <c r="AB232" s="330"/>
      <c r="AC232" s="330"/>
      <c r="AD232" s="330"/>
      <c r="AE232" s="330"/>
      <c r="AF232" s="330"/>
      <c r="AG232" s="330"/>
      <c r="AH232" s="330"/>
      <c r="AI232" s="330"/>
      <c r="AJ232" s="330"/>
      <c r="AK232" s="330"/>
      <c r="AL232" s="330"/>
      <c r="AM232" s="330"/>
      <c r="AN232" s="330"/>
      <c r="AO232" s="330"/>
      <c r="AP232" s="330"/>
      <c r="AQ232" s="330"/>
      <c r="AR232" s="330"/>
      <c r="AS232" s="330"/>
      <c r="AT232" s="330"/>
      <c r="AU232" s="330"/>
      <c r="AV232" s="330"/>
      <c r="AW232" s="330"/>
      <c r="AX232" s="330"/>
      <c r="AY232" s="330"/>
      <c r="AZ232" s="330"/>
      <c r="BA232" s="330"/>
      <c r="BB232" s="330"/>
      <c r="BC232" s="330"/>
      <c r="BD232" s="330"/>
      <c r="BE232" s="330"/>
      <c r="BF232" s="330"/>
    </row>
    <row r="233" spans="1:58">
      <c r="A233" s="330"/>
      <c r="B233" s="330"/>
      <c r="C233" s="330"/>
      <c r="D233" s="330"/>
      <c r="E233" s="330"/>
      <c r="F233" s="330"/>
      <c r="G233" s="330"/>
      <c r="H233" s="330"/>
      <c r="I233" s="330"/>
      <c r="J233" s="330"/>
      <c r="K233" s="330"/>
      <c r="L233" s="330"/>
      <c r="M233" s="330"/>
      <c r="N233" s="330"/>
      <c r="O233" s="330"/>
      <c r="P233" s="330"/>
      <c r="Q233" s="330"/>
      <c r="R233" s="330"/>
      <c r="S233" s="330"/>
      <c r="T233" s="330"/>
      <c r="U233" s="330"/>
      <c r="V233" s="330"/>
      <c r="W233" s="330"/>
      <c r="X233" s="330"/>
      <c r="Y233" s="330"/>
      <c r="Z233" s="330"/>
      <c r="AA233" s="330"/>
      <c r="AB233" s="330"/>
      <c r="AC233" s="330"/>
      <c r="AD233" s="330"/>
      <c r="AE233" s="330"/>
      <c r="AF233" s="330"/>
      <c r="AG233" s="330"/>
      <c r="AH233" s="330"/>
      <c r="AI233" s="330"/>
      <c r="AJ233" s="330"/>
      <c r="AK233" s="330"/>
      <c r="AL233" s="330"/>
      <c r="AM233" s="330"/>
      <c r="AN233" s="330"/>
      <c r="AO233" s="330"/>
      <c r="AP233" s="330"/>
      <c r="AQ233" s="330"/>
      <c r="AR233" s="330"/>
      <c r="AS233" s="330"/>
      <c r="AT233" s="330"/>
      <c r="AU233" s="330"/>
      <c r="AV233" s="330"/>
      <c r="AW233" s="330"/>
      <c r="AX233" s="330"/>
      <c r="AY233" s="330"/>
      <c r="AZ233" s="330"/>
      <c r="BA233" s="330"/>
      <c r="BB233" s="330"/>
      <c r="BC233" s="330"/>
      <c r="BD233" s="330"/>
      <c r="BE233" s="330"/>
      <c r="BF233" s="330"/>
    </row>
    <row r="234" spans="1:58">
      <c r="A234" s="330"/>
      <c r="B234" s="330"/>
      <c r="C234" s="330"/>
      <c r="D234" s="330"/>
      <c r="E234" s="330"/>
      <c r="F234" s="330"/>
      <c r="G234" s="330"/>
      <c r="H234" s="330"/>
      <c r="I234" s="330"/>
      <c r="J234" s="330"/>
      <c r="K234" s="330"/>
      <c r="L234" s="330"/>
      <c r="M234" s="330"/>
      <c r="N234" s="330"/>
      <c r="O234" s="330"/>
      <c r="P234" s="330"/>
      <c r="Q234" s="330"/>
      <c r="R234" s="330"/>
      <c r="S234" s="330"/>
      <c r="T234" s="330"/>
      <c r="U234" s="330"/>
      <c r="V234" s="330"/>
      <c r="W234" s="330"/>
      <c r="X234" s="330"/>
      <c r="Y234" s="330"/>
      <c r="Z234" s="330"/>
      <c r="AA234" s="330"/>
      <c r="AB234" s="330"/>
      <c r="AC234" s="330"/>
      <c r="AD234" s="330"/>
      <c r="AE234" s="330"/>
      <c r="AF234" s="330"/>
      <c r="AG234" s="330"/>
      <c r="AH234" s="330"/>
      <c r="AI234" s="330"/>
      <c r="AJ234" s="330"/>
      <c r="AK234" s="330"/>
      <c r="AL234" s="330"/>
      <c r="AM234" s="330"/>
      <c r="AN234" s="330"/>
      <c r="AO234" s="330"/>
      <c r="AP234" s="330"/>
      <c r="AQ234" s="330"/>
      <c r="AR234" s="330"/>
      <c r="AS234" s="330"/>
      <c r="AT234" s="330"/>
      <c r="AU234" s="330"/>
      <c r="AV234" s="330"/>
      <c r="AW234" s="330"/>
      <c r="AX234" s="330"/>
      <c r="AY234" s="330"/>
      <c r="AZ234" s="330"/>
      <c r="BA234" s="330"/>
      <c r="BB234" s="330"/>
      <c r="BC234" s="330"/>
      <c r="BD234" s="330"/>
      <c r="BE234" s="330"/>
      <c r="BF234" s="330"/>
    </row>
    <row r="235" spans="1:58">
      <c r="A235" s="330"/>
      <c r="B235" s="330"/>
      <c r="C235" s="330"/>
      <c r="D235" s="330"/>
      <c r="E235" s="330"/>
      <c r="F235" s="330"/>
      <c r="G235" s="330"/>
      <c r="H235" s="330"/>
      <c r="I235" s="330"/>
      <c r="J235" s="330"/>
      <c r="K235" s="330"/>
      <c r="L235" s="330"/>
      <c r="M235" s="330"/>
      <c r="N235" s="330"/>
      <c r="O235" s="330"/>
      <c r="P235" s="330"/>
      <c r="Q235" s="330"/>
      <c r="R235" s="330"/>
      <c r="S235" s="330"/>
      <c r="T235" s="330"/>
      <c r="U235" s="330"/>
      <c r="V235" s="330"/>
      <c r="W235" s="330"/>
      <c r="X235" s="330"/>
      <c r="Y235" s="330"/>
      <c r="Z235" s="330"/>
      <c r="AA235" s="330"/>
      <c r="AB235" s="330"/>
      <c r="AC235" s="330"/>
      <c r="AD235" s="330"/>
      <c r="AE235" s="330"/>
      <c r="AF235" s="330"/>
      <c r="AG235" s="330"/>
      <c r="AH235" s="330"/>
      <c r="AI235" s="330"/>
      <c r="AJ235" s="330"/>
      <c r="AK235" s="330"/>
      <c r="AL235" s="330"/>
      <c r="AM235" s="330"/>
      <c r="AN235" s="330"/>
      <c r="AO235" s="330"/>
      <c r="AP235" s="330"/>
      <c r="AQ235" s="330"/>
      <c r="AR235" s="330"/>
      <c r="AS235" s="330"/>
      <c r="AT235" s="330"/>
      <c r="AU235" s="330"/>
      <c r="AV235" s="330"/>
      <c r="AW235" s="330"/>
      <c r="AX235" s="330"/>
      <c r="AY235" s="330"/>
      <c r="AZ235" s="330"/>
      <c r="BA235" s="330"/>
      <c r="BB235" s="330"/>
      <c r="BC235" s="330"/>
      <c r="BD235" s="330"/>
      <c r="BE235" s="330"/>
      <c r="BF235" s="330"/>
    </row>
    <row r="236" spans="1:58">
      <c r="A236" s="330"/>
      <c r="B236" s="330"/>
      <c r="C236" s="330"/>
      <c r="D236" s="330"/>
      <c r="E236" s="330"/>
      <c r="F236" s="330"/>
      <c r="G236" s="330"/>
      <c r="H236" s="330"/>
      <c r="I236" s="330"/>
      <c r="J236" s="330"/>
      <c r="K236" s="330"/>
      <c r="L236" s="330"/>
      <c r="M236" s="330"/>
      <c r="N236" s="330"/>
      <c r="O236" s="330"/>
      <c r="P236" s="330"/>
      <c r="Q236" s="330"/>
      <c r="R236" s="330"/>
      <c r="S236" s="330"/>
      <c r="T236" s="330"/>
      <c r="U236" s="330"/>
      <c r="V236" s="330"/>
      <c r="W236" s="330"/>
      <c r="X236" s="330"/>
      <c r="Y236" s="330"/>
      <c r="Z236" s="330"/>
      <c r="AA236" s="330"/>
      <c r="AB236" s="330"/>
      <c r="AC236" s="330"/>
      <c r="AD236" s="330"/>
      <c r="AE236" s="330"/>
      <c r="AF236" s="330"/>
      <c r="AG236" s="330"/>
      <c r="AH236" s="330"/>
      <c r="AI236" s="330"/>
      <c r="AJ236" s="330"/>
      <c r="AK236" s="330"/>
      <c r="AL236" s="330"/>
      <c r="AM236" s="330"/>
      <c r="AN236" s="330"/>
      <c r="AO236" s="330"/>
      <c r="AP236" s="330"/>
      <c r="AQ236" s="330"/>
      <c r="AR236" s="330"/>
      <c r="AS236" s="330"/>
      <c r="AT236" s="330"/>
      <c r="AU236" s="330"/>
      <c r="AV236" s="330"/>
      <c r="AW236" s="330"/>
      <c r="AX236" s="330"/>
      <c r="AY236" s="330"/>
      <c r="AZ236" s="330"/>
      <c r="BA236" s="330"/>
      <c r="BB236" s="330"/>
      <c r="BC236" s="330"/>
      <c r="BD236" s="330"/>
      <c r="BE236" s="330"/>
      <c r="BF236" s="330"/>
    </row>
    <row r="237" spans="1:58">
      <c r="A237" s="330"/>
      <c r="B237" s="330"/>
      <c r="C237" s="330"/>
      <c r="D237" s="330"/>
      <c r="E237" s="330"/>
      <c r="F237" s="330"/>
      <c r="G237" s="330"/>
      <c r="H237" s="330"/>
      <c r="I237" s="330"/>
      <c r="J237" s="330"/>
      <c r="K237" s="330"/>
      <c r="L237" s="330"/>
      <c r="M237" s="330"/>
      <c r="N237" s="330"/>
      <c r="O237" s="330"/>
      <c r="P237" s="330"/>
      <c r="Q237" s="330"/>
      <c r="R237" s="330"/>
      <c r="S237" s="330"/>
      <c r="T237" s="330"/>
      <c r="U237" s="330"/>
      <c r="V237" s="330"/>
      <c r="W237" s="330"/>
      <c r="X237" s="330"/>
      <c r="Y237" s="330"/>
      <c r="Z237" s="330"/>
      <c r="AA237" s="330"/>
      <c r="AB237" s="330"/>
      <c r="AC237" s="330"/>
      <c r="AD237" s="330"/>
      <c r="AE237" s="330"/>
      <c r="AF237" s="330"/>
      <c r="AG237" s="330"/>
      <c r="AH237" s="330"/>
      <c r="AI237" s="330"/>
      <c r="AJ237" s="330"/>
      <c r="AK237" s="330"/>
      <c r="AL237" s="330"/>
      <c r="AM237" s="330"/>
      <c r="AN237" s="330"/>
      <c r="AO237" s="330"/>
      <c r="AP237" s="330"/>
      <c r="AQ237" s="330"/>
      <c r="AR237" s="330"/>
      <c r="AS237" s="330"/>
      <c r="AT237" s="330"/>
      <c r="AU237" s="330"/>
      <c r="AV237" s="330"/>
      <c r="AW237" s="330"/>
      <c r="AX237" s="330"/>
      <c r="AY237" s="330"/>
      <c r="AZ237" s="330"/>
      <c r="BA237" s="330"/>
      <c r="BB237" s="330"/>
      <c r="BC237" s="330"/>
      <c r="BD237" s="330"/>
      <c r="BE237" s="330"/>
      <c r="BF237" s="330"/>
    </row>
    <row r="238" spans="1:58">
      <c r="A238" s="330"/>
      <c r="B238" s="330"/>
      <c r="C238" s="330"/>
      <c r="D238" s="330"/>
      <c r="E238" s="330"/>
      <c r="F238" s="330"/>
      <c r="G238" s="330"/>
      <c r="H238" s="330"/>
      <c r="I238" s="330"/>
      <c r="J238" s="330"/>
      <c r="K238" s="330"/>
      <c r="L238" s="330"/>
      <c r="M238" s="330"/>
      <c r="N238" s="330"/>
      <c r="O238" s="330"/>
      <c r="P238" s="330"/>
      <c r="Q238" s="330"/>
      <c r="R238" s="330"/>
      <c r="S238" s="330"/>
      <c r="T238" s="330"/>
      <c r="U238" s="330"/>
      <c r="V238" s="330"/>
      <c r="W238" s="330"/>
      <c r="X238" s="330"/>
      <c r="Y238" s="330"/>
      <c r="Z238" s="330"/>
      <c r="AA238" s="330"/>
      <c r="AB238" s="330"/>
      <c r="AC238" s="330"/>
      <c r="AD238" s="330"/>
      <c r="AE238" s="330"/>
      <c r="AF238" s="330"/>
      <c r="AG238" s="330"/>
      <c r="AH238" s="330"/>
      <c r="AI238" s="330"/>
      <c r="AJ238" s="330"/>
      <c r="AK238" s="330"/>
      <c r="AL238" s="330"/>
      <c r="AM238" s="330"/>
      <c r="AN238" s="330"/>
      <c r="AO238" s="330"/>
      <c r="AP238" s="330"/>
      <c r="AQ238" s="330"/>
      <c r="AR238" s="330"/>
      <c r="AS238" s="330"/>
      <c r="AT238" s="330"/>
      <c r="AU238" s="330"/>
      <c r="AV238" s="330"/>
      <c r="AW238" s="330"/>
      <c r="AX238" s="330"/>
      <c r="AY238" s="330"/>
      <c r="AZ238" s="330"/>
      <c r="BA238" s="330"/>
      <c r="BB238" s="330"/>
      <c r="BC238" s="330"/>
      <c r="BD238" s="330"/>
      <c r="BE238" s="330"/>
      <c r="BF238" s="330"/>
    </row>
    <row r="239" spans="1:58">
      <c r="A239" s="330"/>
      <c r="B239" s="330"/>
      <c r="C239" s="330"/>
      <c r="D239" s="330"/>
      <c r="E239" s="330"/>
      <c r="F239" s="330"/>
      <c r="G239" s="330"/>
      <c r="H239" s="330"/>
      <c r="I239" s="330"/>
      <c r="J239" s="330"/>
      <c r="K239" s="330"/>
      <c r="L239" s="330"/>
      <c r="M239" s="330"/>
      <c r="N239" s="330"/>
      <c r="O239" s="330"/>
      <c r="P239" s="330"/>
      <c r="Q239" s="330"/>
      <c r="R239" s="330"/>
      <c r="S239" s="330"/>
      <c r="T239" s="330"/>
      <c r="U239" s="330"/>
      <c r="V239" s="330"/>
      <c r="W239" s="330"/>
      <c r="X239" s="330"/>
      <c r="Y239" s="330"/>
      <c r="Z239" s="330"/>
      <c r="AA239" s="330"/>
      <c r="AB239" s="330"/>
      <c r="AC239" s="330"/>
      <c r="AD239" s="330"/>
      <c r="AE239" s="330"/>
      <c r="AF239" s="330"/>
      <c r="AG239" s="330"/>
      <c r="AH239" s="330"/>
      <c r="AI239" s="330"/>
      <c r="AJ239" s="330"/>
      <c r="AK239" s="330"/>
      <c r="AL239" s="330"/>
      <c r="AM239" s="330"/>
      <c r="AN239" s="330"/>
      <c r="AO239" s="330"/>
      <c r="AP239" s="330"/>
      <c r="AQ239" s="330"/>
      <c r="AR239" s="330"/>
      <c r="AS239" s="330"/>
      <c r="AT239" s="330"/>
      <c r="AU239" s="330"/>
      <c r="AV239" s="330"/>
      <c r="AW239" s="330"/>
      <c r="AX239" s="330"/>
      <c r="AY239" s="330"/>
      <c r="AZ239" s="330"/>
      <c r="BA239" s="330"/>
      <c r="BB239" s="330"/>
      <c r="BC239" s="330"/>
      <c r="BD239" s="330"/>
      <c r="BE239" s="330"/>
      <c r="BF239" s="330"/>
    </row>
    <row r="240" spans="1:58">
      <c r="A240" s="330"/>
      <c r="B240" s="330"/>
      <c r="C240" s="330"/>
      <c r="D240" s="330"/>
      <c r="E240" s="330"/>
      <c r="F240" s="330"/>
      <c r="G240" s="330"/>
      <c r="H240" s="330"/>
      <c r="I240" s="330"/>
      <c r="J240" s="330"/>
      <c r="K240" s="330"/>
      <c r="L240" s="330"/>
      <c r="M240" s="330"/>
      <c r="N240" s="330"/>
      <c r="O240" s="330"/>
      <c r="P240" s="330"/>
      <c r="Q240" s="330"/>
      <c r="R240" s="330"/>
      <c r="S240" s="330"/>
      <c r="T240" s="330"/>
      <c r="U240" s="330"/>
      <c r="V240" s="330"/>
      <c r="W240" s="330"/>
      <c r="X240" s="330"/>
      <c r="Y240" s="330"/>
      <c r="Z240" s="330"/>
      <c r="AA240" s="330"/>
      <c r="AB240" s="330"/>
      <c r="AC240" s="330"/>
      <c r="AD240" s="330"/>
      <c r="AE240" s="330"/>
      <c r="AF240" s="330"/>
      <c r="AG240" s="330"/>
      <c r="AH240" s="330"/>
      <c r="AI240" s="330"/>
      <c r="AJ240" s="330"/>
      <c r="AK240" s="330"/>
      <c r="AL240" s="330"/>
      <c r="AM240" s="330"/>
      <c r="AN240" s="330"/>
      <c r="AO240" s="330"/>
      <c r="AP240" s="330"/>
      <c r="AQ240" s="330"/>
      <c r="AR240" s="330"/>
      <c r="AS240" s="330"/>
      <c r="AT240" s="330"/>
      <c r="AU240" s="330"/>
      <c r="AV240" s="330"/>
      <c r="AW240" s="330"/>
      <c r="AX240" s="330"/>
      <c r="AY240" s="330"/>
      <c r="AZ240" s="330"/>
      <c r="BA240" s="330"/>
      <c r="BB240" s="330"/>
      <c r="BC240" s="330"/>
      <c r="BD240" s="330"/>
      <c r="BE240" s="330"/>
      <c r="BF240" s="330"/>
    </row>
    <row r="241" spans="1:58">
      <c r="A241" s="330"/>
      <c r="B241" s="330"/>
      <c r="C241" s="330"/>
      <c r="D241" s="330"/>
      <c r="E241" s="330"/>
      <c r="F241" s="330"/>
      <c r="G241" s="330"/>
      <c r="H241" s="330"/>
      <c r="I241" s="330"/>
      <c r="J241" s="330"/>
      <c r="K241" s="330"/>
      <c r="L241" s="330"/>
      <c r="M241" s="330"/>
      <c r="N241" s="330"/>
      <c r="O241" s="330"/>
      <c r="P241" s="330"/>
      <c r="Q241" s="330"/>
      <c r="R241" s="330"/>
      <c r="S241" s="330"/>
      <c r="T241" s="330"/>
      <c r="U241" s="330"/>
      <c r="V241" s="330"/>
      <c r="W241" s="330"/>
      <c r="X241" s="330"/>
      <c r="Y241" s="330"/>
      <c r="Z241" s="330"/>
      <c r="AA241" s="330"/>
      <c r="AB241" s="330"/>
      <c r="AC241" s="330"/>
      <c r="AD241" s="330"/>
      <c r="AE241" s="330"/>
      <c r="AF241" s="330"/>
      <c r="AG241" s="330"/>
      <c r="AH241" s="330"/>
      <c r="AI241" s="330"/>
      <c r="AJ241" s="330"/>
      <c r="AK241" s="330"/>
      <c r="AL241" s="330"/>
      <c r="AM241" s="330"/>
      <c r="AN241" s="330"/>
      <c r="AO241" s="330"/>
      <c r="AP241" s="330"/>
      <c r="AQ241" s="330"/>
      <c r="AR241" s="330"/>
      <c r="AS241" s="330"/>
      <c r="AT241" s="330"/>
      <c r="AU241" s="330"/>
      <c r="AV241" s="330"/>
      <c r="AW241" s="330"/>
      <c r="AX241" s="330"/>
      <c r="AY241" s="330"/>
      <c r="AZ241" s="330"/>
      <c r="BA241" s="330"/>
      <c r="BB241" s="330"/>
      <c r="BC241" s="330"/>
      <c r="BD241" s="330"/>
      <c r="BE241" s="330"/>
      <c r="BF241" s="330"/>
    </row>
    <row r="242" spans="1:58">
      <c r="A242" s="330"/>
      <c r="B242" s="330"/>
      <c r="C242" s="330"/>
      <c r="D242" s="330"/>
      <c r="E242" s="330"/>
      <c r="F242" s="330"/>
      <c r="G242" s="330"/>
      <c r="H242" s="330"/>
      <c r="I242" s="330"/>
      <c r="J242" s="330"/>
      <c r="K242" s="330"/>
      <c r="L242" s="330"/>
      <c r="M242" s="330"/>
      <c r="N242" s="330"/>
      <c r="O242" s="330"/>
      <c r="P242" s="330"/>
      <c r="Q242" s="330"/>
      <c r="R242" s="330"/>
      <c r="S242" s="330"/>
      <c r="T242" s="330"/>
      <c r="U242" s="330"/>
      <c r="V242" s="330"/>
      <c r="W242" s="330"/>
      <c r="X242" s="330"/>
      <c r="Y242" s="330"/>
      <c r="Z242" s="330"/>
      <c r="AA242" s="330"/>
      <c r="AB242" s="330"/>
      <c r="AC242" s="330"/>
      <c r="AD242" s="330"/>
      <c r="AE242" s="330"/>
      <c r="AF242" s="330"/>
      <c r="AG242" s="330"/>
      <c r="AH242" s="330"/>
      <c r="AI242" s="330"/>
      <c r="AJ242" s="330"/>
      <c r="AK242" s="330"/>
      <c r="AL242" s="330"/>
      <c r="AM242" s="330"/>
      <c r="AN242" s="330"/>
      <c r="AO242" s="330"/>
      <c r="AP242" s="330"/>
      <c r="AQ242" s="330"/>
      <c r="AR242" s="330"/>
      <c r="AS242" s="330"/>
      <c r="AT242" s="330"/>
      <c r="AU242" s="330"/>
      <c r="AV242" s="330"/>
      <c r="AW242" s="330"/>
      <c r="AX242" s="330"/>
      <c r="AY242" s="330"/>
      <c r="AZ242" s="330"/>
      <c r="BA242" s="330"/>
      <c r="BB242" s="330"/>
      <c r="BC242" s="330"/>
      <c r="BD242" s="330"/>
      <c r="BE242" s="330"/>
      <c r="BF242" s="330"/>
    </row>
    <row r="243" spans="1:58">
      <c r="A243" s="330"/>
      <c r="B243" s="330"/>
      <c r="C243" s="330"/>
      <c r="D243" s="330"/>
      <c r="E243" s="330"/>
      <c r="F243" s="330"/>
      <c r="G243" s="330"/>
      <c r="H243" s="330"/>
      <c r="I243" s="330"/>
      <c r="J243" s="330"/>
      <c r="K243" s="330"/>
      <c r="L243" s="330"/>
      <c r="M243" s="330"/>
      <c r="N243" s="330"/>
      <c r="O243" s="330"/>
      <c r="P243" s="330"/>
      <c r="Q243" s="330"/>
      <c r="R243" s="330"/>
      <c r="S243" s="330"/>
      <c r="T243" s="330"/>
      <c r="U243" s="330"/>
      <c r="V243" s="330"/>
      <c r="W243" s="330"/>
      <c r="X243" s="330"/>
      <c r="Y243" s="330"/>
      <c r="Z243" s="330"/>
      <c r="AA243" s="330"/>
      <c r="AB243" s="330"/>
      <c r="AC243" s="330"/>
      <c r="AD243" s="330"/>
      <c r="AE243" s="330"/>
      <c r="AF243" s="330"/>
      <c r="AG243" s="330"/>
      <c r="AH243" s="330"/>
      <c r="AI243" s="330"/>
      <c r="AJ243" s="330"/>
      <c r="AK243" s="330"/>
      <c r="AL243" s="330"/>
      <c r="AM243" s="330"/>
      <c r="AN243" s="330"/>
      <c r="AO243" s="330"/>
      <c r="AP243" s="330"/>
      <c r="AQ243" s="330"/>
      <c r="AR243" s="330"/>
      <c r="AS243" s="330"/>
      <c r="AT243" s="330"/>
      <c r="AU243" s="330"/>
      <c r="AV243" s="330"/>
      <c r="AW243" s="330"/>
      <c r="AX243" s="330"/>
      <c r="AY243" s="330"/>
      <c r="AZ243" s="330"/>
      <c r="BA243" s="330"/>
      <c r="BB243" s="330"/>
      <c r="BC243" s="330"/>
      <c r="BD243" s="330"/>
      <c r="BE243" s="330"/>
      <c r="BF243" s="330"/>
    </row>
    <row r="244" spans="1:58">
      <c r="A244" s="330"/>
      <c r="B244" s="330"/>
      <c r="C244" s="330"/>
      <c r="D244" s="330"/>
      <c r="E244" s="330"/>
      <c r="F244" s="330"/>
      <c r="G244" s="330"/>
      <c r="H244" s="330"/>
      <c r="I244" s="330"/>
      <c r="J244" s="330"/>
      <c r="K244" s="330"/>
      <c r="L244" s="330"/>
      <c r="M244" s="330"/>
      <c r="N244" s="330"/>
      <c r="O244" s="330"/>
      <c r="P244" s="330"/>
      <c r="Q244" s="330"/>
      <c r="R244" s="330"/>
      <c r="S244" s="330"/>
      <c r="T244" s="330"/>
      <c r="U244" s="330"/>
      <c r="V244" s="330"/>
      <c r="W244" s="330"/>
      <c r="X244" s="330"/>
      <c r="Y244" s="330"/>
      <c r="Z244" s="330"/>
      <c r="AA244" s="330"/>
      <c r="AB244" s="330"/>
      <c r="AC244" s="330"/>
      <c r="AD244" s="330"/>
      <c r="AE244" s="330"/>
      <c r="AF244" s="330"/>
      <c r="AG244" s="330"/>
      <c r="AH244" s="330"/>
      <c r="AI244" s="330"/>
      <c r="AJ244" s="330"/>
      <c r="AK244" s="330"/>
      <c r="AL244" s="330"/>
      <c r="AM244" s="330"/>
      <c r="AN244" s="330"/>
      <c r="AO244" s="330"/>
      <c r="AP244" s="330"/>
      <c r="AQ244" s="330"/>
      <c r="AR244" s="330"/>
      <c r="AS244" s="330"/>
      <c r="AT244" s="330"/>
      <c r="AU244" s="330"/>
      <c r="AV244" s="330"/>
      <c r="AW244" s="330"/>
      <c r="AX244" s="330"/>
      <c r="AY244" s="330"/>
      <c r="AZ244" s="330"/>
      <c r="BA244" s="330"/>
      <c r="BB244" s="330"/>
      <c r="BC244" s="330"/>
      <c r="BD244" s="330"/>
      <c r="BE244" s="330"/>
      <c r="BF244" s="330"/>
    </row>
    <row r="245" spans="1:58">
      <c r="A245" s="330"/>
      <c r="B245" s="330"/>
      <c r="C245" s="330"/>
      <c r="D245" s="330"/>
      <c r="E245" s="330"/>
      <c r="F245" s="330"/>
      <c r="G245" s="330"/>
      <c r="H245" s="330"/>
      <c r="I245" s="330"/>
      <c r="J245" s="330"/>
      <c r="K245" s="330"/>
      <c r="L245" s="330"/>
      <c r="M245" s="330"/>
      <c r="N245" s="330"/>
      <c r="O245" s="330"/>
      <c r="P245" s="330"/>
      <c r="Q245" s="330"/>
      <c r="R245" s="330"/>
      <c r="S245" s="330"/>
      <c r="T245" s="330"/>
      <c r="U245" s="330"/>
      <c r="V245" s="330"/>
      <c r="W245" s="330"/>
      <c r="X245" s="330"/>
      <c r="Y245" s="330"/>
      <c r="Z245" s="330"/>
      <c r="AA245" s="330"/>
      <c r="AB245" s="330"/>
      <c r="AC245" s="330"/>
      <c r="AD245" s="330"/>
      <c r="AE245" s="330"/>
      <c r="AF245" s="330"/>
      <c r="AG245" s="330"/>
      <c r="AH245" s="330"/>
      <c r="AI245" s="330"/>
      <c r="AJ245" s="330"/>
      <c r="AK245" s="330"/>
      <c r="AL245" s="330"/>
      <c r="AM245" s="330"/>
      <c r="AN245" s="330"/>
      <c r="AO245" s="330"/>
      <c r="AP245" s="330"/>
      <c r="AQ245" s="330"/>
      <c r="AR245" s="330"/>
      <c r="AS245" s="330"/>
      <c r="AT245" s="330"/>
      <c r="AU245" s="330"/>
      <c r="AV245" s="330"/>
      <c r="AW245" s="330"/>
      <c r="AX245" s="330"/>
      <c r="AY245" s="330"/>
      <c r="AZ245" s="330"/>
      <c r="BA245" s="330"/>
      <c r="BB245" s="330"/>
      <c r="BC245" s="330"/>
      <c r="BD245" s="330"/>
      <c r="BE245" s="330"/>
      <c r="BF245" s="330"/>
    </row>
    <row r="246" spans="1:58">
      <c r="A246" s="330"/>
      <c r="B246" s="330"/>
      <c r="C246" s="330"/>
      <c r="D246" s="330"/>
      <c r="E246" s="330"/>
      <c r="F246" s="330"/>
      <c r="G246" s="330"/>
      <c r="H246" s="330"/>
      <c r="I246" s="330"/>
      <c r="J246" s="330"/>
      <c r="K246" s="330"/>
      <c r="L246" s="330"/>
      <c r="M246" s="330"/>
      <c r="N246" s="330"/>
      <c r="O246" s="330"/>
      <c r="P246" s="330"/>
      <c r="Q246" s="330"/>
      <c r="R246" s="330"/>
      <c r="S246" s="330"/>
      <c r="T246" s="330"/>
      <c r="U246" s="330"/>
      <c r="V246" s="330"/>
      <c r="W246" s="330"/>
      <c r="X246" s="330"/>
      <c r="Y246" s="330"/>
      <c r="Z246" s="330"/>
      <c r="AA246" s="330"/>
      <c r="AB246" s="330"/>
      <c r="AC246" s="330"/>
      <c r="AD246" s="330"/>
      <c r="AE246" s="330"/>
      <c r="AF246" s="330"/>
      <c r="AG246" s="330"/>
      <c r="AH246" s="330"/>
      <c r="AI246" s="330"/>
      <c r="AJ246" s="330"/>
      <c r="AK246" s="330"/>
      <c r="AL246" s="330"/>
      <c r="AM246" s="330"/>
      <c r="AN246" s="330"/>
      <c r="AO246" s="330"/>
      <c r="AP246" s="330"/>
      <c r="AQ246" s="330"/>
      <c r="AR246" s="330"/>
      <c r="AS246" s="330"/>
      <c r="AT246" s="330"/>
      <c r="AU246" s="330"/>
      <c r="AV246" s="330"/>
      <c r="AW246" s="330"/>
      <c r="AX246" s="330"/>
      <c r="AY246" s="330"/>
      <c r="AZ246" s="330"/>
      <c r="BA246" s="330"/>
      <c r="BB246" s="330"/>
      <c r="BC246" s="330"/>
      <c r="BD246" s="330"/>
      <c r="BE246" s="330"/>
      <c r="BF246" s="330"/>
    </row>
    <row r="247" spans="1:58">
      <c r="A247" s="330"/>
      <c r="B247" s="330"/>
      <c r="C247" s="330"/>
      <c r="D247" s="330"/>
      <c r="E247" s="330"/>
      <c r="F247" s="330"/>
      <c r="G247" s="330"/>
      <c r="H247" s="330"/>
      <c r="I247" s="330"/>
      <c r="J247" s="330"/>
      <c r="K247" s="330"/>
      <c r="L247" s="330"/>
      <c r="M247" s="330"/>
      <c r="N247" s="330"/>
      <c r="O247" s="330"/>
      <c r="P247" s="330"/>
      <c r="Q247" s="330"/>
      <c r="R247" s="330"/>
      <c r="S247" s="330"/>
      <c r="T247" s="330"/>
      <c r="U247" s="330"/>
      <c r="V247" s="330"/>
      <c r="W247" s="330"/>
      <c r="X247" s="330"/>
      <c r="Y247" s="330"/>
      <c r="Z247" s="330"/>
      <c r="AA247" s="330"/>
      <c r="AB247" s="330"/>
      <c r="AC247" s="330"/>
      <c r="AD247" s="330"/>
      <c r="AE247" s="330"/>
      <c r="AF247" s="330"/>
      <c r="AG247" s="330"/>
      <c r="AH247" s="330"/>
      <c r="AI247" s="330"/>
      <c r="AJ247" s="330"/>
      <c r="AK247" s="330"/>
      <c r="AL247" s="330"/>
      <c r="AM247" s="330"/>
      <c r="AN247" s="330"/>
      <c r="AO247" s="330"/>
      <c r="AP247" s="330"/>
      <c r="AQ247" s="330"/>
      <c r="AR247" s="330"/>
      <c r="AS247" s="330"/>
      <c r="AT247" s="330"/>
      <c r="AU247" s="330"/>
      <c r="AV247" s="330"/>
      <c r="AW247" s="330"/>
      <c r="AX247" s="330"/>
      <c r="AY247" s="330"/>
      <c r="AZ247" s="330"/>
      <c r="BA247" s="330"/>
      <c r="BB247" s="330"/>
      <c r="BC247" s="330"/>
      <c r="BD247" s="330"/>
      <c r="BE247" s="330"/>
      <c r="BF247" s="330"/>
    </row>
    <row r="248" spans="1:58">
      <c r="A248" s="330"/>
      <c r="B248" s="330"/>
      <c r="C248" s="330"/>
      <c r="D248" s="330"/>
      <c r="E248" s="330"/>
      <c r="F248" s="330"/>
      <c r="G248" s="330"/>
      <c r="H248" s="330"/>
      <c r="I248" s="330"/>
      <c r="J248" s="330"/>
      <c r="K248" s="330"/>
      <c r="L248" s="330"/>
      <c r="M248" s="330"/>
      <c r="N248" s="330"/>
      <c r="O248" s="330"/>
      <c r="P248" s="330"/>
      <c r="Q248" s="330"/>
      <c r="R248" s="330"/>
      <c r="S248" s="330"/>
      <c r="T248" s="330"/>
      <c r="U248" s="330"/>
      <c r="V248" s="330"/>
      <c r="W248" s="330"/>
      <c r="X248" s="330"/>
      <c r="Y248" s="330"/>
      <c r="Z248" s="330"/>
      <c r="AA248" s="330"/>
      <c r="AB248" s="330"/>
      <c r="AC248" s="330"/>
      <c r="AD248" s="330"/>
      <c r="AE248" s="330"/>
      <c r="AF248" s="330"/>
      <c r="AG248" s="330"/>
      <c r="AH248" s="330"/>
      <c r="AI248" s="330"/>
      <c r="AJ248" s="330"/>
      <c r="AK248" s="330"/>
      <c r="AL248" s="330"/>
      <c r="AM248" s="330"/>
      <c r="AN248" s="330"/>
      <c r="AO248" s="330"/>
      <c r="AP248" s="330"/>
      <c r="AQ248" s="330"/>
      <c r="AR248" s="330"/>
      <c r="AS248" s="330"/>
      <c r="AT248" s="330"/>
      <c r="AU248" s="330"/>
      <c r="AV248" s="330"/>
      <c r="AW248" s="330"/>
      <c r="AX248" s="330"/>
      <c r="AY248" s="330"/>
      <c r="AZ248" s="330"/>
      <c r="BA248" s="330"/>
      <c r="BB248" s="330"/>
      <c r="BC248" s="330"/>
      <c r="BD248" s="330"/>
      <c r="BE248" s="330"/>
      <c r="BF248" s="330"/>
    </row>
    <row r="249" spans="1:58">
      <c r="A249" s="330"/>
      <c r="B249" s="330"/>
      <c r="C249" s="330"/>
      <c r="D249" s="330"/>
      <c r="E249" s="330"/>
      <c r="F249" s="330"/>
      <c r="G249" s="330"/>
      <c r="H249" s="330"/>
      <c r="I249" s="330"/>
      <c r="J249" s="330"/>
      <c r="K249" s="330"/>
      <c r="L249" s="330"/>
      <c r="M249" s="330"/>
      <c r="N249" s="330"/>
      <c r="O249" s="330"/>
      <c r="P249" s="330"/>
      <c r="Q249" s="330"/>
      <c r="R249" s="330"/>
      <c r="S249" s="330"/>
      <c r="T249" s="330"/>
      <c r="U249" s="330"/>
      <c r="V249" s="330"/>
      <c r="W249" s="330"/>
      <c r="X249" s="330"/>
      <c r="Y249" s="330"/>
      <c r="Z249" s="330"/>
      <c r="AA249" s="330"/>
      <c r="AB249" s="330"/>
      <c r="AC249" s="330"/>
      <c r="AD249" s="330"/>
      <c r="AE249" s="330"/>
      <c r="AF249" s="330"/>
      <c r="AG249" s="330"/>
      <c r="AH249" s="330"/>
      <c r="AI249" s="330"/>
      <c r="AJ249" s="330"/>
      <c r="AK249" s="330"/>
      <c r="AL249" s="330"/>
      <c r="AM249" s="330"/>
      <c r="AN249" s="330"/>
      <c r="AO249" s="330"/>
      <c r="AP249" s="330"/>
      <c r="AQ249" s="330"/>
      <c r="AR249" s="330"/>
      <c r="AS249" s="330"/>
      <c r="AT249" s="330"/>
      <c r="AU249" s="330"/>
      <c r="AV249" s="330"/>
      <c r="AW249" s="330"/>
      <c r="AX249" s="330"/>
      <c r="AY249" s="330"/>
      <c r="AZ249" s="330"/>
      <c r="BA249" s="330"/>
      <c r="BB249" s="330"/>
      <c r="BC249" s="330"/>
      <c r="BD249" s="330"/>
      <c r="BE249" s="330"/>
      <c r="BF249" s="330"/>
    </row>
    <row r="250" spans="1:58">
      <c r="A250" s="330"/>
      <c r="B250" s="330"/>
      <c r="C250" s="330"/>
      <c r="D250" s="330"/>
      <c r="E250" s="330"/>
      <c r="F250" s="330"/>
      <c r="G250" s="330"/>
      <c r="H250" s="330"/>
      <c r="I250" s="330"/>
      <c r="J250" s="330"/>
      <c r="K250" s="330"/>
      <c r="L250" s="330"/>
      <c r="M250" s="330"/>
      <c r="N250" s="330"/>
      <c r="O250" s="330"/>
      <c r="P250" s="330"/>
      <c r="Q250" s="330"/>
      <c r="R250" s="330"/>
      <c r="S250" s="330"/>
      <c r="T250" s="330"/>
      <c r="U250" s="330"/>
      <c r="V250" s="330"/>
      <c r="W250" s="330"/>
      <c r="X250" s="330"/>
      <c r="Y250" s="330"/>
      <c r="Z250" s="330"/>
      <c r="AA250" s="330"/>
      <c r="AB250" s="330"/>
      <c r="AC250" s="330"/>
      <c r="AD250" s="330"/>
      <c r="AE250" s="330"/>
      <c r="AF250" s="330"/>
      <c r="AG250" s="330"/>
      <c r="AH250" s="330"/>
      <c r="AI250" s="330"/>
      <c r="AJ250" s="330"/>
      <c r="AK250" s="330"/>
      <c r="AL250" s="330"/>
      <c r="AM250" s="330"/>
      <c r="AN250" s="330"/>
      <c r="AO250" s="330"/>
      <c r="AP250" s="330"/>
      <c r="AQ250" s="330"/>
      <c r="AR250" s="330"/>
      <c r="AS250" s="330"/>
      <c r="AT250" s="330"/>
      <c r="AU250" s="330"/>
      <c r="AV250" s="330"/>
      <c r="AW250" s="330"/>
      <c r="AX250" s="330"/>
      <c r="AY250" s="330"/>
      <c r="AZ250" s="330"/>
      <c r="BA250" s="330"/>
      <c r="BB250" s="330"/>
      <c r="BC250" s="330"/>
      <c r="BD250" s="330"/>
      <c r="BE250" s="330"/>
      <c r="BF250" s="330"/>
    </row>
    <row r="251" spans="1:58">
      <c r="A251" s="330"/>
      <c r="B251" s="330"/>
      <c r="C251" s="330"/>
      <c r="D251" s="330"/>
      <c r="E251" s="330"/>
      <c r="F251" s="330"/>
      <c r="G251" s="330"/>
      <c r="H251" s="330"/>
      <c r="I251" s="330"/>
      <c r="J251" s="330"/>
      <c r="K251" s="330"/>
      <c r="L251" s="330"/>
      <c r="M251" s="330"/>
      <c r="N251" s="330"/>
      <c r="O251" s="330"/>
      <c r="P251" s="330"/>
      <c r="Q251" s="330"/>
      <c r="R251" s="330"/>
      <c r="S251" s="330"/>
      <c r="T251" s="330"/>
      <c r="U251" s="330"/>
      <c r="V251" s="330"/>
      <c r="W251" s="330"/>
      <c r="X251" s="330"/>
      <c r="Y251" s="330"/>
      <c r="Z251" s="330"/>
      <c r="AA251" s="330"/>
      <c r="AB251" s="330"/>
      <c r="AC251" s="330"/>
      <c r="AD251" s="330"/>
      <c r="AE251" s="330"/>
      <c r="AF251" s="330"/>
      <c r="AG251" s="330"/>
      <c r="AH251" s="330"/>
      <c r="AI251" s="330"/>
      <c r="AJ251" s="330"/>
      <c r="AK251" s="330"/>
      <c r="AL251" s="330"/>
      <c r="AM251" s="330"/>
      <c r="AN251" s="330"/>
      <c r="AO251" s="330"/>
      <c r="AP251" s="330"/>
      <c r="AQ251" s="330"/>
      <c r="AR251" s="330"/>
      <c r="AS251" s="330"/>
      <c r="AT251" s="330"/>
      <c r="AU251" s="330"/>
      <c r="AV251" s="330"/>
      <c r="AW251" s="330"/>
      <c r="AX251" s="330"/>
      <c r="AY251" s="330"/>
      <c r="AZ251" s="330"/>
      <c r="BA251" s="330"/>
      <c r="BB251" s="330"/>
      <c r="BC251" s="330"/>
      <c r="BD251" s="330"/>
      <c r="BE251" s="330"/>
      <c r="BF251" s="330"/>
    </row>
    <row r="252" spans="1:58">
      <c r="A252" s="330"/>
      <c r="B252" s="330"/>
      <c r="C252" s="330"/>
      <c r="D252" s="330"/>
      <c r="E252" s="330"/>
      <c r="F252" s="330"/>
      <c r="G252" s="330"/>
      <c r="H252" s="330"/>
      <c r="I252" s="330"/>
      <c r="J252" s="330"/>
      <c r="K252" s="330"/>
      <c r="L252" s="330"/>
      <c r="M252" s="330"/>
      <c r="N252" s="330"/>
      <c r="O252" s="330"/>
      <c r="P252" s="330"/>
      <c r="Q252" s="330"/>
      <c r="R252" s="330"/>
      <c r="S252" s="330"/>
      <c r="T252" s="330"/>
      <c r="U252" s="330"/>
      <c r="V252" s="330"/>
      <c r="W252" s="330"/>
      <c r="X252" s="330"/>
      <c r="Y252" s="330"/>
      <c r="Z252" s="330"/>
      <c r="AA252" s="330"/>
      <c r="AB252" s="330"/>
      <c r="AC252" s="330"/>
      <c r="AD252" s="330"/>
      <c r="AE252" s="330"/>
      <c r="AF252" s="330"/>
      <c r="AG252" s="330"/>
      <c r="AH252" s="330"/>
      <c r="AI252" s="330"/>
      <c r="AJ252" s="330"/>
      <c r="AK252" s="330"/>
      <c r="AL252" s="330"/>
      <c r="AM252" s="330"/>
      <c r="AN252" s="330"/>
      <c r="AO252" s="330"/>
      <c r="AP252" s="330"/>
      <c r="AQ252" s="330"/>
      <c r="AR252" s="330"/>
      <c r="AS252" s="330"/>
      <c r="AT252" s="330"/>
      <c r="AU252" s="330"/>
      <c r="AV252" s="330"/>
      <c r="AW252" s="330"/>
      <c r="AX252" s="330"/>
      <c r="AY252" s="330"/>
      <c r="AZ252" s="330"/>
      <c r="BA252" s="330"/>
      <c r="BB252" s="330"/>
      <c r="BC252" s="330"/>
      <c r="BD252" s="330"/>
      <c r="BE252" s="330"/>
      <c r="BF252" s="330"/>
    </row>
    <row r="253" spans="1:58">
      <c r="A253" s="330"/>
      <c r="B253" s="330"/>
      <c r="C253" s="330"/>
      <c r="D253" s="330"/>
      <c r="E253" s="330"/>
      <c r="F253" s="330"/>
      <c r="G253" s="330"/>
      <c r="H253" s="330"/>
      <c r="I253" s="330"/>
      <c r="J253" s="330"/>
      <c r="K253" s="330"/>
      <c r="L253" s="330"/>
      <c r="M253" s="330"/>
      <c r="N253" s="330"/>
      <c r="O253" s="330"/>
      <c r="P253" s="330"/>
      <c r="Q253" s="330"/>
      <c r="R253" s="330"/>
      <c r="S253" s="330"/>
      <c r="T253" s="330"/>
      <c r="U253" s="330"/>
      <c r="V253" s="330"/>
      <c r="W253" s="330"/>
      <c r="X253" s="330"/>
      <c r="Y253" s="330"/>
      <c r="Z253" s="330"/>
      <c r="AA253" s="330"/>
      <c r="AB253" s="330"/>
      <c r="AC253" s="330"/>
      <c r="AD253" s="330"/>
      <c r="AE253" s="330"/>
      <c r="AF253" s="330"/>
      <c r="AG253" s="330"/>
      <c r="AH253" s="330"/>
      <c r="AI253" s="330"/>
      <c r="AJ253" s="330"/>
      <c r="AK253" s="330"/>
      <c r="AL253" s="330"/>
      <c r="AM253" s="330"/>
      <c r="AN253" s="330"/>
      <c r="AO253" s="330"/>
      <c r="AP253" s="330"/>
      <c r="AQ253" s="330"/>
      <c r="AR253" s="330"/>
      <c r="AS253" s="330"/>
      <c r="AT253" s="330"/>
      <c r="AU253" s="330"/>
      <c r="AV253" s="330"/>
      <c r="AW253" s="330"/>
      <c r="AX253" s="330"/>
      <c r="AY253" s="330"/>
      <c r="AZ253" s="330"/>
      <c r="BA253" s="330"/>
      <c r="BB253" s="330"/>
      <c r="BC253" s="330"/>
      <c r="BD253" s="330"/>
      <c r="BE253" s="330"/>
      <c r="BF253" s="330"/>
    </row>
    <row r="254" spans="1:58">
      <c r="A254" s="330"/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330"/>
      <c r="P254" s="330"/>
      <c r="Q254" s="330"/>
      <c r="R254" s="330"/>
      <c r="S254" s="330"/>
      <c r="T254" s="330"/>
      <c r="U254" s="330"/>
      <c r="V254" s="330"/>
      <c r="W254" s="330"/>
      <c r="X254" s="330"/>
      <c r="Y254" s="330"/>
      <c r="Z254" s="330"/>
      <c r="AA254" s="330"/>
      <c r="AB254" s="330"/>
      <c r="AC254" s="330"/>
      <c r="AD254" s="330"/>
      <c r="AE254" s="330"/>
      <c r="AF254" s="330"/>
      <c r="AG254" s="330"/>
      <c r="AH254" s="330"/>
      <c r="AI254" s="330"/>
      <c r="AJ254" s="330"/>
      <c r="AK254" s="330"/>
      <c r="AL254" s="330"/>
      <c r="AM254" s="330"/>
      <c r="AN254" s="330"/>
      <c r="AO254" s="330"/>
      <c r="AP254" s="330"/>
      <c r="AQ254" s="330"/>
      <c r="AR254" s="330"/>
      <c r="AS254" s="330"/>
      <c r="AT254" s="330"/>
      <c r="AU254" s="330"/>
      <c r="AV254" s="330"/>
      <c r="AW254" s="330"/>
      <c r="AX254" s="330"/>
      <c r="AY254" s="330"/>
      <c r="AZ254" s="330"/>
      <c r="BA254" s="330"/>
      <c r="BB254" s="330"/>
      <c r="BC254" s="330"/>
      <c r="BD254" s="330"/>
      <c r="BE254" s="330"/>
      <c r="BF254" s="330"/>
    </row>
    <row r="255" spans="1:58">
      <c r="A255" s="330"/>
      <c r="B255" s="330"/>
      <c r="C255" s="330"/>
      <c r="D255" s="330"/>
      <c r="E255" s="330"/>
      <c r="F255" s="330"/>
      <c r="G255" s="330"/>
      <c r="H255" s="330"/>
      <c r="I255" s="330"/>
      <c r="J255" s="330"/>
      <c r="K255" s="330"/>
      <c r="L255" s="330"/>
      <c r="M255" s="330"/>
      <c r="N255" s="330"/>
      <c r="O255" s="330"/>
      <c r="P255" s="330"/>
      <c r="Q255" s="330"/>
      <c r="R255" s="330"/>
      <c r="S255" s="330"/>
      <c r="T255" s="330"/>
      <c r="U255" s="330"/>
      <c r="V255" s="330"/>
      <c r="W255" s="330"/>
      <c r="X255" s="330"/>
      <c r="Y255" s="330"/>
      <c r="Z255" s="330"/>
      <c r="AA255" s="330"/>
      <c r="AB255" s="330"/>
      <c r="AC255" s="330"/>
      <c r="AD255" s="330"/>
      <c r="AE255" s="330"/>
      <c r="AF255" s="330"/>
      <c r="AG255" s="330"/>
      <c r="AH255" s="330"/>
      <c r="AI255" s="330"/>
      <c r="AJ255" s="330"/>
      <c r="AK255" s="330"/>
      <c r="AL255" s="330"/>
      <c r="AM255" s="330"/>
      <c r="AN255" s="330"/>
      <c r="AO255" s="330"/>
      <c r="AP255" s="330"/>
      <c r="AQ255" s="330"/>
      <c r="AR255" s="330"/>
      <c r="AS255" s="330"/>
      <c r="AT255" s="330"/>
      <c r="AU255" s="330"/>
      <c r="AV255" s="330"/>
      <c r="AW255" s="330"/>
      <c r="AX255" s="330"/>
      <c r="AY255" s="330"/>
      <c r="AZ255" s="330"/>
      <c r="BA255" s="330"/>
      <c r="BB255" s="330"/>
      <c r="BC255" s="330"/>
      <c r="BD255" s="330"/>
      <c r="BE255" s="330"/>
      <c r="BF255" s="330"/>
    </row>
    <row r="256" spans="1:58">
      <c r="A256" s="330"/>
      <c r="B256" s="330"/>
      <c r="C256" s="330"/>
      <c r="D256" s="330"/>
      <c r="E256" s="330"/>
      <c r="F256" s="330"/>
      <c r="G256" s="330"/>
      <c r="H256" s="330"/>
      <c r="I256" s="330"/>
      <c r="J256" s="330"/>
      <c r="K256" s="330"/>
      <c r="L256" s="330"/>
      <c r="M256" s="330"/>
      <c r="N256" s="330"/>
      <c r="O256" s="330"/>
      <c r="P256" s="330"/>
      <c r="Q256" s="330"/>
      <c r="R256" s="330"/>
      <c r="S256" s="330"/>
      <c r="T256" s="330"/>
      <c r="U256" s="330"/>
      <c r="V256" s="330"/>
      <c r="W256" s="330"/>
      <c r="X256" s="330"/>
      <c r="Y256" s="330"/>
      <c r="Z256" s="330"/>
      <c r="AA256" s="330"/>
      <c r="AB256" s="330"/>
      <c r="AC256" s="330"/>
      <c r="AD256" s="330"/>
      <c r="AE256" s="330"/>
      <c r="AF256" s="330"/>
      <c r="AG256" s="330"/>
      <c r="AH256" s="330"/>
      <c r="AI256" s="330"/>
      <c r="AJ256" s="330"/>
      <c r="AK256" s="330"/>
      <c r="AL256" s="330"/>
      <c r="AM256" s="330"/>
      <c r="AN256" s="330"/>
      <c r="AO256" s="330"/>
      <c r="AP256" s="330"/>
      <c r="AQ256" s="330"/>
      <c r="AR256" s="330"/>
      <c r="AS256" s="330"/>
      <c r="AT256" s="330"/>
      <c r="AU256" s="330"/>
      <c r="AV256" s="330"/>
      <c r="AW256" s="330"/>
      <c r="AX256" s="330"/>
      <c r="AY256" s="330"/>
      <c r="AZ256" s="330"/>
      <c r="BA256" s="330"/>
      <c r="BB256" s="330"/>
      <c r="BC256" s="330"/>
      <c r="BD256" s="330"/>
      <c r="BE256" s="330"/>
      <c r="BF256" s="330"/>
    </row>
    <row r="257" spans="1:58">
      <c r="A257" s="330"/>
      <c r="B257" s="330"/>
      <c r="C257" s="330"/>
      <c r="D257" s="330"/>
      <c r="E257" s="330"/>
      <c r="F257" s="330"/>
      <c r="G257" s="330"/>
      <c r="H257" s="330"/>
      <c r="I257" s="330"/>
      <c r="J257" s="330"/>
      <c r="K257" s="330"/>
      <c r="L257" s="330"/>
      <c r="M257" s="330"/>
      <c r="N257" s="330"/>
      <c r="O257" s="330"/>
      <c r="P257" s="330"/>
      <c r="Q257" s="330"/>
      <c r="R257" s="330"/>
      <c r="S257" s="330"/>
      <c r="T257" s="330"/>
      <c r="U257" s="330"/>
      <c r="V257" s="330"/>
      <c r="W257" s="330"/>
      <c r="X257" s="330"/>
      <c r="Y257" s="330"/>
      <c r="Z257" s="330"/>
      <c r="AA257" s="330"/>
      <c r="AB257" s="330"/>
      <c r="AC257" s="330"/>
      <c r="AD257" s="330"/>
      <c r="AE257" s="330"/>
      <c r="AF257" s="330"/>
      <c r="AG257" s="330"/>
      <c r="AH257" s="330"/>
      <c r="AI257" s="330"/>
      <c r="AJ257" s="330"/>
      <c r="AK257" s="330"/>
      <c r="AL257" s="330"/>
      <c r="AM257" s="330"/>
      <c r="AN257" s="330"/>
      <c r="AO257" s="330"/>
      <c r="AP257" s="330"/>
      <c r="AQ257" s="330"/>
      <c r="AR257" s="330"/>
      <c r="AS257" s="330"/>
      <c r="AT257" s="330"/>
      <c r="AU257" s="330"/>
      <c r="AV257" s="330"/>
      <c r="AW257" s="330"/>
      <c r="AX257" s="330"/>
      <c r="AY257" s="330"/>
      <c r="AZ257" s="330"/>
      <c r="BA257" s="330"/>
      <c r="BB257" s="330"/>
      <c r="BC257" s="330"/>
      <c r="BD257" s="330"/>
      <c r="BE257" s="330"/>
      <c r="BF257" s="330"/>
    </row>
    <row r="258" spans="1:58">
      <c r="A258" s="330"/>
      <c r="B258" s="330"/>
      <c r="C258" s="330"/>
      <c r="D258" s="330"/>
      <c r="E258" s="330"/>
      <c r="F258" s="330"/>
      <c r="G258" s="330"/>
      <c r="H258" s="330"/>
      <c r="I258" s="330"/>
      <c r="J258" s="330"/>
      <c r="K258" s="330"/>
      <c r="L258" s="330"/>
      <c r="M258" s="330"/>
      <c r="N258" s="330"/>
      <c r="O258" s="330"/>
      <c r="P258" s="330"/>
      <c r="Q258" s="330"/>
      <c r="R258" s="330"/>
      <c r="S258" s="330"/>
      <c r="T258" s="330"/>
      <c r="U258" s="330"/>
      <c r="V258" s="330"/>
      <c r="W258" s="330"/>
      <c r="X258" s="330"/>
      <c r="Y258" s="330"/>
      <c r="Z258" s="330"/>
      <c r="AA258" s="330"/>
      <c r="AB258" s="330"/>
      <c r="AC258" s="330"/>
      <c r="AD258" s="330"/>
      <c r="AE258" s="330"/>
      <c r="AF258" s="330"/>
      <c r="AG258" s="330"/>
      <c r="AH258" s="330"/>
      <c r="AI258" s="330"/>
      <c r="AJ258" s="330"/>
      <c r="AK258" s="330"/>
      <c r="AL258" s="330"/>
      <c r="AM258" s="330"/>
      <c r="AN258" s="330"/>
      <c r="AO258" s="330"/>
      <c r="AP258" s="330"/>
      <c r="AQ258" s="330"/>
      <c r="AR258" s="330"/>
      <c r="AS258" s="330"/>
      <c r="AT258" s="330"/>
      <c r="AU258" s="330"/>
      <c r="AV258" s="330"/>
      <c r="AW258" s="330"/>
      <c r="AX258" s="330"/>
      <c r="AY258" s="330"/>
      <c r="AZ258" s="330"/>
      <c r="BA258" s="330"/>
      <c r="BB258" s="330"/>
      <c r="BC258" s="330"/>
      <c r="BD258" s="330"/>
      <c r="BE258" s="330"/>
      <c r="BF258" s="330"/>
    </row>
    <row r="259" spans="1:58">
      <c r="A259" s="330"/>
      <c r="B259" s="330"/>
      <c r="C259" s="330"/>
      <c r="D259" s="330"/>
      <c r="E259" s="330"/>
      <c r="F259" s="330"/>
      <c r="G259" s="330"/>
      <c r="H259" s="330"/>
      <c r="I259" s="330"/>
      <c r="J259" s="330"/>
      <c r="K259" s="330"/>
      <c r="L259" s="330"/>
      <c r="M259" s="330"/>
      <c r="N259" s="330"/>
      <c r="O259" s="330"/>
      <c r="P259" s="330"/>
      <c r="Q259" s="330"/>
      <c r="R259" s="330"/>
      <c r="S259" s="330"/>
      <c r="T259" s="330"/>
      <c r="U259" s="330"/>
      <c r="V259" s="330"/>
      <c r="W259" s="330"/>
      <c r="X259" s="330"/>
      <c r="Y259" s="330"/>
      <c r="Z259" s="330"/>
      <c r="AA259" s="330"/>
      <c r="AB259" s="330"/>
      <c r="AC259" s="330"/>
      <c r="AD259" s="330"/>
      <c r="AE259" s="330"/>
      <c r="AF259" s="330"/>
      <c r="AG259" s="330"/>
      <c r="AH259" s="330"/>
      <c r="AI259" s="330"/>
      <c r="AJ259" s="330"/>
      <c r="AK259" s="330"/>
      <c r="AL259" s="330"/>
      <c r="AM259" s="330"/>
      <c r="AN259" s="330"/>
      <c r="AO259" s="330"/>
      <c r="AP259" s="330"/>
      <c r="AQ259" s="330"/>
      <c r="AR259" s="330"/>
      <c r="AS259" s="330"/>
      <c r="AT259" s="330"/>
      <c r="AU259" s="330"/>
      <c r="AV259" s="330"/>
      <c r="AW259" s="330"/>
      <c r="AX259" s="330"/>
      <c r="AY259" s="330"/>
      <c r="AZ259" s="330"/>
      <c r="BA259" s="330"/>
      <c r="BB259" s="330"/>
      <c r="BC259" s="330"/>
      <c r="BD259" s="330"/>
      <c r="BE259" s="330"/>
      <c r="BF259" s="330"/>
    </row>
    <row r="260" spans="1:58">
      <c r="A260" s="330"/>
      <c r="B260" s="330"/>
      <c r="C260" s="330"/>
      <c r="D260" s="330"/>
      <c r="E260" s="330"/>
      <c r="F260" s="330"/>
      <c r="G260" s="330"/>
      <c r="H260" s="330"/>
      <c r="I260" s="330"/>
      <c r="J260" s="330"/>
      <c r="K260" s="330"/>
      <c r="L260" s="330"/>
      <c r="M260" s="330"/>
      <c r="N260" s="330"/>
      <c r="O260" s="330"/>
      <c r="P260" s="330"/>
      <c r="Q260" s="330"/>
      <c r="R260" s="330"/>
      <c r="S260" s="330"/>
      <c r="T260" s="330"/>
      <c r="U260" s="330"/>
      <c r="V260" s="330"/>
      <c r="W260" s="330"/>
      <c r="X260" s="330"/>
      <c r="Y260" s="330"/>
      <c r="Z260" s="330"/>
      <c r="AA260" s="330"/>
      <c r="AB260" s="330"/>
      <c r="AC260" s="330"/>
      <c r="AD260" s="330"/>
      <c r="AE260" s="330"/>
      <c r="AF260" s="330"/>
      <c r="AG260" s="330"/>
      <c r="AH260" s="330"/>
      <c r="AI260" s="330"/>
      <c r="AJ260" s="330"/>
      <c r="AK260" s="330"/>
      <c r="AL260" s="330"/>
      <c r="AM260" s="330"/>
      <c r="AN260" s="330"/>
      <c r="AO260" s="330"/>
      <c r="AP260" s="330"/>
      <c r="AQ260" s="330"/>
      <c r="AR260" s="330"/>
      <c r="AS260" s="330"/>
      <c r="AT260" s="330"/>
      <c r="AU260" s="330"/>
      <c r="AV260" s="330"/>
      <c r="AW260" s="330"/>
      <c r="AX260" s="330"/>
      <c r="AY260" s="330"/>
      <c r="AZ260" s="330"/>
      <c r="BA260" s="330"/>
      <c r="BB260" s="330"/>
      <c r="BC260" s="330"/>
      <c r="BD260" s="330"/>
      <c r="BE260" s="330"/>
      <c r="BF260" s="330"/>
    </row>
    <row r="261" spans="1:58">
      <c r="A261" s="330"/>
      <c r="B261" s="330"/>
      <c r="C261" s="330"/>
      <c r="D261" s="330"/>
      <c r="E261" s="330"/>
      <c r="F261" s="330"/>
      <c r="G261" s="330"/>
      <c r="H261" s="330"/>
      <c r="I261" s="330"/>
      <c r="J261" s="330"/>
      <c r="K261" s="330"/>
      <c r="L261" s="330"/>
      <c r="M261" s="330"/>
      <c r="N261" s="330"/>
      <c r="O261" s="330"/>
      <c r="P261" s="330"/>
      <c r="Q261" s="330"/>
      <c r="R261" s="330"/>
      <c r="S261" s="330"/>
      <c r="T261" s="330"/>
      <c r="U261" s="330"/>
      <c r="V261" s="330"/>
      <c r="W261" s="330"/>
      <c r="X261" s="330"/>
      <c r="Y261" s="330"/>
      <c r="Z261" s="330"/>
      <c r="AA261" s="330"/>
      <c r="AB261" s="330"/>
      <c r="AC261" s="330"/>
      <c r="AD261" s="330"/>
      <c r="AE261" s="330"/>
      <c r="AF261" s="330"/>
      <c r="AG261" s="330"/>
      <c r="AH261" s="330"/>
      <c r="AI261" s="330"/>
      <c r="AJ261" s="330"/>
      <c r="AK261" s="330"/>
      <c r="AL261" s="330"/>
      <c r="AM261" s="330"/>
      <c r="AN261" s="330"/>
      <c r="AO261" s="330"/>
      <c r="AP261" s="330"/>
      <c r="AQ261" s="330"/>
      <c r="AR261" s="330"/>
      <c r="AS261" s="330"/>
      <c r="AT261" s="330"/>
      <c r="AU261" s="330"/>
      <c r="AV261" s="330"/>
      <c r="AW261" s="330"/>
      <c r="AX261" s="330"/>
      <c r="AY261" s="330"/>
      <c r="AZ261" s="330"/>
      <c r="BA261" s="330"/>
      <c r="BB261" s="330"/>
      <c r="BC261" s="330"/>
      <c r="BD261" s="330"/>
      <c r="BE261" s="330"/>
      <c r="BF261" s="330"/>
    </row>
    <row r="262" spans="1:58">
      <c r="A262" s="330"/>
      <c r="B262" s="330"/>
      <c r="C262" s="330"/>
      <c r="D262" s="330"/>
      <c r="E262" s="330"/>
      <c r="F262" s="330"/>
      <c r="G262" s="330"/>
      <c r="H262" s="330"/>
      <c r="I262" s="330"/>
      <c r="J262" s="330"/>
      <c r="K262" s="330"/>
      <c r="L262" s="330"/>
      <c r="M262" s="330"/>
      <c r="N262" s="330"/>
      <c r="O262" s="330"/>
      <c r="P262" s="330"/>
      <c r="Q262" s="330"/>
      <c r="R262" s="330"/>
      <c r="S262" s="330"/>
      <c r="T262" s="330"/>
      <c r="U262" s="330"/>
      <c r="V262" s="330"/>
      <c r="W262" s="330"/>
      <c r="X262" s="330"/>
      <c r="Y262" s="330"/>
      <c r="Z262" s="330"/>
      <c r="AA262" s="330"/>
      <c r="AB262" s="330"/>
      <c r="AC262" s="330"/>
      <c r="AD262" s="330"/>
      <c r="AE262" s="330"/>
      <c r="AF262" s="330"/>
      <c r="AG262" s="330"/>
      <c r="AH262" s="330"/>
      <c r="AI262" s="330"/>
      <c r="AJ262" s="330"/>
      <c r="AK262" s="330"/>
      <c r="AL262" s="330"/>
      <c r="AM262" s="330"/>
      <c r="AN262" s="330"/>
      <c r="AO262" s="330"/>
      <c r="AP262" s="330"/>
      <c r="AQ262" s="330"/>
      <c r="AR262" s="330"/>
      <c r="AS262" s="330"/>
      <c r="AT262" s="330"/>
      <c r="AU262" s="330"/>
      <c r="AV262" s="330"/>
      <c r="AW262" s="330"/>
      <c r="AX262" s="330"/>
      <c r="AY262" s="330"/>
      <c r="AZ262" s="330"/>
      <c r="BA262" s="330"/>
      <c r="BB262" s="330"/>
      <c r="BC262" s="330"/>
      <c r="BD262" s="330"/>
      <c r="BE262" s="330"/>
      <c r="BF262" s="330"/>
    </row>
    <row r="263" spans="1:58">
      <c r="A263" s="330"/>
      <c r="B263" s="330"/>
      <c r="C263" s="330"/>
      <c r="D263" s="330"/>
      <c r="E263" s="330"/>
      <c r="F263" s="330"/>
      <c r="G263" s="330"/>
      <c r="H263" s="330"/>
      <c r="I263" s="330"/>
      <c r="J263" s="330"/>
      <c r="K263" s="330"/>
      <c r="L263" s="330"/>
      <c r="M263" s="330"/>
      <c r="N263" s="330"/>
      <c r="O263" s="330"/>
      <c r="P263" s="330"/>
      <c r="Q263" s="330"/>
      <c r="R263" s="330"/>
      <c r="S263" s="330"/>
      <c r="T263" s="330"/>
      <c r="U263" s="330"/>
      <c r="V263" s="330"/>
      <c r="W263" s="330"/>
      <c r="X263" s="330"/>
      <c r="Y263" s="330"/>
      <c r="Z263" s="330"/>
      <c r="AA263" s="330"/>
      <c r="AB263" s="330"/>
      <c r="AC263" s="330"/>
      <c r="AD263" s="330"/>
      <c r="AE263" s="330"/>
      <c r="AF263" s="330"/>
      <c r="AG263" s="330"/>
      <c r="AH263" s="330"/>
      <c r="AI263" s="330"/>
      <c r="AJ263" s="330"/>
      <c r="AK263" s="330"/>
      <c r="AL263" s="330"/>
      <c r="AM263" s="330"/>
      <c r="AN263" s="330"/>
      <c r="AO263" s="330"/>
      <c r="AP263" s="330"/>
      <c r="AQ263" s="330"/>
      <c r="AR263" s="330"/>
      <c r="AS263" s="330"/>
      <c r="AT263" s="330"/>
      <c r="AU263" s="330"/>
      <c r="AV263" s="330"/>
      <c r="AW263" s="330"/>
      <c r="AX263" s="330"/>
      <c r="AY263" s="330"/>
      <c r="AZ263" s="330"/>
      <c r="BA263" s="330"/>
      <c r="BB263" s="330"/>
      <c r="BC263" s="330"/>
      <c r="BD263" s="330"/>
      <c r="BE263" s="330"/>
      <c r="BF263" s="330"/>
    </row>
    <row r="264" spans="1:58">
      <c r="A264" s="330"/>
      <c r="B264" s="330"/>
      <c r="C264" s="330"/>
      <c r="D264" s="330"/>
      <c r="E264" s="330"/>
      <c r="F264" s="330"/>
      <c r="G264" s="330"/>
      <c r="H264" s="330"/>
      <c r="I264" s="330"/>
      <c r="J264" s="330"/>
      <c r="K264" s="330"/>
      <c r="L264" s="330"/>
      <c r="M264" s="330"/>
      <c r="N264" s="330"/>
      <c r="O264" s="330"/>
      <c r="P264" s="330"/>
      <c r="Q264" s="330"/>
      <c r="R264" s="330"/>
      <c r="S264" s="330"/>
      <c r="T264" s="330"/>
      <c r="U264" s="330"/>
      <c r="V264" s="330"/>
      <c r="W264" s="330"/>
      <c r="X264" s="330"/>
      <c r="Y264" s="330"/>
      <c r="Z264" s="330"/>
      <c r="AA264" s="330"/>
      <c r="AB264" s="330"/>
      <c r="AC264" s="330"/>
      <c r="AD264" s="330"/>
      <c r="AE264" s="330"/>
      <c r="AF264" s="330"/>
      <c r="AG264" s="330"/>
      <c r="AH264" s="330"/>
      <c r="AI264" s="330"/>
      <c r="AJ264" s="330"/>
      <c r="AK264" s="330"/>
      <c r="AL264" s="330"/>
      <c r="AM264" s="330"/>
      <c r="AN264" s="330"/>
      <c r="AO264" s="330"/>
      <c r="AP264" s="330"/>
      <c r="AQ264" s="330"/>
      <c r="AR264" s="330"/>
      <c r="AS264" s="330"/>
      <c r="AT264" s="330"/>
      <c r="AU264" s="330"/>
      <c r="AV264" s="330"/>
      <c r="AW264" s="330"/>
      <c r="AX264" s="330"/>
      <c r="AY264" s="330"/>
      <c r="AZ264" s="330"/>
      <c r="BA264" s="330"/>
      <c r="BB264" s="330"/>
      <c r="BC264" s="330"/>
      <c r="BD264" s="330"/>
      <c r="BE264" s="330"/>
      <c r="BF264" s="330"/>
    </row>
    <row r="265" spans="1:58">
      <c r="A265" s="330"/>
      <c r="B265" s="330"/>
      <c r="C265" s="330"/>
      <c r="D265" s="330"/>
      <c r="E265" s="330"/>
      <c r="F265" s="330"/>
      <c r="G265" s="330"/>
      <c r="H265" s="330"/>
      <c r="I265" s="330"/>
      <c r="J265" s="330"/>
      <c r="K265" s="330"/>
      <c r="L265" s="330"/>
      <c r="M265" s="330"/>
      <c r="N265" s="330"/>
      <c r="O265" s="330"/>
      <c r="P265" s="330"/>
      <c r="Q265" s="330"/>
      <c r="R265" s="330"/>
      <c r="S265" s="330"/>
      <c r="T265" s="330"/>
      <c r="U265" s="330"/>
      <c r="V265" s="330"/>
      <c r="W265" s="330"/>
      <c r="X265" s="330"/>
      <c r="Y265" s="330"/>
      <c r="Z265" s="330"/>
      <c r="AA265" s="330"/>
      <c r="AB265" s="330"/>
      <c r="AC265" s="330"/>
      <c r="AD265" s="330"/>
      <c r="AE265" s="330"/>
      <c r="AF265" s="330"/>
      <c r="AG265" s="330"/>
      <c r="AH265" s="330"/>
      <c r="AI265" s="330"/>
      <c r="AJ265" s="330"/>
      <c r="AK265" s="330"/>
      <c r="AL265" s="330"/>
      <c r="AM265" s="330"/>
      <c r="AN265" s="330"/>
      <c r="AO265" s="330"/>
      <c r="AP265" s="330"/>
      <c r="AQ265" s="330"/>
      <c r="AR265" s="330"/>
      <c r="AS265" s="330"/>
      <c r="AT265" s="330"/>
      <c r="AU265" s="330"/>
      <c r="AV265" s="330"/>
      <c r="AW265" s="330"/>
      <c r="AX265" s="330"/>
      <c r="AY265" s="330"/>
      <c r="AZ265" s="330"/>
      <c r="BA265" s="330"/>
      <c r="BB265" s="330"/>
      <c r="BC265" s="330"/>
      <c r="BD265" s="330"/>
      <c r="BE265" s="330"/>
      <c r="BF265" s="330"/>
    </row>
    <row r="266" spans="1:58">
      <c r="A266" s="330"/>
      <c r="B266" s="330"/>
      <c r="C266" s="330"/>
      <c r="D266" s="330"/>
      <c r="E266" s="330"/>
      <c r="F266" s="330"/>
      <c r="G266" s="330"/>
      <c r="H266" s="330"/>
      <c r="I266" s="330"/>
      <c r="J266" s="330"/>
      <c r="K266" s="330"/>
      <c r="L266" s="330"/>
      <c r="M266" s="330"/>
      <c r="N266" s="330"/>
      <c r="O266" s="330"/>
      <c r="P266" s="330"/>
      <c r="Q266" s="330"/>
      <c r="R266" s="330"/>
      <c r="S266" s="330"/>
      <c r="T266" s="330"/>
      <c r="U266" s="330"/>
      <c r="V266" s="330"/>
      <c r="W266" s="330"/>
      <c r="X266" s="330"/>
      <c r="Y266" s="330"/>
      <c r="Z266" s="330"/>
      <c r="AA266" s="330"/>
      <c r="AB266" s="330"/>
      <c r="AC266" s="330"/>
      <c r="AD266" s="330"/>
      <c r="AE266" s="330"/>
      <c r="AF266" s="330"/>
      <c r="AG266" s="330"/>
      <c r="AH266" s="330"/>
      <c r="AI266" s="330"/>
      <c r="AJ266" s="330"/>
      <c r="AK266" s="330"/>
      <c r="AL266" s="330"/>
      <c r="AM266" s="330"/>
      <c r="AN266" s="330"/>
      <c r="AO266" s="330"/>
      <c r="AP266" s="330"/>
      <c r="AQ266" s="330"/>
      <c r="AR266" s="330"/>
      <c r="AS266" s="330"/>
      <c r="AT266" s="330"/>
      <c r="AU266" s="330"/>
      <c r="AV266" s="330"/>
      <c r="AW266" s="330"/>
      <c r="AX266" s="330"/>
      <c r="AY266" s="330"/>
      <c r="AZ266" s="330"/>
      <c r="BA266" s="330"/>
      <c r="BB266" s="330"/>
      <c r="BC266" s="330"/>
      <c r="BD266" s="330"/>
      <c r="BE266" s="330"/>
      <c r="BF266" s="330"/>
    </row>
    <row r="267" spans="1:58">
      <c r="A267" s="330"/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330"/>
      <c r="P267" s="330"/>
      <c r="Q267" s="330"/>
      <c r="R267" s="330"/>
      <c r="S267" s="330"/>
      <c r="T267" s="330"/>
      <c r="U267" s="330"/>
      <c r="V267" s="330"/>
      <c r="W267" s="330"/>
      <c r="X267" s="330"/>
      <c r="Y267" s="330"/>
      <c r="Z267" s="330"/>
      <c r="AA267" s="330"/>
      <c r="AB267" s="330"/>
      <c r="AC267" s="330"/>
      <c r="AD267" s="330"/>
      <c r="AE267" s="330"/>
      <c r="AF267" s="330"/>
      <c r="AG267" s="330"/>
      <c r="AH267" s="330"/>
      <c r="AI267" s="330"/>
      <c r="AJ267" s="330"/>
      <c r="AK267" s="330"/>
      <c r="AL267" s="330"/>
      <c r="AM267" s="330"/>
      <c r="AN267" s="330"/>
      <c r="AO267" s="330"/>
      <c r="AP267" s="330"/>
      <c r="AQ267" s="330"/>
      <c r="AR267" s="330"/>
      <c r="AS267" s="330"/>
      <c r="AT267" s="330"/>
      <c r="AU267" s="330"/>
      <c r="AV267" s="330"/>
      <c r="AW267" s="330"/>
      <c r="AX267" s="330"/>
      <c r="AY267" s="330"/>
      <c r="AZ267" s="330"/>
      <c r="BA267" s="330"/>
      <c r="BB267" s="330"/>
      <c r="BC267" s="330"/>
      <c r="BD267" s="330"/>
      <c r="BE267" s="330"/>
      <c r="BF267" s="330"/>
    </row>
    <row r="268" spans="1:58">
      <c r="A268" s="330"/>
      <c r="B268" s="330"/>
      <c r="C268" s="330"/>
      <c r="D268" s="330"/>
      <c r="E268" s="330"/>
      <c r="F268" s="330"/>
      <c r="G268" s="330"/>
      <c r="H268" s="330"/>
      <c r="I268" s="330"/>
      <c r="J268" s="330"/>
      <c r="K268" s="330"/>
      <c r="L268" s="330"/>
      <c r="M268" s="330"/>
      <c r="N268" s="330"/>
      <c r="O268" s="330"/>
      <c r="P268" s="330"/>
      <c r="Q268" s="330"/>
      <c r="R268" s="330"/>
      <c r="S268" s="330"/>
      <c r="T268" s="330"/>
      <c r="U268" s="330"/>
      <c r="V268" s="330"/>
      <c r="W268" s="330"/>
      <c r="X268" s="330"/>
      <c r="Y268" s="330"/>
      <c r="Z268" s="330"/>
      <c r="AA268" s="330"/>
      <c r="AB268" s="330"/>
      <c r="AC268" s="330"/>
      <c r="AD268" s="330"/>
      <c r="AE268" s="330"/>
      <c r="AF268" s="330"/>
      <c r="AG268" s="330"/>
      <c r="AH268" s="330"/>
      <c r="AI268" s="330"/>
      <c r="AJ268" s="330"/>
      <c r="AK268" s="330"/>
      <c r="AL268" s="330"/>
      <c r="AM268" s="330"/>
      <c r="AN268" s="330"/>
      <c r="AO268" s="330"/>
      <c r="AP268" s="330"/>
      <c r="AQ268" s="330"/>
      <c r="AR268" s="330"/>
      <c r="AS268" s="330"/>
      <c r="AT268" s="330"/>
      <c r="AU268" s="330"/>
      <c r="AV268" s="330"/>
      <c r="AW268" s="330"/>
      <c r="AX268" s="330"/>
      <c r="AY268" s="330"/>
      <c r="AZ268" s="330"/>
      <c r="BA268" s="330"/>
      <c r="BB268" s="330"/>
      <c r="BC268" s="330"/>
      <c r="BD268" s="330"/>
      <c r="BE268" s="330"/>
      <c r="BF268" s="330"/>
    </row>
    <row r="269" spans="1:58">
      <c r="A269" s="330"/>
      <c r="B269" s="330"/>
      <c r="C269" s="330"/>
      <c r="D269" s="330"/>
      <c r="E269" s="330"/>
      <c r="F269" s="330"/>
      <c r="G269" s="330"/>
      <c r="H269" s="330"/>
      <c r="I269" s="330"/>
      <c r="J269" s="330"/>
      <c r="K269" s="330"/>
      <c r="L269" s="330"/>
      <c r="M269" s="330"/>
      <c r="N269" s="330"/>
      <c r="O269" s="330"/>
      <c r="P269" s="330"/>
      <c r="Q269" s="330"/>
      <c r="R269" s="330"/>
      <c r="S269" s="330"/>
      <c r="T269" s="330"/>
      <c r="U269" s="330"/>
      <c r="V269" s="330"/>
      <c r="W269" s="330"/>
      <c r="X269" s="330"/>
      <c r="Y269" s="330"/>
      <c r="Z269" s="330"/>
      <c r="AA269" s="330"/>
      <c r="AB269" s="330"/>
      <c r="AC269" s="330"/>
      <c r="AD269" s="330"/>
      <c r="AE269" s="330"/>
      <c r="AF269" s="330"/>
      <c r="AG269" s="330"/>
      <c r="AH269" s="330"/>
      <c r="AI269" s="330"/>
      <c r="AJ269" s="330"/>
      <c r="AK269" s="330"/>
      <c r="AL269" s="330"/>
      <c r="AM269" s="330"/>
      <c r="AN269" s="330"/>
      <c r="AO269" s="330"/>
      <c r="AP269" s="330"/>
      <c r="AQ269" s="330"/>
      <c r="AR269" s="330"/>
      <c r="AS269" s="330"/>
      <c r="AT269" s="330"/>
      <c r="AU269" s="330"/>
      <c r="AV269" s="330"/>
      <c r="AW269" s="330"/>
      <c r="AX269" s="330"/>
      <c r="AY269" s="330"/>
      <c r="AZ269" s="330"/>
      <c r="BA269" s="330"/>
      <c r="BB269" s="330"/>
      <c r="BC269" s="330"/>
      <c r="BD269" s="330"/>
      <c r="BE269" s="330"/>
      <c r="BF269" s="330"/>
    </row>
    <row r="270" spans="1:58">
      <c r="A270" s="330"/>
      <c r="B270" s="330"/>
      <c r="C270" s="330"/>
      <c r="D270" s="330"/>
      <c r="E270" s="330"/>
      <c r="F270" s="330"/>
      <c r="G270" s="330"/>
      <c r="H270" s="330"/>
      <c r="I270" s="330"/>
      <c r="J270" s="330"/>
      <c r="K270" s="330"/>
      <c r="L270" s="330"/>
      <c r="M270" s="330"/>
      <c r="N270" s="330"/>
      <c r="O270" s="330"/>
      <c r="P270" s="330"/>
      <c r="Q270" s="330"/>
      <c r="R270" s="330"/>
      <c r="S270" s="330"/>
      <c r="T270" s="330"/>
      <c r="U270" s="330"/>
      <c r="V270" s="330"/>
      <c r="W270" s="330"/>
      <c r="X270" s="330"/>
      <c r="Y270" s="330"/>
      <c r="Z270" s="330"/>
      <c r="AA270" s="330"/>
      <c r="AB270" s="330"/>
      <c r="AC270" s="330"/>
      <c r="AD270" s="330"/>
      <c r="AE270" s="330"/>
      <c r="AF270" s="330"/>
      <c r="AG270" s="330"/>
      <c r="AH270" s="330"/>
      <c r="AI270" s="330"/>
      <c r="AJ270" s="330"/>
      <c r="AK270" s="330"/>
      <c r="AL270" s="330"/>
      <c r="AM270" s="330"/>
      <c r="AN270" s="330"/>
      <c r="AO270" s="330"/>
      <c r="AP270" s="330"/>
      <c r="AQ270" s="330"/>
      <c r="AR270" s="330"/>
      <c r="AS270" s="330"/>
      <c r="AT270" s="330"/>
      <c r="AU270" s="330"/>
      <c r="AV270" s="330"/>
      <c r="AW270" s="330"/>
      <c r="AX270" s="330"/>
      <c r="AY270" s="330"/>
      <c r="AZ270" s="330"/>
      <c r="BA270" s="330"/>
      <c r="BB270" s="330"/>
      <c r="BC270" s="330"/>
      <c r="BD270" s="330"/>
      <c r="BE270" s="330"/>
      <c r="BF270" s="330"/>
    </row>
    <row r="271" spans="1:58">
      <c r="A271" s="330"/>
      <c r="B271" s="330"/>
      <c r="C271" s="330"/>
      <c r="D271" s="330"/>
      <c r="E271" s="330"/>
      <c r="F271" s="330"/>
      <c r="G271" s="330"/>
      <c r="H271" s="330"/>
      <c r="I271" s="330"/>
      <c r="J271" s="330"/>
      <c r="K271" s="330"/>
      <c r="L271" s="330"/>
      <c r="M271" s="330"/>
      <c r="N271" s="330"/>
      <c r="O271" s="330"/>
      <c r="P271" s="330"/>
      <c r="Q271" s="330"/>
      <c r="R271" s="330"/>
      <c r="S271" s="330"/>
      <c r="T271" s="330"/>
      <c r="U271" s="330"/>
      <c r="V271" s="330"/>
      <c r="W271" s="330"/>
      <c r="X271" s="330"/>
      <c r="Y271" s="330"/>
      <c r="Z271" s="330"/>
      <c r="AA271" s="330"/>
      <c r="AB271" s="330"/>
      <c r="AC271" s="330"/>
      <c r="AD271" s="330"/>
      <c r="AE271" s="330"/>
      <c r="AF271" s="330"/>
      <c r="AG271" s="330"/>
      <c r="AH271" s="330"/>
      <c r="AI271" s="330"/>
      <c r="AJ271" s="330"/>
      <c r="AK271" s="330"/>
      <c r="AL271" s="330"/>
      <c r="AM271" s="330"/>
      <c r="AN271" s="330"/>
      <c r="AO271" s="330"/>
      <c r="AP271" s="330"/>
      <c r="AQ271" s="330"/>
      <c r="AR271" s="330"/>
      <c r="AS271" s="330"/>
      <c r="AT271" s="330"/>
      <c r="AU271" s="330"/>
      <c r="AV271" s="330"/>
      <c r="AW271" s="330"/>
      <c r="AX271" s="330"/>
      <c r="AY271" s="330"/>
      <c r="AZ271" s="330"/>
      <c r="BA271" s="330"/>
      <c r="BB271" s="330"/>
      <c r="BC271" s="330"/>
      <c r="BD271" s="330"/>
      <c r="BE271" s="330"/>
      <c r="BF271" s="330"/>
    </row>
    <row r="272" spans="1:58">
      <c r="A272" s="330"/>
      <c r="B272" s="330"/>
      <c r="C272" s="330"/>
      <c r="D272" s="330"/>
      <c r="E272" s="330"/>
      <c r="F272" s="330"/>
      <c r="G272" s="330"/>
      <c r="H272" s="330"/>
      <c r="I272" s="330"/>
      <c r="J272" s="330"/>
      <c r="K272" s="330"/>
      <c r="L272" s="330"/>
      <c r="M272" s="330"/>
      <c r="N272" s="330"/>
      <c r="O272" s="330"/>
      <c r="P272" s="330"/>
      <c r="Q272" s="330"/>
      <c r="R272" s="330"/>
      <c r="S272" s="330"/>
      <c r="T272" s="330"/>
      <c r="U272" s="330"/>
      <c r="V272" s="330"/>
      <c r="W272" s="330"/>
      <c r="X272" s="330"/>
      <c r="Y272" s="330"/>
      <c r="Z272" s="330"/>
      <c r="AA272" s="330"/>
      <c r="AB272" s="330"/>
      <c r="AC272" s="330"/>
      <c r="AD272" s="330"/>
      <c r="AE272" s="330"/>
      <c r="AF272" s="330"/>
      <c r="AG272" s="330"/>
      <c r="AH272" s="330"/>
      <c r="AI272" s="330"/>
      <c r="AJ272" s="330"/>
      <c r="AK272" s="330"/>
      <c r="AL272" s="330"/>
      <c r="AM272" s="330"/>
      <c r="AN272" s="330"/>
      <c r="AO272" s="330"/>
      <c r="AP272" s="330"/>
      <c r="AQ272" s="330"/>
      <c r="AR272" s="330"/>
      <c r="AS272" s="330"/>
      <c r="AT272" s="330"/>
      <c r="AU272" s="330"/>
      <c r="AV272" s="330"/>
      <c r="AW272" s="330"/>
      <c r="AX272" s="330"/>
      <c r="AY272" s="330"/>
      <c r="AZ272" s="330"/>
      <c r="BA272" s="330"/>
      <c r="BB272" s="330"/>
      <c r="BC272" s="330"/>
      <c r="BD272" s="330"/>
      <c r="BE272" s="330"/>
      <c r="BF272" s="330"/>
    </row>
    <row r="273" spans="1:58">
      <c r="A273" s="330"/>
      <c r="B273" s="330"/>
      <c r="C273" s="330"/>
      <c r="D273" s="330"/>
      <c r="E273" s="330"/>
      <c r="F273" s="330"/>
      <c r="G273" s="330"/>
      <c r="H273" s="330"/>
      <c r="I273" s="330"/>
      <c r="J273" s="330"/>
      <c r="K273" s="330"/>
      <c r="L273" s="330"/>
      <c r="M273" s="330"/>
      <c r="N273" s="330"/>
      <c r="O273" s="330"/>
      <c r="P273" s="330"/>
      <c r="Q273" s="330"/>
      <c r="R273" s="330"/>
      <c r="S273" s="330"/>
      <c r="T273" s="330"/>
      <c r="U273" s="330"/>
      <c r="V273" s="330"/>
      <c r="W273" s="330"/>
      <c r="X273" s="330"/>
      <c r="Y273" s="330"/>
      <c r="Z273" s="330"/>
      <c r="AA273" s="330"/>
      <c r="AB273" s="330"/>
      <c r="AC273" s="330"/>
      <c r="AD273" s="330"/>
      <c r="AE273" s="330"/>
      <c r="AF273" s="330"/>
      <c r="AG273" s="330"/>
      <c r="AH273" s="330"/>
      <c r="AI273" s="330"/>
      <c r="AJ273" s="330"/>
      <c r="AK273" s="330"/>
      <c r="AL273" s="330"/>
      <c r="AM273" s="330"/>
      <c r="AN273" s="330"/>
      <c r="AO273" s="330"/>
      <c r="AP273" s="330"/>
      <c r="AQ273" s="330"/>
      <c r="AR273" s="330"/>
      <c r="AS273" s="330"/>
      <c r="AT273" s="330"/>
      <c r="AU273" s="330"/>
      <c r="AV273" s="330"/>
      <c r="AW273" s="330"/>
      <c r="AX273" s="330"/>
      <c r="AY273" s="330"/>
      <c r="AZ273" s="330"/>
      <c r="BA273" s="330"/>
      <c r="BB273" s="330"/>
      <c r="BC273" s="330"/>
      <c r="BD273" s="330"/>
      <c r="BE273" s="330"/>
      <c r="BF273" s="330"/>
    </row>
    <row r="274" spans="1:58">
      <c r="A274" s="330"/>
      <c r="B274" s="330"/>
      <c r="C274" s="330"/>
      <c r="D274" s="330"/>
      <c r="E274" s="330"/>
      <c r="F274" s="330"/>
      <c r="G274" s="330"/>
      <c r="H274" s="330"/>
      <c r="I274" s="330"/>
      <c r="J274" s="330"/>
      <c r="K274" s="330"/>
      <c r="L274" s="330"/>
      <c r="M274" s="330"/>
      <c r="N274" s="330"/>
      <c r="O274" s="330"/>
      <c r="P274" s="330"/>
      <c r="Q274" s="330"/>
      <c r="R274" s="330"/>
      <c r="S274" s="330"/>
      <c r="T274" s="330"/>
      <c r="U274" s="330"/>
      <c r="V274" s="330"/>
      <c r="W274" s="330"/>
      <c r="X274" s="330"/>
      <c r="Y274" s="330"/>
      <c r="Z274" s="330"/>
      <c r="AA274" s="330"/>
      <c r="AB274" s="330"/>
      <c r="AC274" s="330"/>
      <c r="AD274" s="330"/>
      <c r="AE274" s="330"/>
      <c r="AF274" s="330"/>
      <c r="AG274" s="330"/>
      <c r="AH274" s="330"/>
      <c r="AI274" s="330"/>
      <c r="AJ274" s="330"/>
      <c r="AK274" s="330"/>
      <c r="AL274" s="330"/>
      <c r="AM274" s="330"/>
      <c r="AN274" s="330"/>
      <c r="AO274" s="330"/>
      <c r="AP274" s="330"/>
      <c r="AQ274" s="330"/>
      <c r="AR274" s="330"/>
      <c r="AS274" s="330"/>
      <c r="AT274" s="330"/>
      <c r="AU274" s="330"/>
      <c r="AV274" s="330"/>
      <c r="AW274" s="330"/>
      <c r="AX274" s="330"/>
      <c r="AY274" s="330"/>
      <c r="AZ274" s="330"/>
      <c r="BA274" s="330"/>
      <c r="BB274" s="330"/>
      <c r="BC274" s="330"/>
      <c r="BD274" s="330"/>
      <c r="BE274" s="330"/>
      <c r="BF274" s="330"/>
    </row>
    <row r="275" spans="1:58">
      <c r="A275" s="330"/>
      <c r="B275" s="330"/>
      <c r="C275" s="330"/>
      <c r="D275" s="330"/>
      <c r="E275" s="330"/>
      <c r="F275" s="330"/>
      <c r="G275" s="330"/>
      <c r="H275" s="330"/>
      <c r="I275" s="330"/>
      <c r="J275" s="330"/>
      <c r="K275" s="330"/>
      <c r="L275" s="330"/>
      <c r="M275" s="330"/>
      <c r="N275" s="330"/>
      <c r="O275" s="330"/>
      <c r="P275" s="330"/>
      <c r="Q275" s="330"/>
      <c r="R275" s="330"/>
      <c r="S275" s="330"/>
      <c r="T275" s="330"/>
      <c r="U275" s="330"/>
      <c r="V275" s="330"/>
      <c r="W275" s="330"/>
      <c r="X275" s="330"/>
      <c r="Y275" s="330"/>
      <c r="Z275" s="330"/>
      <c r="AA275" s="330"/>
      <c r="AB275" s="330"/>
      <c r="AC275" s="330"/>
      <c r="AD275" s="330"/>
      <c r="AE275" s="330"/>
      <c r="AF275" s="330"/>
      <c r="AG275" s="330"/>
      <c r="AH275" s="330"/>
      <c r="AI275" s="330"/>
      <c r="AJ275" s="330"/>
      <c r="AK275" s="330"/>
      <c r="AL275" s="330"/>
      <c r="AM275" s="330"/>
      <c r="AN275" s="330"/>
      <c r="AO275" s="330"/>
      <c r="AP275" s="330"/>
      <c r="AQ275" s="330"/>
      <c r="AR275" s="330"/>
      <c r="AS275" s="330"/>
      <c r="AT275" s="330"/>
      <c r="AU275" s="330"/>
      <c r="AV275" s="330"/>
      <c r="AW275" s="330"/>
      <c r="AX275" s="330"/>
      <c r="AY275" s="330"/>
      <c r="AZ275" s="330"/>
      <c r="BA275" s="330"/>
      <c r="BB275" s="330"/>
      <c r="BC275" s="330"/>
      <c r="BD275" s="330"/>
      <c r="BE275" s="330"/>
      <c r="BF275" s="330"/>
    </row>
    <row r="276" spans="1:58">
      <c r="A276" s="330"/>
      <c r="B276" s="330"/>
      <c r="C276" s="330"/>
      <c r="D276" s="330"/>
      <c r="E276" s="330"/>
      <c r="F276" s="330"/>
      <c r="G276" s="330"/>
      <c r="H276" s="330"/>
      <c r="I276" s="330"/>
      <c r="J276" s="330"/>
      <c r="K276" s="330"/>
      <c r="L276" s="330"/>
      <c r="M276" s="330"/>
      <c r="N276" s="330"/>
      <c r="O276" s="330"/>
      <c r="P276" s="330"/>
      <c r="Q276" s="330"/>
      <c r="R276" s="330"/>
      <c r="S276" s="330"/>
      <c r="T276" s="330"/>
      <c r="U276" s="330"/>
      <c r="V276" s="330"/>
      <c r="W276" s="330"/>
      <c r="X276" s="330"/>
      <c r="Y276" s="330"/>
      <c r="Z276" s="330"/>
      <c r="AA276" s="330"/>
      <c r="AB276" s="330"/>
      <c r="AC276" s="330"/>
      <c r="AD276" s="330"/>
      <c r="AE276" s="330"/>
      <c r="AF276" s="330"/>
      <c r="AG276" s="330"/>
      <c r="AH276" s="330"/>
      <c r="AI276" s="330"/>
      <c r="AJ276" s="330"/>
      <c r="AK276" s="330"/>
      <c r="AL276" s="330"/>
      <c r="AM276" s="330"/>
      <c r="AN276" s="330"/>
      <c r="AO276" s="330"/>
      <c r="AP276" s="330"/>
      <c r="AQ276" s="330"/>
      <c r="AR276" s="330"/>
      <c r="AS276" s="330"/>
      <c r="AT276" s="330"/>
      <c r="AU276" s="330"/>
      <c r="AV276" s="330"/>
      <c r="AW276" s="330"/>
      <c r="AX276" s="330"/>
      <c r="AY276" s="330"/>
      <c r="AZ276" s="330"/>
      <c r="BA276" s="330"/>
      <c r="BB276" s="330"/>
      <c r="BC276" s="330"/>
      <c r="BD276" s="330"/>
      <c r="BE276" s="330"/>
      <c r="BF276" s="330"/>
    </row>
    <row r="277" spans="1:58">
      <c r="A277" s="330"/>
      <c r="B277" s="330"/>
      <c r="C277" s="330"/>
      <c r="D277" s="330"/>
      <c r="E277" s="330"/>
      <c r="F277" s="330"/>
      <c r="G277" s="330"/>
      <c r="H277" s="330"/>
      <c r="I277" s="330"/>
      <c r="J277" s="330"/>
      <c r="K277" s="330"/>
      <c r="L277" s="330"/>
      <c r="M277" s="330"/>
      <c r="N277" s="330"/>
      <c r="O277" s="330"/>
      <c r="P277" s="330"/>
      <c r="Q277" s="330"/>
      <c r="R277" s="330"/>
      <c r="S277" s="330"/>
      <c r="T277" s="330"/>
      <c r="U277" s="330"/>
      <c r="V277" s="330"/>
      <c r="W277" s="330"/>
      <c r="X277" s="330"/>
      <c r="Y277" s="330"/>
      <c r="Z277" s="330"/>
      <c r="AA277" s="330"/>
      <c r="AB277" s="330"/>
      <c r="AC277" s="330"/>
      <c r="AD277" s="330"/>
      <c r="AE277" s="330"/>
      <c r="AF277" s="330"/>
      <c r="AG277" s="330"/>
      <c r="AH277" s="330"/>
      <c r="AI277" s="330"/>
      <c r="AJ277" s="330"/>
      <c r="AK277" s="330"/>
      <c r="AL277" s="330"/>
      <c r="AM277" s="330"/>
      <c r="AN277" s="330"/>
      <c r="AO277" s="330"/>
      <c r="AP277" s="330"/>
      <c r="AQ277" s="330"/>
      <c r="AR277" s="330"/>
      <c r="AS277" s="330"/>
      <c r="AT277" s="330"/>
      <c r="AU277" s="330"/>
      <c r="AV277" s="330"/>
      <c r="AW277" s="330"/>
      <c r="AX277" s="330"/>
      <c r="AY277" s="330"/>
      <c r="AZ277" s="330"/>
      <c r="BA277" s="330"/>
      <c r="BB277" s="330"/>
      <c r="BC277" s="330"/>
      <c r="BD277" s="330"/>
      <c r="BE277" s="330"/>
      <c r="BF277" s="330"/>
    </row>
    <row r="278" spans="1:58">
      <c r="A278" s="330"/>
      <c r="B278" s="330"/>
      <c r="C278" s="330"/>
      <c r="D278" s="330"/>
      <c r="E278" s="330"/>
      <c r="F278" s="330"/>
      <c r="G278" s="330"/>
      <c r="H278" s="330"/>
      <c r="I278" s="330"/>
      <c r="J278" s="330"/>
      <c r="K278" s="330"/>
      <c r="L278" s="330"/>
      <c r="M278" s="330"/>
      <c r="N278" s="330"/>
      <c r="O278" s="330"/>
      <c r="P278" s="330"/>
      <c r="Q278" s="330"/>
      <c r="R278" s="330"/>
      <c r="S278" s="330"/>
      <c r="T278" s="330"/>
      <c r="U278" s="330"/>
      <c r="V278" s="330"/>
      <c r="W278" s="330"/>
      <c r="X278" s="330"/>
      <c r="Y278" s="330"/>
      <c r="Z278" s="330"/>
      <c r="AA278" s="330"/>
      <c r="AB278" s="330"/>
      <c r="AC278" s="330"/>
      <c r="AD278" s="330"/>
      <c r="AE278" s="330"/>
      <c r="AF278" s="330"/>
      <c r="AG278" s="330"/>
      <c r="AH278" s="330"/>
      <c r="AI278" s="330"/>
      <c r="AJ278" s="330"/>
      <c r="AK278" s="330"/>
      <c r="AL278" s="330"/>
      <c r="AM278" s="330"/>
      <c r="AN278" s="330"/>
      <c r="AO278" s="330"/>
      <c r="AP278" s="330"/>
      <c r="AQ278" s="330"/>
      <c r="AR278" s="330"/>
      <c r="AS278" s="330"/>
      <c r="AT278" s="330"/>
      <c r="AU278" s="330"/>
      <c r="AV278" s="330"/>
      <c r="AW278" s="330"/>
      <c r="AX278" s="330"/>
      <c r="AY278" s="330"/>
      <c r="AZ278" s="330"/>
      <c r="BA278" s="330"/>
      <c r="BB278" s="330"/>
      <c r="BC278" s="330"/>
      <c r="BD278" s="330"/>
      <c r="BE278" s="330"/>
      <c r="BF278" s="330"/>
    </row>
    <row r="279" spans="1:58">
      <c r="A279" s="330"/>
      <c r="B279" s="330"/>
      <c r="C279" s="330"/>
      <c r="D279" s="330"/>
      <c r="E279" s="330"/>
      <c r="F279" s="330"/>
      <c r="G279" s="330"/>
      <c r="H279" s="330"/>
      <c r="I279" s="330"/>
      <c r="J279" s="330"/>
      <c r="K279" s="330"/>
      <c r="L279" s="330"/>
      <c r="M279" s="330"/>
      <c r="N279" s="330"/>
      <c r="O279" s="330"/>
      <c r="P279" s="330"/>
      <c r="Q279" s="330"/>
      <c r="R279" s="330"/>
      <c r="S279" s="330"/>
      <c r="T279" s="330"/>
      <c r="U279" s="330"/>
      <c r="V279" s="330"/>
      <c r="W279" s="330"/>
      <c r="X279" s="330"/>
      <c r="Y279" s="330"/>
      <c r="Z279" s="330"/>
      <c r="AA279" s="330"/>
      <c r="AB279" s="330"/>
      <c r="AC279" s="330"/>
      <c r="AD279" s="330"/>
      <c r="AE279" s="330"/>
      <c r="AF279" s="330"/>
      <c r="AG279" s="330"/>
      <c r="AH279" s="330"/>
      <c r="AI279" s="330"/>
      <c r="AJ279" s="330"/>
      <c r="AK279" s="330"/>
      <c r="AL279" s="330"/>
      <c r="AM279" s="330"/>
      <c r="AN279" s="330"/>
      <c r="AO279" s="330"/>
      <c r="AP279" s="330"/>
      <c r="AQ279" s="330"/>
      <c r="AR279" s="330"/>
      <c r="AS279" s="330"/>
      <c r="AT279" s="330"/>
      <c r="AU279" s="330"/>
      <c r="AV279" s="330"/>
      <c r="AW279" s="330"/>
      <c r="AX279" s="330"/>
      <c r="AY279" s="330"/>
      <c r="AZ279" s="330"/>
      <c r="BA279" s="330"/>
      <c r="BB279" s="330"/>
      <c r="BC279" s="330"/>
      <c r="BD279" s="330"/>
      <c r="BE279" s="330"/>
      <c r="BF279" s="330"/>
    </row>
    <row r="280" spans="1:58">
      <c r="A280" s="330"/>
      <c r="B280" s="330"/>
      <c r="C280" s="330"/>
      <c r="D280" s="330"/>
      <c r="E280" s="330"/>
      <c r="F280" s="330"/>
      <c r="G280" s="330"/>
      <c r="H280" s="330"/>
      <c r="I280" s="330"/>
      <c r="J280" s="330"/>
      <c r="K280" s="330"/>
      <c r="L280" s="330"/>
      <c r="M280" s="330"/>
      <c r="N280" s="330"/>
      <c r="O280" s="330"/>
      <c r="P280" s="330"/>
      <c r="Q280" s="330"/>
      <c r="R280" s="330"/>
      <c r="S280" s="330"/>
      <c r="T280" s="330"/>
      <c r="U280" s="330"/>
      <c r="V280" s="330"/>
      <c r="W280" s="330"/>
      <c r="X280" s="330"/>
      <c r="Y280" s="330"/>
      <c r="Z280" s="330"/>
      <c r="AA280" s="330"/>
      <c r="AB280" s="330"/>
      <c r="AC280" s="330"/>
      <c r="AD280" s="330"/>
      <c r="AE280" s="330"/>
      <c r="AF280" s="330"/>
      <c r="AG280" s="330"/>
      <c r="AH280" s="330"/>
      <c r="AI280" s="330"/>
      <c r="AJ280" s="330"/>
      <c r="AK280" s="330"/>
      <c r="AL280" s="330"/>
      <c r="AM280" s="330"/>
      <c r="AN280" s="330"/>
      <c r="AO280" s="330"/>
      <c r="AP280" s="330"/>
      <c r="AQ280" s="330"/>
      <c r="AR280" s="330"/>
      <c r="AS280" s="330"/>
      <c r="AT280" s="330"/>
      <c r="AU280" s="330"/>
      <c r="AV280" s="330"/>
      <c r="AW280" s="330"/>
      <c r="AX280" s="330"/>
      <c r="AY280" s="330"/>
      <c r="AZ280" s="330"/>
      <c r="BA280" s="330"/>
      <c r="BB280" s="330"/>
      <c r="BC280" s="330"/>
      <c r="BD280" s="330"/>
      <c r="BE280" s="330"/>
      <c r="BF280" s="330"/>
    </row>
    <row r="281" spans="1:58">
      <c r="A281" s="330"/>
      <c r="B281" s="330"/>
      <c r="C281" s="330"/>
      <c r="D281" s="330"/>
      <c r="E281" s="330"/>
      <c r="F281" s="330"/>
      <c r="G281" s="330"/>
      <c r="H281" s="330"/>
      <c r="I281" s="330"/>
      <c r="J281" s="330"/>
      <c r="K281" s="330"/>
      <c r="L281" s="330"/>
      <c r="M281" s="330"/>
      <c r="N281" s="330"/>
      <c r="O281" s="330"/>
      <c r="P281" s="330"/>
      <c r="Q281" s="330"/>
      <c r="R281" s="330"/>
      <c r="S281" s="330"/>
      <c r="T281" s="330"/>
      <c r="U281" s="330"/>
      <c r="V281" s="330"/>
      <c r="W281" s="330"/>
      <c r="X281" s="330"/>
      <c r="Y281" s="330"/>
      <c r="Z281" s="330"/>
      <c r="AA281" s="330"/>
      <c r="AB281" s="330"/>
      <c r="AC281" s="330"/>
      <c r="AD281" s="330"/>
      <c r="AE281" s="330"/>
      <c r="AF281" s="330"/>
      <c r="AG281" s="330"/>
      <c r="AH281" s="330"/>
      <c r="AI281" s="330"/>
      <c r="AJ281" s="330"/>
      <c r="AK281" s="330"/>
      <c r="AL281" s="330"/>
      <c r="AM281" s="330"/>
      <c r="AN281" s="330"/>
      <c r="AO281" s="330"/>
      <c r="AP281" s="330"/>
      <c r="AQ281" s="330"/>
      <c r="AR281" s="330"/>
      <c r="AS281" s="330"/>
      <c r="AT281" s="330"/>
      <c r="AU281" s="330"/>
      <c r="AV281" s="330"/>
      <c r="AW281" s="330"/>
      <c r="AX281" s="330"/>
      <c r="AY281" s="330"/>
      <c r="AZ281" s="330"/>
      <c r="BA281" s="330"/>
      <c r="BB281" s="330"/>
      <c r="BC281" s="330"/>
      <c r="BD281" s="330"/>
      <c r="BE281" s="330"/>
      <c r="BF281" s="330"/>
    </row>
    <row r="282" spans="1:58">
      <c r="A282" s="330"/>
      <c r="B282" s="330"/>
      <c r="C282" s="330"/>
      <c r="D282" s="330"/>
      <c r="E282" s="330"/>
      <c r="F282" s="330"/>
      <c r="G282" s="330"/>
      <c r="H282" s="330"/>
      <c r="I282" s="330"/>
      <c r="J282" s="330"/>
      <c r="K282" s="330"/>
      <c r="L282" s="330"/>
      <c r="M282" s="330"/>
      <c r="N282" s="330"/>
      <c r="O282" s="330"/>
      <c r="P282" s="330"/>
      <c r="Q282" s="330"/>
      <c r="R282" s="330"/>
      <c r="S282" s="330"/>
      <c r="T282" s="330"/>
      <c r="U282" s="330"/>
      <c r="V282" s="330"/>
      <c r="W282" s="330"/>
      <c r="X282" s="330"/>
      <c r="Y282" s="330"/>
      <c r="Z282" s="330"/>
      <c r="AA282" s="330"/>
      <c r="AB282" s="330"/>
      <c r="AC282" s="330"/>
      <c r="AD282" s="330"/>
      <c r="AE282" s="330"/>
      <c r="AF282" s="330"/>
      <c r="AG282" s="330"/>
      <c r="AH282" s="330"/>
      <c r="AI282" s="330"/>
      <c r="AJ282" s="330"/>
      <c r="AK282" s="330"/>
      <c r="AL282" s="330"/>
      <c r="AM282" s="330"/>
      <c r="AN282" s="330"/>
      <c r="AO282" s="330"/>
      <c r="AP282" s="330"/>
      <c r="AQ282" s="330"/>
      <c r="AR282" s="330"/>
      <c r="AS282" s="330"/>
      <c r="AT282" s="330"/>
      <c r="AU282" s="330"/>
      <c r="AV282" s="330"/>
      <c r="AW282" s="330"/>
      <c r="AX282" s="330"/>
      <c r="AY282" s="330"/>
      <c r="AZ282" s="330"/>
      <c r="BA282" s="330"/>
      <c r="BB282" s="330"/>
      <c r="BC282" s="330"/>
      <c r="BD282" s="330"/>
      <c r="BE282" s="330"/>
      <c r="BF282" s="330"/>
    </row>
    <row r="283" spans="1:58">
      <c r="A283" s="330"/>
      <c r="B283" s="330"/>
      <c r="C283" s="330"/>
      <c r="D283" s="330"/>
      <c r="E283" s="330"/>
      <c r="F283" s="330"/>
      <c r="G283" s="330"/>
      <c r="H283" s="330"/>
      <c r="I283" s="330"/>
      <c r="J283" s="330"/>
      <c r="K283" s="330"/>
      <c r="L283" s="330"/>
      <c r="M283" s="330"/>
      <c r="N283" s="330"/>
      <c r="O283" s="330"/>
      <c r="P283" s="330"/>
      <c r="Q283" s="330"/>
      <c r="R283" s="330"/>
      <c r="S283" s="330"/>
      <c r="T283" s="330"/>
      <c r="U283" s="330"/>
      <c r="V283" s="330"/>
      <c r="W283" s="330"/>
      <c r="X283" s="330"/>
      <c r="Y283" s="330"/>
      <c r="Z283" s="330"/>
      <c r="AA283" s="330"/>
      <c r="AB283" s="330"/>
      <c r="AC283" s="330"/>
      <c r="AD283" s="330"/>
      <c r="AE283" s="330"/>
      <c r="AF283" s="330"/>
      <c r="AG283" s="330"/>
      <c r="AH283" s="330"/>
      <c r="AI283" s="330"/>
      <c r="AJ283" s="330"/>
      <c r="AK283" s="330"/>
      <c r="AL283" s="330"/>
      <c r="AM283" s="330"/>
      <c r="AN283" s="330"/>
      <c r="AO283" s="330"/>
      <c r="AP283" s="330"/>
      <c r="AQ283" s="330"/>
      <c r="AR283" s="330"/>
      <c r="AS283" s="330"/>
      <c r="AT283" s="330"/>
      <c r="AU283" s="330"/>
      <c r="AV283" s="330"/>
      <c r="AW283" s="330"/>
      <c r="AX283" s="330"/>
      <c r="AY283" s="330"/>
      <c r="AZ283" s="330"/>
      <c r="BA283" s="330"/>
      <c r="BB283" s="330"/>
      <c r="BC283" s="330"/>
      <c r="BD283" s="330"/>
      <c r="BE283" s="330"/>
      <c r="BF283" s="330"/>
    </row>
    <row r="284" spans="1:58">
      <c r="A284" s="330"/>
      <c r="B284" s="330"/>
      <c r="C284" s="330"/>
      <c r="D284" s="330"/>
      <c r="E284" s="330"/>
      <c r="F284" s="330"/>
      <c r="G284" s="330"/>
      <c r="H284" s="330"/>
      <c r="I284" s="330"/>
      <c r="J284" s="330"/>
      <c r="K284" s="330"/>
      <c r="L284" s="330"/>
      <c r="M284" s="330"/>
      <c r="N284" s="330"/>
      <c r="O284" s="330"/>
      <c r="P284" s="330"/>
      <c r="Q284" s="330"/>
      <c r="R284" s="330"/>
      <c r="S284" s="330"/>
      <c r="T284" s="330"/>
      <c r="U284" s="330"/>
      <c r="V284" s="330"/>
      <c r="W284" s="330"/>
      <c r="X284" s="330"/>
      <c r="Y284" s="330"/>
      <c r="Z284" s="330"/>
      <c r="AA284" s="330"/>
      <c r="AB284" s="330"/>
      <c r="AC284" s="330"/>
      <c r="AD284" s="330"/>
      <c r="AE284" s="330"/>
      <c r="AF284" s="330"/>
      <c r="AG284" s="330"/>
      <c r="AH284" s="330"/>
      <c r="AI284" s="330"/>
      <c r="AJ284" s="330"/>
      <c r="AK284" s="330"/>
      <c r="AL284" s="330"/>
      <c r="AM284" s="330"/>
      <c r="AN284" s="330"/>
      <c r="AO284" s="330"/>
      <c r="AP284" s="330"/>
      <c r="AQ284" s="330"/>
      <c r="AR284" s="330"/>
      <c r="AS284" s="330"/>
      <c r="AT284" s="330"/>
      <c r="AU284" s="330"/>
      <c r="AV284" s="330"/>
      <c r="AW284" s="330"/>
      <c r="AX284" s="330"/>
      <c r="AY284" s="330"/>
      <c r="AZ284" s="330"/>
      <c r="BA284" s="330"/>
      <c r="BB284" s="330"/>
      <c r="BC284" s="330"/>
      <c r="BD284" s="330"/>
      <c r="BE284" s="330"/>
      <c r="BF284" s="330"/>
    </row>
    <row r="285" spans="1:58">
      <c r="A285" s="330"/>
      <c r="B285" s="330"/>
      <c r="C285" s="330"/>
      <c r="D285" s="330"/>
      <c r="E285" s="330"/>
      <c r="F285" s="330"/>
      <c r="G285" s="330"/>
      <c r="H285" s="330"/>
      <c r="I285" s="330"/>
      <c r="J285" s="330"/>
      <c r="K285" s="330"/>
      <c r="L285" s="330"/>
      <c r="M285" s="330"/>
      <c r="N285" s="330"/>
      <c r="O285" s="330"/>
      <c r="P285" s="330"/>
      <c r="Q285" s="330"/>
      <c r="R285" s="330"/>
      <c r="S285" s="330"/>
      <c r="T285" s="330"/>
      <c r="U285" s="330"/>
      <c r="V285" s="330"/>
      <c r="W285" s="330"/>
      <c r="X285" s="330"/>
      <c r="Y285" s="330"/>
      <c r="Z285" s="330"/>
      <c r="AA285" s="330"/>
      <c r="AB285" s="330"/>
      <c r="AC285" s="330"/>
      <c r="AD285" s="330"/>
      <c r="AE285" s="330"/>
      <c r="AF285" s="330"/>
      <c r="AG285" s="330"/>
      <c r="AH285" s="330"/>
      <c r="AI285" s="330"/>
      <c r="AJ285" s="330"/>
      <c r="AK285" s="330"/>
      <c r="AL285" s="330"/>
      <c r="AM285" s="330"/>
      <c r="AN285" s="330"/>
      <c r="AO285" s="330"/>
      <c r="AP285" s="330"/>
      <c r="AQ285" s="330"/>
      <c r="AR285" s="330"/>
      <c r="AS285" s="330"/>
      <c r="AT285" s="330"/>
      <c r="AU285" s="330"/>
      <c r="AV285" s="330"/>
      <c r="AW285" s="330"/>
      <c r="AX285" s="330"/>
      <c r="AY285" s="330"/>
      <c r="AZ285" s="330"/>
      <c r="BA285" s="330"/>
      <c r="BB285" s="330"/>
      <c r="BC285" s="330"/>
      <c r="BD285" s="330"/>
      <c r="BE285" s="330"/>
      <c r="BF285" s="330"/>
    </row>
    <row r="286" spans="1:58">
      <c r="A286" s="330"/>
      <c r="B286" s="330"/>
      <c r="C286" s="330"/>
      <c r="D286" s="330"/>
      <c r="E286" s="330"/>
      <c r="F286" s="330"/>
      <c r="G286" s="330"/>
      <c r="H286" s="330"/>
      <c r="I286" s="330"/>
      <c r="J286" s="330"/>
      <c r="K286" s="330"/>
      <c r="L286" s="330"/>
      <c r="M286" s="330"/>
      <c r="N286" s="330"/>
      <c r="O286" s="330"/>
      <c r="P286" s="330"/>
      <c r="Q286" s="330"/>
      <c r="R286" s="330"/>
      <c r="S286" s="330"/>
      <c r="T286" s="330"/>
      <c r="U286" s="330"/>
      <c r="V286" s="330"/>
      <c r="W286" s="330"/>
      <c r="X286" s="330"/>
      <c r="Y286" s="330"/>
      <c r="Z286" s="330"/>
      <c r="AA286" s="330"/>
      <c r="AB286" s="330"/>
      <c r="AC286" s="330"/>
      <c r="AD286" s="330"/>
      <c r="AE286" s="330"/>
      <c r="AF286" s="330"/>
      <c r="AG286" s="330"/>
      <c r="AH286" s="330"/>
      <c r="AI286" s="330"/>
      <c r="AJ286" s="330"/>
      <c r="AK286" s="330"/>
      <c r="AL286" s="330"/>
      <c r="AM286" s="330"/>
      <c r="AN286" s="330"/>
      <c r="AO286" s="330"/>
      <c r="AP286" s="330"/>
      <c r="AQ286" s="330"/>
      <c r="AR286" s="330"/>
      <c r="AS286" s="330"/>
      <c r="AT286" s="330"/>
      <c r="AU286" s="330"/>
      <c r="AV286" s="330"/>
      <c r="AW286" s="330"/>
      <c r="AX286" s="330"/>
      <c r="AY286" s="330"/>
      <c r="AZ286" s="330"/>
      <c r="BA286" s="330"/>
      <c r="BB286" s="330"/>
      <c r="BC286" s="330"/>
      <c r="BD286" s="330"/>
      <c r="BE286" s="330"/>
      <c r="BF286" s="330"/>
    </row>
    <row r="287" spans="1:58">
      <c r="A287" s="330"/>
      <c r="B287" s="330"/>
      <c r="C287" s="330"/>
      <c r="D287" s="330"/>
      <c r="E287" s="330"/>
      <c r="F287" s="330"/>
      <c r="G287" s="330"/>
      <c r="H287" s="330"/>
      <c r="I287" s="330"/>
      <c r="J287" s="330"/>
      <c r="K287" s="330"/>
      <c r="L287" s="330"/>
      <c r="M287" s="330"/>
      <c r="N287" s="330"/>
      <c r="O287" s="330"/>
      <c r="P287" s="330"/>
      <c r="Q287" s="330"/>
      <c r="R287" s="330"/>
      <c r="S287" s="330"/>
      <c r="T287" s="330"/>
      <c r="U287" s="330"/>
      <c r="V287" s="330"/>
      <c r="W287" s="330"/>
      <c r="X287" s="330"/>
      <c r="Y287" s="330"/>
      <c r="Z287" s="330"/>
      <c r="AA287" s="330"/>
      <c r="AB287" s="330"/>
      <c r="AC287" s="330"/>
      <c r="AD287" s="330"/>
      <c r="AE287" s="330"/>
      <c r="AF287" s="330"/>
      <c r="AG287" s="330"/>
      <c r="AH287" s="330"/>
      <c r="AI287" s="330"/>
      <c r="AJ287" s="330"/>
      <c r="AK287" s="330"/>
      <c r="AL287" s="330"/>
      <c r="AM287" s="330"/>
      <c r="AN287" s="330"/>
      <c r="AO287" s="330"/>
      <c r="AP287" s="330"/>
      <c r="AQ287" s="330"/>
      <c r="AR287" s="330"/>
      <c r="AS287" s="330"/>
      <c r="AT287" s="330"/>
      <c r="AU287" s="330"/>
      <c r="AV287" s="330"/>
      <c r="AW287" s="330"/>
      <c r="AX287" s="330"/>
      <c r="AY287" s="330"/>
      <c r="AZ287" s="330"/>
      <c r="BA287" s="330"/>
      <c r="BB287" s="330"/>
      <c r="BC287" s="330"/>
      <c r="BD287" s="330"/>
      <c r="BE287" s="330"/>
      <c r="BF287" s="330"/>
    </row>
    <row r="288" spans="1:58">
      <c r="A288" s="330"/>
      <c r="B288" s="330"/>
      <c r="C288" s="330"/>
      <c r="D288" s="330"/>
      <c r="E288" s="330"/>
      <c r="F288" s="330"/>
      <c r="G288" s="330"/>
      <c r="H288" s="330"/>
      <c r="I288" s="330"/>
      <c r="J288" s="330"/>
      <c r="K288" s="330"/>
      <c r="L288" s="330"/>
      <c r="M288" s="330"/>
      <c r="N288" s="330"/>
      <c r="O288" s="330"/>
      <c r="P288" s="330"/>
      <c r="Q288" s="330"/>
      <c r="R288" s="330"/>
      <c r="S288" s="330"/>
      <c r="T288" s="330"/>
      <c r="U288" s="330"/>
      <c r="V288" s="330"/>
      <c r="W288" s="330"/>
      <c r="X288" s="330"/>
      <c r="Y288" s="330"/>
      <c r="Z288" s="330"/>
      <c r="AA288" s="330"/>
      <c r="AB288" s="330"/>
      <c r="AC288" s="330"/>
      <c r="AD288" s="330"/>
      <c r="AE288" s="330"/>
      <c r="AF288" s="330"/>
      <c r="AG288" s="330"/>
      <c r="AH288" s="330"/>
      <c r="AI288" s="330"/>
      <c r="AJ288" s="330"/>
      <c r="AK288" s="330"/>
      <c r="AL288" s="330"/>
      <c r="AM288" s="330"/>
      <c r="AN288" s="330"/>
      <c r="AO288" s="330"/>
      <c r="AP288" s="330"/>
      <c r="AQ288" s="330"/>
      <c r="AR288" s="330"/>
      <c r="AS288" s="330"/>
      <c r="AT288" s="330"/>
      <c r="AU288" s="330"/>
      <c r="AV288" s="330"/>
      <c r="AW288" s="330"/>
      <c r="AX288" s="330"/>
      <c r="AY288" s="330"/>
      <c r="AZ288" s="330"/>
      <c r="BA288" s="330"/>
      <c r="BB288" s="330"/>
      <c r="BC288" s="330"/>
      <c r="BD288" s="330"/>
      <c r="BE288" s="330"/>
      <c r="BF288" s="330"/>
    </row>
    <row r="289" spans="1:58">
      <c r="A289" s="330"/>
      <c r="B289" s="330"/>
      <c r="C289" s="330"/>
      <c r="D289" s="330"/>
      <c r="E289" s="330"/>
      <c r="F289" s="330"/>
      <c r="G289" s="330"/>
      <c r="H289" s="330"/>
      <c r="I289" s="330"/>
      <c r="J289" s="330"/>
      <c r="K289" s="330"/>
      <c r="L289" s="330"/>
      <c r="M289" s="330"/>
      <c r="N289" s="330"/>
      <c r="O289" s="330"/>
      <c r="P289" s="330"/>
      <c r="Q289" s="330"/>
      <c r="R289" s="330"/>
      <c r="S289" s="330"/>
      <c r="T289" s="330"/>
      <c r="U289" s="330"/>
      <c r="V289" s="330"/>
      <c r="W289" s="330"/>
      <c r="X289" s="330"/>
      <c r="Y289" s="330"/>
      <c r="Z289" s="330"/>
      <c r="AA289" s="330"/>
      <c r="AB289" s="330"/>
      <c r="AC289" s="330"/>
      <c r="AD289" s="330"/>
      <c r="AE289" s="330"/>
      <c r="AF289" s="330"/>
      <c r="AG289" s="330"/>
      <c r="AH289" s="330"/>
      <c r="AI289" s="330"/>
      <c r="AJ289" s="330"/>
      <c r="AK289" s="330"/>
      <c r="AL289" s="330"/>
      <c r="AM289" s="330"/>
      <c r="AN289" s="330"/>
      <c r="AO289" s="330"/>
      <c r="AP289" s="330"/>
      <c r="AQ289" s="330"/>
      <c r="AR289" s="330"/>
      <c r="AS289" s="330"/>
      <c r="AT289" s="330"/>
      <c r="AU289" s="330"/>
      <c r="AV289" s="330"/>
      <c r="AW289" s="330"/>
      <c r="AX289" s="330"/>
      <c r="AY289" s="330"/>
      <c r="AZ289" s="330"/>
      <c r="BA289" s="330"/>
      <c r="BB289" s="330"/>
      <c r="BC289" s="330"/>
      <c r="BD289" s="330"/>
      <c r="BE289" s="330"/>
      <c r="BF289" s="330"/>
    </row>
    <row r="290" spans="1:58">
      <c r="A290" s="330"/>
      <c r="B290" s="330"/>
      <c r="C290" s="330"/>
      <c r="D290" s="330"/>
      <c r="E290" s="330"/>
      <c r="F290" s="330"/>
      <c r="G290" s="330"/>
      <c r="H290" s="330"/>
      <c r="I290" s="330"/>
      <c r="J290" s="330"/>
      <c r="K290" s="330"/>
      <c r="L290" s="330"/>
      <c r="M290" s="330"/>
      <c r="N290" s="330"/>
      <c r="O290" s="330"/>
      <c r="P290" s="330"/>
      <c r="Q290" s="330"/>
      <c r="R290" s="330"/>
      <c r="S290" s="330"/>
      <c r="T290" s="330"/>
      <c r="U290" s="330"/>
      <c r="V290" s="330"/>
      <c r="W290" s="330"/>
      <c r="X290" s="330"/>
      <c r="Y290" s="330"/>
      <c r="Z290" s="330"/>
      <c r="AA290" s="330"/>
      <c r="AB290" s="330"/>
      <c r="AC290" s="330"/>
      <c r="AD290" s="330"/>
      <c r="AE290" s="330"/>
      <c r="AF290" s="330"/>
      <c r="AG290" s="330"/>
      <c r="AH290" s="330"/>
      <c r="AI290" s="330"/>
      <c r="AJ290" s="330"/>
      <c r="AK290" s="330"/>
      <c r="AL290" s="330"/>
      <c r="AM290" s="330"/>
      <c r="AN290" s="330"/>
      <c r="AO290" s="330"/>
      <c r="AP290" s="330"/>
      <c r="AQ290" s="330"/>
      <c r="AR290" s="330"/>
      <c r="AS290" s="330"/>
      <c r="AT290" s="330"/>
      <c r="AU290" s="330"/>
      <c r="AV290" s="330"/>
      <c r="AW290" s="330"/>
      <c r="AX290" s="330"/>
      <c r="AY290" s="330"/>
      <c r="AZ290" s="330"/>
      <c r="BA290" s="330"/>
      <c r="BB290" s="330"/>
      <c r="BC290" s="330"/>
      <c r="BD290" s="330"/>
      <c r="BE290" s="330"/>
      <c r="BF290" s="330"/>
    </row>
    <row r="291" spans="1:58">
      <c r="A291" s="330"/>
      <c r="B291" s="330"/>
      <c r="C291" s="330"/>
      <c r="D291" s="330"/>
      <c r="E291" s="330"/>
      <c r="F291" s="330"/>
      <c r="G291" s="330"/>
      <c r="H291" s="330"/>
      <c r="I291" s="330"/>
      <c r="J291" s="330"/>
      <c r="K291" s="330"/>
      <c r="L291" s="330"/>
      <c r="M291" s="330"/>
      <c r="N291" s="330"/>
      <c r="O291" s="330"/>
      <c r="P291" s="330"/>
      <c r="Q291" s="330"/>
      <c r="R291" s="330"/>
      <c r="S291" s="330"/>
      <c r="T291" s="330"/>
      <c r="U291" s="330"/>
      <c r="V291" s="330"/>
      <c r="W291" s="330"/>
      <c r="X291" s="330"/>
      <c r="Y291" s="330"/>
      <c r="Z291" s="330"/>
      <c r="AA291" s="330"/>
      <c r="AB291" s="330"/>
      <c r="AC291" s="330"/>
      <c r="AD291" s="330"/>
      <c r="AE291" s="330"/>
      <c r="AF291" s="330"/>
      <c r="AG291" s="330"/>
      <c r="AH291" s="330"/>
      <c r="AI291" s="330"/>
      <c r="AJ291" s="330"/>
      <c r="AK291" s="330"/>
      <c r="AL291" s="330"/>
      <c r="AM291" s="330"/>
      <c r="AN291" s="330"/>
      <c r="AO291" s="330"/>
      <c r="AP291" s="330"/>
      <c r="AQ291" s="330"/>
      <c r="AR291" s="330"/>
      <c r="AS291" s="330"/>
      <c r="AT291" s="330"/>
      <c r="AU291" s="330"/>
      <c r="AV291" s="330"/>
      <c r="AW291" s="330"/>
      <c r="AX291" s="330"/>
      <c r="AY291" s="330"/>
      <c r="AZ291" s="330"/>
      <c r="BA291" s="330"/>
      <c r="BB291" s="330"/>
      <c r="BC291" s="330"/>
      <c r="BD291" s="330"/>
      <c r="BE291" s="330"/>
      <c r="BF291" s="330"/>
    </row>
    <row r="292" spans="1:58">
      <c r="A292" s="330"/>
      <c r="B292" s="330"/>
      <c r="C292" s="330"/>
      <c r="D292" s="330"/>
      <c r="E292" s="330"/>
      <c r="F292" s="330"/>
      <c r="G292" s="330"/>
      <c r="H292" s="330"/>
      <c r="I292" s="330"/>
      <c r="J292" s="330"/>
      <c r="K292" s="330"/>
      <c r="L292" s="330"/>
      <c r="M292" s="330"/>
      <c r="N292" s="330"/>
      <c r="O292" s="330"/>
      <c r="P292" s="330"/>
      <c r="Q292" s="330"/>
      <c r="R292" s="330"/>
      <c r="S292" s="330"/>
      <c r="T292" s="330"/>
      <c r="U292" s="330"/>
      <c r="V292" s="330"/>
      <c r="W292" s="330"/>
      <c r="X292" s="330"/>
      <c r="Y292" s="330"/>
      <c r="Z292" s="330"/>
      <c r="AA292" s="330"/>
      <c r="AB292" s="330"/>
      <c r="AC292" s="330"/>
      <c r="AD292" s="330"/>
      <c r="AE292" s="330"/>
      <c r="AF292" s="330"/>
      <c r="AG292" s="330"/>
      <c r="AH292" s="330"/>
      <c r="AI292" s="330"/>
      <c r="AJ292" s="330"/>
      <c r="AK292" s="330"/>
      <c r="AL292" s="330"/>
      <c r="AM292" s="330"/>
      <c r="AN292" s="330"/>
      <c r="AO292" s="330"/>
      <c r="AP292" s="330"/>
      <c r="AQ292" s="330"/>
      <c r="AR292" s="330"/>
      <c r="AS292" s="330"/>
      <c r="AT292" s="330"/>
      <c r="AU292" s="330"/>
      <c r="AV292" s="330"/>
      <c r="AW292" s="330"/>
      <c r="AX292" s="330"/>
      <c r="AY292" s="330"/>
      <c r="AZ292" s="330"/>
      <c r="BA292" s="330"/>
      <c r="BB292" s="330"/>
      <c r="BC292" s="330"/>
      <c r="BD292" s="330"/>
      <c r="BE292" s="330"/>
      <c r="BF292" s="330"/>
    </row>
    <row r="293" spans="1:58">
      <c r="A293" s="330"/>
      <c r="B293" s="330"/>
      <c r="C293" s="330"/>
      <c r="D293" s="330"/>
      <c r="E293" s="330"/>
      <c r="F293" s="330"/>
      <c r="G293" s="330"/>
      <c r="H293" s="330"/>
      <c r="I293" s="330"/>
      <c r="J293" s="330"/>
      <c r="K293" s="330"/>
      <c r="L293" s="330"/>
      <c r="M293" s="330"/>
      <c r="N293" s="330"/>
      <c r="O293" s="330"/>
      <c r="P293" s="330"/>
      <c r="Q293" s="330"/>
      <c r="R293" s="330"/>
      <c r="S293" s="330"/>
      <c r="T293" s="330"/>
      <c r="U293" s="330"/>
      <c r="V293" s="330"/>
      <c r="W293" s="330"/>
      <c r="X293" s="330"/>
      <c r="Y293" s="330"/>
      <c r="Z293" s="330"/>
      <c r="AA293" s="330"/>
      <c r="AB293" s="330"/>
      <c r="AC293" s="330"/>
      <c r="AD293" s="330"/>
      <c r="AE293" s="330"/>
      <c r="AF293" s="330"/>
      <c r="AG293" s="330"/>
      <c r="AH293" s="330"/>
      <c r="AI293" s="330"/>
      <c r="AJ293" s="330"/>
      <c r="AK293" s="330"/>
      <c r="AL293" s="330"/>
      <c r="AM293" s="330"/>
      <c r="AN293" s="330"/>
      <c r="AO293" s="330"/>
      <c r="AP293" s="330"/>
      <c r="AQ293" s="330"/>
      <c r="AR293" s="330"/>
      <c r="AS293" s="330"/>
      <c r="AT293" s="330"/>
      <c r="AU293" s="330"/>
      <c r="AV293" s="330"/>
      <c r="AW293" s="330"/>
      <c r="AX293" s="330"/>
      <c r="AY293" s="330"/>
      <c r="AZ293" s="330"/>
      <c r="BA293" s="330"/>
      <c r="BB293" s="330"/>
      <c r="BC293" s="330"/>
      <c r="BD293" s="330"/>
      <c r="BE293" s="330"/>
      <c r="BF293" s="330"/>
    </row>
    <row r="294" spans="1:58">
      <c r="A294" s="330"/>
      <c r="B294" s="330"/>
      <c r="C294" s="330"/>
      <c r="D294" s="330"/>
      <c r="E294" s="330"/>
      <c r="F294" s="330"/>
      <c r="G294" s="330"/>
      <c r="H294" s="330"/>
      <c r="I294" s="330"/>
      <c r="J294" s="330"/>
      <c r="K294" s="330"/>
      <c r="L294" s="330"/>
      <c r="M294" s="330"/>
      <c r="N294" s="330"/>
      <c r="O294" s="330"/>
      <c r="P294" s="330"/>
      <c r="Q294" s="330"/>
      <c r="R294" s="330"/>
      <c r="S294" s="330"/>
      <c r="T294" s="330"/>
      <c r="U294" s="330"/>
      <c r="V294" s="330"/>
      <c r="W294" s="330"/>
      <c r="X294" s="330"/>
      <c r="Y294" s="330"/>
      <c r="Z294" s="330"/>
      <c r="AA294" s="330"/>
      <c r="AB294" s="330"/>
      <c r="AC294" s="330"/>
      <c r="AD294" s="330"/>
      <c r="AE294" s="330"/>
      <c r="AF294" s="330"/>
      <c r="AG294" s="330"/>
      <c r="AH294" s="330"/>
      <c r="AI294" s="330"/>
      <c r="AJ294" s="330"/>
      <c r="AK294" s="330"/>
      <c r="AL294" s="330"/>
      <c r="AM294" s="330"/>
      <c r="AN294" s="330"/>
      <c r="AO294" s="330"/>
      <c r="AP294" s="330"/>
      <c r="AQ294" s="330"/>
      <c r="AR294" s="330"/>
      <c r="AS294" s="330"/>
      <c r="AT294" s="330"/>
      <c r="AU294" s="330"/>
      <c r="AV294" s="330"/>
      <c r="AW294" s="330"/>
      <c r="AX294" s="330"/>
      <c r="AY294" s="330"/>
      <c r="AZ294" s="330"/>
      <c r="BA294" s="330"/>
      <c r="BB294" s="330"/>
      <c r="BC294" s="330"/>
      <c r="BD294" s="330"/>
      <c r="BE294" s="330"/>
      <c r="BF294" s="330"/>
    </row>
    <row r="295" spans="1:58">
      <c r="A295" s="330"/>
      <c r="B295" s="330"/>
      <c r="C295" s="330"/>
      <c r="D295" s="330"/>
      <c r="E295" s="330"/>
      <c r="F295" s="330"/>
      <c r="G295" s="330"/>
      <c r="H295" s="330"/>
      <c r="I295" s="330"/>
      <c r="J295" s="330"/>
      <c r="K295" s="330"/>
      <c r="L295" s="330"/>
      <c r="M295" s="330"/>
      <c r="N295" s="330"/>
      <c r="O295" s="330"/>
      <c r="P295" s="330"/>
      <c r="Q295" s="330"/>
      <c r="R295" s="330"/>
      <c r="S295" s="330"/>
      <c r="T295" s="330"/>
      <c r="U295" s="330"/>
      <c r="V295" s="330"/>
      <c r="W295" s="330"/>
      <c r="X295" s="330"/>
      <c r="Y295" s="330"/>
      <c r="Z295" s="330"/>
      <c r="AA295" s="330"/>
      <c r="AB295" s="330"/>
      <c r="AC295" s="330"/>
      <c r="AD295" s="330"/>
      <c r="AE295" s="330"/>
      <c r="AF295" s="330"/>
      <c r="AG295" s="330"/>
      <c r="AH295" s="330"/>
      <c r="AI295" s="330"/>
      <c r="AJ295" s="330"/>
      <c r="AK295" s="330"/>
      <c r="AL295" s="330"/>
      <c r="AM295" s="330"/>
      <c r="AN295" s="330"/>
      <c r="AO295" s="330"/>
      <c r="AP295" s="330"/>
      <c r="AQ295" s="330"/>
      <c r="AR295" s="330"/>
      <c r="AS295" s="330"/>
      <c r="AT295" s="330"/>
      <c r="AU295" s="330"/>
      <c r="AV295" s="330"/>
      <c r="AW295" s="330"/>
      <c r="AX295" s="330"/>
      <c r="AY295" s="330"/>
      <c r="AZ295" s="330"/>
      <c r="BA295" s="330"/>
      <c r="BB295" s="330"/>
      <c r="BC295" s="330"/>
      <c r="BD295" s="330"/>
      <c r="BE295" s="330"/>
      <c r="BF295" s="330"/>
    </row>
    <row r="296" spans="1:58">
      <c r="A296" s="330"/>
      <c r="B296" s="330"/>
      <c r="C296" s="330"/>
      <c r="D296" s="330"/>
      <c r="E296" s="330"/>
      <c r="F296" s="330"/>
      <c r="G296" s="330"/>
      <c r="H296" s="330"/>
      <c r="I296" s="330"/>
      <c r="J296" s="330"/>
      <c r="K296" s="330"/>
      <c r="L296" s="330"/>
      <c r="M296" s="330"/>
      <c r="N296" s="330"/>
      <c r="O296" s="330"/>
      <c r="P296" s="330"/>
      <c r="Q296" s="330"/>
      <c r="R296" s="330"/>
      <c r="S296" s="330"/>
      <c r="T296" s="330"/>
      <c r="U296" s="330"/>
      <c r="V296" s="330"/>
      <c r="W296" s="330"/>
      <c r="X296" s="330"/>
      <c r="Y296" s="330"/>
      <c r="Z296" s="330"/>
      <c r="AA296" s="330"/>
      <c r="AB296" s="330"/>
      <c r="AC296" s="330"/>
      <c r="AD296" s="330"/>
      <c r="AE296" s="330"/>
      <c r="AF296" s="330"/>
      <c r="AG296" s="330"/>
      <c r="AH296" s="330"/>
      <c r="AI296" s="330"/>
      <c r="AJ296" s="330"/>
      <c r="AK296" s="330"/>
      <c r="AL296" s="330"/>
      <c r="AM296" s="330"/>
      <c r="AN296" s="330"/>
      <c r="AO296" s="330"/>
      <c r="AP296" s="330"/>
      <c r="AQ296" s="330"/>
      <c r="AR296" s="330"/>
      <c r="AS296" s="330"/>
      <c r="AT296" s="330"/>
      <c r="AU296" s="330"/>
      <c r="AV296" s="330"/>
      <c r="AW296" s="330"/>
      <c r="AX296" s="330"/>
      <c r="AY296" s="330"/>
      <c r="AZ296" s="330"/>
      <c r="BA296" s="330"/>
      <c r="BB296" s="330"/>
      <c r="BC296" s="330"/>
      <c r="BD296" s="330"/>
      <c r="BE296" s="330"/>
      <c r="BF296" s="330"/>
    </row>
    <row r="297" spans="1:58">
      <c r="A297" s="330"/>
      <c r="B297" s="330"/>
      <c r="C297" s="330"/>
      <c r="D297" s="330"/>
      <c r="E297" s="330"/>
      <c r="F297" s="330"/>
      <c r="G297" s="330"/>
      <c r="H297" s="330"/>
      <c r="I297" s="330"/>
      <c r="J297" s="330"/>
      <c r="K297" s="330"/>
      <c r="L297" s="330"/>
      <c r="M297" s="330"/>
      <c r="N297" s="330"/>
      <c r="O297" s="330"/>
      <c r="P297" s="330"/>
      <c r="Q297" s="330"/>
      <c r="R297" s="330"/>
      <c r="S297" s="330"/>
      <c r="T297" s="330"/>
      <c r="U297" s="330"/>
      <c r="V297" s="330"/>
      <c r="W297" s="330"/>
      <c r="X297" s="330"/>
      <c r="Y297" s="330"/>
      <c r="Z297" s="330"/>
      <c r="AA297" s="330"/>
      <c r="AB297" s="330"/>
      <c r="AC297" s="330"/>
      <c r="AD297" s="330"/>
      <c r="AE297" s="330"/>
      <c r="AF297" s="330"/>
      <c r="AG297" s="330"/>
      <c r="AH297" s="330"/>
      <c r="AI297" s="330"/>
      <c r="AJ297" s="330"/>
      <c r="AK297" s="330"/>
      <c r="AL297" s="330"/>
      <c r="AM297" s="330"/>
      <c r="AN297" s="330"/>
      <c r="AO297" s="330"/>
      <c r="AP297" s="330"/>
      <c r="AQ297" s="330"/>
      <c r="AR297" s="330"/>
      <c r="AS297" s="330"/>
      <c r="AT297" s="330"/>
      <c r="AU297" s="330"/>
      <c r="AV297" s="330"/>
      <c r="AW297" s="330"/>
      <c r="AX297" s="330"/>
      <c r="AY297" s="330"/>
      <c r="AZ297" s="330"/>
      <c r="BA297" s="330"/>
      <c r="BB297" s="330"/>
      <c r="BC297" s="330"/>
      <c r="BD297" s="330"/>
      <c r="BE297" s="330"/>
      <c r="BF297" s="330"/>
    </row>
    <row r="298" spans="1:58">
      <c r="A298" s="330"/>
      <c r="B298" s="330"/>
      <c r="C298" s="330"/>
      <c r="D298" s="330"/>
      <c r="E298" s="330"/>
      <c r="F298" s="330"/>
      <c r="G298" s="330"/>
      <c r="H298" s="330"/>
      <c r="I298" s="330"/>
      <c r="J298" s="330"/>
      <c r="K298" s="330"/>
      <c r="L298" s="330"/>
      <c r="M298" s="330"/>
      <c r="N298" s="330"/>
      <c r="O298" s="330"/>
      <c r="P298" s="330"/>
      <c r="Q298" s="330"/>
      <c r="R298" s="330"/>
      <c r="S298" s="330"/>
      <c r="T298" s="330"/>
      <c r="U298" s="330"/>
      <c r="V298" s="330"/>
      <c r="W298" s="330"/>
      <c r="X298" s="330"/>
      <c r="Y298" s="330"/>
      <c r="Z298" s="330"/>
      <c r="AA298" s="330"/>
      <c r="AB298" s="330"/>
      <c r="AC298" s="330"/>
      <c r="AD298" s="330"/>
      <c r="AE298" s="330"/>
      <c r="AF298" s="330"/>
      <c r="AG298" s="330"/>
      <c r="AH298" s="330"/>
      <c r="AI298" s="330"/>
      <c r="AJ298" s="330"/>
      <c r="AK298" s="330"/>
      <c r="AL298" s="330"/>
      <c r="AM298" s="330"/>
      <c r="AN298" s="330"/>
      <c r="AO298" s="330"/>
      <c r="AP298" s="330"/>
      <c r="AQ298" s="330"/>
      <c r="AR298" s="330"/>
      <c r="AS298" s="330"/>
      <c r="AT298" s="330"/>
      <c r="AU298" s="330"/>
      <c r="AV298" s="330"/>
      <c r="AW298" s="330"/>
      <c r="AX298" s="330"/>
      <c r="AY298" s="330"/>
      <c r="AZ298" s="330"/>
      <c r="BA298" s="330"/>
      <c r="BB298" s="330"/>
      <c r="BC298" s="330"/>
      <c r="BD298" s="330"/>
      <c r="BE298" s="330"/>
      <c r="BF298" s="330"/>
    </row>
    <row r="299" spans="1:58">
      <c r="A299" s="330"/>
      <c r="B299" s="330"/>
      <c r="C299" s="330"/>
      <c r="D299" s="330"/>
      <c r="E299" s="330"/>
      <c r="F299" s="330"/>
      <c r="G299" s="330"/>
      <c r="H299" s="330"/>
      <c r="I299" s="330"/>
      <c r="J299" s="330"/>
      <c r="K299" s="330"/>
      <c r="L299" s="330"/>
      <c r="M299" s="330"/>
      <c r="N299" s="330"/>
      <c r="O299" s="330"/>
      <c r="P299" s="330"/>
      <c r="Q299" s="330"/>
      <c r="R299" s="330"/>
      <c r="S299" s="330"/>
      <c r="T299" s="330"/>
      <c r="U299" s="330"/>
      <c r="V299" s="330"/>
      <c r="W299" s="330"/>
      <c r="X299" s="330"/>
      <c r="Y299" s="330"/>
      <c r="Z299" s="330"/>
      <c r="AA299" s="330"/>
      <c r="AB299" s="330"/>
      <c r="AC299" s="330"/>
      <c r="AD299" s="330"/>
      <c r="AE299" s="330"/>
      <c r="AF299" s="330"/>
      <c r="AG299" s="330"/>
      <c r="AH299" s="330"/>
      <c r="AI299" s="330"/>
      <c r="AJ299" s="330"/>
      <c r="AK299" s="330"/>
      <c r="AL299" s="330"/>
      <c r="AM299" s="330"/>
      <c r="AN299" s="330"/>
      <c r="AO299" s="330"/>
      <c r="AP299" s="330"/>
      <c r="AQ299" s="330"/>
      <c r="AR299" s="330"/>
      <c r="AS299" s="330"/>
      <c r="AT299" s="330"/>
      <c r="AU299" s="330"/>
      <c r="AV299" s="330"/>
      <c r="AW299" s="330"/>
      <c r="AX299" s="330"/>
      <c r="AY299" s="330"/>
      <c r="AZ299" s="330"/>
      <c r="BA299" s="330"/>
      <c r="BB299" s="330"/>
      <c r="BC299" s="330"/>
      <c r="BD299" s="330"/>
      <c r="BE299" s="330"/>
      <c r="BF299" s="330"/>
    </row>
    <row r="300" spans="1:58">
      <c r="A300" s="330"/>
      <c r="B300" s="330"/>
      <c r="C300" s="330"/>
      <c r="D300" s="330"/>
      <c r="E300" s="330"/>
      <c r="F300" s="330"/>
      <c r="G300" s="330"/>
      <c r="H300" s="330"/>
      <c r="I300" s="330"/>
      <c r="J300" s="330"/>
      <c r="K300" s="330"/>
      <c r="L300" s="330"/>
      <c r="M300" s="330"/>
      <c r="N300" s="330"/>
      <c r="O300" s="330"/>
      <c r="P300" s="330"/>
      <c r="Q300" s="330"/>
      <c r="R300" s="330"/>
      <c r="S300" s="330"/>
      <c r="T300" s="330"/>
      <c r="U300" s="330"/>
      <c r="V300" s="330"/>
      <c r="W300" s="330"/>
      <c r="X300" s="330"/>
      <c r="Y300" s="330"/>
      <c r="Z300" s="330"/>
      <c r="AA300" s="330"/>
      <c r="AB300" s="330"/>
      <c r="AC300" s="330"/>
      <c r="AD300" s="330"/>
      <c r="AE300" s="330"/>
      <c r="AF300" s="330"/>
      <c r="AG300" s="330"/>
      <c r="AH300" s="330"/>
      <c r="AI300" s="330"/>
      <c r="AJ300" s="330"/>
      <c r="AK300" s="330"/>
      <c r="AL300" s="330"/>
      <c r="AM300" s="330"/>
      <c r="AN300" s="330"/>
      <c r="AO300" s="330"/>
      <c r="AP300" s="330"/>
      <c r="AQ300" s="330"/>
      <c r="AR300" s="330"/>
      <c r="AS300" s="330"/>
      <c r="AT300" s="330"/>
      <c r="AU300" s="330"/>
      <c r="AV300" s="330"/>
      <c r="AW300" s="330"/>
      <c r="AX300" s="330"/>
      <c r="AY300" s="330"/>
      <c r="AZ300" s="330"/>
      <c r="BA300" s="330"/>
      <c r="BB300" s="330"/>
      <c r="BC300" s="330"/>
      <c r="BD300" s="330"/>
      <c r="BE300" s="330"/>
      <c r="BF300" s="330"/>
    </row>
    <row r="301" spans="1:58">
      <c r="A301" s="330"/>
      <c r="B301" s="330"/>
      <c r="C301" s="330"/>
      <c r="D301" s="330"/>
      <c r="E301" s="330"/>
      <c r="F301" s="330"/>
      <c r="G301" s="330"/>
      <c r="H301" s="330"/>
      <c r="I301" s="330"/>
      <c r="J301" s="330"/>
      <c r="K301" s="330"/>
      <c r="L301" s="330"/>
      <c r="M301" s="330"/>
      <c r="N301" s="330"/>
      <c r="O301" s="330"/>
      <c r="P301" s="330"/>
      <c r="Q301" s="330"/>
      <c r="R301" s="330"/>
      <c r="S301" s="330"/>
      <c r="T301" s="330"/>
      <c r="U301" s="330"/>
      <c r="V301" s="330"/>
      <c r="W301" s="330"/>
      <c r="X301" s="330"/>
      <c r="Y301" s="330"/>
      <c r="Z301" s="330"/>
      <c r="AA301" s="330"/>
      <c r="AB301" s="330"/>
      <c r="AC301" s="330"/>
      <c r="AD301" s="330"/>
      <c r="AE301" s="330"/>
      <c r="AF301" s="330"/>
      <c r="AG301" s="330"/>
      <c r="AH301" s="330"/>
      <c r="AI301" s="330"/>
      <c r="AJ301" s="330"/>
      <c r="AK301" s="330"/>
      <c r="AL301" s="330"/>
      <c r="AM301" s="330"/>
      <c r="AN301" s="330"/>
      <c r="AO301" s="330"/>
      <c r="AP301" s="330"/>
      <c r="AQ301" s="330"/>
      <c r="AR301" s="330"/>
      <c r="AS301" s="330"/>
      <c r="AT301" s="330"/>
      <c r="AU301" s="330"/>
      <c r="AV301" s="330"/>
      <c r="AW301" s="330"/>
      <c r="AX301" s="330"/>
      <c r="AY301" s="330"/>
      <c r="AZ301" s="330"/>
      <c r="BA301" s="330"/>
      <c r="BB301" s="330"/>
      <c r="BC301" s="330"/>
      <c r="BD301" s="330"/>
      <c r="BE301" s="330"/>
      <c r="BF301" s="330"/>
    </row>
    <row r="302" spans="1:58">
      <c r="A302" s="330"/>
      <c r="B302" s="330"/>
      <c r="C302" s="330"/>
      <c r="D302" s="330"/>
      <c r="E302" s="330"/>
      <c r="F302" s="330"/>
      <c r="G302" s="330"/>
      <c r="H302" s="330"/>
      <c r="I302" s="330"/>
      <c r="J302" s="330"/>
      <c r="K302" s="330"/>
      <c r="L302" s="330"/>
      <c r="M302" s="330"/>
      <c r="N302" s="330"/>
      <c r="O302" s="330"/>
      <c r="P302" s="330"/>
      <c r="Q302" s="330"/>
      <c r="R302" s="330"/>
      <c r="S302" s="330"/>
      <c r="T302" s="330"/>
      <c r="U302" s="330"/>
      <c r="V302" s="330"/>
      <c r="W302" s="330"/>
      <c r="X302" s="330"/>
      <c r="Y302" s="330"/>
      <c r="Z302" s="330"/>
      <c r="AA302" s="330"/>
      <c r="AB302" s="330"/>
      <c r="AC302" s="330"/>
      <c r="AD302" s="330"/>
      <c r="AE302" s="330"/>
      <c r="AF302" s="330"/>
      <c r="AG302" s="330"/>
      <c r="AH302" s="330"/>
      <c r="AI302" s="330"/>
      <c r="AJ302" s="330"/>
      <c r="AK302" s="330"/>
      <c r="AL302" s="330"/>
      <c r="AM302" s="330"/>
      <c r="AN302" s="330"/>
      <c r="AO302" s="330"/>
      <c r="AP302" s="330"/>
      <c r="AQ302" s="330"/>
      <c r="AR302" s="330"/>
      <c r="AS302" s="330"/>
      <c r="AT302" s="330"/>
      <c r="AU302" s="330"/>
      <c r="AV302" s="330"/>
      <c r="AW302" s="330"/>
      <c r="AX302" s="330"/>
      <c r="AY302" s="330"/>
      <c r="AZ302" s="330"/>
      <c r="BA302" s="330"/>
      <c r="BB302" s="330"/>
      <c r="BC302" s="330"/>
      <c r="BD302" s="330"/>
      <c r="BE302" s="330"/>
      <c r="BF302" s="330"/>
    </row>
    <row r="303" spans="1:58">
      <c r="A303" s="330"/>
      <c r="B303" s="330"/>
      <c r="C303" s="330"/>
      <c r="D303" s="330"/>
      <c r="E303" s="330"/>
      <c r="F303" s="330"/>
      <c r="G303" s="330"/>
      <c r="H303" s="330"/>
      <c r="I303" s="330"/>
      <c r="J303" s="330"/>
      <c r="K303" s="330"/>
      <c r="L303" s="330"/>
      <c r="M303" s="330"/>
      <c r="N303" s="330"/>
      <c r="O303" s="330"/>
      <c r="P303" s="330"/>
      <c r="Q303" s="330"/>
      <c r="R303" s="330"/>
      <c r="S303" s="330"/>
      <c r="T303" s="330"/>
      <c r="U303" s="330"/>
      <c r="V303" s="330"/>
      <c r="W303" s="330"/>
      <c r="X303" s="330"/>
      <c r="Y303" s="330"/>
      <c r="Z303" s="330"/>
      <c r="AA303" s="330"/>
      <c r="AB303" s="330"/>
      <c r="AC303" s="330"/>
      <c r="AD303" s="330"/>
      <c r="AE303" s="330"/>
      <c r="AF303" s="330"/>
      <c r="AG303" s="330"/>
      <c r="AH303" s="330"/>
      <c r="AI303" s="330"/>
      <c r="AJ303" s="330"/>
      <c r="AK303" s="330"/>
      <c r="AL303" s="330"/>
      <c r="AM303" s="330"/>
      <c r="AN303" s="330"/>
      <c r="AO303" s="330"/>
      <c r="AP303" s="330"/>
      <c r="AQ303" s="330"/>
      <c r="AR303" s="330"/>
      <c r="AS303" s="330"/>
      <c r="AT303" s="330"/>
      <c r="AU303" s="330"/>
      <c r="AV303" s="330"/>
      <c r="AW303" s="330"/>
      <c r="AX303" s="330"/>
      <c r="AY303" s="330"/>
      <c r="AZ303" s="330"/>
      <c r="BA303" s="330"/>
      <c r="BB303" s="330"/>
      <c r="BC303" s="330"/>
      <c r="BD303" s="330"/>
      <c r="BE303" s="330"/>
      <c r="BF303" s="330"/>
    </row>
    <row r="304" spans="1:58">
      <c r="A304" s="330"/>
      <c r="B304" s="330"/>
      <c r="C304" s="330"/>
      <c r="D304" s="330"/>
      <c r="E304" s="330"/>
      <c r="F304" s="330"/>
      <c r="G304" s="330"/>
      <c r="H304" s="330"/>
      <c r="I304" s="330"/>
      <c r="J304" s="330"/>
      <c r="K304" s="330"/>
      <c r="L304" s="330"/>
      <c r="M304" s="330"/>
      <c r="N304" s="330"/>
      <c r="O304" s="330"/>
      <c r="P304" s="330"/>
      <c r="Q304" s="330"/>
      <c r="R304" s="330"/>
      <c r="S304" s="330"/>
      <c r="T304" s="330"/>
      <c r="U304" s="330"/>
      <c r="V304" s="330"/>
      <c r="W304" s="330"/>
      <c r="X304" s="330"/>
      <c r="Y304" s="330"/>
      <c r="Z304" s="330"/>
      <c r="AA304" s="330"/>
      <c r="AB304" s="330"/>
      <c r="AC304" s="330"/>
      <c r="AD304" s="330"/>
      <c r="AE304" s="330"/>
      <c r="AF304" s="330"/>
      <c r="AG304" s="330"/>
      <c r="AH304" s="330"/>
      <c r="AI304" s="330"/>
      <c r="AJ304" s="330"/>
      <c r="AK304" s="330"/>
      <c r="AL304" s="330"/>
      <c r="AM304" s="330"/>
      <c r="AN304" s="330"/>
      <c r="AO304" s="330"/>
      <c r="AP304" s="330"/>
      <c r="AQ304" s="330"/>
      <c r="AR304" s="330"/>
      <c r="AS304" s="330"/>
      <c r="AT304" s="330"/>
      <c r="AU304" s="330"/>
      <c r="AV304" s="330"/>
      <c r="AW304" s="330"/>
      <c r="AX304" s="330"/>
      <c r="AY304" s="330"/>
      <c r="AZ304" s="330"/>
      <c r="BA304" s="330"/>
      <c r="BB304" s="330"/>
      <c r="BC304" s="330"/>
      <c r="BD304" s="330"/>
      <c r="BE304" s="330"/>
      <c r="BF304" s="330"/>
    </row>
    <row r="305" spans="1:58">
      <c r="A305" s="330"/>
      <c r="B305" s="330"/>
      <c r="C305" s="330"/>
      <c r="D305" s="330"/>
      <c r="E305" s="330"/>
      <c r="F305" s="330"/>
      <c r="G305" s="330"/>
      <c r="H305" s="330"/>
      <c r="I305" s="330"/>
      <c r="J305" s="330"/>
      <c r="K305" s="330"/>
      <c r="L305" s="330"/>
      <c r="M305" s="330"/>
      <c r="N305" s="330"/>
      <c r="O305" s="330"/>
      <c r="P305" s="330"/>
      <c r="Q305" s="330"/>
      <c r="R305" s="330"/>
      <c r="S305" s="330"/>
      <c r="T305" s="330"/>
      <c r="U305" s="330"/>
      <c r="V305" s="330"/>
      <c r="W305" s="330"/>
      <c r="X305" s="330"/>
      <c r="Y305" s="330"/>
      <c r="Z305" s="330"/>
      <c r="AA305" s="330"/>
      <c r="AB305" s="330"/>
      <c r="AC305" s="330"/>
      <c r="AD305" s="330"/>
      <c r="AE305" s="330"/>
      <c r="AF305" s="330"/>
      <c r="AG305" s="330"/>
      <c r="AH305" s="330"/>
      <c r="AI305" s="330"/>
      <c r="AJ305" s="330"/>
      <c r="AK305" s="330"/>
      <c r="AL305" s="330"/>
      <c r="AM305" s="330"/>
      <c r="AN305" s="330"/>
      <c r="AO305" s="330"/>
      <c r="AP305" s="330"/>
      <c r="AQ305" s="330"/>
      <c r="AR305" s="330"/>
      <c r="AS305" s="330"/>
      <c r="AT305" s="330"/>
      <c r="AU305" s="330"/>
      <c r="AV305" s="330"/>
      <c r="AW305" s="330"/>
      <c r="AX305" s="330"/>
      <c r="AY305" s="330"/>
      <c r="AZ305" s="330"/>
      <c r="BA305" s="330"/>
      <c r="BB305" s="330"/>
      <c r="BC305" s="330"/>
      <c r="BD305" s="330"/>
      <c r="BE305" s="330"/>
      <c r="BF305" s="330"/>
    </row>
    <row r="306" spans="1:58">
      <c r="A306" s="330"/>
      <c r="B306" s="330"/>
      <c r="C306" s="330"/>
      <c r="D306" s="330"/>
      <c r="E306" s="330"/>
      <c r="F306" s="330"/>
      <c r="G306" s="330"/>
      <c r="H306" s="330"/>
      <c r="I306" s="330"/>
      <c r="J306" s="330"/>
      <c r="K306" s="330"/>
      <c r="L306" s="330"/>
      <c r="M306" s="330"/>
      <c r="N306" s="330"/>
      <c r="O306" s="330"/>
      <c r="P306" s="330"/>
      <c r="Q306" s="330"/>
      <c r="R306" s="330"/>
      <c r="S306" s="330"/>
      <c r="T306" s="330"/>
      <c r="U306" s="330"/>
      <c r="V306" s="330"/>
      <c r="W306" s="330"/>
      <c r="X306" s="330"/>
      <c r="Y306" s="330"/>
      <c r="Z306" s="330"/>
      <c r="AA306" s="330"/>
      <c r="AB306" s="330"/>
      <c r="AC306" s="330"/>
      <c r="AD306" s="330"/>
      <c r="AE306" s="330"/>
      <c r="AF306" s="330"/>
      <c r="AG306" s="330"/>
      <c r="AH306" s="330"/>
      <c r="AI306" s="330"/>
      <c r="AJ306" s="330"/>
      <c r="AK306" s="330"/>
      <c r="AL306" s="330"/>
      <c r="AM306" s="330"/>
      <c r="AN306" s="330"/>
      <c r="AO306" s="330"/>
      <c r="AP306" s="330"/>
      <c r="AQ306" s="330"/>
      <c r="AR306" s="330"/>
      <c r="AS306" s="330"/>
      <c r="AT306" s="330"/>
      <c r="AU306" s="330"/>
      <c r="AV306" s="330"/>
      <c r="AW306" s="330"/>
      <c r="AX306" s="330"/>
      <c r="AY306" s="330"/>
      <c r="AZ306" s="330"/>
      <c r="BA306" s="330"/>
      <c r="BB306" s="330"/>
      <c r="BC306" s="330"/>
      <c r="BD306" s="330"/>
      <c r="BE306" s="330"/>
      <c r="BF306" s="330"/>
    </row>
    <row r="307" spans="1:58">
      <c r="A307" s="330"/>
      <c r="B307" s="330"/>
      <c r="C307" s="330"/>
      <c r="D307" s="330"/>
      <c r="E307" s="330"/>
      <c r="F307" s="330"/>
      <c r="G307" s="330"/>
      <c r="H307" s="330"/>
      <c r="I307" s="330"/>
      <c r="J307" s="330"/>
      <c r="K307" s="330"/>
      <c r="L307" s="330"/>
      <c r="M307" s="330"/>
      <c r="N307" s="330"/>
      <c r="O307" s="330"/>
      <c r="P307" s="330"/>
      <c r="Q307" s="330"/>
      <c r="R307" s="330"/>
      <c r="S307" s="330"/>
      <c r="T307" s="330"/>
      <c r="U307" s="330"/>
      <c r="V307" s="330"/>
      <c r="W307" s="330"/>
      <c r="X307" s="330"/>
      <c r="Y307" s="330"/>
      <c r="Z307" s="330"/>
      <c r="AA307" s="330"/>
      <c r="AB307" s="330"/>
      <c r="AC307" s="330"/>
      <c r="AD307" s="330"/>
      <c r="AE307" s="330"/>
      <c r="AF307" s="330"/>
      <c r="AG307" s="330"/>
      <c r="AH307" s="330"/>
      <c r="AI307" s="330"/>
      <c r="AJ307" s="330"/>
      <c r="AK307" s="330"/>
      <c r="AL307" s="330"/>
      <c r="AM307" s="330"/>
      <c r="AN307" s="330"/>
      <c r="AO307" s="330"/>
      <c r="AP307" s="330"/>
      <c r="AQ307" s="330"/>
      <c r="AR307" s="330"/>
      <c r="AS307" s="330"/>
      <c r="AT307" s="330"/>
      <c r="AU307" s="330"/>
      <c r="AV307" s="330"/>
      <c r="AW307" s="330"/>
      <c r="AX307" s="330"/>
      <c r="AY307" s="330"/>
      <c r="AZ307" s="330"/>
      <c r="BA307" s="330"/>
      <c r="BB307" s="330"/>
      <c r="BC307" s="330"/>
      <c r="BD307" s="330"/>
      <c r="BE307" s="330"/>
      <c r="BF307" s="330"/>
    </row>
    <row r="308" spans="1:58">
      <c r="A308" s="330"/>
      <c r="B308" s="330"/>
      <c r="C308" s="330"/>
      <c r="D308" s="330"/>
      <c r="E308" s="330"/>
      <c r="F308" s="330"/>
      <c r="G308" s="330"/>
      <c r="H308" s="330"/>
      <c r="I308" s="330"/>
      <c r="J308" s="330"/>
      <c r="K308" s="330"/>
      <c r="L308" s="330"/>
      <c r="M308" s="330"/>
      <c r="N308" s="330"/>
      <c r="O308" s="330"/>
      <c r="P308" s="330"/>
      <c r="Q308" s="330"/>
      <c r="R308" s="330"/>
      <c r="S308" s="330"/>
      <c r="T308" s="330"/>
      <c r="U308" s="330"/>
      <c r="V308" s="330"/>
      <c r="W308" s="330"/>
      <c r="X308" s="330"/>
      <c r="Y308" s="330"/>
      <c r="Z308" s="330"/>
      <c r="AA308" s="330"/>
      <c r="AB308" s="330"/>
      <c r="AC308" s="330"/>
      <c r="AD308" s="330"/>
      <c r="AE308" s="330"/>
      <c r="AF308" s="330"/>
      <c r="AG308" s="330"/>
      <c r="AH308" s="330"/>
      <c r="AI308" s="330"/>
      <c r="AJ308" s="330"/>
      <c r="AK308" s="330"/>
      <c r="AL308" s="330"/>
      <c r="AM308" s="330"/>
      <c r="AN308" s="330"/>
      <c r="AO308" s="330"/>
      <c r="AP308" s="330"/>
      <c r="AQ308" s="330"/>
      <c r="AR308" s="330"/>
      <c r="AS308" s="330"/>
      <c r="AT308" s="330"/>
      <c r="AU308" s="330"/>
      <c r="AV308" s="330"/>
      <c r="AW308" s="330"/>
      <c r="AX308" s="330"/>
      <c r="AY308" s="330"/>
      <c r="AZ308" s="330"/>
      <c r="BA308" s="330"/>
      <c r="BB308" s="330"/>
      <c r="BC308" s="330"/>
      <c r="BD308" s="330"/>
      <c r="BE308" s="330"/>
      <c r="BF308" s="330"/>
    </row>
    <row r="309" spans="1:58">
      <c r="A309" s="330"/>
      <c r="B309" s="330"/>
      <c r="C309" s="330"/>
      <c r="D309" s="330"/>
      <c r="E309" s="330"/>
      <c r="F309" s="330"/>
      <c r="G309" s="330"/>
      <c r="H309" s="330"/>
      <c r="I309" s="330"/>
      <c r="J309" s="330"/>
      <c r="K309" s="330"/>
      <c r="L309" s="330"/>
      <c r="M309" s="330"/>
      <c r="N309" s="330"/>
      <c r="O309" s="330"/>
      <c r="P309" s="330"/>
      <c r="Q309" s="330"/>
      <c r="R309" s="330"/>
      <c r="S309" s="330"/>
      <c r="T309" s="330"/>
      <c r="U309" s="330"/>
      <c r="V309" s="330"/>
      <c r="W309" s="330"/>
      <c r="X309" s="330"/>
      <c r="Y309" s="330"/>
      <c r="Z309" s="330"/>
      <c r="AA309" s="330"/>
      <c r="AB309" s="330"/>
      <c r="AC309" s="330"/>
      <c r="AD309" s="330"/>
      <c r="AE309" s="330"/>
      <c r="AF309" s="330"/>
      <c r="AG309" s="330"/>
      <c r="AH309" s="330"/>
      <c r="AI309" s="330"/>
      <c r="AJ309" s="330"/>
      <c r="AK309" s="330"/>
      <c r="AL309" s="330"/>
      <c r="AM309" s="330"/>
      <c r="AN309" s="330"/>
      <c r="AO309" s="330"/>
      <c r="AP309" s="330"/>
      <c r="AQ309" s="330"/>
      <c r="AR309" s="330"/>
      <c r="AS309" s="330"/>
      <c r="AT309" s="330"/>
      <c r="AU309" s="330"/>
      <c r="AV309" s="330"/>
      <c r="AW309" s="330"/>
      <c r="AX309" s="330"/>
      <c r="AY309" s="330"/>
      <c r="AZ309" s="330"/>
      <c r="BA309" s="330"/>
      <c r="BB309" s="330"/>
      <c r="BC309" s="330"/>
      <c r="BD309" s="330"/>
      <c r="BE309" s="330"/>
      <c r="BF309" s="330"/>
    </row>
    <row r="310" spans="1:58">
      <c r="A310" s="330"/>
      <c r="B310" s="330"/>
      <c r="C310" s="330"/>
      <c r="D310" s="330"/>
      <c r="E310" s="330"/>
      <c r="F310" s="330"/>
      <c r="G310" s="330"/>
      <c r="H310" s="330"/>
      <c r="I310" s="330"/>
      <c r="J310" s="330"/>
      <c r="K310" s="330"/>
      <c r="L310" s="330"/>
      <c r="M310" s="330"/>
      <c r="N310" s="330"/>
      <c r="O310" s="330"/>
      <c r="P310" s="330"/>
      <c r="Q310" s="330"/>
      <c r="R310" s="330"/>
      <c r="S310" s="330"/>
      <c r="T310" s="330"/>
      <c r="U310" s="330"/>
      <c r="V310" s="330"/>
      <c r="W310" s="330"/>
      <c r="X310" s="330"/>
      <c r="Y310" s="330"/>
      <c r="Z310" s="330"/>
      <c r="AA310" s="330"/>
      <c r="AB310" s="330"/>
      <c r="AC310" s="330"/>
      <c r="AD310" s="330"/>
      <c r="AE310" s="330"/>
      <c r="AF310" s="330"/>
      <c r="AG310" s="330"/>
      <c r="AH310" s="330"/>
      <c r="AI310" s="330"/>
      <c r="AJ310" s="330"/>
      <c r="AK310" s="330"/>
      <c r="AL310" s="330"/>
      <c r="AM310" s="330"/>
      <c r="AN310" s="330"/>
      <c r="AO310" s="330"/>
      <c r="AP310" s="330"/>
      <c r="AQ310" s="330"/>
      <c r="AR310" s="330"/>
      <c r="AS310" s="330"/>
      <c r="AT310" s="330"/>
      <c r="AU310" s="330"/>
      <c r="AV310" s="330"/>
      <c r="AW310" s="330"/>
      <c r="AX310" s="330"/>
      <c r="AY310" s="330"/>
      <c r="AZ310" s="330"/>
      <c r="BA310" s="330"/>
      <c r="BB310" s="330"/>
      <c r="BC310" s="330"/>
      <c r="BD310" s="330"/>
      <c r="BE310" s="330"/>
      <c r="BF310" s="330"/>
    </row>
    <row r="311" spans="1:58">
      <c r="A311" s="330"/>
      <c r="B311" s="330"/>
      <c r="C311" s="330"/>
      <c r="D311" s="330"/>
      <c r="E311" s="330"/>
      <c r="F311" s="330"/>
      <c r="G311" s="330"/>
      <c r="H311" s="330"/>
      <c r="I311" s="330"/>
      <c r="J311" s="330"/>
      <c r="K311" s="330"/>
      <c r="L311" s="330"/>
      <c r="M311" s="330"/>
      <c r="N311" s="330"/>
      <c r="O311" s="330"/>
      <c r="P311" s="330"/>
      <c r="Q311" s="330"/>
      <c r="R311" s="330"/>
      <c r="S311" s="330"/>
      <c r="T311" s="330"/>
      <c r="U311" s="330"/>
      <c r="V311" s="330"/>
      <c r="W311" s="330"/>
      <c r="X311" s="330"/>
      <c r="Y311" s="330"/>
      <c r="Z311" s="330"/>
      <c r="AA311" s="330"/>
      <c r="AB311" s="330"/>
      <c r="AC311" s="330"/>
      <c r="AD311" s="330"/>
      <c r="AE311" s="330"/>
      <c r="AF311" s="330"/>
      <c r="AG311" s="330"/>
      <c r="AH311" s="330"/>
      <c r="AI311" s="330"/>
      <c r="AJ311" s="330"/>
      <c r="AK311" s="330"/>
      <c r="AL311" s="330"/>
      <c r="AM311" s="330"/>
      <c r="AN311" s="330"/>
      <c r="AO311" s="330"/>
      <c r="AP311" s="330"/>
      <c r="AQ311" s="330"/>
      <c r="AR311" s="330"/>
      <c r="AS311" s="330"/>
      <c r="AT311" s="330"/>
      <c r="AU311" s="330"/>
      <c r="AV311" s="330"/>
      <c r="AW311" s="330"/>
      <c r="AX311" s="330"/>
      <c r="AY311" s="330"/>
      <c r="AZ311" s="330"/>
      <c r="BA311" s="330"/>
      <c r="BB311" s="330"/>
      <c r="BC311" s="330"/>
      <c r="BD311" s="330"/>
      <c r="BE311" s="330"/>
      <c r="BF311" s="330"/>
    </row>
    <row r="312" spans="1:58">
      <c r="A312" s="330"/>
      <c r="B312" s="330"/>
      <c r="C312" s="330"/>
      <c r="D312" s="330"/>
      <c r="E312" s="330"/>
      <c r="F312" s="330"/>
      <c r="G312" s="330"/>
      <c r="H312" s="330"/>
      <c r="I312" s="330"/>
      <c r="J312" s="330"/>
      <c r="K312" s="330"/>
      <c r="L312" s="330"/>
      <c r="M312" s="330"/>
      <c r="N312" s="330"/>
      <c r="O312" s="330"/>
      <c r="P312" s="330"/>
      <c r="Q312" s="330"/>
      <c r="R312" s="330"/>
      <c r="S312" s="330"/>
      <c r="T312" s="330"/>
      <c r="U312" s="330"/>
      <c r="V312" s="330"/>
      <c r="W312" s="330"/>
      <c r="X312" s="330"/>
      <c r="Y312" s="330"/>
      <c r="Z312" s="330"/>
      <c r="AA312" s="330"/>
      <c r="AB312" s="330"/>
      <c r="AC312" s="330"/>
      <c r="AD312" s="330"/>
      <c r="AE312" s="330"/>
      <c r="AF312" s="330"/>
      <c r="AG312" s="330"/>
      <c r="AH312" s="330"/>
      <c r="AI312" s="330"/>
      <c r="AJ312" s="330"/>
      <c r="AK312" s="330"/>
      <c r="AL312" s="330"/>
      <c r="AM312" s="330"/>
      <c r="AN312" s="330"/>
      <c r="AO312" s="330"/>
      <c r="AP312" s="330"/>
      <c r="AQ312" s="330"/>
      <c r="AR312" s="330"/>
      <c r="AS312" s="330"/>
      <c r="AT312" s="330"/>
      <c r="AU312" s="330"/>
      <c r="AV312" s="330"/>
      <c r="AW312" s="330"/>
      <c r="AX312" s="330"/>
      <c r="AY312" s="330"/>
      <c r="AZ312" s="330"/>
      <c r="BA312" s="330"/>
      <c r="BB312" s="330"/>
      <c r="BC312" s="330"/>
      <c r="BD312" s="330"/>
      <c r="BE312" s="330"/>
      <c r="BF312" s="330"/>
    </row>
    <row r="313" spans="1:58">
      <c r="A313" s="330"/>
      <c r="B313" s="330"/>
      <c r="C313" s="330"/>
      <c r="D313" s="330"/>
      <c r="E313" s="330"/>
      <c r="F313" s="330"/>
      <c r="G313" s="330"/>
      <c r="H313" s="330"/>
      <c r="I313" s="330"/>
      <c r="J313" s="330"/>
      <c r="K313" s="330"/>
      <c r="L313" s="330"/>
      <c r="M313" s="330"/>
      <c r="N313" s="330"/>
      <c r="O313" s="330"/>
      <c r="P313" s="330"/>
      <c r="Q313" s="330"/>
      <c r="R313" s="330"/>
      <c r="S313" s="330"/>
      <c r="T313" s="330"/>
      <c r="U313" s="330"/>
      <c r="V313" s="330"/>
      <c r="W313" s="330"/>
      <c r="X313" s="330"/>
      <c r="Y313" s="330"/>
      <c r="Z313" s="330"/>
      <c r="AA313" s="330"/>
      <c r="AB313" s="330"/>
      <c r="AC313" s="330"/>
      <c r="AD313" s="330"/>
      <c r="AE313" s="330"/>
      <c r="AF313" s="330"/>
      <c r="AG313" s="330"/>
      <c r="AH313" s="330"/>
      <c r="AI313" s="330"/>
      <c r="AJ313" s="330"/>
      <c r="AK313" s="330"/>
      <c r="AL313" s="330"/>
      <c r="AM313" s="330"/>
      <c r="AN313" s="330"/>
      <c r="AO313" s="330"/>
      <c r="AP313" s="330"/>
      <c r="AQ313" s="330"/>
      <c r="AR313" s="330"/>
      <c r="AS313" s="330"/>
      <c r="AT313" s="330"/>
      <c r="AU313" s="330"/>
      <c r="AV313" s="330"/>
      <c r="AW313" s="330"/>
      <c r="AX313" s="330"/>
      <c r="AY313" s="330"/>
      <c r="AZ313" s="330"/>
      <c r="BA313" s="330"/>
      <c r="BB313" s="330"/>
      <c r="BC313" s="330"/>
      <c r="BD313" s="330"/>
      <c r="BE313" s="330"/>
      <c r="BF313" s="330"/>
    </row>
    <row r="314" spans="1:58">
      <c r="A314" s="330"/>
      <c r="B314" s="330"/>
      <c r="C314" s="330"/>
      <c r="D314" s="330"/>
      <c r="E314" s="330"/>
      <c r="F314" s="330"/>
      <c r="G314" s="330"/>
      <c r="H314" s="330"/>
      <c r="I314" s="330"/>
      <c r="J314" s="330"/>
      <c r="K314" s="330"/>
      <c r="L314" s="330"/>
      <c r="M314" s="330"/>
      <c r="N314" s="330"/>
      <c r="O314" s="330"/>
      <c r="P314" s="330"/>
      <c r="Q314" s="330"/>
      <c r="R314" s="330"/>
      <c r="S314" s="330"/>
      <c r="T314" s="330"/>
      <c r="U314" s="330"/>
      <c r="V314" s="330"/>
      <c r="W314" s="330"/>
      <c r="X314" s="330"/>
      <c r="Y314" s="330"/>
      <c r="Z314" s="330"/>
      <c r="AA314" s="330"/>
      <c r="AB314" s="330"/>
      <c r="AC314" s="330"/>
      <c r="AD314" s="330"/>
      <c r="AE314" s="330"/>
      <c r="AF314" s="330"/>
      <c r="AG314" s="330"/>
      <c r="AH314" s="330"/>
      <c r="AI314" s="330"/>
      <c r="AJ314" s="330"/>
      <c r="AK314" s="330"/>
      <c r="AL314" s="330"/>
      <c r="AM314" s="330"/>
      <c r="AN314" s="330"/>
      <c r="AO314" s="330"/>
      <c r="AP314" s="330"/>
      <c r="AQ314" s="330"/>
      <c r="AR314" s="330"/>
      <c r="AS314" s="330"/>
      <c r="AT314" s="330"/>
      <c r="AU314" s="330"/>
      <c r="AV314" s="330"/>
      <c r="AW314" s="330"/>
      <c r="AX314" s="330"/>
      <c r="AY314" s="330"/>
      <c r="AZ314" s="330"/>
      <c r="BA314" s="330"/>
      <c r="BB314" s="330"/>
      <c r="BC314" s="330"/>
      <c r="BD314" s="330"/>
      <c r="BE314" s="330"/>
      <c r="BF314" s="330"/>
    </row>
    <row r="315" spans="1:58">
      <c r="A315" s="330"/>
      <c r="B315" s="330"/>
      <c r="C315" s="330"/>
      <c r="D315" s="330"/>
      <c r="E315" s="330"/>
      <c r="F315" s="330"/>
      <c r="G315" s="330"/>
      <c r="H315" s="330"/>
      <c r="I315" s="330"/>
      <c r="J315" s="330"/>
      <c r="K315" s="330"/>
      <c r="L315" s="330"/>
      <c r="M315" s="330"/>
      <c r="N315" s="330"/>
      <c r="O315" s="330"/>
      <c r="P315" s="330"/>
      <c r="Q315" s="330"/>
      <c r="R315" s="330"/>
      <c r="S315" s="330"/>
      <c r="T315" s="330"/>
      <c r="U315" s="330"/>
      <c r="V315" s="330"/>
      <c r="W315" s="330"/>
      <c r="X315" s="330"/>
      <c r="Y315" s="330"/>
      <c r="Z315" s="330"/>
      <c r="AA315" s="330"/>
      <c r="AB315" s="330"/>
      <c r="AC315" s="330"/>
      <c r="AD315" s="330"/>
      <c r="AE315" s="330"/>
      <c r="AF315" s="330"/>
      <c r="AG315" s="330"/>
      <c r="AH315" s="330"/>
      <c r="AI315" s="330"/>
      <c r="AJ315" s="330"/>
      <c r="AK315" s="330"/>
      <c r="AL315" s="330"/>
      <c r="AM315" s="330"/>
      <c r="AN315" s="330"/>
      <c r="AO315" s="330"/>
      <c r="AP315" s="330"/>
      <c r="AQ315" s="330"/>
      <c r="AR315" s="330"/>
      <c r="AS315" s="330"/>
      <c r="AT315" s="330"/>
      <c r="AU315" s="330"/>
      <c r="AV315" s="330"/>
      <c r="AW315" s="330"/>
      <c r="AX315" s="330"/>
      <c r="AY315" s="330"/>
      <c r="AZ315" s="330"/>
      <c r="BA315" s="330"/>
      <c r="BB315" s="330"/>
      <c r="BC315" s="330"/>
      <c r="BD315" s="330"/>
      <c r="BE315" s="330"/>
      <c r="BF315" s="330"/>
    </row>
    <row r="316" spans="1:58">
      <c r="A316" s="330"/>
      <c r="B316" s="330"/>
      <c r="C316" s="330"/>
      <c r="D316" s="330"/>
      <c r="E316" s="330"/>
      <c r="F316" s="330"/>
      <c r="G316" s="330"/>
      <c r="H316" s="330"/>
      <c r="I316" s="330"/>
      <c r="J316" s="330"/>
      <c r="K316" s="330"/>
      <c r="L316" s="330"/>
      <c r="M316" s="330"/>
      <c r="N316" s="330"/>
      <c r="O316" s="330"/>
      <c r="P316" s="330"/>
      <c r="Q316" s="330"/>
      <c r="R316" s="330"/>
      <c r="S316" s="330"/>
      <c r="T316" s="330"/>
      <c r="U316" s="330"/>
      <c r="V316" s="330"/>
      <c r="W316" s="330"/>
      <c r="X316" s="330"/>
      <c r="Y316" s="330"/>
      <c r="Z316" s="330"/>
      <c r="AA316" s="330"/>
      <c r="AB316" s="330"/>
      <c r="AC316" s="330"/>
      <c r="AD316" s="330"/>
      <c r="AE316" s="330"/>
      <c r="AF316" s="330"/>
      <c r="AG316" s="330"/>
      <c r="AH316" s="330"/>
      <c r="AI316" s="330"/>
      <c r="AJ316" s="330"/>
      <c r="AK316" s="330"/>
      <c r="AL316" s="330"/>
      <c r="AM316" s="330"/>
      <c r="AN316" s="330"/>
      <c r="AO316" s="330"/>
      <c r="AP316" s="330"/>
      <c r="AQ316" s="330"/>
      <c r="AR316" s="330"/>
      <c r="AS316" s="330"/>
      <c r="AT316" s="330"/>
      <c r="AU316" s="330"/>
      <c r="AV316" s="330"/>
      <c r="AW316" s="330"/>
      <c r="AX316" s="330"/>
      <c r="AY316" s="330"/>
      <c r="AZ316" s="330"/>
      <c r="BA316" s="330"/>
      <c r="BB316" s="330"/>
      <c r="BC316" s="330"/>
      <c r="BD316" s="330"/>
      <c r="BE316" s="330"/>
      <c r="BF316" s="330"/>
    </row>
    <row r="317" spans="1:58">
      <c r="A317" s="330"/>
      <c r="B317" s="330"/>
      <c r="C317" s="330"/>
      <c r="D317" s="330"/>
      <c r="E317" s="330"/>
      <c r="F317" s="330"/>
      <c r="G317" s="330"/>
      <c r="H317" s="330"/>
      <c r="I317" s="330"/>
      <c r="J317" s="330"/>
      <c r="K317" s="330"/>
      <c r="L317" s="330"/>
      <c r="M317" s="330"/>
      <c r="N317" s="330"/>
      <c r="O317" s="330"/>
      <c r="P317" s="330"/>
      <c r="Q317" s="330"/>
      <c r="R317" s="330"/>
      <c r="S317" s="330"/>
      <c r="T317" s="330"/>
      <c r="U317" s="330"/>
      <c r="V317" s="330"/>
      <c r="W317" s="330"/>
      <c r="X317" s="330"/>
      <c r="Y317" s="330"/>
      <c r="Z317" s="330"/>
      <c r="AA317" s="330"/>
      <c r="AB317" s="330"/>
      <c r="AC317" s="330"/>
      <c r="AD317" s="330"/>
      <c r="AE317" s="330"/>
      <c r="AF317" s="330"/>
      <c r="AG317" s="330"/>
      <c r="AH317" s="330"/>
      <c r="AI317" s="330"/>
      <c r="AJ317" s="330"/>
      <c r="AK317" s="330"/>
      <c r="AL317" s="330"/>
      <c r="AM317" s="330"/>
      <c r="AN317" s="330"/>
      <c r="AO317" s="330"/>
      <c r="AP317" s="330"/>
      <c r="AQ317" s="330"/>
      <c r="AR317" s="330"/>
      <c r="AS317" s="330"/>
      <c r="AT317" s="330"/>
      <c r="AU317" s="330"/>
      <c r="AV317" s="330"/>
      <c r="AW317" s="330"/>
      <c r="AX317" s="330"/>
      <c r="AY317" s="330"/>
      <c r="AZ317" s="330"/>
      <c r="BA317" s="330"/>
      <c r="BB317" s="330"/>
      <c r="BC317" s="330"/>
      <c r="BD317" s="330"/>
      <c r="BE317" s="330"/>
      <c r="BF317" s="330"/>
    </row>
    <row r="318" spans="1:58">
      <c r="A318" s="330"/>
      <c r="B318" s="330"/>
      <c r="C318" s="330"/>
      <c r="D318" s="330"/>
      <c r="E318" s="330"/>
      <c r="F318" s="330"/>
      <c r="G318" s="330"/>
      <c r="H318" s="330"/>
      <c r="I318" s="330"/>
      <c r="J318" s="330"/>
      <c r="K318" s="330"/>
      <c r="L318" s="330"/>
      <c r="M318" s="330"/>
      <c r="N318" s="330"/>
      <c r="O318" s="330"/>
      <c r="P318" s="330"/>
      <c r="Q318" s="330"/>
      <c r="R318" s="330"/>
      <c r="S318" s="330"/>
      <c r="T318" s="330"/>
      <c r="U318" s="330"/>
      <c r="V318" s="330"/>
      <c r="W318" s="330"/>
      <c r="X318" s="330"/>
      <c r="Y318" s="330"/>
      <c r="Z318" s="330"/>
      <c r="AA318" s="330"/>
      <c r="AB318" s="330"/>
      <c r="AC318" s="330"/>
      <c r="AD318" s="330"/>
      <c r="AE318" s="330"/>
      <c r="AF318" s="330"/>
      <c r="AG318" s="330"/>
      <c r="AH318" s="330"/>
      <c r="AI318" s="330"/>
      <c r="AJ318" s="330"/>
      <c r="AK318" s="330"/>
      <c r="AL318" s="330"/>
      <c r="AM318" s="330"/>
      <c r="AN318" s="330"/>
      <c r="AO318" s="330"/>
      <c r="AP318" s="330"/>
      <c r="AQ318" s="330"/>
      <c r="AR318" s="330"/>
      <c r="AS318" s="330"/>
      <c r="AT318" s="330"/>
      <c r="AU318" s="330"/>
      <c r="AV318" s="330"/>
      <c r="AW318" s="330"/>
      <c r="AX318" s="330"/>
      <c r="AY318" s="330"/>
      <c r="AZ318" s="330"/>
      <c r="BA318" s="330"/>
      <c r="BB318" s="330"/>
      <c r="BC318" s="330"/>
      <c r="BD318" s="330"/>
      <c r="BE318" s="330"/>
      <c r="BF318" s="330"/>
    </row>
    <row r="319" spans="1:58">
      <c r="A319" s="330"/>
      <c r="B319" s="330"/>
      <c r="C319" s="330"/>
      <c r="D319" s="330"/>
      <c r="E319" s="330"/>
      <c r="F319" s="330"/>
      <c r="G319" s="330"/>
      <c r="H319" s="330"/>
      <c r="I319" s="330"/>
      <c r="J319" s="330"/>
      <c r="K319" s="330"/>
      <c r="L319" s="330"/>
      <c r="M319" s="330"/>
      <c r="N319" s="330"/>
      <c r="O319" s="330"/>
      <c r="P319" s="330"/>
      <c r="Q319" s="330"/>
      <c r="R319" s="330"/>
      <c r="S319" s="330"/>
      <c r="T319" s="330"/>
      <c r="U319" s="330"/>
      <c r="V319" s="330"/>
      <c r="W319" s="330"/>
      <c r="X319" s="330"/>
      <c r="Y319" s="330"/>
      <c r="Z319" s="330"/>
      <c r="AA319" s="330"/>
      <c r="AB319" s="330"/>
      <c r="AC319" s="330"/>
      <c r="AD319" s="330"/>
      <c r="AE319" s="330"/>
      <c r="AF319" s="330"/>
      <c r="AG319" s="330"/>
      <c r="AH319" s="330"/>
      <c r="AI319" s="330"/>
      <c r="AJ319" s="330"/>
      <c r="AK319" s="330"/>
      <c r="AL319" s="330"/>
      <c r="AM319" s="330"/>
      <c r="AN319" s="330"/>
      <c r="AO319" s="330"/>
      <c r="AP319" s="330"/>
      <c r="AQ319" s="330"/>
      <c r="AR319" s="330"/>
      <c r="AS319" s="330"/>
      <c r="AT319" s="330"/>
      <c r="AU319" s="330"/>
      <c r="AV319" s="330"/>
      <c r="AW319" s="330"/>
      <c r="AX319" s="330"/>
      <c r="AY319" s="330"/>
      <c r="AZ319" s="330"/>
      <c r="BA319" s="330"/>
      <c r="BB319" s="330"/>
      <c r="BC319" s="330"/>
      <c r="BD319" s="330"/>
      <c r="BE319" s="330"/>
      <c r="BF319" s="330"/>
    </row>
    <row r="320" spans="1:58">
      <c r="A320" s="330"/>
      <c r="B320" s="330"/>
      <c r="C320" s="330"/>
      <c r="D320" s="330"/>
      <c r="E320" s="330"/>
      <c r="F320" s="330"/>
      <c r="G320" s="330"/>
      <c r="H320" s="330"/>
      <c r="I320" s="330"/>
      <c r="J320" s="330"/>
      <c r="K320" s="330"/>
      <c r="L320" s="330"/>
      <c r="M320" s="330"/>
      <c r="N320" s="330"/>
      <c r="O320" s="330"/>
      <c r="P320" s="330"/>
      <c r="Q320" s="330"/>
      <c r="R320" s="330"/>
      <c r="S320" s="330"/>
      <c r="T320" s="330"/>
      <c r="U320" s="330"/>
      <c r="V320" s="330"/>
      <c r="W320" s="330"/>
      <c r="X320" s="330"/>
      <c r="Y320" s="330"/>
      <c r="Z320" s="330"/>
      <c r="AA320" s="330"/>
      <c r="AB320" s="330"/>
      <c r="AC320" s="330"/>
      <c r="AD320" s="330"/>
      <c r="AE320" s="330"/>
      <c r="AF320" s="330"/>
      <c r="AG320" s="330"/>
      <c r="AH320" s="330"/>
      <c r="AI320" s="330"/>
      <c r="AJ320" s="330"/>
      <c r="AK320" s="330"/>
      <c r="AL320" s="330"/>
      <c r="AM320" s="330"/>
      <c r="AN320" s="330"/>
      <c r="AO320" s="330"/>
      <c r="AP320" s="330"/>
      <c r="AQ320" s="330"/>
      <c r="AR320" s="330"/>
      <c r="AS320" s="330"/>
      <c r="AT320" s="330"/>
      <c r="AU320" s="330"/>
      <c r="AV320" s="330"/>
      <c r="AW320" s="330"/>
      <c r="AX320" s="330"/>
      <c r="AY320" s="330"/>
      <c r="AZ320" s="330"/>
      <c r="BA320" s="330"/>
      <c r="BB320" s="330"/>
      <c r="BC320" s="330"/>
      <c r="BD320" s="330"/>
      <c r="BE320" s="330"/>
      <c r="BF320" s="330"/>
    </row>
    <row r="321" spans="1:58">
      <c r="A321" s="330"/>
      <c r="B321" s="330"/>
      <c r="C321" s="330"/>
      <c r="D321" s="330"/>
      <c r="E321" s="330"/>
      <c r="F321" s="330"/>
      <c r="G321" s="330"/>
      <c r="H321" s="330"/>
      <c r="I321" s="330"/>
      <c r="J321" s="330"/>
      <c r="K321" s="330"/>
      <c r="L321" s="330"/>
      <c r="M321" s="330"/>
      <c r="N321" s="330"/>
      <c r="O321" s="330"/>
      <c r="P321" s="330"/>
      <c r="Q321" s="330"/>
      <c r="R321" s="330"/>
      <c r="S321" s="330"/>
      <c r="T321" s="330"/>
      <c r="U321" s="330"/>
      <c r="V321" s="330"/>
      <c r="W321" s="330"/>
      <c r="X321" s="330"/>
      <c r="Y321" s="330"/>
      <c r="Z321" s="330"/>
      <c r="AA321" s="330"/>
      <c r="AB321" s="330"/>
      <c r="AC321" s="330"/>
      <c r="AD321" s="330"/>
      <c r="AE321" s="330"/>
      <c r="AF321" s="330"/>
      <c r="AG321" s="330"/>
      <c r="AH321" s="330"/>
      <c r="AI321" s="330"/>
      <c r="AJ321" s="330"/>
      <c r="AK321" s="330"/>
      <c r="AL321" s="330"/>
      <c r="AM321" s="330"/>
      <c r="AN321" s="330"/>
      <c r="AO321" s="330"/>
      <c r="AP321" s="330"/>
      <c r="AQ321" s="330"/>
      <c r="AR321" s="330"/>
      <c r="AS321" s="330"/>
      <c r="AT321" s="330"/>
      <c r="AU321" s="330"/>
      <c r="AV321" s="330"/>
      <c r="AW321" s="330"/>
      <c r="AX321" s="330"/>
      <c r="AY321" s="330"/>
      <c r="AZ321" s="330"/>
      <c r="BA321" s="330"/>
      <c r="BB321" s="330"/>
      <c r="BC321" s="330"/>
      <c r="BD321" s="330"/>
      <c r="BE321" s="330"/>
      <c r="BF321" s="330"/>
    </row>
    <row r="322" spans="1:58">
      <c r="A322" s="330"/>
      <c r="B322" s="330"/>
      <c r="C322" s="330"/>
      <c r="D322" s="330"/>
      <c r="E322" s="330"/>
      <c r="F322" s="330"/>
      <c r="G322" s="330"/>
      <c r="H322" s="330"/>
      <c r="I322" s="330"/>
      <c r="J322" s="330"/>
      <c r="K322" s="330"/>
      <c r="L322" s="330"/>
      <c r="M322" s="330"/>
      <c r="N322" s="330"/>
      <c r="O322" s="330"/>
      <c r="P322" s="330"/>
      <c r="Q322" s="330"/>
      <c r="R322" s="330"/>
      <c r="S322" s="330"/>
      <c r="T322" s="330"/>
      <c r="U322" s="330"/>
      <c r="V322" s="330"/>
      <c r="W322" s="330"/>
      <c r="X322" s="330"/>
      <c r="Y322" s="330"/>
      <c r="Z322" s="330"/>
      <c r="AA322" s="330"/>
      <c r="AB322" s="330"/>
      <c r="AC322" s="330"/>
      <c r="AD322" s="330"/>
      <c r="AE322" s="330"/>
      <c r="AF322" s="330"/>
      <c r="AG322" s="330"/>
      <c r="AH322" s="330"/>
      <c r="AI322" s="330"/>
      <c r="AJ322" s="330"/>
      <c r="AK322" s="330"/>
      <c r="AL322" s="330"/>
      <c r="AM322" s="330"/>
      <c r="AN322" s="330"/>
      <c r="AO322" s="330"/>
      <c r="AP322" s="330"/>
      <c r="AQ322" s="330"/>
      <c r="AR322" s="330"/>
      <c r="AS322" s="330"/>
      <c r="AT322" s="330"/>
      <c r="AU322" s="330"/>
      <c r="AV322" s="330"/>
      <c r="AW322" s="330"/>
      <c r="AX322" s="330"/>
      <c r="AY322" s="330"/>
      <c r="AZ322" s="330"/>
      <c r="BA322" s="330"/>
      <c r="BB322" s="330"/>
      <c r="BC322" s="330"/>
      <c r="BD322" s="330"/>
      <c r="BE322" s="330"/>
      <c r="BF322" s="330"/>
    </row>
    <row r="323" spans="1:58">
      <c r="A323" s="330"/>
      <c r="B323" s="330"/>
      <c r="C323" s="330"/>
      <c r="D323" s="330"/>
      <c r="E323" s="330"/>
      <c r="F323" s="330"/>
      <c r="G323" s="330"/>
      <c r="H323" s="330"/>
      <c r="I323" s="330"/>
      <c r="J323" s="330"/>
      <c r="K323" s="330"/>
      <c r="L323" s="330"/>
      <c r="M323" s="330"/>
      <c r="N323" s="330"/>
      <c r="O323" s="330"/>
      <c r="P323" s="330"/>
      <c r="Q323" s="330"/>
      <c r="R323" s="330"/>
      <c r="S323" s="330"/>
      <c r="T323" s="330"/>
      <c r="U323" s="330"/>
      <c r="V323" s="330"/>
      <c r="W323" s="330"/>
      <c r="X323" s="330"/>
      <c r="Y323" s="330"/>
      <c r="Z323" s="330"/>
      <c r="AA323" s="330"/>
      <c r="AB323" s="330"/>
      <c r="AC323" s="330"/>
      <c r="AD323" s="330"/>
      <c r="AE323" s="330"/>
      <c r="AF323" s="330"/>
      <c r="AG323" s="330"/>
      <c r="AH323" s="330"/>
      <c r="AI323" s="330"/>
      <c r="AJ323" s="330"/>
      <c r="AK323" s="330"/>
      <c r="AL323" s="330"/>
      <c r="AM323" s="330"/>
      <c r="AN323" s="330"/>
      <c r="AO323" s="330"/>
      <c r="AP323" s="330"/>
      <c r="AQ323" s="330"/>
      <c r="AR323" s="330"/>
      <c r="AS323" s="330"/>
      <c r="AT323" s="330"/>
      <c r="AU323" s="330"/>
      <c r="AV323" s="330"/>
      <c r="AW323" s="330"/>
      <c r="AX323" s="330"/>
      <c r="AY323" s="330"/>
      <c r="AZ323" s="330"/>
      <c r="BA323" s="330"/>
      <c r="BB323" s="330"/>
      <c r="BC323" s="330"/>
      <c r="BD323" s="330"/>
      <c r="BE323" s="330"/>
      <c r="BF323" s="330"/>
    </row>
    <row r="324" spans="1:58">
      <c r="A324" s="330"/>
      <c r="B324" s="330"/>
      <c r="C324" s="330"/>
      <c r="D324" s="330"/>
      <c r="E324" s="330"/>
      <c r="F324" s="330"/>
      <c r="G324" s="330"/>
      <c r="H324" s="330"/>
      <c r="I324" s="330"/>
      <c r="J324" s="330"/>
      <c r="K324" s="330"/>
      <c r="L324" s="330"/>
      <c r="M324" s="330"/>
      <c r="N324" s="330"/>
      <c r="O324" s="330"/>
      <c r="P324" s="330"/>
      <c r="Q324" s="330"/>
      <c r="R324" s="330"/>
      <c r="S324" s="330"/>
      <c r="T324" s="330"/>
      <c r="U324" s="330"/>
      <c r="V324" s="330"/>
      <c r="W324" s="330"/>
      <c r="X324" s="330"/>
      <c r="Y324" s="330"/>
      <c r="Z324" s="330"/>
      <c r="AA324" s="330"/>
      <c r="AB324" s="330"/>
      <c r="AC324" s="330"/>
      <c r="AD324" s="330"/>
      <c r="AE324" s="330"/>
      <c r="AF324" s="330"/>
      <c r="AG324" s="330"/>
      <c r="AH324" s="330"/>
      <c r="AI324" s="330"/>
      <c r="AJ324" s="330"/>
      <c r="AK324" s="330"/>
      <c r="AL324" s="330"/>
      <c r="AM324" s="330"/>
      <c r="AN324" s="330"/>
      <c r="AO324" s="330"/>
      <c r="AP324" s="330"/>
      <c r="AQ324" s="330"/>
      <c r="AR324" s="330"/>
      <c r="AS324" s="330"/>
      <c r="AT324" s="330"/>
      <c r="AU324" s="330"/>
      <c r="AV324" s="330"/>
      <c r="AW324" s="330"/>
      <c r="AX324" s="330"/>
      <c r="AY324" s="330"/>
      <c r="AZ324" s="330"/>
      <c r="BA324" s="330"/>
      <c r="BB324" s="330"/>
      <c r="BC324" s="330"/>
      <c r="BD324" s="330"/>
      <c r="BE324" s="330"/>
      <c r="BF324" s="330"/>
    </row>
    <row r="325" spans="1:58">
      <c r="A325" s="330"/>
      <c r="B325" s="330"/>
      <c r="C325" s="330"/>
      <c r="D325" s="330"/>
      <c r="E325" s="330"/>
      <c r="F325" s="330"/>
      <c r="G325" s="330"/>
      <c r="H325" s="330"/>
      <c r="I325" s="330"/>
      <c r="J325" s="330"/>
      <c r="K325" s="330"/>
      <c r="L325" s="330"/>
      <c r="M325" s="330"/>
      <c r="N325" s="330"/>
      <c r="O325" s="330"/>
      <c r="P325" s="330"/>
      <c r="Q325" s="330"/>
      <c r="R325" s="330"/>
      <c r="S325" s="330"/>
      <c r="T325" s="330"/>
      <c r="U325" s="330"/>
      <c r="V325" s="330"/>
      <c r="W325" s="330"/>
      <c r="X325" s="330"/>
      <c r="Y325" s="330"/>
      <c r="Z325" s="330"/>
      <c r="AA325" s="330"/>
      <c r="AB325" s="330"/>
      <c r="AC325" s="330"/>
      <c r="AD325" s="330"/>
      <c r="AE325" s="330"/>
      <c r="AF325" s="330"/>
      <c r="AG325" s="330"/>
      <c r="AH325" s="330"/>
      <c r="AI325" s="330"/>
      <c r="AJ325" s="330"/>
      <c r="AK325" s="330"/>
      <c r="AL325" s="330"/>
      <c r="AM325" s="330"/>
      <c r="AN325" s="330"/>
      <c r="AO325" s="330"/>
      <c r="AP325" s="330"/>
      <c r="AQ325" s="330"/>
      <c r="AR325" s="330"/>
      <c r="AS325" s="330"/>
      <c r="AT325" s="330"/>
      <c r="AU325" s="330"/>
      <c r="AV325" s="330"/>
      <c r="AW325" s="330"/>
      <c r="AX325" s="330"/>
      <c r="AY325" s="330"/>
      <c r="AZ325" s="330"/>
      <c r="BA325" s="330"/>
      <c r="BB325" s="330"/>
      <c r="BC325" s="330"/>
      <c r="BD325" s="330"/>
      <c r="BE325" s="330"/>
      <c r="BF325" s="330"/>
    </row>
    <row r="326" spans="1:58">
      <c r="A326" s="330"/>
      <c r="B326" s="330"/>
      <c r="C326" s="330"/>
      <c r="D326" s="330"/>
      <c r="E326" s="330"/>
      <c r="F326" s="330"/>
      <c r="G326" s="330"/>
      <c r="H326" s="330"/>
      <c r="I326" s="330"/>
      <c r="J326" s="330"/>
      <c r="K326" s="330"/>
      <c r="L326" s="330"/>
      <c r="M326" s="330"/>
      <c r="N326" s="330"/>
      <c r="O326" s="330"/>
      <c r="P326" s="330"/>
      <c r="Q326" s="330"/>
      <c r="R326" s="330"/>
      <c r="S326" s="330"/>
      <c r="T326" s="330"/>
      <c r="U326" s="330"/>
      <c r="V326" s="330"/>
      <c r="W326" s="330"/>
      <c r="X326" s="330"/>
      <c r="Y326" s="330"/>
      <c r="Z326" s="330"/>
      <c r="AA326" s="330"/>
      <c r="AB326" s="330"/>
      <c r="AC326" s="330"/>
      <c r="AD326" s="330"/>
      <c r="AE326" s="330"/>
      <c r="AF326" s="330"/>
      <c r="AG326" s="330"/>
      <c r="AH326" s="330"/>
      <c r="AI326" s="330"/>
      <c r="AJ326" s="330"/>
      <c r="AK326" s="330"/>
      <c r="AL326" s="330"/>
      <c r="AM326" s="330"/>
      <c r="AN326" s="330"/>
      <c r="AO326" s="330"/>
      <c r="AP326" s="330"/>
      <c r="AQ326" s="330"/>
      <c r="AR326" s="330"/>
      <c r="AS326" s="330"/>
      <c r="AT326" s="330"/>
      <c r="AU326" s="330"/>
      <c r="AV326" s="330"/>
      <c r="AW326" s="330"/>
      <c r="AX326" s="330"/>
      <c r="AY326" s="330"/>
      <c r="AZ326" s="330"/>
      <c r="BA326" s="330"/>
      <c r="BB326" s="330"/>
      <c r="BC326" s="330"/>
      <c r="BD326" s="330"/>
      <c r="BE326" s="330"/>
      <c r="BF326" s="330"/>
    </row>
    <row r="327" spans="1:58">
      <c r="A327" s="330"/>
      <c r="B327" s="330"/>
      <c r="C327" s="330"/>
      <c r="D327" s="330"/>
      <c r="E327" s="330"/>
      <c r="F327" s="330"/>
      <c r="G327" s="330"/>
      <c r="H327" s="330"/>
      <c r="I327" s="330"/>
      <c r="J327" s="330"/>
      <c r="K327" s="330"/>
      <c r="L327" s="330"/>
      <c r="M327" s="330"/>
      <c r="N327" s="330"/>
      <c r="O327" s="330"/>
      <c r="P327" s="330"/>
      <c r="Q327" s="330"/>
      <c r="R327" s="330"/>
      <c r="S327" s="330"/>
      <c r="T327" s="330"/>
      <c r="U327" s="330"/>
      <c r="V327" s="330"/>
      <c r="W327" s="330"/>
      <c r="X327" s="330"/>
      <c r="Y327" s="330"/>
      <c r="Z327" s="330"/>
      <c r="AA327" s="330"/>
      <c r="AB327" s="330"/>
      <c r="AC327" s="330"/>
      <c r="AD327" s="330"/>
      <c r="AE327" s="330"/>
      <c r="AF327" s="330"/>
      <c r="AG327" s="330"/>
      <c r="AH327" s="330"/>
      <c r="AI327" s="330"/>
      <c r="AJ327" s="330"/>
      <c r="AK327" s="330"/>
      <c r="AL327" s="330"/>
      <c r="AM327" s="330"/>
      <c r="AN327" s="330"/>
      <c r="AO327" s="330"/>
      <c r="AP327" s="330"/>
      <c r="AQ327" s="330"/>
      <c r="AR327" s="330"/>
      <c r="AS327" s="330"/>
      <c r="AT327" s="330"/>
      <c r="AU327" s="330"/>
      <c r="AV327" s="330"/>
      <c r="AW327" s="330"/>
      <c r="AX327" s="330"/>
      <c r="AY327" s="330"/>
      <c r="AZ327" s="330"/>
      <c r="BA327" s="330"/>
      <c r="BB327" s="330"/>
      <c r="BC327" s="330"/>
      <c r="BD327" s="330"/>
      <c r="BE327" s="330"/>
      <c r="BF327" s="330"/>
    </row>
    <row r="328" spans="1:58">
      <c r="A328" s="330"/>
      <c r="B328" s="330"/>
      <c r="C328" s="330"/>
      <c r="D328" s="330"/>
      <c r="E328" s="330"/>
      <c r="F328" s="330"/>
      <c r="G328" s="330"/>
      <c r="H328" s="330"/>
      <c r="I328" s="330"/>
      <c r="J328" s="330"/>
      <c r="K328" s="330"/>
      <c r="L328" s="330"/>
      <c r="M328" s="330"/>
      <c r="N328" s="330"/>
      <c r="O328" s="330"/>
      <c r="P328" s="330"/>
      <c r="Q328" s="330"/>
      <c r="R328" s="330"/>
      <c r="S328" s="330"/>
      <c r="T328" s="330"/>
      <c r="U328" s="330"/>
      <c r="V328" s="330"/>
      <c r="W328" s="330"/>
      <c r="X328" s="330"/>
      <c r="Y328" s="330"/>
      <c r="Z328" s="330"/>
      <c r="AA328" s="330"/>
      <c r="AB328" s="330"/>
      <c r="AC328" s="330"/>
      <c r="AD328" s="330"/>
      <c r="AE328" s="330"/>
      <c r="AF328" s="330"/>
      <c r="AG328" s="330"/>
      <c r="AH328" s="330"/>
      <c r="AI328" s="330"/>
      <c r="AJ328" s="330"/>
      <c r="AK328" s="330"/>
      <c r="AL328" s="330"/>
      <c r="AM328" s="330"/>
      <c r="AN328" s="330"/>
      <c r="AO328" s="330"/>
      <c r="AP328" s="330"/>
      <c r="AQ328" s="330"/>
      <c r="AR328" s="330"/>
      <c r="AS328" s="330"/>
      <c r="AT328" s="330"/>
      <c r="AU328" s="330"/>
      <c r="AV328" s="330"/>
      <c r="AW328" s="330"/>
      <c r="AX328" s="330"/>
      <c r="AY328" s="330"/>
      <c r="AZ328" s="330"/>
      <c r="BA328" s="330"/>
      <c r="BB328" s="330"/>
      <c r="BC328" s="330"/>
      <c r="BD328" s="330"/>
      <c r="BE328" s="330"/>
      <c r="BF328" s="330"/>
    </row>
    <row r="329" spans="1:58">
      <c r="A329" s="330"/>
      <c r="B329" s="330"/>
      <c r="C329" s="330"/>
      <c r="D329" s="330"/>
      <c r="E329" s="330"/>
      <c r="F329" s="330"/>
      <c r="G329" s="330"/>
      <c r="H329" s="330"/>
      <c r="I329" s="330"/>
      <c r="J329" s="330"/>
      <c r="K329" s="330"/>
      <c r="L329" s="330"/>
      <c r="M329" s="330"/>
      <c r="N329" s="330"/>
      <c r="O329" s="330"/>
      <c r="P329" s="330"/>
      <c r="Q329" s="330"/>
      <c r="R329" s="330"/>
      <c r="S329" s="330"/>
      <c r="T329" s="330"/>
      <c r="U329" s="330"/>
      <c r="V329" s="330"/>
      <c r="W329" s="330"/>
      <c r="X329" s="330"/>
      <c r="Y329" s="330"/>
      <c r="Z329" s="330"/>
      <c r="AA329" s="330"/>
      <c r="AB329" s="330"/>
      <c r="AC329" s="330"/>
      <c r="AD329" s="330"/>
      <c r="AE329" s="330"/>
      <c r="AF329" s="330"/>
      <c r="AG329" s="330"/>
      <c r="AH329" s="330"/>
      <c r="AI329" s="330"/>
      <c r="AJ329" s="330"/>
      <c r="AK329" s="330"/>
      <c r="AL329" s="330"/>
      <c r="AM329" s="330"/>
      <c r="AN329" s="330"/>
      <c r="AO329" s="330"/>
      <c r="AP329" s="330"/>
      <c r="AQ329" s="330"/>
      <c r="AR329" s="330"/>
      <c r="AS329" s="330"/>
      <c r="AT329" s="330"/>
      <c r="AU329" s="330"/>
      <c r="AV329" s="330"/>
      <c r="AW329" s="330"/>
      <c r="AX329" s="330"/>
      <c r="AY329" s="330"/>
      <c r="AZ329" s="330"/>
      <c r="BA329" s="330"/>
      <c r="BB329" s="330"/>
      <c r="BC329" s="330"/>
      <c r="BD329" s="330"/>
      <c r="BE329" s="330"/>
      <c r="BF329" s="330"/>
    </row>
    <row r="330" spans="1:58">
      <c r="A330" s="330"/>
      <c r="B330" s="330"/>
      <c r="C330" s="330"/>
      <c r="D330" s="330"/>
      <c r="E330" s="330"/>
      <c r="F330" s="330"/>
      <c r="G330" s="330"/>
      <c r="H330" s="330"/>
      <c r="I330" s="330"/>
      <c r="J330" s="330"/>
      <c r="K330" s="330"/>
      <c r="L330" s="330"/>
      <c r="M330" s="330"/>
      <c r="N330" s="330"/>
      <c r="O330" s="330"/>
      <c r="P330" s="330"/>
      <c r="Q330" s="330"/>
      <c r="R330" s="330"/>
      <c r="S330" s="330"/>
      <c r="T330" s="330"/>
      <c r="U330" s="330"/>
      <c r="V330" s="330"/>
      <c r="W330" s="330"/>
      <c r="X330" s="330"/>
      <c r="Y330" s="330"/>
      <c r="Z330" s="330"/>
      <c r="AA330" s="330"/>
      <c r="AB330" s="330"/>
      <c r="AC330" s="330"/>
      <c r="AD330" s="330"/>
      <c r="AE330" s="330"/>
      <c r="AF330" s="330"/>
      <c r="AG330" s="330"/>
      <c r="AH330" s="330"/>
      <c r="AI330" s="330"/>
      <c r="AJ330" s="330"/>
      <c r="AK330" s="330"/>
      <c r="AL330" s="330"/>
      <c r="AM330" s="330"/>
      <c r="AN330" s="330"/>
      <c r="AO330" s="330"/>
      <c r="AP330" s="330"/>
      <c r="AQ330" s="330"/>
      <c r="AR330" s="330"/>
      <c r="AS330" s="330"/>
      <c r="AT330" s="330"/>
      <c r="AU330" s="330"/>
      <c r="AV330" s="330"/>
      <c r="AW330" s="330"/>
      <c r="AX330" s="330"/>
      <c r="AY330" s="330"/>
      <c r="AZ330" s="330"/>
      <c r="BA330" s="330"/>
      <c r="BB330" s="330"/>
      <c r="BC330" s="330"/>
      <c r="BD330" s="330"/>
      <c r="BE330" s="330"/>
      <c r="BF330" s="330"/>
    </row>
    <row r="331" spans="1:58">
      <c r="A331" s="330"/>
      <c r="B331" s="330"/>
      <c r="C331" s="330"/>
      <c r="D331" s="330"/>
      <c r="E331" s="330"/>
      <c r="F331" s="330"/>
      <c r="G331" s="330"/>
      <c r="H331" s="330"/>
      <c r="I331" s="330"/>
      <c r="J331" s="330"/>
      <c r="K331" s="330"/>
      <c r="L331" s="330"/>
      <c r="M331" s="330"/>
      <c r="N331" s="330"/>
      <c r="O331" s="330"/>
      <c r="P331" s="330"/>
      <c r="Q331" s="330"/>
      <c r="R331" s="330"/>
      <c r="S331" s="330"/>
      <c r="T331" s="330"/>
      <c r="U331" s="330"/>
      <c r="V331" s="330"/>
      <c r="W331" s="330"/>
      <c r="X331" s="330"/>
      <c r="Y331" s="330"/>
      <c r="Z331" s="330"/>
      <c r="AA331" s="330"/>
      <c r="AB331" s="330"/>
      <c r="AC331" s="330"/>
      <c r="AD331" s="330"/>
      <c r="AE331" s="330"/>
      <c r="AF331" s="330"/>
      <c r="AG331" s="330"/>
      <c r="AH331" s="330"/>
      <c r="AI331" s="330"/>
      <c r="AJ331" s="330"/>
      <c r="AK331" s="330"/>
      <c r="AL331" s="330"/>
      <c r="AM331" s="330"/>
      <c r="AN331" s="330"/>
      <c r="AO331" s="330"/>
      <c r="AP331" s="330"/>
      <c r="AQ331" s="330"/>
      <c r="AR331" s="330"/>
      <c r="AS331" s="330"/>
      <c r="AT331" s="330"/>
      <c r="AU331" s="330"/>
      <c r="AV331" s="330"/>
      <c r="AW331" s="330"/>
      <c r="AX331" s="330"/>
      <c r="AY331" s="330"/>
      <c r="AZ331" s="330"/>
      <c r="BA331" s="330"/>
      <c r="BB331" s="330"/>
      <c r="BC331" s="330"/>
      <c r="BD331" s="330"/>
      <c r="BE331" s="330"/>
      <c r="BF331" s="330"/>
    </row>
    <row r="332" spans="1:58">
      <c r="A332" s="330"/>
      <c r="B332" s="330"/>
      <c r="C332" s="330"/>
      <c r="D332" s="330"/>
      <c r="E332" s="330"/>
      <c r="F332" s="330"/>
      <c r="G332" s="330"/>
      <c r="H332" s="330"/>
      <c r="I332" s="330"/>
      <c r="J332" s="330"/>
      <c r="K332" s="330"/>
      <c r="L332" s="330"/>
      <c r="M332" s="330"/>
      <c r="N332" s="330"/>
      <c r="O332" s="330"/>
      <c r="P332" s="330"/>
      <c r="Q332" s="330"/>
      <c r="R332" s="330"/>
      <c r="S332" s="330"/>
      <c r="T332" s="330"/>
      <c r="U332" s="330"/>
      <c r="V332" s="330"/>
      <c r="W332" s="330"/>
      <c r="X332" s="330"/>
      <c r="Y332" s="330"/>
      <c r="Z332" s="330"/>
      <c r="AA332" s="330"/>
      <c r="AB332" s="330"/>
      <c r="AC332" s="330"/>
      <c r="AD332" s="330"/>
      <c r="AE332" s="330"/>
      <c r="AF332" s="330"/>
      <c r="AG332" s="330"/>
      <c r="AH332" s="330"/>
      <c r="AI332" s="330"/>
      <c r="AJ332" s="330"/>
      <c r="AK332" s="330"/>
      <c r="AL332" s="330"/>
      <c r="AM332" s="330"/>
      <c r="AN332" s="330"/>
      <c r="AO332" s="330"/>
      <c r="AP332" s="330"/>
      <c r="AQ332" s="330"/>
      <c r="AR332" s="330"/>
      <c r="AS332" s="330"/>
      <c r="AT332" s="330"/>
      <c r="AU332" s="330"/>
      <c r="AV332" s="330"/>
      <c r="AW332" s="330"/>
      <c r="AX332" s="330"/>
      <c r="AY332" s="330"/>
      <c r="AZ332" s="330"/>
      <c r="BA332" s="330"/>
      <c r="BB332" s="330"/>
      <c r="BC332" s="330"/>
      <c r="BD332" s="330"/>
      <c r="BE332" s="330"/>
      <c r="BF332" s="330"/>
    </row>
    <row r="333" spans="1:58">
      <c r="A333" s="330"/>
      <c r="B333" s="330"/>
      <c r="C333" s="330"/>
      <c r="D333" s="330"/>
      <c r="E333" s="330"/>
      <c r="F333" s="330"/>
      <c r="G333" s="330"/>
      <c r="H333" s="330"/>
      <c r="I333" s="330"/>
      <c r="J333" s="330"/>
      <c r="K333" s="330"/>
      <c r="L333" s="330"/>
      <c r="M333" s="330"/>
      <c r="N333" s="330"/>
      <c r="O333" s="330"/>
      <c r="P333" s="330"/>
      <c r="Q333" s="330"/>
      <c r="R333" s="330"/>
      <c r="S333" s="330"/>
      <c r="T333" s="330"/>
      <c r="U333" s="330"/>
      <c r="V333" s="330"/>
      <c r="W333" s="330"/>
      <c r="X333" s="330"/>
      <c r="Y333" s="330"/>
      <c r="Z333" s="330"/>
      <c r="AA333" s="330"/>
      <c r="AB333" s="330"/>
      <c r="AC333" s="330"/>
      <c r="AD333" s="330"/>
      <c r="AE333" s="330"/>
      <c r="AF333" s="330"/>
      <c r="AG333" s="330"/>
      <c r="AH333" s="330"/>
      <c r="AI333" s="330"/>
      <c r="AJ333" s="330"/>
      <c r="AK333" s="330"/>
      <c r="AL333" s="330"/>
      <c r="AM333" s="330"/>
      <c r="AN333" s="330"/>
      <c r="AO333" s="330"/>
      <c r="AP333" s="330"/>
      <c r="AQ333" s="330"/>
      <c r="AR333" s="330"/>
      <c r="AS333" s="330"/>
      <c r="AT333" s="330"/>
      <c r="AU333" s="330"/>
      <c r="AV333" s="330"/>
      <c r="AW333" s="330"/>
      <c r="AX333" s="330"/>
      <c r="AY333" s="330"/>
      <c r="AZ333" s="330"/>
      <c r="BA333" s="330"/>
      <c r="BB333" s="330"/>
      <c r="BC333" s="330"/>
      <c r="BD333" s="330"/>
      <c r="BE333" s="330"/>
      <c r="BF333" s="330"/>
    </row>
    <row r="334" spans="1:58">
      <c r="A334" s="330"/>
      <c r="B334" s="330"/>
      <c r="C334" s="330"/>
      <c r="D334" s="330"/>
      <c r="E334" s="330"/>
      <c r="F334" s="330"/>
      <c r="G334" s="330"/>
      <c r="H334" s="330"/>
      <c r="I334" s="330"/>
      <c r="J334" s="330"/>
      <c r="K334" s="330"/>
      <c r="L334" s="330"/>
      <c r="M334" s="330"/>
      <c r="N334" s="330"/>
      <c r="O334" s="330"/>
      <c r="P334" s="330"/>
      <c r="Q334" s="330"/>
      <c r="R334" s="330"/>
      <c r="S334" s="330"/>
      <c r="T334" s="330"/>
      <c r="U334" s="330"/>
      <c r="V334" s="330"/>
      <c r="W334" s="330"/>
      <c r="X334" s="330"/>
      <c r="Y334" s="330"/>
      <c r="Z334" s="330"/>
      <c r="AA334" s="330"/>
      <c r="AB334" s="330"/>
      <c r="AC334" s="330"/>
      <c r="AD334" s="330"/>
      <c r="AE334" s="330"/>
      <c r="AF334" s="330"/>
      <c r="AG334" s="330"/>
      <c r="AH334" s="330"/>
      <c r="AI334" s="330"/>
      <c r="AJ334" s="330"/>
      <c r="AK334" s="330"/>
      <c r="AL334" s="330"/>
      <c r="AM334" s="330"/>
      <c r="AN334" s="330"/>
      <c r="AO334" s="330"/>
      <c r="AP334" s="330"/>
      <c r="AQ334" s="330"/>
      <c r="AR334" s="330"/>
      <c r="AS334" s="330"/>
      <c r="AT334" s="330"/>
      <c r="AU334" s="330"/>
      <c r="AV334" s="330"/>
      <c r="AW334" s="330"/>
      <c r="AX334" s="330"/>
      <c r="AY334" s="330"/>
      <c r="AZ334" s="330"/>
      <c r="BA334" s="330"/>
      <c r="BB334" s="330"/>
      <c r="BC334" s="330"/>
      <c r="BD334" s="330"/>
      <c r="BE334" s="330"/>
      <c r="BF334" s="330"/>
    </row>
    <row r="335" spans="1:58">
      <c r="A335" s="330"/>
      <c r="B335" s="330"/>
      <c r="C335" s="330"/>
      <c r="D335" s="330"/>
      <c r="E335" s="330"/>
      <c r="F335" s="330"/>
      <c r="G335" s="330"/>
      <c r="H335" s="330"/>
      <c r="I335" s="330"/>
      <c r="J335" s="330"/>
      <c r="K335" s="330"/>
      <c r="L335" s="330"/>
      <c r="M335" s="330"/>
      <c r="N335" s="330"/>
      <c r="O335" s="330"/>
      <c r="P335" s="330"/>
      <c r="Q335" s="330"/>
      <c r="R335" s="330"/>
      <c r="S335" s="330"/>
      <c r="T335" s="330"/>
      <c r="U335" s="330"/>
      <c r="V335" s="330"/>
      <c r="W335" s="330"/>
      <c r="X335" s="330"/>
      <c r="Y335" s="330"/>
      <c r="Z335" s="330"/>
      <c r="AA335" s="330"/>
      <c r="AB335" s="330"/>
      <c r="AC335" s="330"/>
      <c r="AD335" s="330"/>
      <c r="AE335" s="330"/>
      <c r="AF335" s="330"/>
      <c r="AG335" s="330"/>
      <c r="AH335" s="330"/>
      <c r="AI335" s="330"/>
      <c r="AJ335" s="330"/>
      <c r="AK335" s="330"/>
      <c r="AL335" s="330"/>
      <c r="AM335" s="330"/>
      <c r="AN335" s="330"/>
      <c r="AO335" s="330"/>
      <c r="AP335" s="330"/>
      <c r="AQ335" s="330"/>
      <c r="AR335" s="330"/>
      <c r="AS335" s="330"/>
      <c r="AT335" s="330"/>
      <c r="AU335" s="330"/>
      <c r="AV335" s="330"/>
      <c r="AW335" s="330"/>
      <c r="AX335" s="330"/>
      <c r="AY335" s="330"/>
      <c r="AZ335" s="330"/>
      <c r="BA335" s="330"/>
      <c r="BB335" s="330"/>
      <c r="BC335" s="330"/>
      <c r="BD335" s="330"/>
      <c r="BE335" s="330"/>
      <c r="BF335" s="330"/>
    </row>
    <row r="336" spans="1:58">
      <c r="A336" s="330"/>
      <c r="B336" s="330"/>
      <c r="C336" s="330"/>
      <c r="D336" s="330"/>
      <c r="E336" s="330"/>
      <c r="F336" s="330"/>
      <c r="G336" s="330"/>
      <c r="H336" s="330"/>
      <c r="I336" s="330"/>
      <c r="J336" s="330"/>
      <c r="K336" s="330"/>
      <c r="L336" s="330"/>
      <c r="M336" s="330"/>
      <c r="N336" s="330"/>
      <c r="O336" s="330"/>
      <c r="P336" s="330"/>
      <c r="Q336" s="330"/>
      <c r="R336" s="330"/>
      <c r="S336" s="330"/>
      <c r="T336" s="330"/>
      <c r="U336" s="330"/>
      <c r="V336" s="330"/>
      <c r="W336" s="330"/>
      <c r="X336" s="330"/>
      <c r="Y336" s="330"/>
      <c r="Z336" s="330"/>
      <c r="AA336" s="330"/>
      <c r="AB336" s="330"/>
      <c r="AC336" s="330"/>
      <c r="AD336" s="330"/>
      <c r="AE336" s="330"/>
      <c r="AF336" s="330"/>
      <c r="AG336" s="330"/>
      <c r="AH336" s="330"/>
      <c r="AI336" s="330"/>
      <c r="AJ336" s="330"/>
      <c r="AK336" s="330"/>
      <c r="AL336" s="330"/>
      <c r="AM336" s="330"/>
      <c r="AN336" s="330"/>
      <c r="AO336" s="330"/>
      <c r="AP336" s="330"/>
      <c r="AQ336" s="330"/>
      <c r="AR336" s="330"/>
      <c r="AS336" s="330"/>
      <c r="AT336" s="330"/>
      <c r="AU336" s="330"/>
      <c r="AV336" s="330"/>
      <c r="AW336" s="330"/>
      <c r="AX336" s="330"/>
      <c r="AY336" s="330"/>
      <c r="AZ336" s="330"/>
      <c r="BA336" s="330"/>
      <c r="BB336" s="330"/>
      <c r="BC336" s="330"/>
      <c r="BD336" s="330"/>
      <c r="BE336" s="330"/>
      <c r="BF336" s="330"/>
    </row>
    <row r="337" spans="1:58">
      <c r="A337" s="330"/>
      <c r="B337" s="330"/>
      <c r="C337" s="330"/>
      <c r="D337" s="330"/>
      <c r="E337" s="330"/>
      <c r="F337" s="330"/>
      <c r="G337" s="330"/>
      <c r="H337" s="330"/>
      <c r="I337" s="330"/>
      <c r="J337" s="330"/>
      <c r="K337" s="330"/>
      <c r="L337" s="330"/>
      <c r="M337" s="330"/>
      <c r="N337" s="330"/>
      <c r="O337" s="330"/>
      <c r="P337" s="330"/>
      <c r="Q337" s="330"/>
      <c r="R337" s="330"/>
      <c r="S337" s="330"/>
      <c r="T337" s="330"/>
      <c r="U337" s="330"/>
      <c r="V337" s="330"/>
      <c r="W337" s="330"/>
      <c r="X337" s="330"/>
      <c r="Y337" s="330"/>
      <c r="Z337" s="330"/>
      <c r="AA337" s="330"/>
      <c r="AB337" s="330"/>
      <c r="AC337" s="330"/>
      <c r="AD337" s="330"/>
      <c r="AE337" s="330"/>
      <c r="AF337" s="330"/>
      <c r="AG337" s="330"/>
      <c r="AH337" s="330"/>
      <c r="AI337" s="330"/>
      <c r="AJ337" s="330"/>
      <c r="AK337" s="330"/>
      <c r="AL337" s="330"/>
      <c r="AM337" s="330"/>
      <c r="AN337" s="330"/>
      <c r="AO337" s="330"/>
      <c r="AP337" s="330"/>
      <c r="AQ337" s="330"/>
      <c r="AR337" s="330"/>
      <c r="AS337" s="330"/>
      <c r="AT337" s="330"/>
      <c r="AU337" s="330"/>
      <c r="AV337" s="330"/>
      <c r="AW337" s="330"/>
      <c r="AX337" s="330"/>
      <c r="AY337" s="330"/>
      <c r="AZ337" s="330"/>
      <c r="BA337" s="330"/>
      <c r="BB337" s="330"/>
      <c r="BC337" s="330"/>
      <c r="BD337" s="330"/>
      <c r="BE337" s="330"/>
      <c r="BF337" s="330"/>
    </row>
    <row r="338" spans="1:58">
      <c r="A338" s="330"/>
      <c r="B338" s="330"/>
      <c r="C338" s="330"/>
      <c r="D338" s="330"/>
      <c r="E338" s="330"/>
      <c r="F338" s="330"/>
      <c r="G338" s="330"/>
      <c r="H338" s="330"/>
      <c r="I338" s="330"/>
      <c r="J338" s="330"/>
      <c r="K338" s="330"/>
      <c r="L338" s="330"/>
      <c r="M338" s="330"/>
      <c r="N338" s="330"/>
      <c r="O338" s="330"/>
      <c r="P338" s="330"/>
      <c r="Q338" s="330"/>
      <c r="R338" s="330"/>
      <c r="S338" s="330"/>
      <c r="T338" s="330"/>
      <c r="U338" s="330"/>
      <c r="V338" s="330"/>
      <c r="W338" s="330"/>
      <c r="X338" s="330"/>
      <c r="Y338" s="330"/>
      <c r="Z338" s="330"/>
      <c r="AA338" s="330"/>
      <c r="AB338" s="330"/>
      <c r="AC338" s="330"/>
      <c r="AD338" s="330"/>
      <c r="AE338" s="330"/>
      <c r="AF338" s="330"/>
      <c r="AG338" s="330"/>
      <c r="AH338" s="330"/>
      <c r="AI338" s="330"/>
      <c r="AJ338" s="330"/>
      <c r="AK338" s="330"/>
      <c r="AL338" s="330"/>
      <c r="AM338" s="330"/>
      <c r="AN338" s="330"/>
      <c r="AO338" s="330"/>
      <c r="AP338" s="330"/>
      <c r="AQ338" s="330"/>
      <c r="AR338" s="330"/>
      <c r="AS338" s="330"/>
      <c r="AT338" s="330"/>
      <c r="AU338" s="330"/>
      <c r="AV338" s="330"/>
      <c r="AW338" s="330"/>
      <c r="AX338" s="330"/>
      <c r="AY338" s="330"/>
      <c r="AZ338" s="330"/>
      <c r="BA338" s="330"/>
      <c r="BB338" s="330"/>
      <c r="BC338" s="330"/>
      <c r="BD338" s="330"/>
      <c r="BE338" s="330"/>
      <c r="BF338" s="330"/>
    </row>
    <row r="339" spans="1:58">
      <c r="A339" s="330"/>
      <c r="B339" s="330"/>
      <c r="C339" s="330"/>
      <c r="D339" s="330"/>
      <c r="E339" s="330"/>
      <c r="F339" s="330"/>
      <c r="G339" s="330"/>
      <c r="H339" s="330"/>
      <c r="I339" s="330"/>
      <c r="J339" s="330"/>
      <c r="K339" s="330"/>
      <c r="L339" s="330"/>
      <c r="M339" s="330"/>
      <c r="N339" s="330"/>
      <c r="O339" s="330"/>
      <c r="P339" s="330"/>
      <c r="Q339" s="330"/>
      <c r="R339" s="330"/>
      <c r="S339" s="330"/>
      <c r="T339" s="330"/>
      <c r="U339" s="330"/>
      <c r="V339" s="330"/>
      <c r="W339" s="330"/>
      <c r="X339" s="330"/>
      <c r="Y339" s="330"/>
      <c r="Z339" s="330"/>
      <c r="AA339" s="330"/>
      <c r="AB339" s="330"/>
      <c r="AC339" s="330"/>
      <c r="AD339" s="330"/>
      <c r="AE339" s="330"/>
      <c r="AF339" s="330"/>
      <c r="AG339" s="330"/>
      <c r="AH339" s="330"/>
      <c r="AI339" s="330"/>
      <c r="AJ339" s="330"/>
      <c r="AK339" s="330"/>
      <c r="AL339" s="330"/>
      <c r="AM339" s="330"/>
      <c r="AN339" s="330"/>
      <c r="AO339" s="330"/>
      <c r="AP339" s="330"/>
      <c r="AQ339" s="330"/>
      <c r="AR339" s="330"/>
      <c r="AS339" s="330"/>
      <c r="AT339" s="330"/>
      <c r="AU339" s="330"/>
      <c r="AV339" s="330"/>
      <c r="AW339" s="330"/>
      <c r="AX339" s="330"/>
      <c r="AY339" s="330"/>
      <c r="AZ339" s="330"/>
      <c r="BA339" s="330"/>
      <c r="BB339" s="330"/>
      <c r="BC339" s="330"/>
      <c r="BD339" s="330"/>
      <c r="BE339" s="330"/>
      <c r="BF339" s="330"/>
    </row>
    <row r="340" spans="1:58">
      <c r="A340" s="330"/>
      <c r="B340" s="330"/>
      <c r="C340" s="330"/>
      <c r="D340" s="330"/>
      <c r="E340" s="330"/>
      <c r="F340" s="330"/>
      <c r="G340" s="330"/>
      <c r="H340" s="330"/>
      <c r="I340" s="330"/>
      <c r="J340" s="330"/>
      <c r="K340" s="330"/>
      <c r="L340" s="330"/>
      <c r="M340" s="330"/>
      <c r="N340" s="330"/>
      <c r="O340" s="330"/>
      <c r="P340" s="330"/>
      <c r="Q340" s="330"/>
      <c r="R340" s="330"/>
      <c r="S340" s="330"/>
      <c r="T340" s="330"/>
      <c r="U340" s="330"/>
      <c r="V340" s="330"/>
      <c r="W340" s="330"/>
      <c r="X340" s="330"/>
      <c r="Y340" s="330"/>
      <c r="Z340" s="330"/>
      <c r="AA340" s="330"/>
      <c r="AB340" s="330"/>
      <c r="AC340" s="330"/>
      <c r="AD340" s="330"/>
      <c r="AE340" s="330"/>
      <c r="AF340" s="330"/>
      <c r="AG340" s="330"/>
      <c r="AH340" s="330"/>
      <c r="AI340" s="330"/>
      <c r="AJ340" s="330"/>
      <c r="AK340" s="330"/>
      <c r="AL340" s="330"/>
      <c r="AM340" s="330"/>
      <c r="AN340" s="330"/>
      <c r="AO340" s="330"/>
      <c r="AP340" s="330"/>
      <c r="AQ340" s="330"/>
      <c r="AR340" s="330"/>
      <c r="AS340" s="330"/>
      <c r="AT340" s="330"/>
      <c r="AU340" s="330"/>
      <c r="AV340" s="330"/>
      <c r="AW340" s="330"/>
      <c r="AX340" s="330"/>
      <c r="AY340" s="330"/>
      <c r="AZ340" s="330"/>
      <c r="BA340" s="330"/>
      <c r="BB340" s="330"/>
      <c r="BC340" s="330"/>
      <c r="BD340" s="330"/>
      <c r="BE340" s="330"/>
      <c r="BF340" s="330"/>
    </row>
    <row r="341" spans="1:58">
      <c r="A341" s="330"/>
      <c r="B341" s="330"/>
      <c r="C341" s="330"/>
      <c r="D341" s="330"/>
      <c r="E341" s="330"/>
      <c r="F341" s="330"/>
      <c r="G341" s="330"/>
      <c r="H341" s="330"/>
      <c r="I341" s="330"/>
      <c r="J341" s="330"/>
      <c r="K341" s="330"/>
      <c r="L341" s="330"/>
      <c r="M341" s="330"/>
      <c r="N341" s="330"/>
      <c r="O341" s="330"/>
      <c r="P341" s="330"/>
      <c r="Q341" s="330"/>
      <c r="R341" s="330"/>
      <c r="S341" s="330"/>
      <c r="T341" s="330"/>
      <c r="U341" s="330"/>
      <c r="V341" s="330"/>
      <c r="W341" s="330"/>
      <c r="X341" s="330"/>
      <c r="Y341" s="330"/>
      <c r="Z341" s="330"/>
      <c r="AA341" s="330"/>
      <c r="AB341" s="330"/>
      <c r="AC341" s="330"/>
      <c r="AD341" s="330"/>
      <c r="AE341" s="330"/>
      <c r="AF341" s="330"/>
      <c r="AG341" s="330"/>
      <c r="AH341" s="330"/>
      <c r="AI341" s="330"/>
      <c r="AJ341" s="330"/>
      <c r="AK341" s="330"/>
      <c r="AL341" s="330"/>
      <c r="AM341" s="330"/>
      <c r="AN341" s="330"/>
      <c r="AO341" s="330"/>
      <c r="AP341" s="330"/>
      <c r="AQ341" s="330"/>
      <c r="AR341" s="330"/>
      <c r="AS341" s="330"/>
      <c r="AT341" s="330"/>
      <c r="AU341" s="330"/>
      <c r="AV341" s="330"/>
      <c r="AW341" s="330"/>
      <c r="AX341" s="330"/>
      <c r="AY341" s="330"/>
      <c r="AZ341" s="330"/>
      <c r="BA341" s="330"/>
      <c r="BB341" s="330"/>
      <c r="BC341" s="330"/>
      <c r="BD341" s="330"/>
      <c r="BE341" s="330"/>
      <c r="BF341" s="330"/>
    </row>
    <row r="342" spans="1:58">
      <c r="A342" s="330"/>
      <c r="B342" s="330"/>
      <c r="C342" s="330"/>
      <c r="D342" s="330"/>
      <c r="E342" s="330"/>
      <c r="F342" s="330"/>
      <c r="G342" s="330"/>
      <c r="H342" s="330"/>
      <c r="I342" s="330"/>
      <c r="J342" s="330"/>
      <c r="K342" s="330"/>
      <c r="L342" s="330"/>
      <c r="M342" s="330"/>
      <c r="N342" s="330"/>
      <c r="O342" s="330"/>
      <c r="P342" s="330"/>
      <c r="Q342" s="330"/>
      <c r="R342" s="330"/>
      <c r="S342" s="330"/>
      <c r="T342" s="330"/>
      <c r="U342" s="330"/>
      <c r="V342" s="330"/>
      <c r="W342" s="330"/>
      <c r="X342" s="330"/>
      <c r="Y342" s="330"/>
      <c r="Z342" s="330"/>
      <c r="AA342" s="330"/>
      <c r="AB342" s="330"/>
      <c r="AC342" s="330"/>
      <c r="AD342" s="330"/>
      <c r="AE342" s="330"/>
      <c r="AF342" s="330"/>
      <c r="AG342" s="330"/>
      <c r="AH342" s="330"/>
      <c r="AI342" s="330"/>
      <c r="AJ342" s="330"/>
      <c r="AK342" s="330"/>
      <c r="AL342" s="330"/>
      <c r="AM342" s="330"/>
      <c r="AN342" s="330"/>
      <c r="AO342" s="330"/>
      <c r="AP342" s="330"/>
      <c r="AQ342" s="330"/>
      <c r="AR342" s="330"/>
      <c r="AS342" s="330"/>
      <c r="AT342" s="330"/>
      <c r="AU342" s="330"/>
      <c r="AV342" s="330"/>
      <c r="AW342" s="330"/>
      <c r="AX342" s="330"/>
      <c r="AY342" s="330"/>
      <c r="AZ342" s="330"/>
      <c r="BA342" s="330"/>
      <c r="BB342" s="330"/>
      <c r="BC342" s="330"/>
      <c r="BD342" s="330"/>
      <c r="BE342" s="330"/>
      <c r="BF342" s="330"/>
    </row>
    <row r="343" spans="1:58">
      <c r="A343" s="330"/>
      <c r="B343" s="330"/>
      <c r="C343" s="330"/>
      <c r="D343" s="330"/>
      <c r="E343" s="330"/>
      <c r="F343" s="330"/>
      <c r="G343" s="330"/>
      <c r="H343" s="330"/>
      <c r="I343" s="330"/>
      <c r="J343" s="330"/>
      <c r="K343" s="330"/>
      <c r="L343" s="330"/>
      <c r="M343" s="330"/>
      <c r="N343" s="330"/>
      <c r="O343" s="330"/>
      <c r="P343" s="330"/>
      <c r="Q343" s="330"/>
      <c r="R343" s="330"/>
      <c r="S343" s="330"/>
      <c r="T343" s="330"/>
      <c r="U343" s="330"/>
      <c r="V343" s="330"/>
      <c r="W343" s="330"/>
      <c r="X343" s="330"/>
      <c r="Y343" s="330"/>
      <c r="Z343" s="330"/>
      <c r="AA343" s="330"/>
      <c r="AB343" s="330"/>
      <c r="AC343" s="330"/>
      <c r="AD343" s="330"/>
      <c r="AE343" s="330"/>
      <c r="AF343" s="330"/>
      <c r="AG343" s="330"/>
      <c r="AH343" s="330"/>
      <c r="AI343" s="330"/>
      <c r="AJ343" s="330"/>
      <c r="AK343" s="330"/>
      <c r="AL343" s="330"/>
      <c r="AM343" s="330"/>
      <c r="AN343" s="330"/>
      <c r="AO343" s="330"/>
      <c r="AP343" s="330"/>
      <c r="AQ343" s="330"/>
      <c r="AR343" s="330"/>
      <c r="AS343" s="330"/>
      <c r="AT343" s="330"/>
      <c r="AU343" s="330"/>
      <c r="AV343" s="330"/>
      <c r="AW343" s="330"/>
      <c r="AX343" s="330"/>
      <c r="AY343" s="330"/>
      <c r="AZ343" s="330"/>
      <c r="BA343" s="330"/>
      <c r="BB343" s="330"/>
      <c r="BC343" s="330"/>
      <c r="BD343" s="330"/>
      <c r="BE343" s="330"/>
      <c r="BF343" s="330"/>
    </row>
    <row r="344" spans="1:58">
      <c r="A344" s="330"/>
      <c r="B344" s="330"/>
      <c r="C344" s="330"/>
      <c r="D344" s="330"/>
      <c r="E344" s="330"/>
      <c r="F344" s="330"/>
      <c r="G344" s="330"/>
      <c r="H344" s="330"/>
      <c r="I344" s="330"/>
      <c r="J344" s="330"/>
      <c r="K344" s="330"/>
      <c r="L344" s="330"/>
      <c r="M344" s="330"/>
      <c r="N344" s="330"/>
      <c r="O344" s="330"/>
      <c r="P344" s="330"/>
      <c r="Q344" s="330"/>
      <c r="R344" s="330"/>
      <c r="S344" s="330"/>
      <c r="T344" s="330"/>
      <c r="U344" s="330"/>
      <c r="V344" s="330"/>
      <c r="W344" s="330"/>
      <c r="X344" s="330"/>
      <c r="Y344" s="330"/>
      <c r="Z344" s="330"/>
      <c r="AA344" s="330"/>
      <c r="AB344" s="330"/>
      <c r="AC344" s="330"/>
      <c r="AD344" s="330"/>
      <c r="AE344" s="330"/>
      <c r="AF344" s="330"/>
      <c r="AG344" s="330"/>
      <c r="AH344" s="330"/>
      <c r="AI344" s="330"/>
      <c r="AJ344" s="330"/>
      <c r="AK344" s="330"/>
      <c r="AL344" s="330"/>
      <c r="AM344" s="330"/>
      <c r="AN344" s="330"/>
      <c r="AO344" s="330"/>
      <c r="AP344" s="330"/>
      <c r="AQ344" s="330"/>
      <c r="AR344" s="330"/>
      <c r="AS344" s="330"/>
      <c r="AT344" s="330"/>
      <c r="AU344" s="330"/>
      <c r="AV344" s="330"/>
      <c r="AW344" s="330"/>
      <c r="AX344" s="330"/>
      <c r="AY344" s="330"/>
      <c r="AZ344" s="330"/>
      <c r="BA344" s="330"/>
      <c r="BB344" s="330"/>
      <c r="BC344" s="330"/>
      <c r="BD344" s="330"/>
      <c r="BE344" s="330"/>
      <c r="BF344" s="330"/>
    </row>
    <row r="345" spans="1:58">
      <c r="A345" s="330"/>
      <c r="B345" s="330"/>
      <c r="C345" s="330"/>
      <c r="D345" s="330"/>
      <c r="E345" s="330"/>
      <c r="F345" s="330"/>
      <c r="G345" s="330"/>
      <c r="H345" s="330"/>
      <c r="I345" s="330"/>
      <c r="J345" s="330"/>
      <c r="K345" s="330"/>
      <c r="L345" s="330"/>
      <c r="M345" s="330"/>
      <c r="N345" s="330"/>
      <c r="O345" s="330"/>
      <c r="P345" s="330"/>
      <c r="Q345" s="330"/>
      <c r="R345" s="330"/>
      <c r="S345" s="330"/>
      <c r="T345" s="330"/>
      <c r="U345" s="330"/>
      <c r="V345" s="330"/>
      <c r="W345" s="330"/>
      <c r="X345" s="330"/>
      <c r="Y345" s="330"/>
      <c r="Z345" s="330"/>
      <c r="AA345" s="330"/>
      <c r="AB345" s="330"/>
      <c r="AC345" s="330"/>
      <c r="AD345" s="330"/>
      <c r="AE345" s="330"/>
      <c r="AF345" s="330"/>
      <c r="AG345" s="330"/>
      <c r="AH345" s="330"/>
      <c r="AI345" s="330"/>
      <c r="AJ345" s="330"/>
      <c r="AK345" s="330"/>
      <c r="AL345" s="330"/>
      <c r="AM345" s="330"/>
      <c r="AN345" s="330"/>
      <c r="AO345" s="330"/>
      <c r="AP345" s="330"/>
      <c r="AQ345" s="330"/>
      <c r="AR345" s="330"/>
      <c r="AS345" s="330"/>
      <c r="AT345" s="330"/>
      <c r="AU345" s="330"/>
      <c r="AV345" s="330"/>
      <c r="AW345" s="330"/>
      <c r="AX345" s="330"/>
      <c r="AY345" s="330"/>
      <c r="AZ345" s="330"/>
      <c r="BA345" s="330"/>
      <c r="BB345" s="330"/>
      <c r="BC345" s="330"/>
      <c r="BD345" s="330"/>
      <c r="BE345" s="330"/>
      <c r="BF345" s="330"/>
    </row>
    <row r="346" spans="1:58">
      <c r="A346" s="330"/>
      <c r="B346" s="330"/>
      <c r="C346" s="330"/>
      <c r="D346" s="330"/>
      <c r="E346" s="330"/>
      <c r="F346" s="330"/>
      <c r="G346" s="330"/>
      <c r="H346" s="330"/>
      <c r="I346" s="330"/>
      <c r="J346" s="330"/>
      <c r="K346" s="330"/>
      <c r="L346" s="330"/>
      <c r="M346" s="330"/>
      <c r="N346" s="330"/>
      <c r="O346" s="330"/>
      <c r="P346" s="330"/>
      <c r="Q346" s="330"/>
      <c r="R346" s="330"/>
      <c r="S346" s="330"/>
      <c r="T346" s="330"/>
      <c r="U346" s="330"/>
      <c r="V346" s="330"/>
      <c r="W346" s="330"/>
      <c r="X346" s="330"/>
      <c r="Y346" s="330"/>
      <c r="Z346" s="330"/>
      <c r="AA346" s="330"/>
      <c r="AB346" s="330"/>
      <c r="AC346" s="330"/>
      <c r="AD346" s="330"/>
      <c r="AE346" s="330"/>
      <c r="AF346" s="330"/>
      <c r="AG346" s="330"/>
      <c r="AH346" s="330"/>
      <c r="AI346" s="330"/>
      <c r="AJ346" s="330"/>
      <c r="AK346" s="330"/>
      <c r="AL346" s="330"/>
      <c r="AM346" s="330"/>
      <c r="AN346" s="330"/>
      <c r="AO346" s="330"/>
      <c r="AP346" s="330"/>
      <c r="AQ346" s="330"/>
      <c r="AR346" s="330"/>
      <c r="AS346" s="330"/>
      <c r="AT346" s="330"/>
      <c r="AU346" s="330"/>
      <c r="AV346" s="330"/>
      <c r="AW346" s="330"/>
      <c r="AX346" s="330"/>
      <c r="AY346" s="330"/>
      <c r="AZ346" s="330"/>
      <c r="BA346" s="330"/>
      <c r="BB346" s="330"/>
      <c r="BC346" s="330"/>
      <c r="BD346" s="330"/>
      <c r="BE346" s="330"/>
      <c r="BF346" s="330"/>
    </row>
    <row r="347" spans="1:58">
      <c r="A347" s="330"/>
      <c r="B347" s="330"/>
      <c r="C347" s="330"/>
      <c r="D347" s="330"/>
      <c r="E347" s="330"/>
      <c r="F347" s="330"/>
      <c r="G347" s="330"/>
      <c r="H347" s="330"/>
      <c r="I347" s="330"/>
      <c r="J347" s="330"/>
      <c r="K347" s="330"/>
      <c r="L347" s="330"/>
      <c r="M347" s="330"/>
      <c r="N347" s="330"/>
      <c r="O347" s="330"/>
      <c r="P347" s="330"/>
      <c r="Q347" s="330"/>
      <c r="R347" s="330"/>
      <c r="S347" s="330"/>
      <c r="T347" s="330"/>
      <c r="U347" s="330"/>
      <c r="V347" s="330"/>
      <c r="W347" s="330"/>
      <c r="X347" s="330"/>
      <c r="Y347" s="330"/>
      <c r="Z347" s="330"/>
      <c r="AA347" s="330"/>
      <c r="AB347" s="330"/>
      <c r="AC347" s="330"/>
      <c r="AD347" s="330"/>
      <c r="AE347" s="330"/>
      <c r="AF347" s="330"/>
      <c r="AG347" s="330"/>
      <c r="AH347" s="330"/>
      <c r="AI347" s="330"/>
      <c r="AJ347" s="330"/>
      <c r="AK347" s="330"/>
      <c r="AL347" s="330"/>
      <c r="AM347" s="330"/>
      <c r="AN347" s="330"/>
      <c r="AO347" s="330"/>
      <c r="AP347" s="330"/>
      <c r="AQ347" s="330"/>
      <c r="AR347" s="330"/>
      <c r="AS347" s="330"/>
      <c r="AT347" s="330"/>
      <c r="AU347" s="330"/>
      <c r="AV347" s="330"/>
      <c r="AW347" s="330"/>
      <c r="AX347" s="330"/>
      <c r="AY347" s="330"/>
      <c r="AZ347" s="330"/>
      <c r="BA347" s="330"/>
      <c r="BB347" s="330"/>
      <c r="BC347" s="330"/>
      <c r="BD347" s="330"/>
      <c r="BE347" s="330"/>
      <c r="BF347" s="330"/>
    </row>
    <row r="348" spans="1:58">
      <c r="A348" s="330"/>
      <c r="B348" s="330"/>
      <c r="C348" s="330"/>
      <c r="D348" s="330"/>
      <c r="E348" s="330"/>
      <c r="F348" s="330"/>
      <c r="G348" s="330"/>
      <c r="H348" s="330"/>
      <c r="I348" s="330"/>
      <c r="J348" s="330"/>
      <c r="K348" s="330"/>
      <c r="L348" s="330"/>
      <c r="M348" s="330"/>
      <c r="N348" s="330"/>
      <c r="O348" s="330"/>
      <c r="P348" s="330"/>
      <c r="Q348" s="330"/>
      <c r="R348" s="330"/>
      <c r="S348" s="330"/>
      <c r="T348" s="330"/>
      <c r="U348" s="330"/>
      <c r="V348" s="330"/>
      <c r="W348" s="330"/>
      <c r="X348" s="330"/>
      <c r="Y348" s="330"/>
      <c r="Z348" s="330"/>
      <c r="AA348" s="330"/>
      <c r="AB348" s="330"/>
      <c r="AC348" s="330"/>
      <c r="AD348" s="330"/>
      <c r="AE348" s="330"/>
      <c r="AF348" s="330"/>
      <c r="AG348" s="330"/>
      <c r="AH348" s="330"/>
      <c r="AI348" s="330"/>
      <c r="AJ348" s="330"/>
      <c r="AK348" s="330"/>
      <c r="AL348" s="330"/>
      <c r="AM348" s="330"/>
      <c r="AN348" s="330"/>
      <c r="AO348" s="330"/>
      <c r="AP348" s="330"/>
      <c r="AQ348" s="330"/>
      <c r="AR348" s="330"/>
      <c r="AS348" s="330"/>
      <c r="AT348" s="330"/>
      <c r="AU348" s="330"/>
      <c r="AV348" s="330"/>
      <c r="AW348" s="330"/>
      <c r="AX348" s="330"/>
      <c r="AY348" s="330"/>
      <c r="AZ348" s="330"/>
      <c r="BA348" s="330"/>
      <c r="BB348" s="330"/>
      <c r="BC348" s="330"/>
      <c r="BD348" s="330"/>
      <c r="BE348" s="330"/>
      <c r="BF348" s="330"/>
    </row>
    <row r="349" spans="1:58">
      <c r="A349" s="330"/>
      <c r="B349" s="330"/>
      <c r="C349" s="330"/>
      <c r="D349" s="330"/>
      <c r="E349" s="330"/>
      <c r="F349" s="330"/>
      <c r="G349" s="330"/>
      <c r="H349" s="330"/>
      <c r="I349" s="330"/>
      <c r="J349" s="330"/>
      <c r="K349" s="330"/>
      <c r="L349" s="330"/>
      <c r="M349" s="330"/>
      <c r="N349" s="330"/>
      <c r="O349" s="330"/>
      <c r="P349" s="330"/>
      <c r="Q349" s="330"/>
      <c r="R349" s="330"/>
      <c r="S349" s="330"/>
      <c r="T349" s="330"/>
      <c r="U349" s="330"/>
      <c r="V349" s="330"/>
      <c r="W349" s="330"/>
      <c r="X349" s="330"/>
      <c r="Y349" s="330"/>
      <c r="Z349" s="330"/>
      <c r="AA349" s="330"/>
      <c r="AB349" s="330"/>
      <c r="AC349" s="330"/>
      <c r="AD349" s="330"/>
      <c r="AE349" s="330"/>
      <c r="AF349" s="330"/>
      <c r="AG349" s="330"/>
      <c r="AH349" s="330"/>
      <c r="AI349" s="330"/>
      <c r="AJ349" s="330"/>
      <c r="AK349" s="330"/>
      <c r="AL349" s="330"/>
      <c r="AM349" s="330"/>
      <c r="AN349" s="330"/>
      <c r="AO349" s="330"/>
      <c r="AP349" s="330"/>
      <c r="AQ349" s="330"/>
      <c r="AR349" s="330"/>
      <c r="AS349" s="330"/>
      <c r="AT349" s="330"/>
      <c r="AU349" s="330"/>
      <c r="AV349" s="330"/>
      <c r="AW349" s="330"/>
      <c r="AX349" s="330"/>
      <c r="AY349" s="330"/>
      <c r="AZ349" s="330"/>
      <c r="BA349" s="330"/>
      <c r="BB349" s="330"/>
      <c r="BC349" s="330"/>
      <c r="BD349" s="330"/>
      <c r="BE349" s="330"/>
      <c r="BF349" s="330"/>
    </row>
    <row r="350" spans="1:58">
      <c r="A350" s="330"/>
      <c r="B350" s="330"/>
      <c r="C350" s="330"/>
      <c r="D350" s="330"/>
      <c r="E350" s="330"/>
      <c r="F350" s="330"/>
      <c r="G350" s="330"/>
      <c r="H350" s="330"/>
      <c r="I350" s="330"/>
      <c r="J350" s="330"/>
      <c r="K350" s="330"/>
      <c r="L350" s="330"/>
      <c r="M350" s="330"/>
      <c r="N350" s="330"/>
      <c r="O350" s="330"/>
      <c r="P350" s="330"/>
      <c r="Q350" s="330"/>
      <c r="R350" s="330"/>
      <c r="S350" s="330"/>
      <c r="T350" s="330"/>
      <c r="U350" s="330"/>
      <c r="V350" s="330"/>
      <c r="W350" s="330"/>
      <c r="X350" s="330"/>
      <c r="Y350" s="330"/>
      <c r="Z350" s="330"/>
      <c r="AA350" s="330"/>
      <c r="AB350" s="330"/>
      <c r="AC350" s="330"/>
      <c r="AD350" s="330"/>
      <c r="AE350" s="330"/>
      <c r="AF350" s="330"/>
      <c r="AG350" s="330"/>
      <c r="AH350" s="330"/>
      <c r="AI350" s="330"/>
      <c r="AJ350" s="330"/>
      <c r="AK350" s="330"/>
      <c r="AL350" s="330"/>
      <c r="AM350" s="330"/>
      <c r="AN350" s="330"/>
      <c r="AO350" s="330"/>
      <c r="AP350" s="330"/>
      <c r="AQ350" s="330"/>
      <c r="AR350" s="330"/>
      <c r="AS350" s="330"/>
      <c r="AT350" s="330"/>
      <c r="AU350" s="330"/>
      <c r="AV350" s="330"/>
      <c r="AW350" s="330"/>
      <c r="AX350" s="330"/>
      <c r="AY350" s="330"/>
      <c r="AZ350" s="330"/>
      <c r="BA350" s="330"/>
      <c r="BB350" s="330"/>
      <c r="BC350" s="330"/>
      <c r="BD350" s="330"/>
      <c r="BE350" s="330"/>
      <c r="BF350" s="330"/>
    </row>
    <row r="351" spans="1:58">
      <c r="A351" s="330"/>
      <c r="B351" s="330"/>
      <c r="C351" s="330"/>
      <c r="D351" s="330"/>
      <c r="E351" s="330"/>
      <c r="F351" s="330"/>
      <c r="G351" s="330"/>
      <c r="H351" s="330"/>
      <c r="I351" s="330"/>
      <c r="J351" s="330"/>
      <c r="K351" s="330"/>
      <c r="L351" s="330"/>
      <c r="M351" s="330"/>
      <c r="N351" s="330"/>
      <c r="O351" s="330"/>
      <c r="P351" s="330"/>
      <c r="Q351" s="330"/>
      <c r="R351" s="330"/>
      <c r="S351" s="330"/>
      <c r="T351" s="330"/>
      <c r="U351" s="330"/>
      <c r="V351" s="330"/>
      <c r="W351" s="330"/>
      <c r="X351" s="330"/>
      <c r="Y351" s="330"/>
      <c r="Z351" s="330"/>
      <c r="AA351" s="330"/>
      <c r="AB351" s="330"/>
      <c r="AC351" s="330"/>
      <c r="AD351" s="330"/>
      <c r="AE351" s="330"/>
      <c r="AF351" s="330"/>
      <c r="AG351" s="330"/>
      <c r="AH351" s="330"/>
      <c r="AI351" s="330"/>
      <c r="AJ351" s="330"/>
      <c r="AK351" s="330"/>
      <c r="AL351" s="330"/>
      <c r="AM351" s="330"/>
      <c r="AN351" s="330"/>
      <c r="AO351" s="330"/>
      <c r="AP351" s="330"/>
      <c r="AQ351" s="330"/>
      <c r="AR351" s="330"/>
      <c r="AS351" s="330"/>
      <c r="AT351" s="330"/>
      <c r="AU351" s="330"/>
      <c r="AV351" s="330"/>
      <c r="AW351" s="330"/>
      <c r="AX351" s="330"/>
      <c r="AY351" s="330"/>
      <c r="AZ351" s="330"/>
      <c r="BA351" s="330"/>
      <c r="BB351" s="330"/>
      <c r="BC351" s="330"/>
      <c r="BD351" s="330"/>
      <c r="BE351" s="330"/>
      <c r="BF351" s="330"/>
    </row>
    <row r="352" spans="1:58">
      <c r="A352" s="330"/>
      <c r="B352" s="330"/>
      <c r="C352" s="330"/>
      <c r="D352" s="330"/>
      <c r="E352" s="330"/>
      <c r="F352" s="330"/>
      <c r="G352" s="330"/>
      <c r="H352" s="330"/>
      <c r="I352" s="330"/>
      <c r="J352" s="330"/>
      <c r="K352" s="330"/>
      <c r="L352" s="330"/>
      <c r="M352" s="330"/>
      <c r="N352" s="330"/>
      <c r="O352" s="330"/>
      <c r="P352" s="330"/>
      <c r="Q352" s="330"/>
      <c r="R352" s="330"/>
      <c r="S352" s="330"/>
      <c r="T352" s="330"/>
      <c r="U352" s="330"/>
      <c r="V352" s="330"/>
      <c r="W352" s="330"/>
      <c r="X352" s="330"/>
      <c r="Y352" s="330"/>
      <c r="Z352" s="330"/>
      <c r="AA352" s="330"/>
      <c r="AB352" s="330"/>
      <c r="AC352" s="330"/>
      <c r="AD352" s="330"/>
      <c r="AE352" s="330"/>
      <c r="AF352" s="330"/>
      <c r="AG352" s="330"/>
      <c r="AH352" s="330"/>
      <c r="AI352" s="330"/>
      <c r="AJ352" s="330"/>
      <c r="AK352" s="330"/>
      <c r="AL352" s="330"/>
      <c r="AM352" s="330"/>
      <c r="AN352" s="330"/>
      <c r="AO352" s="330"/>
      <c r="AP352" s="330"/>
      <c r="AQ352" s="330"/>
      <c r="AR352" s="330"/>
      <c r="AS352" s="330"/>
      <c r="AT352" s="330"/>
      <c r="AU352" s="330"/>
      <c r="AV352" s="330"/>
      <c r="AW352" s="330"/>
      <c r="AX352" s="330"/>
      <c r="AY352" s="330"/>
      <c r="AZ352" s="330"/>
      <c r="BA352" s="330"/>
      <c r="BB352" s="330"/>
      <c r="BC352" s="330"/>
      <c r="BD352" s="330"/>
      <c r="BE352" s="330"/>
      <c r="BF352" s="330"/>
    </row>
    <row r="353" spans="1:58">
      <c r="A353" s="330"/>
      <c r="B353" s="330"/>
      <c r="C353" s="330"/>
      <c r="D353" s="330"/>
      <c r="E353" s="330"/>
      <c r="F353" s="330"/>
      <c r="G353" s="330"/>
      <c r="H353" s="330"/>
      <c r="I353" s="330"/>
      <c r="J353" s="330"/>
      <c r="K353" s="330"/>
      <c r="L353" s="330"/>
      <c r="M353" s="330"/>
      <c r="N353" s="330"/>
      <c r="O353" s="330"/>
      <c r="P353" s="330"/>
      <c r="Q353" s="330"/>
      <c r="R353" s="330"/>
      <c r="S353" s="330"/>
      <c r="T353" s="330"/>
      <c r="U353" s="330"/>
      <c r="V353" s="330"/>
      <c r="W353" s="330"/>
      <c r="X353" s="330"/>
      <c r="Y353" s="330"/>
      <c r="Z353" s="330"/>
      <c r="AA353" s="330"/>
      <c r="AB353" s="330"/>
      <c r="AC353" s="330"/>
      <c r="AD353" s="330"/>
      <c r="AE353" s="330"/>
      <c r="AF353" s="330"/>
      <c r="AG353" s="330"/>
      <c r="AH353" s="330"/>
      <c r="AI353" s="330"/>
      <c r="AJ353" s="330"/>
      <c r="AK353" s="330"/>
      <c r="AL353" s="330"/>
      <c r="AM353" s="330"/>
      <c r="AN353" s="330"/>
      <c r="AO353" s="330"/>
      <c r="AP353" s="330"/>
      <c r="AQ353" s="330"/>
      <c r="AR353" s="330"/>
      <c r="AS353" s="330"/>
      <c r="AT353" s="330"/>
      <c r="AU353" s="330"/>
      <c r="AV353" s="330"/>
      <c r="AW353" s="330"/>
      <c r="AX353" s="330"/>
      <c r="AY353" s="330"/>
      <c r="AZ353" s="330"/>
      <c r="BA353" s="330"/>
      <c r="BB353" s="330"/>
      <c r="BC353" s="330"/>
      <c r="BD353" s="330"/>
      <c r="BE353" s="330"/>
      <c r="BF353" s="330"/>
    </row>
    <row r="354" spans="1:58">
      <c r="A354" s="330"/>
      <c r="B354" s="330"/>
      <c r="C354" s="330"/>
      <c r="D354" s="330"/>
      <c r="E354" s="330"/>
      <c r="F354" s="330"/>
      <c r="G354" s="330"/>
      <c r="H354" s="330"/>
      <c r="I354" s="330"/>
      <c r="J354" s="330"/>
      <c r="K354" s="330"/>
      <c r="L354" s="330"/>
      <c r="M354" s="330"/>
      <c r="N354" s="330"/>
      <c r="O354" s="330"/>
      <c r="P354" s="330"/>
      <c r="Q354" s="330"/>
      <c r="R354" s="330"/>
      <c r="S354" s="330"/>
      <c r="T354" s="330"/>
      <c r="U354" s="330"/>
      <c r="V354" s="330"/>
      <c r="W354" s="330"/>
      <c r="X354" s="330"/>
      <c r="Y354" s="330"/>
      <c r="Z354" s="330"/>
      <c r="AA354" s="330"/>
      <c r="AB354" s="330"/>
      <c r="AC354" s="330"/>
      <c r="AD354" s="330"/>
      <c r="AE354" s="330"/>
      <c r="AF354" s="330"/>
      <c r="AG354" s="330"/>
      <c r="AH354" s="330"/>
      <c r="AI354" s="330"/>
      <c r="AJ354" s="330"/>
      <c r="AK354" s="330"/>
      <c r="AL354" s="330"/>
      <c r="AM354" s="330"/>
      <c r="AN354" s="330"/>
      <c r="AO354" s="330"/>
      <c r="AP354" s="330"/>
      <c r="AQ354" s="330"/>
      <c r="AR354" s="330"/>
      <c r="AS354" s="330"/>
      <c r="AT354" s="330"/>
      <c r="AU354" s="330"/>
      <c r="AV354" s="330"/>
      <c r="AW354" s="330"/>
      <c r="AX354" s="330"/>
      <c r="AY354" s="330"/>
      <c r="AZ354" s="330"/>
      <c r="BA354" s="330"/>
      <c r="BB354" s="330"/>
      <c r="BC354" s="330"/>
      <c r="BD354" s="330"/>
      <c r="BE354" s="330"/>
      <c r="BF354" s="330"/>
    </row>
    <row r="355" spans="1:58">
      <c r="A355" s="330"/>
      <c r="B355" s="330"/>
      <c r="C355" s="330"/>
      <c r="D355" s="330"/>
      <c r="E355" s="330"/>
      <c r="F355" s="330"/>
      <c r="G355" s="330"/>
      <c r="H355" s="330"/>
      <c r="I355" s="330"/>
      <c r="J355" s="330"/>
      <c r="K355" s="330"/>
      <c r="L355" s="330"/>
      <c r="M355" s="330"/>
      <c r="N355" s="330"/>
      <c r="O355" s="330"/>
      <c r="P355" s="330"/>
      <c r="Q355" s="330"/>
      <c r="R355" s="330"/>
      <c r="S355" s="330"/>
      <c r="T355" s="330"/>
      <c r="U355" s="330"/>
      <c r="V355" s="330"/>
      <c r="W355" s="330"/>
      <c r="X355" s="330"/>
      <c r="Y355" s="330"/>
      <c r="Z355" s="330"/>
      <c r="AA355" s="330"/>
      <c r="AB355" s="330"/>
      <c r="AC355" s="330"/>
      <c r="AD355" s="330"/>
      <c r="AE355" s="330"/>
      <c r="AF355" s="330"/>
      <c r="AG355" s="330"/>
      <c r="AH355" s="330"/>
      <c r="AI355" s="330"/>
      <c r="AJ355" s="330"/>
      <c r="AK355" s="330"/>
      <c r="AL355" s="330"/>
      <c r="AM355" s="330"/>
      <c r="AN355" s="330"/>
      <c r="AO355" s="330"/>
      <c r="AP355" s="330"/>
      <c r="AQ355" s="330"/>
      <c r="AR355" s="330"/>
      <c r="AS355" s="330"/>
      <c r="AT355" s="330"/>
      <c r="AU355" s="330"/>
      <c r="AV355" s="330"/>
      <c r="AW355" s="330"/>
      <c r="AX355" s="330"/>
      <c r="AY355" s="330"/>
      <c r="AZ355" s="330"/>
      <c r="BA355" s="330"/>
      <c r="BB355" s="330"/>
      <c r="BC355" s="330"/>
      <c r="BD355" s="330"/>
      <c r="BE355" s="330"/>
      <c r="BF355" s="330"/>
    </row>
    <row r="356" spans="1:58">
      <c r="A356" s="330"/>
      <c r="B356" s="330"/>
      <c r="C356" s="330"/>
      <c r="D356" s="330"/>
      <c r="E356" s="330"/>
      <c r="F356" s="330"/>
      <c r="G356" s="330"/>
      <c r="H356" s="330"/>
      <c r="I356" s="330"/>
      <c r="J356" s="330"/>
      <c r="K356" s="330"/>
      <c r="L356" s="330"/>
      <c r="M356" s="330"/>
      <c r="N356" s="330"/>
      <c r="O356" s="330"/>
      <c r="P356" s="330"/>
      <c r="Q356" s="330"/>
      <c r="R356" s="330"/>
      <c r="S356" s="330"/>
      <c r="T356" s="330"/>
      <c r="U356" s="330"/>
      <c r="V356" s="330"/>
      <c r="W356" s="330"/>
      <c r="X356" s="330"/>
      <c r="Y356" s="330"/>
      <c r="Z356" s="330"/>
      <c r="AA356" s="330"/>
      <c r="AB356" s="330"/>
      <c r="AC356" s="330"/>
      <c r="AD356" s="330"/>
      <c r="AE356" s="330"/>
      <c r="AF356" s="330"/>
      <c r="AG356" s="330"/>
      <c r="AH356" s="330"/>
      <c r="AI356" s="330"/>
      <c r="AJ356" s="330"/>
      <c r="AK356" s="330"/>
      <c r="AL356" s="330"/>
      <c r="AM356" s="330"/>
      <c r="AN356" s="330"/>
      <c r="AO356" s="330"/>
      <c r="AP356" s="330"/>
      <c r="AQ356" s="330"/>
      <c r="AR356" s="330"/>
      <c r="AS356" s="330"/>
      <c r="AT356" s="330"/>
      <c r="AU356" s="330"/>
      <c r="AV356" s="330"/>
      <c r="AW356" s="330"/>
      <c r="AX356" s="330"/>
      <c r="AY356" s="330"/>
      <c r="AZ356" s="330"/>
      <c r="BA356" s="330"/>
      <c r="BB356" s="330"/>
      <c r="BC356" s="330"/>
      <c r="BD356" s="330"/>
      <c r="BE356" s="330"/>
      <c r="BF356" s="330"/>
    </row>
    <row r="357" spans="1:58">
      <c r="A357" s="330"/>
      <c r="B357" s="330"/>
      <c r="C357" s="330"/>
      <c r="D357" s="330"/>
      <c r="E357" s="330"/>
      <c r="F357" s="330"/>
      <c r="G357" s="330"/>
      <c r="H357" s="330"/>
      <c r="I357" s="330"/>
      <c r="J357" s="330"/>
      <c r="K357" s="330"/>
      <c r="L357" s="330"/>
      <c r="M357" s="330"/>
      <c r="N357" s="330"/>
      <c r="O357" s="330"/>
      <c r="P357" s="330"/>
      <c r="Q357" s="330"/>
      <c r="R357" s="330"/>
      <c r="S357" s="330"/>
      <c r="T357" s="330"/>
      <c r="U357" s="330"/>
      <c r="V357" s="330"/>
      <c r="W357" s="330"/>
      <c r="X357" s="330"/>
      <c r="Y357" s="330"/>
      <c r="Z357" s="330"/>
      <c r="AA357" s="330"/>
      <c r="AB357" s="330"/>
      <c r="AC357" s="330"/>
      <c r="AD357" s="330"/>
      <c r="AE357" s="330"/>
      <c r="AF357" s="330"/>
      <c r="AG357" s="330"/>
      <c r="AH357" s="330"/>
      <c r="AI357" s="330"/>
      <c r="AJ357" s="330"/>
      <c r="AK357" s="330"/>
      <c r="AL357" s="330"/>
      <c r="AM357" s="330"/>
      <c r="AN357" s="330"/>
      <c r="AO357" s="330"/>
      <c r="AP357" s="330"/>
      <c r="AQ357" s="330"/>
      <c r="AR357" s="330"/>
      <c r="AS357" s="330"/>
      <c r="AT357" s="330"/>
      <c r="AU357" s="330"/>
      <c r="AV357" s="330"/>
      <c r="AW357" s="330"/>
      <c r="AX357" s="330"/>
      <c r="AY357" s="330"/>
      <c r="AZ357" s="330"/>
      <c r="BA357" s="330"/>
      <c r="BB357" s="330"/>
      <c r="BC357" s="330"/>
      <c r="BD357" s="330"/>
      <c r="BE357" s="330"/>
      <c r="BF357" s="330"/>
    </row>
    <row r="358" spans="1:58">
      <c r="A358" s="330"/>
      <c r="B358" s="330"/>
      <c r="C358" s="330"/>
      <c r="D358" s="330"/>
      <c r="E358" s="330"/>
      <c r="F358" s="330"/>
      <c r="G358" s="330"/>
      <c r="H358" s="330"/>
      <c r="I358" s="330"/>
      <c r="J358" s="330"/>
      <c r="K358" s="330"/>
      <c r="L358" s="330"/>
      <c r="M358" s="330"/>
      <c r="N358" s="330"/>
      <c r="O358" s="330"/>
      <c r="P358" s="330"/>
      <c r="Q358" s="330"/>
      <c r="R358" s="330"/>
      <c r="S358" s="330"/>
      <c r="T358" s="330"/>
      <c r="U358" s="330"/>
      <c r="V358" s="330"/>
      <c r="W358" s="330"/>
      <c r="X358" s="330"/>
      <c r="Y358" s="330"/>
      <c r="Z358" s="330"/>
      <c r="AA358" s="330"/>
      <c r="AB358" s="330"/>
      <c r="AC358" s="330"/>
      <c r="AD358" s="330"/>
      <c r="AE358" s="330"/>
      <c r="AF358" s="330"/>
      <c r="AG358" s="330"/>
      <c r="AH358" s="330"/>
      <c r="AI358" s="330"/>
      <c r="AJ358" s="330"/>
      <c r="AK358" s="330"/>
      <c r="AL358" s="330"/>
      <c r="AM358" s="330"/>
      <c r="AN358" s="330"/>
      <c r="AO358" s="330"/>
      <c r="AP358" s="330"/>
      <c r="AQ358" s="330"/>
      <c r="AR358" s="330"/>
      <c r="AS358" s="330"/>
      <c r="AT358" s="330"/>
      <c r="AU358" s="330"/>
      <c r="AV358" s="330"/>
      <c r="AW358" s="330"/>
      <c r="AX358" s="330"/>
      <c r="AY358" s="330"/>
      <c r="AZ358" s="330"/>
      <c r="BA358" s="330"/>
      <c r="BB358" s="330"/>
      <c r="BC358" s="330"/>
      <c r="BD358" s="330"/>
      <c r="BE358" s="330"/>
      <c r="BF358" s="330"/>
    </row>
    <row r="359" spans="1:58">
      <c r="A359" s="330"/>
      <c r="B359" s="330"/>
      <c r="C359" s="330"/>
      <c r="D359" s="330"/>
      <c r="E359" s="330"/>
      <c r="F359" s="330"/>
      <c r="G359" s="330"/>
      <c r="H359" s="330"/>
      <c r="I359" s="330"/>
      <c r="J359" s="330"/>
      <c r="K359" s="330"/>
      <c r="L359" s="330"/>
      <c r="M359" s="330"/>
      <c r="N359" s="330"/>
      <c r="O359" s="330"/>
      <c r="P359" s="330"/>
      <c r="Q359" s="330"/>
      <c r="R359" s="330"/>
      <c r="S359" s="330"/>
      <c r="T359" s="330"/>
      <c r="U359" s="330"/>
      <c r="V359" s="330"/>
      <c r="W359" s="330"/>
      <c r="X359" s="330"/>
      <c r="Y359" s="330"/>
      <c r="Z359" s="330"/>
      <c r="AA359" s="330"/>
      <c r="AB359" s="330"/>
      <c r="AC359" s="330"/>
      <c r="AD359" s="330"/>
      <c r="AE359" s="330"/>
      <c r="AF359" s="330"/>
      <c r="AG359" s="330"/>
      <c r="AH359" s="330"/>
      <c r="AI359" s="330"/>
      <c r="AJ359" s="330"/>
      <c r="AK359" s="330"/>
      <c r="AL359" s="330"/>
      <c r="AM359" s="330"/>
      <c r="AN359" s="330"/>
      <c r="AO359" s="330"/>
      <c r="AP359" s="330"/>
      <c r="AQ359" s="330"/>
      <c r="AR359" s="330"/>
      <c r="AS359" s="330"/>
      <c r="AT359" s="330"/>
      <c r="AU359" s="330"/>
      <c r="AV359" s="330"/>
      <c r="AW359" s="330"/>
      <c r="AX359" s="330"/>
      <c r="AY359" s="330"/>
      <c r="AZ359" s="330"/>
      <c r="BA359" s="330"/>
      <c r="BB359" s="330"/>
      <c r="BC359" s="330"/>
      <c r="BD359" s="330"/>
      <c r="BE359" s="330"/>
      <c r="BF359" s="330"/>
    </row>
    <row r="360" spans="1:58">
      <c r="A360" s="330"/>
      <c r="B360" s="330"/>
      <c r="C360" s="330"/>
      <c r="D360" s="330"/>
      <c r="E360" s="330"/>
      <c r="F360" s="330"/>
      <c r="G360" s="330"/>
      <c r="H360" s="330"/>
      <c r="I360" s="330"/>
      <c r="J360" s="330"/>
      <c r="K360" s="330"/>
      <c r="L360" s="330"/>
      <c r="M360" s="330"/>
      <c r="N360" s="330"/>
      <c r="O360" s="330"/>
      <c r="P360" s="330"/>
      <c r="Q360" s="330"/>
      <c r="R360" s="330"/>
      <c r="S360" s="330"/>
      <c r="T360" s="330"/>
      <c r="U360" s="330"/>
      <c r="V360" s="330"/>
      <c r="W360" s="330"/>
      <c r="X360" s="330"/>
      <c r="Y360" s="330"/>
      <c r="Z360" s="330"/>
      <c r="AA360" s="330"/>
      <c r="AB360" s="330"/>
      <c r="AC360" s="330"/>
      <c r="AD360" s="330"/>
      <c r="AE360" s="330"/>
      <c r="AF360" s="330"/>
      <c r="AG360" s="330"/>
      <c r="AH360" s="330"/>
      <c r="AI360" s="330"/>
      <c r="AJ360" s="330"/>
      <c r="AK360" s="330"/>
      <c r="AL360" s="330"/>
      <c r="AM360" s="330"/>
      <c r="AN360" s="330"/>
      <c r="AO360" s="330"/>
      <c r="AP360" s="330"/>
      <c r="AQ360" s="330"/>
      <c r="AR360" s="330"/>
      <c r="AS360" s="330"/>
      <c r="AT360" s="330"/>
      <c r="AU360" s="330"/>
      <c r="AV360" s="330"/>
      <c r="AW360" s="330"/>
      <c r="AX360" s="330"/>
      <c r="AY360" s="330"/>
      <c r="AZ360" s="330"/>
      <c r="BA360" s="330"/>
      <c r="BB360" s="330"/>
      <c r="BC360" s="330"/>
      <c r="BD360" s="330"/>
      <c r="BE360" s="330"/>
      <c r="BF360" s="330"/>
    </row>
    <row r="361" spans="1:58">
      <c r="A361" s="330"/>
      <c r="B361" s="330"/>
      <c r="C361" s="330"/>
      <c r="D361" s="330"/>
      <c r="E361" s="330"/>
      <c r="F361" s="330"/>
      <c r="G361" s="330"/>
      <c r="H361" s="330"/>
      <c r="I361" s="330"/>
      <c r="J361" s="330"/>
      <c r="K361" s="330"/>
      <c r="L361" s="330"/>
      <c r="M361" s="330"/>
      <c r="N361" s="330"/>
      <c r="O361" s="330"/>
      <c r="P361" s="330"/>
      <c r="Q361" s="330"/>
      <c r="R361" s="330"/>
      <c r="S361" s="330"/>
      <c r="T361" s="330"/>
      <c r="U361" s="330"/>
      <c r="V361" s="330"/>
      <c r="W361" s="330"/>
      <c r="X361" s="330"/>
      <c r="Y361" s="330"/>
      <c r="Z361" s="330"/>
      <c r="AA361" s="330"/>
      <c r="AB361" s="330"/>
      <c r="AC361" s="330"/>
      <c r="AD361" s="330"/>
      <c r="AE361" s="330"/>
      <c r="AF361" s="330"/>
      <c r="AG361" s="330"/>
      <c r="AH361" s="330"/>
      <c r="AI361" s="330"/>
      <c r="AJ361" s="330"/>
      <c r="AK361" s="330"/>
      <c r="AL361" s="330"/>
      <c r="AM361" s="330"/>
      <c r="AN361" s="330"/>
      <c r="AO361" s="330"/>
      <c r="AP361" s="330"/>
      <c r="AQ361" s="330"/>
      <c r="AR361" s="330"/>
      <c r="AS361" s="330"/>
      <c r="AT361" s="330"/>
      <c r="AU361" s="330"/>
      <c r="AV361" s="330"/>
      <c r="AW361" s="330"/>
      <c r="AX361" s="330"/>
      <c r="AY361" s="330"/>
      <c r="AZ361" s="330"/>
      <c r="BA361" s="330"/>
      <c r="BB361" s="330"/>
      <c r="BC361" s="330"/>
      <c r="BD361" s="330"/>
      <c r="BE361" s="330"/>
      <c r="BF361" s="330"/>
    </row>
    <row r="362" spans="1:58">
      <c r="A362" s="330"/>
      <c r="B362" s="330"/>
      <c r="C362" s="330"/>
      <c r="D362" s="330"/>
      <c r="E362" s="330"/>
      <c r="F362" s="330"/>
      <c r="G362" s="330"/>
      <c r="H362" s="330"/>
      <c r="I362" s="330"/>
      <c r="J362" s="330"/>
      <c r="K362" s="330"/>
      <c r="L362" s="330"/>
      <c r="M362" s="330"/>
      <c r="N362" s="330"/>
      <c r="O362" s="330"/>
      <c r="P362" s="330"/>
      <c r="Q362" s="330"/>
      <c r="R362" s="330"/>
      <c r="S362" s="330"/>
      <c r="T362" s="330"/>
      <c r="U362" s="330"/>
      <c r="V362" s="330"/>
      <c r="W362" s="330"/>
      <c r="X362" s="330"/>
      <c r="Y362" s="330"/>
      <c r="Z362" s="330"/>
      <c r="AA362" s="330"/>
      <c r="AB362" s="330"/>
      <c r="AC362" s="330"/>
      <c r="AD362" s="330"/>
      <c r="AE362" s="330"/>
      <c r="AF362" s="330"/>
      <c r="AG362" s="330"/>
      <c r="AH362" s="330"/>
      <c r="AI362" s="330"/>
      <c r="AJ362" s="330"/>
      <c r="AK362" s="330"/>
      <c r="AL362" s="330"/>
      <c r="AM362" s="330"/>
      <c r="AN362" s="330"/>
      <c r="AO362" s="330"/>
      <c r="AP362" s="330"/>
      <c r="AQ362" s="330"/>
      <c r="AR362" s="330"/>
      <c r="AS362" s="330"/>
      <c r="AT362" s="330"/>
      <c r="AU362" s="330"/>
      <c r="AV362" s="330"/>
      <c r="AW362" s="330"/>
      <c r="AX362" s="330"/>
      <c r="AY362" s="330"/>
      <c r="AZ362" s="330"/>
      <c r="BA362" s="330"/>
      <c r="BB362" s="330"/>
      <c r="BC362" s="330"/>
      <c r="BD362" s="330"/>
      <c r="BE362" s="330"/>
      <c r="BF362" s="330"/>
    </row>
    <row r="363" spans="1:58">
      <c r="A363" s="330"/>
      <c r="B363" s="330"/>
      <c r="C363" s="330"/>
      <c r="D363" s="330"/>
      <c r="E363" s="330"/>
      <c r="F363" s="330"/>
      <c r="G363" s="330"/>
      <c r="H363" s="330"/>
      <c r="I363" s="330"/>
      <c r="J363" s="330"/>
      <c r="K363" s="330"/>
      <c r="L363" s="330"/>
      <c r="M363" s="330"/>
      <c r="N363" s="330"/>
      <c r="O363" s="330"/>
      <c r="P363" s="330"/>
      <c r="Q363" s="330"/>
      <c r="R363" s="330"/>
      <c r="S363" s="330"/>
      <c r="T363" s="330"/>
      <c r="U363" s="330"/>
      <c r="V363" s="330"/>
      <c r="W363" s="330"/>
      <c r="X363" s="330"/>
      <c r="Y363" s="330"/>
      <c r="Z363" s="330"/>
      <c r="AA363" s="330"/>
      <c r="AB363" s="330"/>
      <c r="AC363" s="330"/>
      <c r="AD363" s="330"/>
      <c r="AE363" s="330"/>
      <c r="AF363" s="330"/>
      <c r="AG363" s="330"/>
      <c r="AH363" s="330"/>
      <c r="AI363" s="330"/>
      <c r="AJ363" s="330"/>
      <c r="AK363" s="330"/>
      <c r="AL363" s="330"/>
      <c r="AM363" s="330"/>
      <c r="AN363" s="330"/>
      <c r="AO363" s="330"/>
      <c r="AP363" s="330"/>
      <c r="AQ363" s="330"/>
      <c r="AR363" s="330"/>
      <c r="AS363" s="330"/>
      <c r="AT363" s="330"/>
      <c r="AU363" s="330"/>
      <c r="AV363" s="330"/>
      <c r="AW363" s="330"/>
      <c r="AX363" s="330"/>
      <c r="AY363" s="330"/>
      <c r="AZ363" s="330"/>
      <c r="BA363" s="330"/>
      <c r="BB363" s="330"/>
      <c r="BC363" s="330"/>
      <c r="BD363" s="330"/>
      <c r="BE363" s="330"/>
      <c r="BF363" s="330"/>
    </row>
    <row r="364" spans="1:58">
      <c r="A364" s="330"/>
      <c r="B364" s="330"/>
      <c r="C364" s="330"/>
      <c r="D364" s="330"/>
      <c r="E364" s="330"/>
      <c r="F364" s="330"/>
      <c r="G364" s="330"/>
      <c r="H364" s="330"/>
      <c r="I364" s="330"/>
      <c r="J364" s="330"/>
      <c r="K364" s="330"/>
      <c r="L364" s="330"/>
      <c r="M364" s="330"/>
      <c r="N364" s="330"/>
      <c r="O364" s="330"/>
      <c r="P364" s="330"/>
      <c r="Q364" s="330"/>
      <c r="R364" s="330"/>
      <c r="S364" s="330"/>
      <c r="T364" s="330"/>
      <c r="U364" s="330"/>
      <c r="V364" s="330"/>
      <c r="W364" s="330"/>
      <c r="X364" s="330"/>
      <c r="Y364" s="330"/>
      <c r="Z364" s="330"/>
      <c r="AA364" s="330"/>
      <c r="AB364" s="330"/>
      <c r="AC364" s="330"/>
      <c r="AD364" s="330"/>
      <c r="AE364" s="330"/>
      <c r="AF364" s="330"/>
      <c r="AG364" s="330"/>
      <c r="AH364" s="330"/>
      <c r="AI364" s="330"/>
      <c r="AJ364" s="330"/>
      <c r="AK364" s="330"/>
      <c r="AL364" s="330"/>
      <c r="AM364" s="330"/>
      <c r="AN364" s="330"/>
      <c r="AO364" s="330"/>
      <c r="AP364" s="330"/>
      <c r="AQ364" s="330"/>
      <c r="AR364" s="330"/>
      <c r="AS364" s="330"/>
      <c r="AT364" s="330"/>
      <c r="AU364" s="330"/>
      <c r="AV364" s="330"/>
      <c r="AW364" s="330"/>
      <c r="AX364" s="330"/>
      <c r="AY364" s="330"/>
      <c r="AZ364" s="330"/>
      <c r="BA364" s="330"/>
      <c r="BB364" s="330"/>
      <c r="BC364" s="330"/>
      <c r="BD364" s="330"/>
      <c r="BE364" s="330"/>
      <c r="BF364" s="330"/>
    </row>
    <row r="365" spans="1:58">
      <c r="A365" s="330"/>
      <c r="B365" s="330"/>
      <c r="C365" s="330"/>
      <c r="D365" s="330"/>
      <c r="E365" s="330"/>
      <c r="F365" s="330"/>
      <c r="G365" s="330"/>
      <c r="H365" s="330"/>
      <c r="I365" s="330"/>
      <c r="J365" s="330"/>
      <c r="K365" s="330"/>
      <c r="L365" s="330"/>
      <c r="M365" s="330"/>
      <c r="N365" s="330"/>
      <c r="O365" s="330"/>
      <c r="P365" s="330"/>
      <c r="Q365" s="330"/>
      <c r="R365" s="330"/>
      <c r="S365" s="330"/>
      <c r="T365" s="330"/>
      <c r="U365" s="330"/>
      <c r="V365" s="330"/>
      <c r="W365" s="330"/>
      <c r="X365" s="330"/>
      <c r="Y365" s="330"/>
      <c r="Z365" s="330"/>
      <c r="AA365" s="330"/>
      <c r="AB365" s="330"/>
      <c r="AC365" s="330"/>
      <c r="AD365" s="330"/>
      <c r="AE365" s="330"/>
      <c r="AF365" s="330"/>
      <c r="AG365" s="330"/>
      <c r="AH365" s="330"/>
      <c r="AI365" s="330"/>
      <c r="AJ365" s="330"/>
      <c r="AK365" s="330"/>
      <c r="AL365" s="330"/>
      <c r="AM365" s="330"/>
      <c r="AN365" s="330"/>
      <c r="AO365" s="330"/>
      <c r="AP365" s="330"/>
      <c r="AQ365" s="330"/>
      <c r="AR365" s="330"/>
      <c r="AS365" s="330"/>
      <c r="AT365" s="330"/>
      <c r="AU365" s="330"/>
      <c r="AV365" s="330"/>
      <c r="AW365" s="330"/>
      <c r="AX365" s="330"/>
      <c r="AY365" s="330"/>
      <c r="AZ365" s="330"/>
      <c r="BA365" s="330"/>
      <c r="BB365" s="330"/>
      <c r="BC365" s="330"/>
      <c r="BD365" s="330"/>
      <c r="BE365" s="330"/>
      <c r="BF365" s="330"/>
    </row>
    <row r="366" spans="1:58">
      <c r="A366" s="330"/>
      <c r="B366" s="330"/>
      <c r="C366" s="330"/>
      <c r="D366" s="330"/>
      <c r="E366" s="330"/>
      <c r="F366" s="330"/>
      <c r="G366" s="330"/>
      <c r="H366" s="330"/>
      <c r="I366" s="330"/>
      <c r="J366" s="330"/>
      <c r="K366" s="330"/>
      <c r="L366" s="330"/>
      <c r="M366" s="330"/>
      <c r="N366" s="330"/>
      <c r="O366" s="330"/>
      <c r="P366" s="330"/>
      <c r="Q366" s="330"/>
      <c r="R366" s="330"/>
      <c r="S366" s="330"/>
      <c r="T366" s="330"/>
      <c r="U366" s="330"/>
      <c r="V366" s="330"/>
      <c r="W366" s="330"/>
      <c r="X366" s="330"/>
      <c r="Y366" s="330"/>
      <c r="Z366" s="330"/>
      <c r="AA366" s="330"/>
      <c r="AB366" s="330"/>
      <c r="AC366" s="330"/>
      <c r="AD366" s="330"/>
      <c r="AE366" s="330"/>
      <c r="AF366" s="330"/>
      <c r="AG366" s="330"/>
      <c r="AH366" s="330"/>
      <c r="AI366" s="330"/>
      <c r="AJ366" s="330"/>
      <c r="AK366" s="330"/>
      <c r="AL366" s="330"/>
      <c r="AM366" s="330"/>
      <c r="AN366" s="330"/>
      <c r="AO366" s="330"/>
      <c r="AP366" s="330"/>
      <c r="AQ366" s="330"/>
      <c r="AR366" s="330"/>
      <c r="AS366" s="330"/>
      <c r="AT366" s="330"/>
      <c r="AU366" s="330"/>
      <c r="AV366" s="330"/>
      <c r="AW366" s="330"/>
      <c r="AX366" s="330"/>
      <c r="AY366" s="330"/>
      <c r="AZ366" s="330"/>
      <c r="BA366" s="330"/>
      <c r="BB366" s="330"/>
      <c r="BC366" s="330"/>
      <c r="BD366" s="330"/>
      <c r="BE366" s="330"/>
      <c r="BF366" s="330"/>
    </row>
    <row r="367" spans="1:58">
      <c r="A367" s="330"/>
      <c r="B367" s="330"/>
      <c r="C367" s="330"/>
      <c r="D367" s="330"/>
      <c r="E367" s="330"/>
      <c r="F367" s="330"/>
      <c r="G367" s="330"/>
      <c r="H367" s="330"/>
      <c r="I367" s="330"/>
      <c r="J367" s="330"/>
      <c r="K367" s="330"/>
      <c r="L367" s="330"/>
      <c r="M367" s="330"/>
      <c r="N367" s="330"/>
      <c r="O367" s="330"/>
      <c r="P367" s="330"/>
      <c r="Q367" s="330"/>
      <c r="R367" s="330"/>
      <c r="S367" s="330"/>
      <c r="T367" s="330"/>
      <c r="U367" s="330"/>
      <c r="V367" s="330"/>
      <c r="W367" s="330"/>
      <c r="X367" s="330"/>
      <c r="Y367" s="330"/>
      <c r="Z367" s="330"/>
      <c r="AA367" s="330"/>
      <c r="AB367" s="330"/>
      <c r="AC367" s="330"/>
      <c r="AD367" s="330"/>
      <c r="AE367" s="330"/>
      <c r="AF367" s="330"/>
      <c r="AG367" s="330"/>
      <c r="AH367" s="330"/>
      <c r="AI367" s="330"/>
      <c r="AJ367" s="330"/>
      <c r="AK367" s="330"/>
      <c r="AL367" s="330"/>
      <c r="AM367" s="330"/>
      <c r="AN367" s="330"/>
      <c r="AO367" s="330"/>
      <c r="AP367" s="330"/>
      <c r="AQ367" s="330"/>
      <c r="AR367" s="330"/>
      <c r="AS367" s="330"/>
      <c r="AT367" s="330"/>
      <c r="AU367" s="330"/>
      <c r="AV367" s="330"/>
      <c r="AW367" s="330"/>
      <c r="AX367" s="330"/>
      <c r="AY367" s="330"/>
      <c r="AZ367" s="330"/>
      <c r="BA367" s="330"/>
      <c r="BB367" s="330"/>
      <c r="BC367" s="330"/>
      <c r="BD367" s="330"/>
      <c r="BE367" s="330"/>
      <c r="BF367" s="330"/>
    </row>
    <row r="368" spans="1:58">
      <c r="A368" s="330"/>
      <c r="B368" s="330"/>
      <c r="C368" s="330"/>
      <c r="D368" s="330"/>
      <c r="E368" s="330"/>
      <c r="F368" s="330"/>
      <c r="G368" s="330"/>
      <c r="H368" s="330"/>
      <c r="I368" s="330"/>
      <c r="J368" s="330"/>
      <c r="K368" s="330"/>
      <c r="L368" s="330"/>
      <c r="M368" s="330"/>
      <c r="N368" s="330"/>
      <c r="O368" s="330"/>
      <c r="P368" s="330"/>
      <c r="Q368" s="330"/>
      <c r="R368" s="330"/>
      <c r="S368" s="330"/>
      <c r="T368" s="330"/>
      <c r="U368" s="330"/>
      <c r="V368" s="330"/>
      <c r="W368" s="330"/>
      <c r="X368" s="330"/>
      <c r="Y368" s="330"/>
      <c r="Z368" s="330"/>
      <c r="AA368" s="330"/>
      <c r="AB368" s="330"/>
      <c r="AC368" s="330"/>
      <c r="AD368" s="330"/>
      <c r="AE368" s="330"/>
      <c r="AF368" s="330"/>
      <c r="AG368" s="330"/>
      <c r="AH368" s="330"/>
      <c r="AI368" s="330"/>
      <c r="AJ368" s="330"/>
      <c r="AK368" s="330"/>
      <c r="AL368" s="330"/>
      <c r="AM368" s="330"/>
      <c r="AN368" s="330"/>
      <c r="AO368" s="330"/>
      <c r="AP368" s="330"/>
      <c r="AQ368" s="330"/>
      <c r="AR368" s="330"/>
      <c r="AS368" s="330"/>
      <c r="AT368" s="330"/>
      <c r="AU368" s="330"/>
      <c r="AV368" s="330"/>
      <c r="AW368" s="330"/>
      <c r="AX368" s="330"/>
      <c r="AY368" s="330"/>
      <c r="AZ368" s="330"/>
      <c r="BA368" s="330"/>
      <c r="BB368" s="330"/>
      <c r="BC368" s="330"/>
      <c r="BD368" s="330"/>
      <c r="BE368" s="330"/>
      <c r="BF368" s="330"/>
    </row>
    <row r="369" spans="1:58">
      <c r="A369" s="330"/>
      <c r="B369" s="330"/>
      <c r="C369" s="330"/>
      <c r="D369" s="330"/>
      <c r="E369" s="330"/>
      <c r="F369" s="330"/>
      <c r="G369" s="330"/>
      <c r="H369" s="330"/>
      <c r="I369" s="330"/>
      <c r="J369" s="330"/>
      <c r="K369" s="330"/>
      <c r="L369" s="330"/>
      <c r="M369" s="330"/>
      <c r="N369" s="330"/>
      <c r="O369" s="330"/>
      <c r="P369" s="330"/>
      <c r="Q369" s="330"/>
      <c r="R369" s="330"/>
      <c r="S369" s="330"/>
      <c r="T369" s="330"/>
      <c r="U369" s="330"/>
      <c r="V369" s="330"/>
      <c r="W369" s="330"/>
      <c r="X369" s="330"/>
      <c r="Y369" s="330"/>
      <c r="Z369" s="330"/>
      <c r="AA369" s="330"/>
      <c r="AB369" s="330"/>
      <c r="AC369" s="330"/>
      <c r="AD369" s="330"/>
      <c r="AE369" s="330"/>
      <c r="AF369" s="330"/>
      <c r="AG369" s="330"/>
      <c r="AH369" s="330"/>
      <c r="AI369" s="330"/>
      <c r="AJ369" s="330"/>
      <c r="AK369" s="330"/>
      <c r="AL369" s="330"/>
      <c r="AM369" s="330"/>
      <c r="AN369" s="330"/>
      <c r="AO369" s="330"/>
      <c r="AP369" s="330"/>
      <c r="AQ369" s="330"/>
      <c r="AR369" s="330"/>
      <c r="AS369" s="330"/>
      <c r="AT369" s="330"/>
      <c r="AU369" s="330"/>
      <c r="AV369" s="330"/>
      <c r="AW369" s="330"/>
      <c r="AX369" s="330"/>
      <c r="AY369" s="330"/>
      <c r="AZ369" s="330"/>
      <c r="BA369" s="330"/>
      <c r="BB369" s="330"/>
      <c r="BC369" s="330"/>
      <c r="BD369" s="330"/>
      <c r="BE369" s="330"/>
      <c r="BF369" s="330"/>
    </row>
    <row r="370" spans="1:58">
      <c r="A370" s="330"/>
      <c r="B370" s="330"/>
      <c r="C370" s="330"/>
      <c r="D370" s="330"/>
      <c r="E370" s="330"/>
      <c r="F370" s="330"/>
      <c r="G370" s="330"/>
      <c r="H370" s="330"/>
      <c r="I370" s="330"/>
      <c r="J370" s="330"/>
      <c r="K370" s="330"/>
      <c r="L370" s="330"/>
      <c r="M370" s="330"/>
      <c r="N370" s="330"/>
      <c r="O370" s="330"/>
      <c r="P370" s="330"/>
      <c r="Q370" s="330"/>
      <c r="R370" s="330"/>
      <c r="S370" s="330"/>
      <c r="T370" s="330"/>
      <c r="U370" s="330"/>
      <c r="V370" s="330"/>
      <c r="W370" s="330"/>
      <c r="X370" s="330"/>
      <c r="Y370" s="330"/>
      <c r="Z370" s="330"/>
      <c r="AA370" s="330"/>
      <c r="AB370" s="330"/>
      <c r="AC370" s="330"/>
      <c r="AD370" s="330"/>
      <c r="AE370" s="330"/>
      <c r="AF370" s="330"/>
      <c r="AG370" s="330"/>
      <c r="AH370" s="330"/>
      <c r="AI370" s="330"/>
      <c r="AJ370" s="330"/>
      <c r="AK370" s="330"/>
      <c r="AL370" s="330"/>
      <c r="AM370" s="330"/>
      <c r="AN370" s="330"/>
      <c r="AO370" s="330"/>
      <c r="AP370" s="330"/>
      <c r="AQ370" s="330"/>
      <c r="AR370" s="330"/>
      <c r="AS370" s="330"/>
      <c r="AT370" s="330"/>
      <c r="AU370" s="330"/>
      <c r="AV370" s="330"/>
      <c r="AW370" s="330"/>
      <c r="AX370" s="330"/>
      <c r="AY370" s="330"/>
      <c r="AZ370" s="330"/>
      <c r="BA370" s="330"/>
      <c r="BB370" s="330"/>
      <c r="BC370" s="330"/>
      <c r="BD370" s="330"/>
      <c r="BE370" s="330"/>
      <c r="BF370" s="330"/>
    </row>
    <row r="371" spans="1:58">
      <c r="A371" s="330"/>
      <c r="B371" s="330"/>
      <c r="C371" s="330"/>
      <c r="D371" s="330"/>
      <c r="E371" s="330"/>
      <c r="F371" s="330"/>
      <c r="G371" s="330"/>
      <c r="H371" s="330"/>
      <c r="I371" s="330"/>
      <c r="J371" s="330"/>
      <c r="K371" s="330"/>
      <c r="L371" s="330"/>
      <c r="M371" s="330"/>
      <c r="N371" s="330"/>
      <c r="O371" s="330"/>
      <c r="P371" s="330"/>
      <c r="Q371" s="330"/>
      <c r="R371" s="330"/>
      <c r="S371" s="330"/>
      <c r="T371" s="330"/>
      <c r="U371" s="330"/>
      <c r="V371" s="330"/>
      <c r="W371" s="330"/>
      <c r="X371" s="330"/>
      <c r="Y371" s="330"/>
      <c r="Z371" s="330"/>
      <c r="AA371" s="330"/>
      <c r="AB371" s="330"/>
      <c r="AC371" s="330"/>
      <c r="AD371" s="330"/>
      <c r="AE371" s="330"/>
      <c r="AF371" s="330"/>
      <c r="AG371" s="330"/>
      <c r="AH371" s="330"/>
      <c r="AI371" s="330"/>
      <c r="AJ371" s="330"/>
      <c r="AK371" s="330"/>
      <c r="AL371" s="330"/>
      <c r="AM371" s="330"/>
      <c r="AN371" s="330"/>
      <c r="AO371" s="330"/>
      <c r="AP371" s="330"/>
      <c r="AQ371" s="330"/>
      <c r="AR371" s="330"/>
      <c r="AS371" s="330"/>
      <c r="AT371" s="330"/>
      <c r="AU371" s="330"/>
      <c r="AV371" s="330"/>
      <c r="AW371" s="330"/>
      <c r="AX371" s="330"/>
      <c r="AY371" s="330"/>
      <c r="AZ371" s="330"/>
      <c r="BA371" s="330"/>
      <c r="BB371" s="330"/>
      <c r="BC371" s="330"/>
      <c r="BD371" s="330"/>
      <c r="BE371" s="330"/>
      <c r="BF371" s="330"/>
    </row>
    <row r="372" spans="1:58">
      <c r="A372" s="330"/>
      <c r="B372" s="330"/>
      <c r="C372" s="330"/>
      <c r="D372" s="330"/>
      <c r="E372" s="330"/>
      <c r="F372" s="330"/>
      <c r="G372" s="330"/>
      <c r="H372" s="330"/>
      <c r="I372" s="330"/>
      <c r="J372" s="330"/>
      <c r="K372" s="330"/>
      <c r="L372" s="330"/>
      <c r="M372" s="330"/>
      <c r="N372" s="330"/>
      <c r="O372" s="330"/>
      <c r="P372" s="330"/>
      <c r="Q372" s="330"/>
      <c r="R372" s="330"/>
      <c r="S372" s="330"/>
      <c r="T372" s="330"/>
      <c r="U372" s="330"/>
      <c r="V372" s="330"/>
      <c r="W372" s="330"/>
      <c r="X372" s="330"/>
      <c r="Y372" s="330"/>
      <c r="Z372" s="330"/>
      <c r="AA372" s="330"/>
      <c r="AB372" s="330"/>
      <c r="AC372" s="330"/>
      <c r="AD372" s="330"/>
      <c r="AE372" s="330"/>
      <c r="AF372" s="330"/>
      <c r="AG372" s="330"/>
      <c r="AH372" s="330"/>
      <c r="AI372" s="330"/>
      <c r="AJ372" s="330"/>
      <c r="AK372" s="330"/>
      <c r="AL372" s="330"/>
      <c r="AM372" s="330"/>
      <c r="AN372" s="330"/>
      <c r="AO372" s="330"/>
      <c r="AP372" s="330"/>
      <c r="AQ372" s="330"/>
      <c r="AR372" s="330"/>
      <c r="AS372" s="330"/>
      <c r="AT372" s="330"/>
      <c r="AU372" s="330"/>
      <c r="AV372" s="330"/>
      <c r="AW372" s="330"/>
      <c r="AX372" s="330"/>
      <c r="AY372" s="330"/>
      <c r="AZ372" s="330"/>
      <c r="BA372" s="330"/>
      <c r="BB372" s="330"/>
      <c r="BC372" s="330"/>
      <c r="BD372" s="330"/>
      <c r="BE372" s="330"/>
      <c r="BF372" s="330"/>
    </row>
    <row r="373" spans="1:58">
      <c r="A373" s="330"/>
      <c r="B373" s="330"/>
      <c r="C373" s="330"/>
      <c r="D373" s="330"/>
      <c r="E373" s="330"/>
      <c r="F373" s="330"/>
      <c r="G373" s="330"/>
      <c r="H373" s="330"/>
      <c r="I373" s="330"/>
      <c r="J373" s="330"/>
      <c r="K373" s="330"/>
      <c r="L373" s="330"/>
      <c r="M373" s="330"/>
      <c r="N373" s="330"/>
      <c r="O373" s="330"/>
      <c r="P373" s="330"/>
      <c r="Q373" s="330"/>
      <c r="R373" s="330"/>
      <c r="S373" s="330"/>
      <c r="T373" s="330"/>
      <c r="U373" s="330"/>
      <c r="V373" s="330"/>
      <c r="W373" s="330"/>
      <c r="X373" s="330"/>
      <c r="Y373" s="330"/>
      <c r="Z373" s="330"/>
      <c r="AA373" s="330"/>
      <c r="AB373" s="330"/>
      <c r="AC373" s="330"/>
      <c r="AD373" s="330"/>
      <c r="AE373" s="330"/>
      <c r="AF373" s="330"/>
      <c r="AG373" s="330"/>
      <c r="AH373" s="330"/>
      <c r="AI373" s="330"/>
      <c r="AJ373" s="330"/>
      <c r="AK373" s="330"/>
      <c r="AL373" s="330"/>
      <c r="AM373" s="330"/>
      <c r="AN373" s="330"/>
      <c r="AO373" s="330"/>
      <c r="AP373" s="330"/>
      <c r="AQ373" s="330"/>
      <c r="AR373" s="330"/>
      <c r="AS373" s="330"/>
      <c r="AT373" s="330"/>
      <c r="AU373" s="330"/>
      <c r="AV373" s="330"/>
      <c r="AW373" s="330"/>
      <c r="AX373" s="330"/>
      <c r="AY373" s="330"/>
      <c r="AZ373" s="330"/>
      <c r="BA373" s="330"/>
      <c r="BB373" s="330"/>
      <c r="BC373" s="330"/>
      <c r="BD373" s="330"/>
      <c r="BE373" s="330"/>
      <c r="BF373" s="330"/>
    </row>
    <row r="374" spans="1:58">
      <c r="A374" s="330"/>
      <c r="B374" s="330"/>
      <c r="C374" s="330"/>
      <c r="D374" s="330"/>
      <c r="E374" s="330"/>
      <c r="F374" s="330"/>
      <c r="G374" s="330"/>
      <c r="H374" s="330"/>
      <c r="I374" s="330"/>
      <c r="J374" s="330"/>
      <c r="K374" s="330"/>
      <c r="L374" s="330"/>
      <c r="M374" s="330"/>
      <c r="N374" s="330"/>
      <c r="O374" s="330"/>
      <c r="P374" s="330"/>
      <c r="Q374" s="330"/>
      <c r="R374" s="330"/>
      <c r="S374" s="330"/>
      <c r="T374" s="330"/>
      <c r="U374" s="330"/>
      <c r="V374" s="330"/>
      <c r="W374" s="330"/>
      <c r="X374" s="330"/>
      <c r="Y374" s="330"/>
      <c r="Z374" s="330"/>
      <c r="AA374" s="330"/>
      <c r="AB374" s="330"/>
      <c r="AC374" s="330"/>
      <c r="AD374" s="330"/>
      <c r="AE374" s="330"/>
      <c r="AF374" s="330"/>
      <c r="AG374" s="330"/>
      <c r="AH374" s="330"/>
      <c r="AI374" s="330"/>
      <c r="AJ374" s="330"/>
      <c r="AK374" s="330"/>
      <c r="AL374" s="330"/>
      <c r="AM374" s="330"/>
      <c r="AN374" s="330"/>
      <c r="AO374" s="330"/>
      <c r="AP374" s="330"/>
      <c r="AQ374" s="330"/>
      <c r="AR374" s="330"/>
      <c r="AS374" s="330"/>
      <c r="AT374" s="330"/>
      <c r="AU374" s="330"/>
      <c r="AV374" s="330"/>
      <c r="AW374" s="330"/>
      <c r="AX374" s="330"/>
      <c r="AY374" s="330"/>
      <c r="AZ374" s="330"/>
      <c r="BA374" s="330"/>
      <c r="BB374" s="330"/>
      <c r="BC374" s="330"/>
      <c r="BD374" s="330"/>
      <c r="BE374" s="330"/>
      <c r="BF374" s="330"/>
    </row>
    <row r="375" spans="1:58">
      <c r="A375" s="330"/>
      <c r="B375" s="330"/>
      <c r="C375" s="330"/>
      <c r="D375" s="330"/>
      <c r="E375" s="330"/>
      <c r="F375" s="330"/>
      <c r="G375" s="330"/>
      <c r="H375" s="330"/>
      <c r="I375" s="330"/>
      <c r="J375" s="330"/>
      <c r="K375" s="330"/>
      <c r="L375" s="330"/>
      <c r="M375" s="330"/>
      <c r="N375" s="330"/>
      <c r="O375" s="330"/>
      <c r="P375" s="330"/>
      <c r="Q375" s="330"/>
      <c r="R375" s="330"/>
      <c r="S375" s="330"/>
      <c r="T375" s="330"/>
      <c r="U375" s="330"/>
      <c r="V375" s="330"/>
      <c r="W375" s="330"/>
      <c r="X375" s="330"/>
      <c r="Y375" s="330"/>
      <c r="Z375" s="330"/>
      <c r="AA375" s="330"/>
      <c r="AB375" s="330"/>
      <c r="AC375" s="330"/>
      <c r="AD375" s="330"/>
      <c r="AE375" s="330"/>
      <c r="AF375" s="330"/>
      <c r="AG375" s="330"/>
      <c r="AH375" s="330"/>
      <c r="AI375" s="330"/>
      <c r="AJ375" s="330"/>
      <c r="AK375" s="330"/>
      <c r="AL375" s="330"/>
      <c r="AM375" s="330"/>
      <c r="AN375" s="330"/>
      <c r="AO375" s="330"/>
      <c r="AP375" s="330"/>
      <c r="AQ375" s="330"/>
      <c r="AR375" s="330"/>
      <c r="AS375" s="330"/>
      <c r="AT375" s="330"/>
      <c r="AU375" s="330"/>
      <c r="AV375" s="330"/>
      <c r="AW375" s="330"/>
      <c r="AX375" s="330"/>
      <c r="AY375" s="330"/>
      <c r="AZ375" s="330"/>
      <c r="BA375" s="330"/>
      <c r="BB375" s="330"/>
      <c r="BC375" s="330"/>
      <c r="BD375" s="330"/>
      <c r="BE375" s="330"/>
      <c r="BF375" s="330"/>
    </row>
    <row r="376" spans="1:58">
      <c r="A376" s="330"/>
      <c r="B376" s="330"/>
      <c r="C376" s="330"/>
      <c r="D376" s="330"/>
      <c r="E376" s="330"/>
      <c r="F376" s="330"/>
      <c r="G376" s="330"/>
      <c r="H376" s="330"/>
      <c r="I376" s="330"/>
      <c r="J376" s="330"/>
      <c r="K376" s="330"/>
      <c r="L376" s="330"/>
      <c r="M376" s="330"/>
      <c r="N376" s="330"/>
      <c r="O376" s="330"/>
      <c r="P376" s="330"/>
      <c r="Q376" s="330"/>
      <c r="R376" s="330"/>
      <c r="S376" s="330"/>
      <c r="T376" s="330"/>
      <c r="U376" s="330"/>
      <c r="V376" s="330"/>
      <c r="W376" s="330"/>
      <c r="X376" s="330"/>
      <c r="Y376" s="330"/>
      <c r="Z376" s="330"/>
      <c r="AA376" s="330"/>
      <c r="AB376" s="330"/>
      <c r="AC376" s="330"/>
      <c r="AD376" s="330"/>
      <c r="AE376" s="330"/>
      <c r="AF376" s="330"/>
      <c r="AG376" s="330"/>
      <c r="AH376" s="330"/>
      <c r="AI376" s="330"/>
      <c r="AJ376" s="330"/>
      <c r="AK376" s="330"/>
      <c r="AL376" s="330"/>
      <c r="AM376" s="330"/>
      <c r="AN376" s="330"/>
      <c r="AO376" s="330"/>
      <c r="AP376" s="330"/>
      <c r="AQ376" s="330"/>
      <c r="AR376" s="330"/>
      <c r="AS376" s="330"/>
      <c r="AT376" s="330"/>
      <c r="AU376" s="330"/>
      <c r="AV376" s="330"/>
      <c r="AW376" s="330"/>
      <c r="AX376" s="330"/>
      <c r="AY376" s="330"/>
      <c r="AZ376" s="330"/>
      <c r="BA376" s="330"/>
      <c r="BB376" s="330"/>
      <c r="BC376" s="330"/>
      <c r="BD376" s="330"/>
      <c r="BE376" s="330"/>
      <c r="BF376" s="330"/>
    </row>
    <row r="377" spans="1:58">
      <c r="A377" s="330"/>
      <c r="B377" s="330"/>
      <c r="C377" s="330"/>
      <c r="D377" s="330"/>
      <c r="E377" s="330"/>
      <c r="F377" s="330"/>
      <c r="G377" s="330"/>
      <c r="H377" s="330"/>
      <c r="I377" s="330"/>
      <c r="J377" s="330"/>
      <c r="K377" s="330"/>
      <c r="L377" s="330"/>
      <c r="M377" s="330"/>
      <c r="N377" s="330"/>
      <c r="O377" s="330"/>
      <c r="P377" s="330"/>
      <c r="Q377" s="330"/>
      <c r="R377" s="330"/>
      <c r="S377" s="330"/>
      <c r="T377" s="330"/>
      <c r="U377" s="330"/>
      <c r="V377" s="330"/>
      <c r="W377" s="330"/>
      <c r="X377" s="330"/>
      <c r="Y377" s="330"/>
      <c r="Z377" s="330"/>
      <c r="AA377" s="330"/>
      <c r="AB377" s="330"/>
      <c r="AC377" s="330"/>
      <c r="AD377" s="330"/>
      <c r="AE377" s="330"/>
      <c r="AF377" s="330"/>
      <c r="AG377" s="330"/>
      <c r="AH377" s="330"/>
      <c r="AI377" s="330"/>
      <c r="AJ377" s="330"/>
      <c r="AK377" s="330"/>
      <c r="AL377" s="330"/>
      <c r="AM377" s="330"/>
      <c r="AN377" s="330"/>
      <c r="AO377" s="330"/>
      <c r="AP377" s="330"/>
      <c r="AQ377" s="330"/>
      <c r="AR377" s="330"/>
      <c r="AS377" s="330"/>
      <c r="AT377" s="330"/>
      <c r="AU377" s="330"/>
      <c r="AV377" s="330"/>
      <c r="AW377" s="330"/>
      <c r="AX377" s="330"/>
      <c r="AY377" s="330"/>
      <c r="AZ377" s="330"/>
      <c r="BA377" s="330"/>
      <c r="BB377" s="330"/>
      <c r="BC377" s="330"/>
      <c r="BD377" s="330"/>
      <c r="BE377" s="330"/>
      <c r="BF377" s="330"/>
    </row>
    <row r="378" spans="1:58">
      <c r="A378" s="330"/>
      <c r="B378" s="330"/>
      <c r="C378" s="330"/>
      <c r="D378" s="330"/>
      <c r="E378" s="330"/>
      <c r="F378" s="330"/>
      <c r="G378" s="330"/>
      <c r="H378" s="330"/>
      <c r="I378" s="330"/>
      <c r="J378" s="330"/>
      <c r="K378" s="330"/>
      <c r="L378" s="330"/>
      <c r="M378" s="330"/>
      <c r="N378" s="330"/>
      <c r="O378" s="330"/>
      <c r="P378" s="330"/>
      <c r="Q378" s="330"/>
      <c r="R378" s="330"/>
      <c r="S378" s="330"/>
      <c r="T378" s="330"/>
      <c r="U378" s="330"/>
      <c r="V378" s="330"/>
      <c r="W378" s="330"/>
      <c r="X378" s="330"/>
      <c r="Y378" s="330"/>
      <c r="Z378" s="330"/>
      <c r="AA378" s="330"/>
      <c r="AB378" s="330"/>
      <c r="AC378" s="330"/>
      <c r="AD378" s="330"/>
      <c r="AE378" s="330"/>
      <c r="AF378" s="330"/>
      <c r="AG378" s="330"/>
      <c r="AH378" s="330"/>
      <c r="AI378" s="330"/>
      <c r="AJ378" s="330"/>
      <c r="AK378" s="330"/>
      <c r="AL378" s="330"/>
      <c r="AM378" s="330"/>
      <c r="AN378" s="330"/>
      <c r="AO378" s="330"/>
      <c r="AP378" s="330"/>
      <c r="AQ378" s="330"/>
      <c r="AR378" s="330"/>
      <c r="AS378" s="330"/>
      <c r="AT378" s="330"/>
      <c r="AU378" s="330"/>
      <c r="AV378" s="330"/>
      <c r="AW378" s="330"/>
      <c r="AX378" s="330"/>
      <c r="AY378" s="330"/>
      <c r="AZ378" s="330"/>
      <c r="BA378" s="330"/>
      <c r="BB378" s="330"/>
      <c r="BC378" s="330"/>
      <c r="BD378" s="330"/>
      <c r="BE378" s="330"/>
      <c r="BF378" s="330"/>
    </row>
    <row r="379" spans="1:58">
      <c r="A379" s="330"/>
      <c r="B379" s="330"/>
      <c r="C379" s="330"/>
      <c r="D379" s="330"/>
      <c r="E379" s="330"/>
      <c r="F379" s="330"/>
      <c r="G379" s="330"/>
      <c r="H379" s="330"/>
      <c r="I379" s="330"/>
      <c r="J379" s="330"/>
      <c r="K379" s="330"/>
      <c r="L379" s="330"/>
      <c r="M379" s="330"/>
      <c r="N379" s="330"/>
      <c r="O379" s="330"/>
      <c r="P379" s="330"/>
      <c r="Q379" s="330"/>
      <c r="R379" s="330"/>
      <c r="S379" s="330"/>
      <c r="T379" s="330"/>
      <c r="U379" s="330"/>
      <c r="V379" s="330"/>
      <c r="W379" s="330"/>
      <c r="X379" s="330"/>
      <c r="Y379" s="330"/>
      <c r="Z379" s="330"/>
      <c r="AA379" s="330"/>
      <c r="AB379" s="330"/>
      <c r="AC379" s="330"/>
      <c r="AD379" s="330"/>
      <c r="AE379" s="330"/>
      <c r="AF379" s="330"/>
      <c r="AG379" s="330"/>
      <c r="AH379" s="330"/>
      <c r="AI379" s="330"/>
      <c r="AJ379" s="330"/>
      <c r="AK379" s="330"/>
      <c r="AL379" s="330"/>
      <c r="AM379" s="330"/>
      <c r="AN379" s="330"/>
      <c r="AO379" s="330"/>
      <c r="AP379" s="330"/>
      <c r="AQ379" s="330"/>
      <c r="AR379" s="330"/>
      <c r="AS379" s="330"/>
      <c r="AT379" s="330"/>
      <c r="AU379" s="330"/>
      <c r="AV379" s="330"/>
      <c r="AW379" s="330"/>
      <c r="AX379" s="330"/>
      <c r="AY379" s="330"/>
      <c r="AZ379" s="330"/>
      <c r="BA379" s="330"/>
      <c r="BB379" s="330"/>
      <c r="BC379" s="330"/>
      <c r="BD379" s="330"/>
      <c r="BE379" s="330"/>
      <c r="BF379" s="330"/>
    </row>
    <row r="380" spans="1:58">
      <c r="A380" s="330"/>
      <c r="B380" s="330"/>
      <c r="C380" s="330"/>
      <c r="D380" s="330"/>
      <c r="E380" s="330"/>
      <c r="F380" s="330"/>
      <c r="G380" s="330"/>
      <c r="H380" s="330"/>
      <c r="I380" s="330"/>
      <c r="J380" s="330"/>
      <c r="K380" s="330"/>
      <c r="L380" s="330"/>
      <c r="M380" s="330"/>
      <c r="N380" s="330"/>
      <c r="O380" s="330"/>
      <c r="P380" s="330"/>
      <c r="Q380" s="330"/>
      <c r="R380" s="330"/>
      <c r="S380" s="330"/>
      <c r="T380" s="330"/>
      <c r="U380" s="330"/>
      <c r="V380" s="330"/>
      <c r="W380" s="330"/>
      <c r="X380" s="330"/>
      <c r="Y380" s="330"/>
      <c r="Z380" s="330"/>
      <c r="AA380" s="330"/>
      <c r="AB380" s="330"/>
      <c r="AC380" s="330"/>
      <c r="AD380" s="330"/>
      <c r="AE380" s="330"/>
      <c r="AF380" s="330"/>
      <c r="AG380" s="330"/>
      <c r="AH380" s="330"/>
      <c r="AI380" s="330"/>
      <c r="AJ380" s="330"/>
      <c r="AK380" s="330"/>
      <c r="AL380" s="330"/>
      <c r="AM380" s="330"/>
      <c r="AN380" s="330"/>
      <c r="AO380" s="330"/>
      <c r="AP380" s="330"/>
      <c r="AQ380" s="330"/>
      <c r="AR380" s="330"/>
      <c r="AS380" s="330"/>
      <c r="AT380" s="330"/>
      <c r="AU380" s="330"/>
      <c r="AV380" s="330"/>
      <c r="AW380" s="330"/>
      <c r="AX380" s="330"/>
      <c r="AY380" s="330"/>
      <c r="AZ380" s="330"/>
      <c r="BA380" s="330"/>
      <c r="BB380" s="330"/>
      <c r="BC380" s="330"/>
      <c r="BD380" s="330"/>
      <c r="BE380" s="330"/>
      <c r="BF380" s="330"/>
    </row>
    <row r="381" spans="1:58">
      <c r="A381" s="330"/>
      <c r="B381" s="330"/>
      <c r="C381" s="330"/>
      <c r="D381" s="330"/>
      <c r="E381" s="330"/>
      <c r="F381" s="330"/>
      <c r="G381" s="330"/>
      <c r="H381" s="330"/>
      <c r="I381" s="330"/>
      <c r="J381" s="330"/>
      <c r="K381" s="330"/>
      <c r="L381" s="330"/>
      <c r="M381" s="330"/>
      <c r="N381" s="330"/>
      <c r="O381" s="330"/>
      <c r="P381" s="330"/>
      <c r="Q381" s="330"/>
      <c r="R381" s="330"/>
      <c r="S381" s="330"/>
      <c r="T381" s="330"/>
      <c r="U381" s="330"/>
      <c r="V381" s="330"/>
      <c r="W381" s="330"/>
      <c r="X381" s="330"/>
      <c r="Y381" s="330"/>
      <c r="Z381" s="330"/>
      <c r="AA381" s="330"/>
      <c r="AB381" s="330"/>
      <c r="AC381" s="330"/>
      <c r="AD381" s="330"/>
      <c r="AE381" s="330"/>
      <c r="AF381" s="330"/>
      <c r="AG381" s="330"/>
      <c r="AH381" s="330"/>
      <c r="AI381" s="330"/>
      <c r="AJ381" s="330"/>
      <c r="AK381" s="330"/>
      <c r="AL381" s="330"/>
      <c r="AM381" s="330"/>
      <c r="AN381" s="330"/>
      <c r="AO381" s="330"/>
      <c r="AP381" s="330"/>
      <c r="AQ381" s="330"/>
      <c r="AR381" s="330"/>
      <c r="AS381" s="330"/>
      <c r="AT381" s="330"/>
      <c r="AU381" s="330"/>
      <c r="AV381" s="330"/>
      <c r="AW381" s="330"/>
      <c r="AX381" s="330"/>
      <c r="AY381" s="330"/>
      <c r="AZ381" s="330"/>
      <c r="BA381" s="330"/>
      <c r="BB381" s="330"/>
      <c r="BC381" s="330"/>
      <c r="BD381" s="330"/>
      <c r="BE381" s="330"/>
      <c r="BF381" s="330"/>
    </row>
    <row r="382" spans="1:58">
      <c r="A382" s="330"/>
      <c r="B382" s="330"/>
      <c r="C382" s="330"/>
      <c r="D382" s="330"/>
      <c r="E382" s="330"/>
      <c r="F382" s="330"/>
      <c r="G382" s="330"/>
      <c r="H382" s="330"/>
      <c r="I382" s="330"/>
      <c r="J382" s="330"/>
      <c r="K382" s="330"/>
      <c r="L382" s="330"/>
      <c r="M382" s="330"/>
      <c r="N382" s="330"/>
      <c r="O382" s="330"/>
      <c r="P382" s="330"/>
      <c r="Q382" s="330"/>
      <c r="R382" s="330"/>
      <c r="S382" s="330"/>
      <c r="T382" s="330"/>
      <c r="U382" s="330"/>
      <c r="V382" s="330"/>
      <c r="W382" s="330"/>
      <c r="X382" s="330"/>
      <c r="Y382" s="330"/>
      <c r="Z382" s="330"/>
      <c r="AA382" s="330"/>
      <c r="AB382" s="330"/>
      <c r="AC382" s="330"/>
      <c r="AD382" s="330"/>
      <c r="AE382" s="330"/>
      <c r="AF382" s="330"/>
      <c r="AG382" s="330"/>
      <c r="AH382" s="330"/>
      <c r="AI382" s="330"/>
      <c r="AJ382" s="330"/>
      <c r="AK382" s="330"/>
      <c r="AL382" s="330"/>
      <c r="AM382" s="330"/>
      <c r="AN382" s="330"/>
      <c r="AO382" s="330"/>
      <c r="AP382" s="330"/>
      <c r="AQ382" s="330"/>
      <c r="AR382" s="330"/>
      <c r="AS382" s="330"/>
      <c r="AT382" s="330"/>
      <c r="AU382" s="330"/>
      <c r="AV382" s="330"/>
      <c r="AW382" s="330"/>
      <c r="AX382" s="330"/>
      <c r="AY382" s="330"/>
      <c r="AZ382" s="330"/>
      <c r="BA382" s="330"/>
      <c r="BB382" s="330"/>
      <c r="BC382" s="330"/>
      <c r="BD382" s="330"/>
      <c r="BE382" s="330"/>
      <c r="BF382" s="330"/>
    </row>
    <row r="383" spans="1:58">
      <c r="A383" s="330"/>
      <c r="B383" s="330"/>
      <c r="C383" s="330"/>
      <c r="D383" s="330"/>
      <c r="E383" s="330"/>
      <c r="F383" s="330"/>
      <c r="G383" s="330"/>
      <c r="H383" s="330"/>
      <c r="I383" s="330"/>
      <c r="J383" s="330"/>
      <c r="K383" s="330"/>
      <c r="L383" s="330"/>
      <c r="M383" s="330"/>
      <c r="N383" s="330"/>
      <c r="O383" s="330"/>
      <c r="P383" s="330"/>
      <c r="Q383" s="330"/>
      <c r="R383" s="330"/>
      <c r="S383" s="330"/>
      <c r="T383" s="330"/>
      <c r="U383" s="330"/>
      <c r="V383" s="330"/>
      <c r="W383" s="330"/>
      <c r="X383" s="330"/>
      <c r="Y383" s="330"/>
      <c r="Z383" s="330"/>
      <c r="AA383" s="330"/>
      <c r="AB383" s="330"/>
      <c r="AC383" s="330"/>
      <c r="AD383" s="330"/>
      <c r="AE383" s="330"/>
      <c r="AF383" s="330"/>
      <c r="AG383" s="330"/>
      <c r="AH383" s="330"/>
      <c r="AI383" s="330"/>
      <c r="AJ383" s="330"/>
      <c r="AK383" s="330"/>
      <c r="AL383" s="330"/>
      <c r="AM383" s="330"/>
      <c r="AN383" s="330"/>
      <c r="AO383" s="330"/>
      <c r="AP383" s="330"/>
      <c r="AQ383" s="330"/>
      <c r="AR383" s="330"/>
      <c r="AS383" s="330"/>
      <c r="AT383" s="330"/>
      <c r="AU383" s="330"/>
      <c r="AV383" s="330"/>
      <c r="AW383" s="330"/>
      <c r="AX383" s="330"/>
      <c r="AY383" s="330"/>
      <c r="AZ383" s="330"/>
      <c r="BA383" s="330"/>
      <c r="BB383" s="330"/>
      <c r="BC383" s="330"/>
      <c r="BD383" s="330"/>
      <c r="BE383" s="330"/>
      <c r="BF383" s="330"/>
    </row>
    <row r="384" spans="1:58">
      <c r="A384" s="330"/>
      <c r="B384" s="330"/>
      <c r="C384" s="330"/>
      <c r="D384" s="330"/>
      <c r="E384" s="330"/>
      <c r="F384" s="330"/>
      <c r="G384" s="330"/>
      <c r="H384" s="330"/>
      <c r="I384" s="330"/>
      <c r="J384" s="330"/>
      <c r="K384" s="330"/>
      <c r="L384" s="330"/>
      <c r="M384" s="330"/>
      <c r="N384" s="330"/>
      <c r="O384" s="330"/>
      <c r="P384" s="330"/>
      <c r="Q384" s="330"/>
      <c r="R384" s="330"/>
      <c r="S384" s="330"/>
      <c r="T384" s="330"/>
      <c r="U384" s="330"/>
      <c r="V384" s="330"/>
      <c r="W384" s="330"/>
      <c r="X384" s="330"/>
      <c r="Y384" s="330"/>
      <c r="Z384" s="330"/>
      <c r="AA384" s="330"/>
      <c r="AB384" s="330"/>
      <c r="AC384" s="330"/>
      <c r="AD384" s="330"/>
      <c r="AE384" s="330"/>
      <c r="AF384" s="330"/>
      <c r="AG384" s="330"/>
      <c r="AH384" s="330"/>
      <c r="AI384" s="330"/>
      <c r="AJ384" s="330"/>
      <c r="AK384" s="330"/>
      <c r="AL384" s="330"/>
      <c r="AM384" s="330"/>
      <c r="AN384" s="330"/>
      <c r="AO384" s="330"/>
      <c r="AP384" s="330"/>
      <c r="AQ384" s="330"/>
      <c r="AR384" s="330"/>
      <c r="AS384" s="330"/>
      <c r="AT384" s="330"/>
      <c r="AU384" s="330"/>
      <c r="AV384" s="330"/>
      <c r="AW384" s="330"/>
      <c r="AX384" s="330"/>
      <c r="AY384" s="330"/>
      <c r="AZ384" s="330"/>
      <c r="BA384" s="330"/>
      <c r="BB384" s="330"/>
      <c r="BC384" s="330"/>
      <c r="BD384" s="330"/>
      <c r="BE384" s="330"/>
      <c r="BF384" s="330"/>
    </row>
    <row r="385" spans="1:58">
      <c r="A385" s="330"/>
      <c r="B385" s="330"/>
      <c r="C385" s="330"/>
      <c r="D385" s="330"/>
      <c r="E385" s="330"/>
      <c r="F385" s="330"/>
      <c r="G385" s="330"/>
      <c r="H385" s="330"/>
      <c r="I385" s="330"/>
      <c r="J385" s="330"/>
      <c r="K385" s="330"/>
      <c r="L385" s="330"/>
      <c r="M385" s="330"/>
      <c r="N385" s="330"/>
      <c r="O385" s="330"/>
      <c r="P385" s="330"/>
      <c r="Q385" s="330"/>
      <c r="R385" s="330"/>
      <c r="S385" s="330"/>
      <c r="T385" s="330"/>
      <c r="U385" s="330"/>
      <c r="V385" s="330"/>
      <c r="W385" s="330"/>
      <c r="X385" s="330"/>
      <c r="Y385" s="330"/>
      <c r="Z385" s="330"/>
      <c r="AA385" s="330"/>
      <c r="AB385" s="330"/>
      <c r="AC385" s="330"/>
      <c r="AD385" s="330"/>
      <c r="AE385" s="330"/>
      <c r="AF385" s="330"/>
      <c r="AG385" s="330"/>
      <c r="AH385" s="330"/>
      <c r="AI385" s="330"/>
      <c r="AJ385" s="330"/>
      <c r="AK385" s="330"/>
      <c r="AL385" s="330"/>
      <c r="AM385" s="330"/>
      <c r="AN385" s="330"/>
      <c r="AO385" s="330"/>
      <c r="AP385" s="330"/>
      <c r="AQ385" s="330"/>
      <c r="AR385" s="330"/>
      <c r="AS385" s="330"/>
      <c r="AT385" s="330"/>
      <c r="AU385" s="330"/>
      <c r="AV385" s="330"/>
      <c r="AW385" s="330"/>
      <c r="AX385" s="330"/>
      <c r="AY385" s="330"/>
      <c r="AZ385" s="330"/>
      <c r="BA385" s="330"/>
      <c r="BB385" s="330"/>
      <c r="BC385" s="330"/>
      <c r="BD385" s="330"/>
      <c r="BE385" s="330"/>
      <c r="BF385" s="330"/>
    </row>
    <row r="386" spans="1:58">
      <c r="A386" s="330"/>
      <c r="B386" s="330"/>
      <c r="C386" s="330"/>
      <c r="D386" s="330"/>
      <c r="E386" s="330"/>
      <c r="F386" s="330"/>
      <c r="G386" s="330"/>
      <c r="H386" s="330"/>
      <c r="I386" s="330"/>
      <c r="J386" s="330"/>
      <c r="K386" s="330"/>
      <c r="L386" s="330"/>
      <c r="M386" s="330"/>
      <c r="N386" s="330"/>
      <c r="O386" s="330"/>
      <c r="P386" s="330"/>
      <c r="Q386" s="330"/>
      <c r="R386" s="330"/>
      <c r="S386" s="330"/>
      <c r="T386" s="330"/>
      <c r="U386" s="330"/>
      <c r="V386" s="330"/>
      <c r="W386" s="330"/>
      <c r="X386" s="330"/>
      <c r="Y386" s="330"/>
      <c r="Z386" s="330"/>
      <c r="AA386" s="330"/>
      <c r="AB386" s="330"/>
      <c r="AC386" s="330"/>
      <c r="AD386" s="330"/>
      <c r="AE386" s="330"/>
      <c r="AF386" s="330"/>
      <c r="AG386" s="330"/>
      <c r="AH386" s="330"/>
      <c r="AI386" s="330"/>
      <c r="AJ386" s="330"/>
      <c r="AK386" s="330"/>
      <c r="AL386" s="330"/>
      <c r="AM386" s="330"/>
      <c r="AN386" s="330"/>
      <c r="AO386" s="330"/>
      <c r="AP386" s="330"/>
      <c r="AQ386" s="330"/>
      <c r="AR386" s="330"/>
      <c r="AS386" s="330"/>
      <c r="AT386" s="330"/>
      <c r="AU386" s="330"/>
      <c r="AV386" s="330"/>
      <c r="AW386" s="330"/>
      <c r="AX386" s="330"/>
      <c r="AY386" s="330"/>
      <c r="AZ386" s="330"/>
      <c r="BA386" s="330"/>
      <c r="BB386" s="330"/>
      <c r="BC386" s="330"/>
      <c r="BD386" s="330"/>
      <c r="BE386" s="330"/>
      <c r="BF386" s="330"/>
    </row>
    <row r="387" spans="1:58">
      <c r="A387" s="330"/>
      <c r="B387" s="330"/>
      <c r="C387" s="330"/>
      <c r="D387" s="330"/>
      <c r="E387" s="330"/>
      <c r="F387" s="330"/>
      <c r="G387" s="330"/>
      <c r="H387" s="330"/>
      <c r="I387" s="330"/>
      <c r="J387" s="330"/>
      <c r="K387" s="330"/>
      <c r="L387" s="330"/>
      <c r="M387" s="330"/>
      <c r="N387" s="330"/>
      <c r="O387" s="330"/>
      <c r="P387" s="330"/>
      <c r="Q387" s="330"/>
      <c r="R387" s="330"/>
      <c r="S387" s="330"/>
      <c r="T387" s="330"/>
      <c r="U387" s="330"/>
      <c r="V387" s="330"/>
      <c r="W387" s="330"/>
      <c r="X387" s="330"/>
      <c r="Y387" s="330"/>
      <c r="Z387" s="330"/>
      <c r="AA387" s="330"/>
      <c r="AB387" s="330"/>
      <c r="AC387" s="330"/>
      <c r="AD387" s="330"/>
      <c r="AE387" s="330"/>
      <c r="AF387" s="330"/>
      <c r="AG387" s="330"/>
      <c r="AH387" s="330"/>
      <c r="AI387" s="330"/>
      <c r="AJ387" s="330"/>
      <c r="AK387" s="330"/>
      <c r="AL387" s="330"/>
      <c r="AM387" s="330"/>
      <c r="AN387" s="330"/>
      <c r="AO387" s="330"/>
      <c r="AP387" s="330"/>
      <c r="AQ387" s="330"/>
      <c r="AR387" s="330"/>
      <c r="AS387" s="330"/>
      <c r="AT387" s="330"/>
      <c r="AU387" s="330"/>
      <c r="AV387" s="330"/>
      <c r="AW387" s="330"/>
      <c r="AX387" s="330"/>
      <c r="AY387" s="330"/>
      <c r="AZ387" s="330"/>
      <c r="BA387" s="330"/>
      <c r="BB387" s="330"/>
      <c r="BC387" s="330"/>
      <c r="BD387" s="330"/>
      <c r="BE387" s="330"/>
      <c r="BF387" s="330"/>
    </row>
    <row r="388" spans="1:58">
      <c r="A388" s="330"/>
      <c r="B388" s="330"/>
      <c r="C388" s="330"/>
      <c r="D388" s="330"/>
      <c r="E388" s="330"/>
      <c r="F388" s="330"/>
      <c r="G388" s="330"/>
      <c r="H388" s="330"/>
      <c r="I388" s="330"/>
      <c r="J388" s="330"/>
      <c r="K388" s="330"/>
      <c r="L388" s="330"/>
      <c r="M388" s="330"/>
      <c r="N388" s="330"/>
      <c r="O388" s="330"/>
      <c r="P388" s="330"/>
      <c r="Q388" s="330"/>
      <c r="R388" s="330"/>
      <c r="S388" s="330"/>
      <c r="T388" s="330"/>
      <c r="U388" s="330"/>
      <c r="V388" s="330"/>
      <c r="W388" s="330"/>
      <c r="X388" s="330"/>
      <c r="Y388" s="330"/>
      <c r="Z388" s="330"/>
      <c r="AA388" s="330"/>
      <c r="AB388" s="330"/>
      <c r="AC388" s="330"/>
      <c r="AD388" s="330"/>
      <c r="AE388" s="330"/>
      <c r="AF388" s="330"/>
      <c r="AG388" s="330"/>
      <c r="AH388" s="330"/>
      <c r="AI388" s="330"/>
      <c r="AJ388" s="330"/>
      <c r="AK388" s="330"/>
      <c r="AL388" s="330"/>
      <c r="AM388" s="330"/>
      <c r="AN388" s="330"/>
      <c r="AO388" s="330"/>
      <c r="AP388" s="330"/>
      <c r="AQ388" s="330"/>
      <c r="AR388" s="330"/>
      <c r="AS388" s="330"/>
      <c r="AT388" s="330"/>
      <c r="AU388" s="330"/>
      <c r="AV388" s="330"/>
      <c r="AW388" s="330"/>
      <c r="AX388" s="330"/>
      <c r="AY388" s="330"/>
      <c r="AZ388" s="330"/>
      <c r="BA388" s="330"/>
      <c r="BB388" s="330"/>
      <c r="BC388" s="330"/>
      <c r="BD388" s="330"/>
      <c r="BE388" s="330"/>
      <c r="BF388" s="330"/>
    </row>
    <row r="389" spans="1:58">
      <c r="A389" s="330"/>
      <c r="B389" s="330"/>
      <c r="C389" s="330"/>
      <c r="D389" s="330"/>
      <c r="E389" s="330"/>
      <c r="F389" s="330"/>
      <c r="G389" s="330"/>
      <c r="H389" s="330"/>
      <c r="I389" s="330"/>
      <c r="J389" s="330"/>
      <c r="K389" s="330"/>
      <c r="L389" s="330"/>
      <c r="M389" s="330"/>
      <c r="N389" s="330"/>
      <c r="O389" s="330"/>
      <c r="P389" s="330"/>
      <c r="Q389" s="330"/>
      <c r="R389" s="330"/>
      <c r="S389" s="330"/>
      <c r="T389" s="330"/>
      <c r="U389" s="330"/>
      <c r="V389" s="330"/>
      <c r="W389" s="330"/>
      <c r="X389" s="330"/>
      <c r="Y389" s="330"/>
      <c r="Z389" s="330"/>
      <c r="AA389" s="330"/>
      <c r="AB389" s="330"/>
      <c r="AC389" s="330"/>
      <c r="AD389" s="330"/>
      <c r="AE389" s="330"/>
      <c r="AF389" s="330"/>
      <c r="AG389" s="330"/>
      <c r="AH389" s="330"/>
      <c r="AI389" s="330"/>
      <c r="AJ389" s="330"/>
      <c r="AK389" s="330"/>
      <c r="AL389" s="330"/>
      <c r="AM389" s="330"/>
      <c r="AN389" s="330"/>
      <c r="AO389" s="330"/>
      <c r="AP389" s="330"/>
      <c r="AQ389" s="330"/>
      <c r="AR389" s="330"/>
      <c r="AS389" s="330"/>
      <c r="AT389" s="330"/>
      <c r="AU389" s="330"/>
      <c r="AV389" s="330"/>
      <c r="AW389" s="330"/>
      <c r="AX389" s="330"/>
      <c r="AY389" s="330"/>
      <c r="AZ389" s="330"/>
      <c r="BA389" s="330"/>
      <c r="BB389" s="330"/>
      <c r="BC389" s="330"/>
      <c r="BD389" s="330"/>
      <c r="BE389" s="330"/>
      <c r="BF389" s="330"/>
    </row>
    <row r="390" spans="1:58">
      <c r="A390" s="330"/>
      <c r="B390" s="330"/>
      <c r="C390" s="330"/>
      <c r="D390" s="330"/>
      <c r="E390" s="330"/>
      <c r="F390" s="330"/>
      <c r="G390" s="330"/>
      <c r="H390" s="330"/>
      <c r="I390" s="330"/>
      <c r="J390" s="330"/>
      <c r="K390" s="330"/>
      <c r="L390" s="330"/>
      <c r="M390" s="330"/>
      <c r="N390" s="330"/>
      <c r="O390" s="330"/>
      <c r="P390" s="330"/>
      <c r="Q390" s="330"/>
      <c r="R390" s="330"/>
      <c r="S390" s="330"/>
      <c r="T390" s="330"/>
      <c r="U390" s="330"/>
      <c r="V390" s="330"/>
      <c r="W390" s="330"/>
      <c r="X390" s="330"/>
      <c r="Y390" s="330"/>
      <c r="Z390" s="330"/>
      <c r="AA390" s="330"/>
      <c r="AB390" s="330"/>
      <c r="AC390" s="330"/>
      <c r="AD390" s="330"/>
      <c r="AE390" s="330"/>
      <c r="AF390" s="330"/>
      <c r="AG390" s="330"/>
      <c r="AH390" s="330"/>
      <c r="AI390" s="330"/>
      <c r="AJ390" s="330"/>
      <c r="AK390" s="330"/>
      <c r="AL390" s="330"/>
      <c r="AM390" s="330"/>
      <c r="AN390" s="330"/>
      <c r="AO390" s="330"/>
      <c r="AP390" s="330"/>
      <c r="AQ390" s="330"/>
      <c r="AR390" s="330"/>
      <c r="AS390" s="330"/>
      <c r="AT390" s="330"/>
      <c r="AU390" s="330"/>
      <c r="AV390" s="330"/>
      <c r="AW390" s="330"/>
      <c r="AX390" s="330"/>
      <c r="AY390" s="330"/>
      <c r="AZ390" s="330"/>
      <c r="BA390" s="330"/>
      <c r="BB390" s="330"/>
      <c r="BC390" s="330"/>
      <c r="BD390" s="330"/>
      <c r="BE390" s="330"/>
      <c r="BF390" s="330"/>
    </row>
    <row r="391" spans="1:58">
      <c r="A391" s="330"/>
      <c r="B391" s="330"/>
      <c r="C391" s="330"/>
      <c r="D391" s="330"/>
      <c r="E391" s="330"/>
      <c r="F391" s="330"/>
      <c r="G391" s="330"/>
      <c r="H391" s="330"/>
      <c r="I391" s="330"/>
      <c r="J391" s="330"/>
      <c r="K391" s="330"/>
      <c r="L391" s="330"/>
      <c r="M391" s="330"/>
      <c r="N391" s="330"/>
      <c r="O391" s="330"/>
      <c r="P391" s="330"/>
      <c r="Q391" s="330"/>
      <c r="R391" s="330"/>
      <c r="S391" s="330"/>
      <c r="T391" s="330"/>
      <c r="U391" s="330"/>
      <c r="V391" s="330"/>
      <c r="W391" s="330"/>
      <c r="X391" s="330"/>
      <c r="Y391" s="330"/>
      <c r="Z391" s="330"/>
      <c r="AA391" s="330"/>
      <c r="AB391" s="330"/>
      <c r="AC391" s="330"/>
      <c r="AD391" s="330"/>
      <c r="AE391" s="330"/>
      <c r="AF391" s="330"/>
      <c r="AG391" s="330"/>
      <c r="AH391" s="330"/>
      <c r="AI391" s="330"/>
      <c r="AJ391" s="330"/>
      <c r="AK391" s="330"/>
      <c r="AL391" s="330"/>
      <c r="AM391" s="330"/>
      <c r="AN391" s="330"/>
      <c r="AO391" s="330"/>
      <c r="AP391" s="330"/>
      <c r="AQ391" s="330"/>
      <c r="AR391" s="330"/>
      <c r="AS391" s="330"/>
      <c r="AT391" s="330"/>
      <c r="AU391" s="330"/>
      <c r="AV391" s="330"/>
      <c r="AW391" s="330"/>
      <c r="AX391" s="330"/>
      <c r="AY391" s="330"/>
      <c r="AZ391" s="330"/>
      <c r="BA391" s="330"/>
      <c r="BB391" s="330"/>
      <c r="BC391" s="330"/>
      <c r="BD391" s="330"/>
      <c r="BE391" s="330"/>
      <c r="BF391" s="330"/>
    </row>
    <row r="392" spans="1:58">
      <c r="A392" s="330"/>
      <c r="B392" s="330"/>
      <c r="C392" s="330"/>
      <c r="D392" s="330"/>
      <c r="E392" s="330"/>
      <c r="F392" s="330"/>
      <c r="G392" s="330"/>
      <c r="H392" s="330"/>
      <c r="I392" s="330"/>
      <c r="J392" s="330"/>
      <c r="K392" s="330"/>
      <c r="L392" s="330"/>
      <c r="M392" s="330"/>
      <c r="N392" s="330"/>
      <c r="O392" s="330"/>
      <c r="P392" s="330"/>
      <c r="Q392" s="330"/>
      <c r="R392" s="330"/>
      <c r="S392" s="330"/>
      <c r="T392" s="330"/>
      <c r="U392" s="330"/>
      <c r="V392" s="330"/>
      <c r="W392" s="330"/>
      <c r="X392" s="330"/>
      <c r="Y392" s="330"/>
      <c r="Z392" s="330"/>
      <c r="AA392" s="330"/>
      <c r="AB392" s="330"/>
      <c r="AC392" s="330"/>
      <c r="AD392" s="330"/>
      <c r="AE392" s="330"/>
      <c r="AF392" s="330"/>
      <c r="AG392" s="330"/>
      <c r="AH392" s="330"/>
      <c r="AI392" s="330"/>
      <c r="AJ392" s="330"/>
      <c r="AK392" s="330"/>
      <c r="AL392" s="330"/>
      <c r="AM392" s="330"/>
      <c r="AN392" s="330"/>
      <c r="AO392" s="330"/>
      <c r="AP392" s="330"/>
      <c r="AQ392" s="330"/>
      <c r="AR392" s="330"/>
      <c r="AS392" s="330"/>
      <c r="AT392" s="330"/>
      <c r="AU392" s="330"/>
      <c r="AV392" s="330"/>
      <c r="AW392" s="330"/>
      <c r="AX392" s="330"/>
      <c r="AY392" s="330"/>
      <c r="AZ392" s="330"/>
      <c r="BA392" s="330"/>
      <c r="BB392" s="330"/>
      <c r="BC392" s="330"/>
      <c r="BD392" s="330"/>
      <c r="BE392" s="330"/>
      <c r="BF392" s="330"/>
    </row>
    <row r="393" spans="1:58">
      <c r="A393" s="330"/>
      <c r="B393" s="330"/>
      <c r="C393" s="330"/>
      <c r="D393" s="330"/>
      <c r="E393" s="330"/>
      <c r="F393" s="330"/>
      <c r="G393" s="330"/>
      <c r="H393" s="330"/>
      <c r="I393" s="330"/>
      <c r="J393" s="330"/>
      <c r="K393" s="330"/>
      <c r="L393" s="330"/>
      <c r="M393" s="330"/>
      <c r="N393" s="330"/>
      <c r="O393" s="330"/>
      <c r="P393" s="330"/>
      <c r="Q393" s="330"/>
      <c r="R393" s="330"/>
      <c r="S393" s="330"/>
      <c r="T393" s="330"/>
      <c r="U393" s="330"/>
      <c r="V393" s="330"/>
      <c r="W393" s="330"/>
      <c r="X393" s="330"/>
      <c r="Y393" s="330"/>
      <c r="Z393" s="330"/>
      <c r="AA393" s="330"/>
      <c r="AB393" s="330"/>
      <c r="AC393" s="330"/>
      <c r="AD393" s="330"/>
      <c r="AE393" s="330"/>
      <c r="AF393" s="330"/>
      <c r="AG393" s="330"/>
      <c r="AH393" s="330"/>
      <c r="AI393" s="330"/>
      <c r="AJ393" s="330"/>
      <c r="AK393" s="330"/>
      <c r="AL393" s="330"/>
      <c r="AM393" s="330"/>
      <c r="AN393" s="330"/>
      <c r="AO393" s="330"/>
      <c r="AP393" s="330"/>
      <c r="AQ393" s="330"/>
      <c r="AR393" s="330"/>
      <c r="AS393" s="330"/>
      <c r="AT393" s="330"/>
      <c r="AU393" s="330"/>
      <c r="AV393" s="330"/>
      <c r="AW393" s="330"/>
      <c r="AX393" s="330"/>
      <c r="AY393" s="330"/>
      <c r="AZ393" s="330"/>
      <c r="BA393" s="330"/>
      <c r="BB393" s="330"/>
      <c r="BC393" s="330"/>
      <c r="BD393" s="330"/>
      <c r="BE393" s="330"/>
      <c r="BF393" s="330"/>
    </row>
    <row r="394" spans="1:58">
      <c r="A394" s="330"/>
      <c r="B394" s="330"/>
      <c r="C394" s="330"/>
      <c r="D394" s="330"/>
      <c r="E394" s="330"/>
      <c r="F394" s="330"/>
      <c r="G394" s="330"/>
      <c r="H394" s="330"/>
      <c r="I394" s="330"/>
      <c r="J394" s="330"/>
      <c r="K394" s="330"/>
      <c r="L394" s="330"/>
      <c r="M394" s="330"/>
      <c r="N394" s="330"/>
      <c r="O394" s="330"/>
      <c r="P394" s="330"/>
      <c r="Q394" s="330"/>
      <c r="R394" s="330"/>
      <c r="S394" s="330"/>
      <c r="T394" s="330"/>
      <c r="U394" s="330"/>
      <c r="V394" s="330"/>
      <c r="W394" s="330"/>
      <c r="X394" s="330"/>
      <c r="Y394" s="330"/>
      <c r="Z394" s="330"/>
      <c r="AA394" s="330"/>
      <c r="AB394" s="330"/>
      <c r="AC394" s="330"/>
      <c r="AD394" s="330"/>
      <c r="AE394" s="330"/>
      <c r="AF394" s="330"/>
      <c r="AG394" s="330"/>
      <c r="AH394" s="330"/>
      <c r="AI394" s="330"/>
      <c r="AJ394" s="330"/>
      <c r="AK394" s="330"/>
      <c r="AL394" s="330"/>
      <c r="AM394" s="330"/>
      <c r="AN394" s="330"/>
      <c r="AO394" s="330"/>
      <c r="AP394" s="330"/>
      <c r="AQ394" s="330"/>
      <c r="AR394" s="330"/>
      <c r="AS394" s="330"/>
      <c r="AT394" s="330"/>
      <c r="AU394" s="330"/>
      <c r="AV394" s="330"/>
      <c r="AW394" s="330"/>
      <c r="AX394" s="330"/>
      <c r="AY394" s="330"/>
      <c r="AZ394" s="330"/>
      <c r="BA394" s="330"/>
      <c r="BB394" s="330"/>
      <c r="BC394" s="330"/>
      <c r="BD394" s="330"/>
      <c r="BE394" s="330"/>
      <c r="BF394" s="330"/>
    </row>
    <row r="395" spans="1:58">
      <c r="A395" s="330"/>
      <c r="B395" s="330"/>
      <c r="C395" s="330"/>
      <c r="D395" s="330"/>
      <c r="E395" s="330"/>
      <c r="F395" s="330"/>
      <c r="G395" s="330"/>
      <c r="H395" s="330"/>
      <c r="I395" s="330"/>
      <c r="J395" s="330"/>
      <c r="K395" s="330"/>
      <c r="L395" s="330"/>
      <c r="M395" s="330"/>
      <c r="N395" s="330"/>
      <c r="O395" s="330"/>
      <c r="P395" s="330"/>
      <c r="Q395" s="330"/>
      <c r="R395" s="330"/>
      <c r="S395" s="330"/>
      <c r="T395" s="330"/>
      <c r="U395" s="330"/>
      <c r="V395" s="330"/>
      <c r="W395" s="330"/>
      <c r="X395" s="330"/>
      <c r="Y395" s="330"/>
      <c r="Z395" s="330"/>
      <c r="AA395" s="330"/>
      <c r="AB395" s="330"/>
      <c r="AC395" s="330"/>
      <c r="AD395" s="330"/>
      <c r="AE395" s="330"/>
      <c r="AF395" s="330"/>
      <c r="AG395" s="330"/>
      <c r="AH395" s="330"/>
      <c r="AI395" s="330"/>
      <c r="AJ395" s="330"/>
      <c r="AK395" s="330"/>
      <c r="AL395" s="330"/>
      <c r="AM395" s="330"/>
      <c r="AN395" s="330"/>
      <c r="AO395" s="330"/>
      <c r="AP395" s="330"/>
      <c r="AQ395" s="330"/>
      <c r="AR395" s="330"/>
      <c r="AS395" s="330"/>
      <c r="AT395" s="330"/>
      <c r="AU395" s="330"/>
      <c r="AV395" s="330"/>
      <c r="AW395" s="330"/>
      <c r="AX395" s="330"/>
      <c r="AY395" s="330"/>
      <c r="AZ395" s="330"/>
      <c r="BA395" s="330"/>
      <c r="BB395" s="330"/>
      <c r="BC395" s="330"/>
      <c r="BD395" s="330"/>
      <c r="BE395" s="330"/>
      <c r="BF395" s="330"/>
    </row>
    <row r="396" spans="1:58">
      <c r="A396" s="330"/>
      <c r="B396" s="330"/>
      <c r="C396" s="330"/>
      <c r="D396" s="330"/>
      <c r="E396" s="330"/>
      <c r="F396" s="330"/>
      <c r="G396" s="330"/>
      <c r="H396" s="330"/>
      <c r="I396" s="330"/>
      <c r="J396" s="330"/>
      <c r="K396" s="330"/>
      <c r="L396" s="330"/>
      <c r="M396" s="330"/>
      <c r="N396" s="330"/>
      <c r="O396" s="330"/>
      <c r="P396" s="330"/>
      <c r="Q396" s="330"/>
      <c r="R396" s="330"/>
      <c r="S396" s="330"/>
      <c r="T396" s="330"/>
      <c r="U396" s="330"/>
      <c r="V396" s="330"/>
      <c r="W396" s="330"/>
      <c r="X396" s="330"/>
      <c r="Y396" s="330"/>
      <c r="Z396" s="330"/>
      <c r="AA396" s="330"/>
      <c r="AB396" s="330"/>
      <c r="AC396" s="330"/>
      <c r="AD396" s="330"/>
      <c r="AE396" s="330"/>
      <c r="AF396" s="330"/>
      <c r="AG396" s="330"/>
      <c r="AH396" s="330"/>
      <c r="AI396" s="330"/>
      <c r="AJ396" s="330"/>
      <c r="AK396" s="330"/>
      <c r="AL396" s="330"/>
      <c r="AM396" s="330"/>
      <c r="AN396" s="330"/>
      <c r="AO396" s="330"/>
      <c r="AP396" s="330"/>
      <c r="AQ396" s="330"/>
      <c r="AR396" s="330"/>
      <c r="AS396" s="330"/>
      <c r="AT396" s="330"/>
      <c r="AU396" s="330"/>
      <c r="AV396" s="330"/>
      <c r="AW396" s="330"/>
      <c r="AX396" s="330"/>
      <c r="AY396" s="330"/>
      <c r="AZ396" s="330"/>
      <c r="BA396" s="330"/>
      <c r="BB396" s="330"/>
      <c r="BC396" s="330"/>
      <c r="BD396" s="330"/>
      <c r="BE396" s="330"/>
      <c r="BF396" s="330"/>
    </row>
    <row r="397" spans="1:58">
      <c r="A397" s="330"/>
      <c r="B397" s="330"/>
      <c r="C397" s="330"/>
      <c r="D397" s="330"/>
      <c r="E397" s="330"/>
      <c r="F397" s="330"/>
      <c r="G397" s="330"/>
      <c r="H397" s="330"/>
      <c r="I397" s="330"/>
      <c r="J397" s="330"/>
      <c r="K397" s="330"/>
      <c r="L397" s="330"/>
      <c r="M397" s="330"/>
      <c r="N397" s="330"/>
      <c r="O397" s="330"/>
      <c r="P397" s="330"/>
      <c r="Q397" s="330"/>
      <c r="R397" s="330"/>
      <c r="S397" s="330"/>
      <c r="T397" s="330"/>
      <c r="U397" s="330"/>
      <c r="V397" s="330"/>
      <c r="W397" s="330"/>
      <c r="X397" s="330"/>
      <c r="Y397" s="330"/>
      <c r="Z397" s="330"/>
      <c r="AA397" s="330"/>
      <c r="AB397" s="330"/>
      <c r="AC397" s="330"/>
      <c r="AD397" s="330"/>
      <c r="AE397" s="330"/>
      <c r="AF397" s="330"/>
      <c r="AG397" s="330"/>
      <c r="AH397" s="330"/>
      <c r="AI397" s="330"/>
      <c r="AJ397" s="330"/>
      <c r="AK397" s="330"/>
      <c r="AL397" s="330"/>
      <c r="AM397" s="330"/>
      <c r="AN397" s="330"/>
      <c r="AO397" s="330"/>
      <c r="AP397" s="330"/>
      <c r="AQ397" s="330"/>
      <c r="AR397" s="330"/>
      <c r="AS397" s="330"/>
      <c r="AT397" s="330"/>
      <c r="AU397" s="330"/>
      <c r="AV397" s="330"/>
      <c r="AW397" s="330"/>
      <c r="AX397" s="330"/>
      <c r="AY397" s="330"/>
      <c r="AZ397" s="330"/>
      <c r="BA397" s="330"/>
      <c r="BB397" s="330"/>
      <c r="BC397" s="330"/>
      <c r="BD397" s="330"/>
      <c r="BE397" s="330"/>
      <c r="BF397" s="330"/>
    </row>
    <row r="398" spans="1:58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  <c r="N398" s="330"/>
      <c r="O398" s="330"/>
      <c r="P398" s="330"/>
      <c r="Q398" s="330"/>
      <c r="R398" s="330"/>
      <c r="S398" s="330"/>
      <c r="T398" s="330"/>
      <c r="U398" s="330"/>
      <c r="V398" s="330"/>
      <c r="W398" s="330"/>
      <c r="X398" s="330"/>
      <c r="Y398" s="330"/>
      <c r="Z398" s="330"/>
      <c r="AA398" s="330"/>
      <c r="AB398" s="330"/>
      <c r="AC398" s="330"/>
      <c r="AD398" s="330"/>
      <c r="AE398" s="330"/>
      <c r="AF398" s="330"/>
      <c r="AG398" s="330"/>
      <c r="AH398" s="330"/>
      <c r="AI398" s="330"/>
      <c r="AJ398" s="330"/>
      <c r="AK398" s="330"/>
      <c r="AL398" s="330"/>
      <c r="AM398" s="330"/>
      <c r="AN398" s="330"/>
      <c r="AO398" s="330"/>
      <c r="AP398" s="330"/>
      <c r="AQ398" s="330"/>
      <c r="AR398" s="330"/>
      <c r="AS398" s="330"/>
      <c r="AT398" s="330"/>
      <c r="AU398" s="330"/>
      <c r="AV398" s="330"/>
      <c r="AW398" s="330"/>
      <c r="AX398" s="330"/>
      <c r="AY398" s="330"/>
      <c r="AZ398" s="330"/>
      <c r="BA398" s="330"/>
      <c r="BB398" s="330"/>
      <c r="BC398" s="330"/>
      <c r="BD398" s="330"/>
      <c r="BE398" s="330"/>
      <c r="BF398" s="330"/>
    </row>
    <row r="399" spans="1:58">
      <c r="A399" s="330"/>
      <c r="B399" s="330"/>
      <c r="C399" s="330"/>
      <c r="D399" s="330"/>
      <c r="E399" s="330"/>
      <c r="F399" s="330"/>
      <c r="G399" s="330"/>
      <c r="H399" s="330"/>
      <c r="I399" s="330"/>
      <c r="J399" s="330"/>
      <c r="K399" s="330"/>
      <c r="L399" s="330"/>
      <c r="M399" s="330"/>
      <c r="N399" s="330"/>
      <c r="O399" s="330"/>
      <c r="P399" s="330"/>
      <c r="Q399" s="330"/>
      <c r="R399" s="330"/>
      <c r="S399" s="330"/>
      <c r="T399" s="330"/>
      <c r="U399" s="330"/>
      <c r="V399" s="330"/>
      <c r="W399" s="330"/>
      <c r="X399" s="330"/>
      <c r="Y399" s="330"/>
      <c r="Z399" s="330"/>
      <c r="AA399" s="330"/>
      <c r="AB399" s="330"/>
      <c r="AC399" s="330"/>
      <c r="AD399" s="330"/>
      <c r="AE399" s="330"/>
      <c r="AF399" s="330"/>
      <c r="AG399" s="330"/>
      <c r="AH399" s="330"/>
      <c r="AI399" s="330"/>
      <c r="AJ399" s="330"/>
      <c r="AK399" s="330"/>
      <c r="AL399" s="330"/>
      <c r="AM399" s="330"/>
      <c r="AN399" s="330"/>
      <c r="AO399" s="330"/>
      <c r="AP399" s="330"/>
      <c r="AQ399" s="330"/>
      <c r="AR399" s="330"/>
      <c r="AS399" s="330"/>
      <c r="AT399" s="330"/>
      <c r="AU399" s="330"/>
      <c r="AV399" s="330"/>
      <c r="AW399" s="330"/>
      <c r="AX399" s="330"/>
      <c r="AY399" s="330"/>
      <c r="AZ399" s="330"/>
      <c r="BA399" s="330"/>
      <c r="BB399" s="330"/>
      <c r="BC399" s="330"/>
      <c r="BD399" s="330"/>
      <c r="BE399" s="330"/>
      <c r="BF399" s="330"/>
    </row>
    <row r="400" spans="1:58">
      <c r="A400" s="330"/>
      <c r="B400" s="330"/>
      <c r="C400" s="330"/>
      <c r="D400" s="330"/>
      <c r="E400" s="330"/>
      <c r="F400" s="330"/>
      <c r="G400" s="330"/>
      <c r="H400" s="330"/>
      <c r="I400" s="330"/>
      <c r="J400" s="330"/>
      <c r="K400" s="330"/>
      <c r="L400" s="330"/>
      <c r="M400" s="330"/>
      <c r="N400" s="330"/>
      <c r="O400" s="330"/>
      <c r="P400" s="330"/>
      <c r="Q400" s="330"/>
      <c r="R400" s="330"/>
      <c r="S400" s="330"/>
      <c r="T400" s="330"/>
      <c r="U400" s="330"/>
      <c r="V400" s="330"/>
      <c r="W400" s="330"/>
      <c r="X400" s="330"/>
      <c r="Y400" s="330"/>
      <c r="Z400" s="330"/>
      <c r="AA400" s="330"/>
      <c r="AB400" s="330"/>
      <c r="AC400" s="330"/>
      <c r="AD400" s="330"/>
      <c r="AE400" s="330"/>
      <c r="AF400" s="330"/>
      <c r="AG400" s="330"/>
      <c r="AH400" s="330"/>
      <c r="AI400" s="330"/>
      <c r="AJ400" s="330"/>
      <c r="AK400" s="330"/>
      <c r="AL400" s="330"/>
      <c r="AM400" s="330"/>
      <c r="AN400" s="330"/>
      <c r="AO400" s="330"/>
      <c r="AP400" s="330"/>
      <c r="AQ400" s="330"/>
      <c r="AR400" s="330"/>
      <c r="AS400" s="330"/>
      <c r="AT400" s="330"/>
      <c r="AU400" s="330"/>
      <c r="AV400" s="330"/>
      <c r="AW400" s="330"/>
      <c r="AX400" s="330"/>
      <c r="AY400" s="330"/>
      <c r="AZ400" s="330"/>
      <c r="BA400" s="330"/>
      <c r="BB400" s="330"/>
      <c r="BC400" s="330"/>
      <c r="BD400" s="330"/>
      <c r="BE400" s="330"/>
      <c r="BF400" s="330"/>
    </row>
    <row r="401" spans="1:58">
      <c r="A401" s="330"/>
      <c r="B401" s="330"/>
      <c r="C401" s="330"/>
      <c r="D401" s="330"/>
      <c r="E401" s="330"/>
      <c r="F401" s="330"/>
      <c r="G401" s="330"/>
      <c r="H401" s="330"/>
      <c r="I401" s="330"/>
      <c r="J401" s="330"/>
      <c r="K401" s="330"/>
      <c r="L401" s="330"/>
      <c r="M401" s="330"/>
      <c r="N401" s="330"/>
      <c r="O401" s="330"/>
      <c r="P401" s="330"/>
      <c r="Q401" s="330"/>
      <c r="R401" s="330"/>
      <c r="S401" s="330"/>
      <c r="T401" s="330"/>
      <c r="U401" s="330"/>
      <c r="V401" s="330"/>
      <c r="W401" s="330"/>
      <c r="X401" s="330"/>
      <c r="Y401" s="330"/>
      <c r="Z401" s="330"/>
      <c r="AA401" s="330"/>
      <c r="AB401" s="330"/>
      <c r="AC401" s="330"/>
      <c r="AD401" s="330"/>
      <c r="AE401" s="330"/>
      <c r="AF401" s="330"/>
      <c r="AG401" s="330"/>
      <c r="AH401" s="330"/>
      <c r="AI401" s="330"/>
      <c r="AJ401" s="330"/>
      <c r="AK401" s="330"/>
      <c r="AL401" s="330"/>
      <c r="AM401" s="330"/>
      <c r="AN401" s="330"/>
      <c r="AO401" s="330"/>
      <c r="AP401" s="330"/>
      <c r="AQ401" s="330"/>
      <c r="AR401" s="330"/>
      <c r="AS401" s="330"/>
      <c r="AT401" s="330"/>
      <c r="AU401" s="330"/>
      <c r="AV401" s="330"/>
      <c r="AW401" s="330"/>
      <c r="AX401" s="330"/>
      <c r="AY401" s="330"/>
      <c r="AZ401" s="330"/>
      <c r="BA401" s="330"/>
      <c r="BB401" s="330"/>
      <c r="BC401" s="330"/>
      <c r="BD401" s="330"/>
      <c r="BE401" s="330"/>
      <c r="BF401" s="330"/>
    </row>
    <row r="402" spans="1:58">
      <c r="A402" s="330"/>
      <c r="B402" s="330"/>
      <c r="C402" s="330"/>
      <c r="D402" s="330"/>
      <c r="E402" s="330"/>
      <c r="F402" s="330"/>
      <c r="G402" s="330"/>
      <c r="H402" s="330"/>
      <c r="I402" s="330"/>
      <c r="J402" s="330"/>
      <c r="K402" s="330"/>
      <c r="L402" s="330"/>
      <c r="M402" s="330"/>
      <c r="N402" s="330"/>
      <c r="O402" s="330"/>
      <c r="P402" s="330"/>
      <c r="Q402" s="330"/>
      <c r="R402" s="330"/>
      <c r="S402" s="330"/>
      <c r="T402" s="330"/>
      <c r="U402" s="330"/>
      <c r="V402" s="330"/>
      <c r="W402" s="330"/>
      <c r="X402" s="330"/>
      <c r="Y402" s="330"/>
      <c r="Z402" s="330"/>
      <c r="AA402" s="330"/>
      <c r="AB402" s="330"/>
      <c r="AC402" s="330"/>
      <c r="AD402" s="330"/>
      <c r="AE402" s="330"/>
      <c r="AF402" s="330"/>
      <c r="AG402" s="330"/>
      <c r="AH402" s="330"/>
      <c r="AI402" s="330"/>
      <c r="AJ402" s="330"/>
      <c r="AK402" s="330"/>
      <c r="AL402" s="330"/>
      <c r="AM402" s="330"/>
      <c r="AN402" s="330"/>
      <c r="AO402" s="330"/>
      <c r="AP402" s="330"/>
      <c r="AQ402" s="330"/>
      <c r="AR402" s="330"/>
      <c r="AS402" s="330"/>
      <c r="AT402" s="330"/>
      <c r="AU402" s="330"/>
      <c r="AV402" s="330"/>
      <c r="AW402" s="330"/>
      <c r="AX402" s="330"/>
      <c r="AY402" s="330"/>
      <c r="AZ402" s="330"/>
      <c r="BA402" s="330"/>
      <c r="BB402" s="330"/>
      <c r="BC402" s="330"/>
      <c r="BD402" s="330"/>
      <c r="BE402" s="330"/>
      <c r="BF402" s="330"/>
    </row>
    <row r="403" spans="1:58">
      <c r="A403" s="330"/>
      <c r="B403" s="330"/>
      <c r="C403" s="330"/>
      <c r="D403" s="330"/>
      <c r="E403" s="330"/>
      <c r="F403" s="330"/>
      <c r="G403" s="330"/>
      <c r="H403" s="330"/>
      <c r="I403" s="330"/>
      <c r="J403" s="330"/>
      <c r="K403" s="330"/>
      <c r="L403" s="330"/>
      <c r="M403" s="330"/>
      <c r="N403" s="330"/>
      <c r="O403" s="330"/>
      <c r="P403" s="330"/>
      <c r="Q403" s="330"/>
      <c r="R403" s="330"/>
      <c r="S403" s="330"/>
      <c r="T403" s="330"/>
      <c r="U403" s="330"/>
      <c r="V403" s="330"/>
      <c r="W403" s="330"/>
      <c r="X403" s="330"/>
      <c r="Y403" s="330"/>
      <c r="Z403" s="330"/>
      <c r="AA403" s="330"/>
      <c r="AB403" s="330"/>
      <c r="AC403" s="330"/>
      <c r="AD403" s="330"/>
      <c r="AE403" s="330"/>
      <c r="AF403" s="330"/>
      <c r="AG403" s="330"/>
      <c r="AH403" s="330"/>
      <c r="AI403" s="330"/>
      <c r="AJ403" s="330"/>
      <c r="AK403" s="330"/>
      <c r="AL403" s="330"/>
      <c r="AM403" s="330"/>
      <c r="AN403" s="330"/>
      <c r="AO403" s="330"/>
      <c r="AP403" s="330"/>
      <c r="AQ403" s="330"/>
      <c r="AR403" s="330"/>
      <c r="AS403" s="330"/>
      <c r="AT403" s="330"/>
      <c r="AU403" s="330"/>
      <c r="AV403" s="330"/>
      <c r="AW403" s="330"/>
      <c r="AX403" s="330"/>
      <c r="AY403" s="330"/>
      <c r="AZ403" s="330"/>
      <c r="BA403" s="330"/>
      <c r="BB403" s="330"/>
      <c r="BC403" s="330"/>
      <c r="BD403" s="330"/>
      <c r="BE403" s="330"/>
      <c r="BF403" s="330"/>
    </row>
    <row r="404" spans="1:58">
      <c r="A404" s="330"/>
      <c r="B404" s="330"/>
      <c r="C404" s="330"/>
      <c r="D404" s="330"/>
      <c r="E404" s="330"/>
      <c r="F404" s="330"/>
      <c r="G404" s="330"/>
      <c r="H404" s="330"/>
      <c r="I404" s="330"/>
      <c r="J404" s="330"/>
      <c r="K404" s="330"/>
      <c r="L404" s="330"/>
      <c r="M404" s="330"/>
      <c r="N404" s="330"/>
      <c r="O404" s="330"/>
      <c r="P404" s="330"/>
      <c r="Q404" s="330"/>
      <c r="R404" s="330"/>
      <c r="S404" s="330"/>
      <c r="T404" s="330"/>
      <c r="U404" s="330"/>
      <c r="V404" s="330"/>
      <c r="W404" s="330"/>
      <c r="X404" s="330"/>
      <c r="Y404" s="330"/>
      <c r="Z404" s="330"/>
      <c r="AA404" s="330"/>
      <c r="AB404" s="330"/>
      <c r="AC404" s="330"/>
      <c r="AD404" s="330"/>
      <c r="AE404" s="330"/>
      <c r="AF404" s="330"/>
      <c r="AG404" s="330"/>
      <c r="AH404" s="330"/>
      <c r="AI404" s="330"/>
      <c r="AJ404" s="330"/>
      <c r="AK404" s="330"/>
      <c r="AL404" s="330"/>
      <c r="AM404" s="330"/>
      <c r="AN404" s="330"/>
      <c r="AO404" s="330"/>
      <c r="AP404" s="330"/>
      <c r="AQ404" s="330"/>
      <c r="AR404" s="330"/>
      <c r="AS404" s="330"/>
      <c r="AT404" s="330"/>
      <c r="AU404" s="330"/>
      <c r="AV404" s="330"/>
      <c r="AW404" s="330"/>
      <c r="AX404" s="330"/>
      <c r="AY404" s="330"/>
      <c r="AZ404" s="330"/>
      <c r="BA404" s="330"/>
      <c r="BB404" s="330"/>
      <c r="BC404" s="330"/>
      <c r="BD404" s="330"/>
      <c r="BE404" s="330"/>
      <c r="BF404" s="330"/>
    </row>
    <row r="405" spans="1:58">
      <c r="A405" s="330"/>
      <c r="B405" s="330"/>
      <c r="C405" s="330"/>
      <c r="D405" s="330"/>
      <c r="E405" s="330"/>
      <c r="F405" s="330"/>
      <c r="G405" s="330"/>
      <c r="H405" s="330"/>
      <c r="I405" s="330"/>
      <c r="J405" s="330"/>
      <c r="K405" s="330"/>
      <c r="L405" s="330"/>
      <c r="M405" s="330"/>
      <c r="N405" s="330"/>
      <c r="O405" s="330"/>
      <c r="P405" s="330"/>
      <c r="Q405" s="330"/>
      <c r="R405" s="330"/>
      <c r="S405" s="330"/>
      <c r="T405" s="330"/>
      <c r="U405" s="330"/>
      <c r="V405" s="330"/>
      <c r="W405" s="330"/>
      <c r="X405" s="330"/>
      <c r="Y405" s="330"/>
      <c r="Z405" s="330"/>
      <c r="AA405" s="330"/>
      <c r="AB405" s="330"/>
      <c r="AC405" s="330"/>
      <c r="AD405" s="330"/>
      <c r="AE405" s="330"/>
      <c r="AF405" s="330"/>
      <c r="AG405" s="330"/>
      <c r="AH405" s="330"/>
      <c r="AI405" s="330"/>
      <c r="AJ405" s="330"/>
      <c r="AK405" s="330"/>
      <c r="AL405" s="330"/>
      <c r="AM405" s="330"/>
      <c r="AN405" s="330"/>
      <c r="AO405" s="330"/>
      <c r="AP405" s="330"/>
      <c r="AQ405" s="330"/>
      <c r="AR405" s="330"/>
      <c r="AS405" s="330"/>
      <c r="AT405" s="330"/>
      <c r="AU405" s="330"/>
      <c r="AV405" s="330"/>
      <c r="AW405" s="330"/>
      <c r="AX405" s="330"/>
      <c r="AY405" s="330"/>
      <c r="AZ405" s="330"/>
      <c r="BA405" s="330"/>
      <c r="BB405" s="330"/>
      <c r="BC405" s="330"/>
      <c r="BD405" s="330"/>
      <c r="BE405" s="330"/>
      <c r="BF405" s="330"/>
    </row>
    <row r="406" spans="1:58">
      <c r="A406" s="330"/>
      <c r="B406" s="330"/>
      <c r="C406" s="330"/>
      <c r="D406" s="330"/>
      <c r="E406" s="330"/>
      <c r="F406" s="330"/>
      <c r="G406" s="330"/>
      <c r="H406" s="330"/>
      <c r="I406" s="330"/>
      <c r="J406" s="330"/>
      <c r="K406" s="330"/>
      <c r="L406" s="330"/>
      <c r="M406" s="330"/>
      <c r="N406" s="330"/>
      <c r="O406" s="330"/>
      <c r="P406" s="330"/>
      <c r="Q406" s="330"/>
      <c r="R406" s="330"/>
      <c r="S406" s="330"/>
      <c r="T406" s="330"/>
      <c r="U406" s="330"/>
      <c r="V406" s="330"/>
      <c r="W406" s="330"/>
      <c r="X406" s="330"/>
      <c r="Y406" s="330"/>
      <c r="Z406" s="330"/>
      <c r="AA406" s="330"/>
      <c r="AB406" s="330"/>
      <c r="AC406" s="330"/>
      <c r="AD406" s="330"/>
      <c r="AE406" s="330"/>
      <c r="AF406" s="330"/>
      <c r="AG406" s="330"/>
      <c r="AH406" s="330"/>
      <c r="AI406" s="330"/>
      <c r="AJ406" s="330"/>
      <c r="AK406" s="330"/>
      <c r="AL406" s="330"/>
      <c r="AM406" s="330"/>
      <c r="AN406" s="330"/>
      <c r="AO406" s="330"/>
      <c r="AP406" s="330"/>
      <c r="AQ406" s="330"/>
      <c r="AR406" s="330"/>
      <c r="AS406" s="330"/>
      <c r="AT406" s="330"/>
      <c r="AU406" s="330"/>
      <c r="AV406" s="330"/>
      <c r="AW406" s="330"/>
      <c r="AX406" s="330"/>
      <c r="AY406" s="330"/>
      <c r="AZ406" s="330"/>
      <c r="BA406" s="330"/>
      <c r="BB406" s="330"/>
      <c r="BC406" s="330"/>
      <c r="BD406" s="330"/>
      <c r="BE406" s="330"/>
      <c r="BF406" s="330"/>
    </row>
    <row r="407" spans="1:58">
      <c r="A407" s="330"/>
      <c r="B407" s="330"/>
      <c r="C407" s="330"/>
      <c r="D407" s="330"/>
      <c r="E407" s="330"/>
      <c r="F407" s="330"/>
      <c r="G407" s="330"/>
      <c r="H407" s="330"/>
      <c r="I407" s="330"/>
      <c r="J407" s="330"/>
      <c r="K407" s="330"/>
      <c r="L407" s="330"/>
      <c r="M407" s="330"/>
      <c r="N407" s="330"/>
      <c r="O407" s="330"/>
      <c r="P407" s="330"/>
      <c r="Q407" s="330"/>
      <c r="R407" s="330"/>
      <c r="S407" s="330"/>
      <c r="T407" s="330"/>
      <c r="U407" s="330"/>
      <c r="V407" s="330"/>
      <c r="W407" s="330"/>
      <c r="X407" s="330"/>
      <c r="Y407" s="330"/>
      <c r="Z407" s="330"/>
      <c r="AA407" s="330"/>
      <c r="AB407" s="330"/>
      <c r="AC407" s="330"/>
      <c r="AD407" s="330"/>
      <c r="AE407" s="330"/>
      <c r="AF407" s="330"/>
      <c r="AG407" s="330"/>
      <c r="AH407" s="330"/>
      <c r="AI407" s="330"/>
      <c r="AJ407" s="330"/>
      <c r="AK407" s="330"/>
      <c r="AL407" s="330"/>
      <c r="AM407" s="330"/>
      <c r="AN407" s="330"/>
      <c r="AO407" s="330"/>
      <c r="AP407" s="330"/>
      <c r="AQ407" s="330"/>
      <c r="AR407" s="330"/>
      <c r="AS407" s="330"/>
      <c r="AT407" s="330"/>
      <c r="AU407" s="330"/>
      <c r="AV407" s="330"/>
      <c r="AW407" s="330"/>
      <c r="AX407" s="330"/>
      <c r="AY407" s="330"/>
      <c r="AZ407" s="330"/>
      <c r="BA407" s="330"/>
      <c r="BB407" s="330"/>
      <c r="BC407" s="330"/>
      <c r="BD407" s="330"/>
      <c r="BE407" s="330"/>
      <c r="BF407" s="330"/>
    </row>
    <row r="408" spans="1:58">
      <c r="A408" s="330"/>
      <c r="B408" s="330"/>
      <c r="C408" s="330"/>
      <c r="D408" s="330"/>
      <c r="E408" s="330"/>
      <c r="F408" s="330"/>
      <c r="G408" s="330"/>
      <c r="H408" s="330"/>
      <c r="I408" s="330"/>
      <c r="J408" s="330"/>
      <c r="K408" s="330"/>
      <c r="L408" s="330"/>
      <c r="M408" s="330"/>
      <c r="N408" s="330"/>
      <c r="O408" s="330"/>
      <c r="P408" s="330"/>
      <c r="Q408" s="330"/>
      <c r="R408" s="330"/>
      <c r="S408" s="330"/>
      <c r="T408" s="330"/>
      <c r="U408" s="330"/>
      <c r="V408" s="330"/>
      <c r="W408" s="330"/>
      <c r="X408" s="330"/>
      <c r="Y408" s="330"/>
      <c r="Z408" s="330"/>
      <c r="AA408" s="330"/>
      <c r="AB408" s="330"/>
      <c r="AC408" s="330"/>
      <c r="AD408" s="330"/>
      <c r="AE408" s="330"/>
      <c r="AF408" s="330"/>
      <c r="AG408" s="330"/>
      <c r="AH408" s="330"/>
      <c r="AI408" s="330"/>
      <c r="AJ408" s="330"/>
      <c r="AK408" s="330"/>
      <c r="AL408" s="330"/>
      <c r="AM408" s="330"/>
      <c r="AN408" s="330"/>
      <c r="AO408" s="330"/>
      <c r="AP408" s="330"/>
      <c r="AQ408" s="330"/>
      <c r="AR408" s="330"/>
      <c r="AS408" s="330"/>
      <c r="AT408" s="330"/>
      <c r="AU408" s="330"/>
      <c r="AV408" s="330"/>
      <c r="AW408" s="330"/>
      <c r="AX408" s="330"/>
      <c r="AY408" s="330"/>
      <c r="AZ408" s="330"/>
      <c r="BA408" s="330"/>
      <c r="BB408" s="330"/>
      <c r="BC408" s="330"/>
      <c r="BD408" s="330"/>
      <c r="BE408" s="330"/>
      <c r="BF408" s="330"/>
    </row>
    <row r="409" spans="1:58">
      <c r="A409" s="330"/>
      <c r="B409" s="330"/>
      <c r="C409" s="330"/>
      <c r="D409" s="330"/>
      <c r="E409" s="330"/>
      <c r="F409" s="330"/>
      <c r="G409" s="330"/>
      <c r="H409" s="330"/>
      <c r="I409" s="330"/>
      <c r="J409" s="330"/>
      <c r="K409" s="330"/>
      <c r="L409" s="330"/>
      <c r="M409" s="330"/>
      <c r="N409" s="330"/>
      <c r="O409" s="330"/>
      <c r="P409" s="330"/>
      <c r="Q409" s="330"/>
      <c r="R409" s="330"/>
      <c r="S409" s="330"/>
      <c r="T409" s="330"/>
      <c r="U409" s="330"/>
      <c r="V409" s="330"/>
      <c r="W409" s="330"/>
      <c r="X409" s="330"/>
      <c r="Y409" s="330"/>
      <c r="Z409" s="330"/>
      <c r="AA409" s="330"/>
      <c r="AB409" s="330"/>
      <c r="AC409" s="330"/>
      <c r="AD409" s="330"/>
      <c r="AE409" s="330"/>
      <c r="AF409" s="330"/>
      <c r="AG409" s="330"/>
      <c r="AH409" s="330"/>
      <c r="AI409" s="330"/>
      <c r="AJ409" s="330"/>
      <c r="AK409" s="330"/>
      <c r="AL409" s="330"/>
      <c r="AM409" s="330"/>
      <c r="AN409" s="330"/>
      <c r="AO409" s="330"/>
      <c r="AP409" s="330"/>
      <c r="AQ409" s="330"/>
      <c r="AR409" s="330"/>
      <c r="AS409" s="330"/>
      <c r="AT409" s="330"/>
      <c r="AU409" s="330"/>
      <c r="AV409" s="330"/>
      <c r="AW409" s="330"/>
      <c r="AX409" s="330"/>
      <c r="AY409" s="330"/>
      <c r="AZ409" s="330"/>
      <c r="BA409" s="330"/>
      <c r="BB409" s="330"/>
      <c r="BC409" s="330"/>
      <c r="BD409" s="330"/>
      <c r="BE409" s="330"/>
      <c r="BF409" s="330"/>
    </row>
    <row r="410" spans="1:58">
      <c r="A410" s="330"/>
      <c r="B410" s="330"/>
      <c r="C410" s="330"/>
      <c r="D410" s="330"/>
      <c r="E410" s="330"/>
      <c r="F410" s="330"/>
      <c r="G410" s="330"/>
      <c r="H410" s="330"/>
      <c r="I410" s="330"/>
      <c r="J410" s="330"/>
      <c r="K410" s="330"/>
      <c r="L410" s="330"/>
      <c r="M410" s="330"/>
      <c r="N410" s="330"/>
      <c r="O410" s="330"/>
      <c r="P410" s="330"/>
      <c r="Q410" s="330"/>
      <c r="R410" s="330"/>
      <c r="S410" s="330"/>
      <c r="T410" s="330"/>
      <c r="U410" s="330"/>
      <c r="V410" s="330"/>
      <c r="W410" s="330"/>
      <c r="X410" s="330"/>
      <c r="Y410" s="330"/>
      <c r="Z410" s="330"/>
      <c r="AA410" s="330"/>
      <c r="AB410" s="330"/>
      <c r="AC410" s="330"/>
      <c r="AD410" s="330"/>
      <c r="AE410" s="330"/>
      <c r="AF410" s="330"/>
      <c r="AG410" s="330"/>
      <c r="AH410" s="330"/>
      <c r="AI410" s="330"/>
      <c r="AJ410" s="330"/>
      <c r="AK410" s="330"/>
      <c r="AL410" s="330"/>
      <c r="AM410" s="330"/>
      <c r="AN410" s="330"/>
      <c r="AO410" s="330"/>
      <c r="AP410" s="330"/>
      <c r="AQ410" s="330"/>
      <c r="AR410" s="330"/>
      <c r="AS410" s="330"/>
      <c r="AT410" s="330"/>
      <c r="AU410" s="330"/>
      <c r="AV410" s="330"/>
      <c r="AW410" s="330"/>
      <c r="AX410" s="330"/>
      <c r="AY410" s="330"/>
      <c r="AZ410" s="330"/>
      <c r="BA410" s="330"/>
      <c r="BB410" s="330"/>
      <c r="BC410" s="330"/>
      <c r="BD410" s="330"/>
      <c r="BE410" s="330"/>
      <c r="BF410" s="330"/>
    </row>
    <row r="411" spans="1:58">
      <c r="A411" s="330"/>
      <c r="B411" s="330"/>
      <c r="C411" s="330"/>
      <c r="D411" s="330"/>
      <c r="E411" s="330"/>
      <c r="F411" s="330"/>
      <c r="G411" s="330"/>
      <c r="H411" s="330"/>
      <c r="I411" s="330"/>
      <c r="J411" s="330"/>
      <c r="K411" s="330"/>
      <c r="L411" s="330"/>
      <c r="M411" s="330"/>
      <c r="N411" s="330"/>
      <c r="O411" s="330"/>
      <c r="P411" s="330"/>
      <c r="Q411" s="330"/>
      <c r="R411" s="330"/>
      <c r="S411" s="330"/>
      <c r="T411" s="330"/>
      <c r="U411" s="330"/>
      <c r="V411" s="330"/>
      <c r="W411" s="330"/>
      <c r="X411" s="330"/>
      <c r="Y411" s="330"/>
      <c r="Z411" s="330"/>
      <c r="AA411" s="330"/>
      <c r="AB411" s="330"/>
      <c r="AC411" s="330"/>
      <c r="AD411" s="330"/>
      <c r="AE411" s="330"/>
      <c r="AF411" s="330"/>
      <c r="AG411" s="330"/>
      <c r="AH411" s="330"/>
      <c r="AI411" s="330"/>
      <c r="AJ411" s="330"/>
      <c r="AK411" s="330"/>
      <c r="AL411" s="330"/>
      <c r="AM411" s="330"/>
      <c r="AN411" s="330"/>
      <c r="AO411" s="330"/>
      <c r="AP411" s="330"/>
      <c r="AQ411" s="330"/>
      <c r="AR411" s="330"/>
      <c r="AS411" s="330"/>
      <c r="AT411" s="330"/>
      <c r="AU411" s="330"/>
      <c r="AV411" s="330"/>
      <c r="AW411" s="330"/>
      <c r="AX411" s="330"/>
      <c r="AY411" s="330"/>
      <c r="AZ411" s="330"/>
      <c r="BA411" s="330"/>
      <c r="BB411" s="330"/>
      <c r="BC411" s="330"/>
      <c r="BD411" s="330"/>
      <c r="BE411" s="330"/>
      <c r="BF411" s="330"/>
    </row>
    <row r="412" spans="1:58">
      <c r="A412" s="330"/>
      <c r="B412" s="330"/>
      <c r="C412" s="330"/>
      <c r="D412" s="330"/>
      <c r="E412" s="330"/>
      <c r="F412" s="330"/>
      <c r="G412" s="330"/>
      <c r="H412" s="330"/>
      <c r="I412" s="330"/>
      <c r="J412" s="330"/>
      <c r="K412" s="330"/>
      <c r="L412" s="330"/>
      <c r="M412" s="330"/>
      <c r="N412" s="330"/>
      <c r="O412" s="330"/>
      <c r="P412" s="330"/>
      <c r="Q412" s="330"/>
      <c r="R412" s="330"/>
      <c r="S412" s="330"/>
      <c r="T412" s="330"/>
      <c r="U412" s="330"/>
      <c r="V412" s="330"/>
      <c r="W412" s="330"/>
      <c r="X412" s="330"/>
      <c r="Y412" s="330"/>
      <c r="Z412" s="330"/>
      <c r="AA412" s="330"/>
      <c r="AB412" s="330"/>
      <c r="AC412" s="330"/>
      <c r="AD412" s="330"/>
      <c r="AE412" s="330"/>
      <c r="AF412" s="330"/>
      <c r="AG412" s="330"/>
      <c r="AH412" s="330"/>
      <c r="AI412" s="330"/>
      <c r="AJ412" s="330"/>
      <c r="AK412" s="330"/>
      <c r="AL412" s="330"/>
      <c r="AM412" s="330"/>
      <c r="AN412" s="330"/>
      <c r="AO412" s="330"/>
      <c r="AP412" s="330"/>
      <c r="AQ412" s="330"/>
      <c r="AR412" s="330"/>
      <c r="AS412" s="330"/>
      <c r="AT412" s="330"/>
      <c r="AU412" s="330"/>
      <c r="AV412" s="330"/>
      <c r="AW412" s="330"/>
      <c r="AX412" s="330"/>
      <c r="AY412" s="330"/>
      <c r="AZ412" s="330"/>
      <c r="BA412" s="330"/>
      <c r="BB412" s="330"/>
      <c r="BC412" s="330"/>
      <c r="BD412" s="330"/>
      <c r="BE412" s="330"/>
      <c r="BF412" s="330"/>
    </row>
    <row r="413" spans="1:58">
      <c r="A413" s="330"/>
      <c r="B413" s="330"/>
      <c r="C413" s="330"/>
      <c r="D413" s="330"/>
      <c r="E413" s="330"/>
      <c r="F413" s="330"/>
      <c r="G413" s="330"/>
      <c r="H413" s="330"/>
      <c r="I413" s="330"/>
      <c r="J413" s="330"/>
      <c r="K413" s="330"/>
      <c r="L413" s="330"/>
      <c r="M413" s="330"/>
      <c r="N413" s="330"/>
      <c r="O413" s="330"/>
      <c r="P413" s="330"/>
      <c r="Q413" s="330"/>
      <c r="R413" s="330"/>
      <c r="S413" s="330"/>
      <c r="T413" s="330"/>
      <c r="U413" s="330"/>
      <c r="V413" s="330"/>
      <c r="W413" s="330"/>
      <c r="X413" s="330"/>
      <c r="Y413" s="330"/>
      <c r="Z413" s="330"/>
      <c r="AA413" s="330"/>
      <c r="AB413" s="330"/>
      <c r="AC413" s="330"/>
      <c r="AD413" s="330"/>
      <c r="AE413" s="330"/>
      <c r="AF413" s="330"/>
      <c r="AG413" s="330"/>
      <c r="AH413" s="330"/>
      <c r="AI413" s="330"/>
      <c r="AJ413" s="330"/>
      <c r="AK413" s="330"/>
      <c r="AL413" s="330"/>
      <c r="AM413" s="330"/>
      <c r="AN413" s="330"/>
      <c r="AO413" s="330"/>
      <c r="AP413" s="330"/>
      <c r="AQ413" s="330"/>
      <c r="AR413" s="330"/>
      <c r="AS413" s="330"/>
      <c r="AT413" s="330"/>
      <c r="AU413" s="330"/>
      <c r="AV413" s="330"/>
      <c r="AW413" s="330"/>
      <c r="AX413" s="330"/>
      <c r="AY413" s="330"/>
      <c r="AZ413" s="330"/>
      <c r="BA413" s="330"/>
      <c r="BB413" s="330"/>
      <c r="BC413" s="330"/>
      <c r="BD413" s="330"/>
      <c r="BE413" s="330"/>
      <c r="BF413" s="330"/>
    </row>
    <row r="414" spans="1:58">
      <c r="A414" s="330"/>
      <c r="B414" s="330"/>
      <c r="C414" s="330"/>
      <c r="D414" s="330"/>
      <c r="E414" s="330"/>
      <c r="F414" s="330"/>
      <c r="G414" s="330"/>
      <c r="H414" s="330"/>
      <c r="I414" s="330"/>
      <c r="J414" s="330"/>
      <c r="K414" s="330"/>
      <c r="L414" s="330"/>
      <c r="M414" s="330"/>
      <c r="N414" s="330"/>
      <c r="O414" s="330"/>
      <c r="P414" s="330"/>
      <c r="Q414" s="330"/>
      <c r="R414" s="330"/>
      <c r="S414" s="330"/>
      <c r="T414" s="330"/>
      <c r="U414" s="330"/>
      <c r="V414" s="330"/>
      <c r="W414" s="330"/>
      <c r="X414" s="330"/>
      <c r="Y414" s="330"/>
      <c r="Z414" s="330"/>
      <c r="AA414" s="330"/>
      <c r="AB414" s="330"/>
      <c r="AC414" s="330"/>
      <c r="AD414" s="330"/>
      <c r="AE414" s="330"/>
      <c r="AF414" s="330"/>
      <c r="AG414" s="330"/>
      <c r="AH414" s="330"/>
      <c r="AI414" s="330"/>
      <c r="AJ414" s="330"/>
      <c r="AK414" s="330"/>
      <c r="AL414" s="330"/>
      <c r="AM414" s="330"/>
      <c r="AN414" s="330"/>
      <c r="AO414" s="330"/>
      <c r="AP414" s="330"/>
      <c r="AQ414" s="330"/>
      <c r="AR414" s="330"/>
      <c r="AS414" s="330"/>
      <c r="AT414" s="330"/>
      <c r="AU414" s="330"/>
      <c r="AV414" s="330"/>
      <c r="AW414" s="330"/>
      <c r="AX414" s="330"/>
      <c r="AY414" s="330"/>
      <c r="AZ414" s="330"/>
      <c r="BA414" s="330"/>
      <c r="BB414" s="330"/>
      <c r="BC414" s="330"/>
      <c r="BD414" s="330"/>
      <c r="BE414" s="330"/>
      <c r="BF414" s="330"/>
    </row>
    <row r="415" spans="1:58">
      <c r="A415" s="330"/>
      <c r="B415" s="330"/>
      <c r="C415" s="330"/>
      <c r="D415" s="330"/>
      <c r="E415" s="330"/>
      <c r="F415" s="330"/>
      <c r="G415" s="330"/>
      <c r="H415" s="330"/>
      <c r="I415" s="330"/>
      <c r="J415" s="330"/>
      <c r="K415" s="330"/>
      <c r="L415" s="330"/>
      <c r="M415" s="330"/>
      <c r="N415" s="330"/>
      <c r="O415" s="330"/>
      <c r="P415" s="330"/>
      <c r="Q415" s="330"/>
      <c r="R415" s="330"/>
      <c r="S415" s="330"/>
      <c r="T415" s="330"/>
      <c r="U415" s="330"/>
      <c r="V415" s="330"/>
      <c r="W415" s="330"/>
      <c r="X415" s="330"/>
      <c r="Y415" s="330"/>
      <c r="Z415" s="330"/>
      <c r="AA415" s="330"/>
      <c r="AB415" s="330"/>
      <c r="AC415" s="330"/>
      <c r="AD415" s="330"/>
      <c r="AE415" s="330"/>
      <c r="AF415" s="330"/>
      <c r="AG415" s="330"/>
      <c r="AH415" s="330"/>
      <c r="AI415" s="330"/>
      <c r="AJ415" s="330"/>
      <c r="AK415" s="330"/>
      <c r="AL415" s="330"/>
      <c r="AM415" s="330"/>
      <c r="AN415" s="330"/>
      <c r="AO415" s="330"/>
      <c r="AP415" s="330"/>
      <c r="AQ415" s="330"/>
      <c r="AR415" s="330"/>
      <c r="AS415" s="330"/>
      <c r="AT415" s="330"/>
      <c r="AU415" s="330"/>
      <c r="AV415" s="330"/>
      <c r="AW415" s="330"/>
      <c r="AX415" s="330"/>
      <c r="AY415" s="330"/>
      <c r="AZ415" s="330"/>
      <c r="BA415" s="330"/>
      <c r="BB415" s="330"/>
      <c r="BC415" s="330"/>
      <c r="BD415" s="330"/>
      <c r="BE415" s="330"/>
      <c r="BF415" s="330"/>
    </row>
    <row r="416" spans="1:58">
      <c r="A416" s="330"/>
      <c r="B416" s="330"/>
      <c r="C416" s="330"/>
      <c r="D416" s="330"/>
      <c r="E416" s="330"/>
      <c r="F416" s="330"/>
      <c r="G416" s="330"/>
      <c r="H416" s="330"/>
      <c r="I416" s="330"/>
      <c r="J416" s="330"/>
      <c r="K416" s="330"/>
      <c r="L416" s="330"/>
      <c r="M416" s="330"/>
      <c r="N416" s="330"/>
      <c r="O416" s="330"/>
      <c r="P416" s="330"/>
      <c r="Q416" s="330"/>
      <c r="R416" s="330"/>
      <c r="S416" s="330"/>
      <c r="T416" s="330"/>
      <c r="U416" s="330"/>
      <c r="V416" s="330"/>
      <c r="W416" s="330"/>
      <c r="X416" s="330"/>
      <c r="Y416" s="330"/>
      <c r="Z416" s="330"/>
      <c r="AA416" s="330"/>
      <c r="AB416" s="330"/>
      <c r="AC416" s="330"/>
      <c r="AD416" s="330"/>
      <c r="AE416" s="330"/>
      <c r="AF416" s="330"/>
      <c r="AG416" s="330"/>
      <c r="AH416" s="330"/>
      <c r="AI416" s="330"/>
      <c r="AJ416" s="330"/>
      <c r="AK416" s="330"/>
      <c r="AL416" s="330"/>
      <c r="AM416" s="330"/>
      <c r="AN416" s="330"/>
      <c r="AO416" s="330"/>
      <c r="AP416" s="330"/>
      <c r="AQ416" s="330"/>
      <c r="AR416" s="330"/>
      <c r="AS416" s="330"/>
      <c r="AT416" s="330"/>
      <c r="AU416" s="330"/>
      <c r="AV416" s="330"/>
      <c r="AW416" s="330"/>
      <c r="AX416" s="330"/>
      <c r="AY416" s="330"/>
      <c r="AZ416" s="330"/>
      <c r="BA416" s="330"/>
      <c r="BB416" s="330"/>
      <c r="BC416" s="330"/>
      <c r="BD416" s="330"/>
      <c r="BE416" s="330"/>
      <c r="BF416" s="330"/>
    </row>
    <row r="417" spans="1:58">
      <c r="A417" s="330"/>
      <c r="B417" s="330"/>
      <c r="C417" s="330"/>
      <c r="D417" s="330"/>
      <c r="E417" s="330"/>
      <c r="F417" s="330"/>
      <c r="G417" s="330"/>
      <c r="H417" s="330"/>
      <c r="I417" s="330"/>
      <c r="J417" s="330"/>
      <c r="K417" s="330"/>
      <c r="L417" s="330"/>
      <c r="M417" s="330"/>
      <c r="N417" s="330"/>
      <c r="O417" s="330"/>
      <c r="P417" s="330"/>
      <c r="Q417" s="330"/>
      <c r="R417" s="330"/>
      <c r="S417" s="330"/>
      <c r="T417" s="330"/>
      <c r="U417" s="330"/>
      <c r="V417" s="330"/>
      <c r="W417" s="330"/>
      <c r="X417" s="330"/>
      <c r="Y417" s="330"/>
      <c r="Z417" s="330"/>
      <c r="AA417" s="330"/>
      <c r="AB417" s="330"/>
      <c r="AC417" s="330"/>
      <c r="AD417" s="330"/>
      <c r="AE417" s="330"/>
      <c r="AF417" s="330"/>
      <c r="AG417" s="330"/>
      <c r="AH417" s="330"/>
      <c r="AI417" s="330"/>
      <c r="AJ417" s="330"/>
      <c r="AK417" s="330"/>
      <c r="AL417" s="330"/>
      <c r="AM417" s="330"/>
      <c r="AN417" s="330"/>
      <c r="AO417" s="330"/>
      <c r="AP417" s="330"/>
      <c r="AQ417" s="330"/>
      <c r="AR417" s="330"/>
      <c r="AS417" s="330"/>
      <c r="AT417" s="330"/>
      <c r="AU417" s="330"/>
      <c r="AV417" s="330"/>
      <c r="AW417" s="330"/>
      <c r="AX417" s="330"/>
      <c r="AY417" s="330"/>
      <c r="AZ417" s="330"/>
      <c r="BA417" s="330"/>
      <c r="BB417" s="330"/>
      <c r="BC417" s="330"/>
      <c r="BD417" s="330"/>
      <c r="BE417" s="330"/>
      <c r="BF417" s="330"/>
    </row>
    <row r="418" spans="1:58">
      <c r="A418" s="330"/>
      <c r="B418" s="330"/>
      <c r="C418" s="330"/>
      <c r="D418" s="330"/>
      <c r="E418" s="330"/>
      <c r="F418" s="330"/>
      <c r="G418" s="330"/>
      <c r="H418" s="330"/>
      <c r="I418" s="330"/>
      <c r="J418" s="330"/>
      <c r="K418" s="330"/>
      <c r="L418" s="330"/>
      <c r="M418" s="330"/>
      <c r="N418" s="330"/>
      <c r="O418" s="330"/>
      <c r="P418" s="330"/>
      <c r="Q418" s="330"/>
      <c r="R418" s="330"/>
      <c r="S418" s="330"/>
      <c r="T418" s="330"/>
      <c r="U418" s="330"/>
      <c r="V418" s="330"/>
      <c r="W418" s="330"/>
      <c r="X418" s="330"/>
      <c r="Y418" s="330"/>
      <c r="Z418" s="330"/>
      <c r="AA418" s="330"/>
      <c r="AB418" s="330"/>
      <c r="AC418" s="330"/>
      <c r="AD418" s="330"/>
      <c r="AE418" s="330"/>
      <c r="AF418" s="330"/>
      <c r="AG418" s="330"/>
      <c r="AH418" s="330"/>
      <c r="AI418" s="330"/>
      <c r="AJ418" s="330"/>
      <c r="AK418" s="330"/>
      <c r="AL418" s="330"/>
      <c r="AM418" s="330"/>
      <c r="AN418" s="330"/>
      <c r="AO418" s="330"/>
      <c r="AP418" s="330"/>
      <c r="AQ418" s="330"/>
      <c r="AR418" s="330"/>
      <c r="AS418" s="330"/>
      <c r="AT418" s="330"/>
      <c r="AU418" s="330"/>
      <c r="AV418" s="330"/>
      <c r="AW418" s="330"/>
      <c r="AX418" s="330"/>
      <c r="AY418" s="330"/>
      <c r="AZ418" s="330"/>
      <c r="BA418" s="330"/>
      <c r="BB418" s="330"/>
      <c r="BC418" s="330"/>
      <c r="BD418" s="330"/>
      <c r="BE418" s="330"/>
      <c r="BF418" s="330"/>
    </row>
    <row r="419" spans="1:58">
      <c r="A419" s="330"/>
      <c r="B419" s="330"/>
      <c r="C419" s="330"/>
      <c r="D419" s="330"/>
      <c r="E419" s="330"/>
      <c r="F419" s="330"/>
      <c r="G419" s="330"/>
      <c r="H419" s="330"/>
      <c r="I419" s="330"/>
      <c r="J419" s="330"/>
      <c r="K419" s="330"/>
      <c r="L419" s="330"/>
      <c r="M419" s="330"/>
      <c r="N419" s="330"/>
      <c r="O419" s="330"/>
      <c r="P419" s="330"/>
      <c r="Q419" s="330"/>
      <c r="R419" s="330"/>
      <c r="S419" s="330"/>
      <c r="T419" s="330"/>
      <c r="U419" s="330"/>
      <c r="V419" s="330"/>
      <c r="W419" s="330"/>
      <c r="X419" s="330"/>
      <c r="Y419" s="330"/>
      <c r="Z419" s="330"/>
      <c r="AA419" s="330"/>
      <c r="AB419" s="330"/>
      <c r="AC419" s="330"/>
      <c r="AD419" s="330"/>
      <c r="AE419" s="330"/>
      <c r="AF419" s="330"/>
      <c r="AG419" s="330"/>
      <c r="AH419" s="330"/>
      <c r="AI419" s="330"/>
      <c r="AJ419" s="330"/>
      <c r="AK419" s="330"/>
      <c r="AL419" s="330"/>
      <c r="AM419" s="330"/>
      <c r="AN419" s="330"/>
      <c r="AO419" s="330"/>
      <c r="AP419" s="330"/>
      <c r="AQ419" s="330"/>
      <c r="AR419" s="330"/>
      <c r="AS419" s="330"/>
      <c r="AT419" s="330"/>
      <c r="AU419" s="330"/>
      <c r="AV419" s="330"/>
      <c r="AW419" s="330"/>
      <c r="AX419" s="330"/>
      <c r="AY419" s="330"/>
      <c r="AZ419" s="330"/>
      <c r="BA419" s="330"/>
      <c r="BB419" s="330"/>
      <c r="BC419" s="330"/>
      <c r="BD419" s="330"/>
      <c r="BE419" s="330"/>
      <c r="BF419" s="330"/>
    </row>
    <row r="420" spans="1:58">
      <c r="A420" s="330"/>
      <c r="B420" s="330"/>
      <c r="C420" s="330"/>
      <c r="D420" s="330"/>
      <c r="E420" s="330"/>
      <c r="F420" s="330"/>
      <c r="G420" s="330"/>
      <c r="H420" s="330"/>
      <c r="I420" s="330"/>
      <c r="J420" s="330"/>
      <c r="K420" s="330"/>
      <c r="L420" s="330"/>
      <c r="M420" s="330"/>
      <c r="N420" s="330"/>
      <c r="O420" s="330"/>
      <c r="P420" s="330"/>
      <c r="Q420" s="330"/>
      <c r="R420" s="330"/>
      <c r="S420" s="330"/>
      <c r="T420" s="330"/>
      <c r="U420" s="330"/>
      <c r="V420" s="330"/>
      <c r="W420" s="330"/>
      <c r="X420" s="330"/>
      <c r="Y420" s="330"/>
      <c r="Z420" s="330"/>
      <c r="AA420" s="330"/>
      <c r="AB420" s="330"/>
      <c r="AC420" s="330"/>
      <c r="AD420" s="330"/>
      <c r="AE420" s="330"/>
      <c r="AF420" s="330"/>
      <c r="AG420" s="330"/>
      <c r="AH420" s="330"/>
      <c r="AI420" s="330"/>
      <c r="AJ420" s="330"/>
      <c r="AK420" s="330"/>
      <c r="AL420" s="330"/>
      <c r="AM420" s="330"/>
      <c r="AN420" s="330"/>
      <c r="AO420" s="330"/>
      <c r="AP420" s="330"/>
      <c r="AQ420" s="330"/>
      <c r="AR420" s="330"/>
      <c r="AS420" s="330"/>
      <c r="AT420" s="330"/>
      <c r="AU420" s="330"/>
      <c r="AV420" s="330"/>
      <c r="AW420" s="330"/>
      <c r="AX420" s="330"/>
      <c r="AY420" s="330"/>
      <c r="AZ420" s="330"/>
      <c r="BA420" s="330"/>
      <c r="BB420" s="330"/>
      <c r="BC420" s="330"/>
      <c r="BD420" s="330"/>
      <c r="BE420" s="330"/>
      <c r="BF420" s="330"/>
    </row>
    <row r="421" spans="1:58">
      <c r="A421" s="330"/>
      <c r="B421" s="330"/>
      <c r="C421" s="330"/>
      <c r="D421" s="330"/>
      <c r="E421" s="330"/>
      <c r="F421" s="330"/>
      <c r="G421" s="330"/>
      <c r="H421" s="330"/>
      <c r="I421" s="330"/>
      <c r="J421" s="330"/>
      <c r="K421" s="330"/>
      <c r="L421" s="330"/>
      <c r="M421" s="330"/>
      <c r="N421" s="330"/>
      <c r="O421" s="330"/>
      <c r="P421" s="330"/>
      <c r="Q421" s="330"/>
      <c r="R421" s="330"/>
      <c r="S421" s="330"/>
      <c r="T421" s="330"/>
      <c r="U421" s="330"/>
      <c r="V421" s="330"/>
      <c r="W421" s="330"/>
      <c r="X421" s="330"/>
      <c r="Y421" s="330"/>
      <c r="Z421" s="330"/>
      <c r="AA421" s="330"/>
      <c r="AB421" s="330"/>
      <c r="AC421" s="330"/>
      <c r="AD421" s="330"/>
      <c r="AE421" s="330"/>
      <c r="AF421" s="330"/>
      <c r="AG421" s="330"/>
      <c r="AH421" s="330"/>
      <c r="AI421" s="330"/>
      <c r="AJ421" s="330"/>
      <c r="AK421" s="330"/>
      <c r="AL421" s="330"/>
      <c r="AM421" s="330"/>
      <c r="AN421" s="330"/>
      <c r="AO421" s="330"/>
      <c r="AP421" s="330"/>
      <c r="AQ421" s="330"/>
      <c r="AR421" s="330"/>
      <c r="AS421" s="330"/>
      <c r="AT421" s="330"/>
      <c r="AU421" s="330"/>
      <c r="AV421" s="330"/>
      <c r="AW421" s="330"/>
      <c r="AX421" s="330"/>
      <c r="AY421" s="330"/>
      <c r="AZ421" s="330"/>
      <c r="BA421" s="330"/>
      <c r="BB421" s="330"/>
      <c r="BC421" s="330"/>
      <c r="BD421" s="330"/>
      <c r="BE421" s="330"/>
      <c r="BF421" s="330"/>
    </row>
    <row r="422" spans="1:58">
      <c r="A422" s="330"/>
      <c r="B422" s="330"/>
      <c r="C422" s="330"/>
      <c r="D422" s="330"/>
      <c r="E422" s="330"/>
      <c r="F422" s="330"/>
      <c r="G422" s="330"/>
      <c r="H422" s="330"/>
      <c r="I422" s="330"/>
      <c r="J422" s="330"/>
      <c r="K422" s="330"/>
      <c r="L422" s="330"/>
      <c r="M422" s="330"/>
      <c r="N422" s="330"/>
      <c r="O422" s="330"/>
      <c r="P422" s="330"/>
      <c r="Q422" s="330"/>
      <c r="R422" s="330"/>
      <c r="S422" s="330"/>
      <c r="T422" s="330"/>
      <c r="U422" s="330"/>
      <c r="V422" s="330"/>
      <c r="W422" s="330"/>
      <c r="X422" s="330"/>
      <c r="Y422" s="330"/>
      <c r="Z422" s="330"/>
      <c r="AA422" s="330"/>
      <c r="AB422" s="330"/>
      <c r="AC422" s="330"/>
      <c r="AD422" s="330"/>
      <c r="AE422" s="330"/>
      <c r="AF422" s="330"/>
      <c r="AG422" s="330"/>
      <c r="AH422" s="330"/>
      <c r="AI422" s="330"/>
      <c r="AJ422" s="330"/>
      <c r="AK422" s="330"/>
      <c r="AL422" s="330"/>
      <c r="AM422" s="330"/>
      <c r="AN422" s="330"/>
      <c r="AO422" s="330"/>
      <c r="AP422" s="330"/>
      <c r="AQ422" s="330"/>
      <c r="AR422" s="330"/>
      <c r="AS422" s="330"/>
      <c r="AT422" s="330"/>
      <c r="AU422" s="330"/>
      <c r="AV422" s="330"/>
      <c r="AW422" s="330"/>
      <c r="AX422" s="330"/>
      <c r="AY422" s="330"/>
      <c r="AZ422" s="330"/>
      <c r="BA422" s="330"/>
      <c r="BB422" s="330"/>
      <c r="BC422" s="330"/>
      <c r="BD422" s="330"/>
      <c r="BE422" s="330"/>
      <c r="BF422" s="330"/>
    </row>
    <row r="423" spans="1:58">
      <c r="A423" s="330"/>
      <c r="B423" s="330"/>
      <c r="C423" s="330"/>
      <c r="D423" s="330"/>
      <c r="E423" s="330"/>
      <c r="F423" s="330"/>
      <c r="G423" s="330"/>
      <c r="H423" s="330"/>
      <c r="I423" s="330"/>
      <c r="J423" s="330"/>
      <c r="K423" s="330"/>
      <c r="L423" s="330"/>
      <c r="M423" s="330"/>
      <c r="N423" s="330"/>
      <c r="O423" s="330"/>
      <c r="P423" s="330"/>
      <c r="Q423" s="330"/>
      <c r="R423" s="330"/>
      <c r="S423" s="330"/>
      <c r="T423" s="330"/>
      <c r="U423" s="330"/>
      <c r="V423" s="330"/>
      <c r="W423" s="330"/>
      <c r="X423" s="330"/>
      <c r="Y423" s="330"/>
      <c r="Z423" s="330"/>
      <c r="AA423" s="330"/>
      <c r="AB423" s="330"/>
      <c r="AC423" s="330"/>
      <c r="AD423" s="330"/>
      <c r="AE423" s="330"/>
      <c r="AF423" s="330"/>
      <c r="AG423" s="330"/>
      <c r="AH423" s="330"/>
      <c r="AI423" s="330"/>
      <c r="AJ423" s="330"/>
      <c r="AK423" s="330"/>
      <c r="AL423" s="330"/>
      <c r="AM423" s="330"/>
      <c r="AN423" s="330"/>
      <c r="AO423" s="330"/>
      <c r="AP423" s="330"/>
      <c r="AQ423" s="330"/>
      <c r="AR423" s="330"/>
      <c r="AS423" s="330"/>
      <c r="AT423" s="330"/>
      <c r="AU423" s="330"/>
      <c r="AV423" s="330"/>
      <c r="AW423" s="330"/>
      <c r="AX423" s="330"/>
      <c r="AY423" s="330"/>
      <c r="AZ423" s="330"/>
      <c r="BA423" s="330"/>
      <c r="BB423" s="330"/>
      <c r="BC423" s="330"/>
      <c r="BD423" s="330"/>
      <c r="BE423" s="330"/>
      <c r="BF423" s="330"/>
    </row>
    <row r="424" spans="1:58">
      <c r="A424" s="330"/>
      <c r="B424" s="330"/>
      <c r="C424" s="330"/>
      <c r="D424" s="330"/>
      <c r="E424" s="330"/>
      <c r="F424" s="330"/>
      <c r="G424" s="330"/>
      <c r="H424" s="330"/>
      <c r="I424" s="330"/>
      <c r="J424" s="330"/>
      <c r="K424" s="330"/>
      <c r="L424" s="330"/>
      <c r="M424" s="330"/>
      <c r="N424" s="330"/>
      <c r="O424" s="330"/>
      <c r="P424" s="330"/>
      <c r="Q424" s="330"/>
      <c r="R424" s="330"/>
      <c r="S424" s="330"/>
      <c r="T424" s="330"/>
      <c r="U424" s="330"/>
      <c r="V424" s="330"/>
      <c r="W424" s="330"/>
      <c r="X424" s="330"/>
      <c r="Y424" s="330"/>
      <c r="Z424" s="330"/>
      <c r="AA424" s="330"/>
      <c r="AB424" s="330"/>
      <c r="AC424" s="330"/>
      <c r="AD424" s="330"/>
      <c r="AE424" s="330"/>
      <c r="AF424" s="330"/>
      <c r="AG424" s="330"/>
      <c r="AH424" s="330"/>
      <c r="AI424" s="330"/>
      <c r="AJ424" s="330"/>
      <c r="AK424" s="330"/>
      <c r="AL424" s="330"/>
      <c r="AM424" s="330"/>
      <c r="AN424" s="330"/>
      <c r="AO424" s="330"/>
      <c r="AP424" s="330"/>
      <c r="AQ424" s="330"/>
      <c r="AR424" s="330"/>
      <c r="AS424" s="330"/>
      <c r="AT424" s="330"/>
      <c r="AU424" s="330"/>
      <c r="AV424" s="330"/>
      <c r="AW424" s="330"/>
      <c r="AX424" s="330"/>
      <c r="AY424" s="330"/>
      <c r="AZ424" s="330"/>
      <c r="BA424" s="330"/>
      <c r="BB424" s="330"/>
      <c r="BC424" s="330"/>
      <c r="BD424" s="330"/>
      <c r="BE424" s="330"/>
      <c r="BF424" s="330"/>
    </row>
    <row r="425" spans="1:58">
      <c r="A425" s="330"/>
      <c r="B425" s="330"/>
      <c r="C425" s="330"/>
      <c r="D425" s="330"/>
      <c r="E425" s="330"/>
      <c r="F425" s="330"/>
      <c r="G425" s="330"/>
      <c r="H425" s="330"/>
      <c r="I425" s="330"/>
      <c r="J425" s="330"/>
      <c r="K425" s="330"/>
      <c r="L425" s="330"/>
      <c r="M425" s="330"/>
      <c r="N425" s="330"/>
      <c r="O425" s="330"/>
      <c r="P425" s="330"/>
      <c r="Q425" s="330"/>
      <c r="R425" s="330"/>
      <c r="S425" s="330"/>
      <c r="T425" s="330"/>
      <c r="U425" s="330"/>
      <c r="V425" s="330"/>
      <c r="W425" s="330"/>
      <c r="X425" s="330"/>
      <c r="Y425" s="330"/>
      <c r="Z425" s="330"/>
      <c r="AA425" s="330"/>
      <c r="AB425" s="330"/>
      <c r="AC425" s="330"/>
      <c r="AD425" s="330"/>
      <c r="AE425" s="330"/>
      <c r="AF425" s="330"/>
      <c r="AG425" s="330"/>
      <c r="AH425" s="330"/>
      <c r="AI425" s="330"/>
      <c r="AJ425" s="330"/>
      <c r="AK425" s="330"/>
      <c r="AL425" s="330"/>
      <c r="AM425" s="330"/>
      <c r="AN425" s="330"/>
      <c r="AO425" s="330"/>
      <c r="AP425" s="330"/>
      <c r="AQ425" s="330"/>
      <c r="AR425" s="330"/>
      <c r="AS425" s="330"/>
      <c r="AT425" s="330"/>
      <c r="AU425" s="330"/>
      <c r="AV425" s="330"/>
      <c r="AW425" s="330"/>
      <c r="AX425" s="330"/>
      <c r="AY425" s="330"/>
      <c r="AZ425" s="330"/>
      <c r="BA425" s="330"/>
      <c r="BB425" s="330"/>
      <c r="BC425" s="330"/>
      <c r="BD425" s="330"/>
      <c r="BE425" s="330"/>
      <c r="BF425" s="330"/>
    </row>
    <row r="426" spans="1:58">
      <c r="A426" s="330"/>
      <c r="B426" s="330"/>
      <c r="C426" s="330"/>
      <c r="D426" s="330"/>
      <c r="E426" s="330"/>
      <c r="F426" s="330"/>
      <c r="G426" s="330"/>
      <c r="H426" s="330"/>
      <c r="I426" s="330"/>
      <c r="J426" s="330"/>
      <c r="K426" s="330"/>
      <c r="L426" s="330"/>
      <c r="M426" s="330"/>
      <c r="N426" s="330"/>
      <c r="O426" s="330"/>
      <c r="P426" s="330"/>
      <c r="Q426" s="330"/>
      <c r="R426" s="330"/>
      <c r="S426" s="330"/>
      <c r="T426" s="330"/>
      <c r="U426" s="330"/>
      <c r="V426" s="330"/>
      <c r="W426" s="330"/>
      <c r="X426" s="330"/>
      <c r="Y426" s="330"/>
      <c r="Z426" s="330"/>
      <c r="AA426" s="330"/>
      <c r="AB426" s="330"/>
      <c r="AC426" s="330"/>
      <c r="AD426" s="330"/>
      <c r="AE426" s="330"/>
      <c r="AF426" s="330"/>
      <c r="AG426" s="330"/>
      <c r="AH426" s="330"/>
      <c r="AI426" s="330"/>
      <c r="AJ426" s="330"/>
      <c r="AK426" s="330"/>
      <c r="AL426" s="330"/>
      <c r="AM426" s="330"/>
      <c r="AN426" s="330"/>
      <c r="AO426" s="330"/>
      <c r="AP426" s="330"/>
      <c r="AQ426" s="330"/>
      <c r="AR426" s="330"/>
      <c r="AS426" s="330"/>
      <c r="AT426" s="330"/>
      <c r="AU426" s="330"/>
      <c r="AV426" s="330"/>
      <c r="AW426" s="330"/>
      <c r="AX426" s="330"/>
      <c r="AY426" s="330"/>
      <c r="AZ426" s="330"/>
      <c r="BA426" s="330"/>
      <c r="BB426" s="330"/>
      <c r="BC426" s="330"/>
      <c r="BD426" s="330"/>
      <c r="BE426" s="330"/>
      <c r="BF426" s="330"/>
    </row>
    <row r="427" spans="1:58">
      <c r="A427" s="330"/>
      <c r="B427" s="330"/>
      <c r="C427" s="330"/>
      <c r="D427" s="330"/>
      <c r="E427" s="330"/>
      <c r="F427" s="330"/>
      <c r="G427" s="330"/>
      <c r="H427" s="330"/>
      <c r="I427" s="330"/>
      <c r="J427" s="330"/>
      <c r="K427" s="330"/>
      <c r="L427" s="330"/>
      <c r="M427" s="330"/>
      <c r="N427" s="330"/>
      <c r="O427" s="330"/>
      <c r="P427" s="330"/>
      <c r="Q427" s="330"/>
      <c r="R427" s="330"/>
      <c r="S427" s="330"/>
      <c r="T427" s="330"/>
      <c r="U427" s="330"/>
      <c r="V427" s="330"/>
      <c r="W427" s="330"/>
      <c r="X427" s="330"/>
      <c r="Y427" s="330"/>
      <c r="Z427" s="330"/>
      <c r="AA427" s="330"/>
      <c r="AB427" s="330"/>
      <c r="AC427" s="330"/>
      <c r="AD427" s="330"/>
      <c r="AE427" s="330"/>
      <c r="AF427" s="330"/>
      <c r="AG427" s="330"/>
      <c r="AH427" s="330"/>
      <c r="AI427" s="330"/>
      <c r="AJ427" s="330"/>
      <c r="AK427" s="330"/>
      <c r="AL427" s="330"/>
      <c r="AM427" s="330"/>
      <c r="AN427" s="330"/>
      <c r="AO427" s="330"/>
      <c r="AP427" s="330"/>
      <c r="AQ427" s="330"/>
      <c r="AR427" s="330"/>
      <c r="AS427" s="330"/>
      <c r="AT427" s="330"/>
      <c r="AU427" s="330"/>
      <c r="AV427" s="330"/>
      <c r="AW427" s="330"/>
      <c r="AX427" s="330"/>
      <c r="AY427" s="330"/>
      <c r="AZ427" s="330"/>
      <c r="BA427" s="330"/>
      <c r="BB427" s="330"/>
      <c r="BC427" s="330"/>
      <c r="BD427" s="330"/>
      <c r="BE427" s="330"/>
      <c r="BF427" s="330"/>
    </row>
    <row r="428" spans="1:58">
      <c r="A428" s="330"/>
      <c r="B428" s="330"/>
      <c r="C428" s="330"/>
      <c r="D428" s="330"/>
      <c r="E428" s="330"/>
      <c r="F428" s="330"/>
      <c r="G428" s="330"/>
      <c r="H428" s="330"/>
      <c r="I428" s="330"/>
      <c r="J428" s="330"/>
      <c r="K428" s="330"/>
      <c r="L428" s="330"/>
      <c r="M428" s="330"/>
      <c r="N428" s="330"/>
      <c r="O428" s="330"/>
      <c r="P428" s="330"/>
      <c r="Q428" s="330"/>
      <c r="R428" s="330"/>
      <c r="S428" s="330"/>
      <c r="T428" s="330"/>
      <c r="U428" s="330"/>
      <c r="V428" s="330"/>
      <c r="W428" s="330"/>
      <c r="X428" s="330"/>
      <c r="Y428" s="330"/>
      <c r="Z428" s="330"/>
      <c r="AA428" s="330"/>
      <c r="AB428" s="330"/>
      <c r="AC428" s="330"/>
      <c r="AD428" s="330"/>
      <c r="AE428" s="330"/>
      <c r="AF428" s="330"/>
      <c r="AG428" s="330"/>
      <c r="AH428" s="330"/>
      <c r="AI428" s="330"/>
      <c r="AJ428" s="330"/>
      <c r="AK428" s="330"/>
      <c r="AL428" s="330"/>
      <c r="AM428" s="330"/>
      <c r="AN428" s="330"/>
      <c r="AO428" s="330"/>
      <c r="AP428" s="330"/>
      <c r="AQ428" s="330"/>
      <c r="AR428" s="330"/>
      <c r="AS428" s="330"/>
      <c r="AT428" s="330"/>
      <c r="AU428" s="330"/>
      <c r="AV428" s="330"/>
      <c r="AW428" s="330"/>
      <c r="AX428" s="330"/>
      <c r="AY428" s="330"/>
      <c r="AZ428" s="330"/>
      <c r="BA428" s="330"/>
      <c r="BB428" s="330"/>
      <c r="BC428" s="330"/>
      <c r="BD428" s="330"/>
      <c r="BE428" s="330"/>
      <c r="BF428" s="330"/>
    </row>
    <row r="429" spans="1:58">
      <c r="A429" s="330"/>
      <c r="B429" s="330"/>
      <c r="C429" s="330"/>
      <c r="D429" s="330"/>
      <c r="E429" s="330"/>
      <c r="F429" s="330"/>
      <c r="G429" s="330"/>
      <c r="H429" s="330"/>
      <c r="I429" s="330"/>
      <c r="J429" s="330"/>
      <c r="K429" s="330"/>
      <c r="L429" s="330"/>
      <c r="M429" s="330"/>
      <c r="N429" s="330"/>
      <c r="O429" s="330"/>
      <c r="P429" s="330"/>
      <c r="Q429" s="330"/>
      <c r="R429" s="330"/>
      <c r="S429" s="330"/>
      <c r="T429" s="330"/>
      <c r="U429" s="330"/>
      <c r="V429" s="330"/>
      <c r="W429" s="330"/>
      <c r="X429" s="330"/>
      <c r="Y429" s="330"/>
      <c r="Z429" s="330"/>
      <c r="AA429" s="330"/>
      <c r="AB429" s="330"/>
      <c r="AC429" s="330"/>
      <c r="AD429" s="330"/>
      <c r="AE429" s="330"/>
      <c r="AF429" s="330"/>
      <c r="AG429" s="330"/>
      <c r="AH429" s="330"/>
      <c r="AI429" s="330"/>
      <c r="AJ429" s="330"/>
      <c r="AK429" s="330"/>
      <c r="AL429" s="330"/>
      <c r="AM429" s="330"/>
      <c r="AN429" s="330"/>
      <c r="AO429" s="330"/>
      <c r="AP429" s="330"/>
      <c r="AQ429" s="330"/>
      <c r="AR429" s="330"/>
      <c r="AS429" s="330"/>
      <c r="AT429" s="330"/>
      <c r="AU429" s="330"/>
      <c r="AV429" s="330"/>
      <c r="AW429" s="330"/>
      <c r="AX429" s="330"/>
      <c r="AY429" s="330"/>
      <c r="AZ429" s="330"/>
      <c r="BA429" s="330"/>
      <c r="BB429" s="330"/>
      <c r="BC429" s="330"/>
      <c r="BD429" s="330"/>
      <c r="BE429" s="330"/>
      <c r="BF429" s="330"/>
    </row>
    <row r="430" spans="1:58">
      <c r="A430" s="330"/>
      <c r="B430" s="330"/>
      <c r="C430" s="330"/>
      <c r="D430" s="330"/>
      <c r="E430" s="330"/>
      <c r="F430" s="330"/>
      <c r="G430" s="330"/>
      <c r="H430" s="330"/>
      <c r="I430" s="330"/>
      <c r="J430" s="330"/>
      <c r="K430" s="330"/>
      <c r="L430" s="330"/>
      <c r="M430" s="330"/>
      <c r="N430" s="330"/>
      <c r="O430" s="330"/>
      <c r="P430" s="330"/>
      <c r="Q430" s="330"/>
      <c r="R430" s="330"/>
      <c r="S430" s="330"/>
      <c r="T430" s="330"/>
      <c r="U430" s="330"/>
      <c r="V430" s="330"/>
      <c r="W430" s="330"/>
      <c r="X430" s="330"/>
      <c r="Y430" s="330"/>
      <c r="Z430" s="330"/>
      <c r="AA430" s="330"/>
      <c r="AB430" s="330"/>
      <c r="AC430" s="330"/>
      <c r="AD430" s="330"/>
      <c r="AE430" s="330"/>
      <c r="AF430" s="330"/>
      <c r="AG430" s="330"/>
      <c r="AH430" s="330"/>
      <c r="AI430" s="330"/>
      <c r="AJ430" s="330"/>
      <c r="AK430" s="330"/>
      <c r="AL430" s="330"/>
      <c r="AM430" s="330"/>
      <c r="AN430" s="330"/>
      <c r="AO430" s="330"/>
      <c r="AP430" s="330"/>
      <c r="AQ430" s="330"/>
      <c r="AR430" s="330"/>
      <c r="AS430" s="330"/>
      <c r="AT430" s="330"/>
      <c r="AU430" s="330"/>
      <c r="AV430" s="330"/>
      <c r="AW430" s="330"/>
      <c r="AX430" s="330"/>
      <c r="AY430" s="330"/>
      <c r="AZ430" s="330"/>
      <c r="BA430" s="330"/>
      <c r="BB430" s="330"/>
      <c r="BC430" s="330"/>
      <c r="BD430" s="330"/>
      <c r="BE430" s="330"/>
      <c r="BF430" s="330"/>
    </row>
    <row r="431" spans="1:58">
      <c r="A431" s="330"/>
      <c r="B431" s="330"/>
      <c r="C431" s="330"/>
      <c r="D431" s="330"/>
      <c r="E431" s="330"/>
      <c r="F431" s="330"/>
      <c r="G431" s="330"/>
      <c r="H431" s="330"/>
      <c r="I431" s="330"/>
      <c r="J431" s="330"/>
      <c r="K431" s="330"/>
      <c r="L431" s="330"/>
      <c r="M431" s="330"/>
      <c r="N431" s="330"/>
      <c r="O431" s="330"/>
      <c r="P431" s="330"/>
      <c r="Q431" s="330"/>
      <c r="R431" s="330"/>
      <c r="S431" s="330"/>
      <c r="T431" s="330"/>
      <c r="U431" s="330"/>
      <c r="V431" s="330"/>
      <c r="W431" s="330"/>
      <c r="X431" s="330"/>
      <c r="Y431" s="330"/>
      <c r="Z431" s="330"/>
      <c r="AA431" s="330"/>
      <c r="AB431" s="330"/>
      <c r="AC431" s="330"/>
      <c r="AD431" s="330"/>
      <c r="AE431" s="330"/>
      <c r="AF431" s="330"/>
      <c r="AG431" s="330"/>
      <c r="AH431" s="330"/>
      <c r="AI431" s="330"/>
      <c r="AJ431" s="330"/>
      <c r="AK431" s="330"/>
      <c r="AL431" s="330"/>
      <c r="AM431" s="330"/>
      <c r="AN431" s="330"/>
      <c r="AO431" s="330"/>
      <c r="AP431" s="330"/>
      <c r="AQ431" s="330"/>
      <c r="AR431" s="330"/>
      <c r="AS431" s="330"/>
      <c r="AT431" s="330"/>
      <c r="AU431" s="330"/>
      <c r="AV431" s="330"/>
      <c r="AW431" s="330"/>
      <c r="AX431" s="330"/>
      <c r="AY431" s="330"/>
      <c r="AZ431" s="330"/>
      <c r="BA431" s="330"/>
      <c r="BB431" s="330"/>
      <c r="BC431" s="330"/>
      <c r="BD431" s="330"/>
      <c r="BE431" s="330"/>
      <c r="BF431" s="330"/>
    </row>
    <row r="432" spans="1:58">
      <c r="A432" s="330"/>
      <c r="B432" s="330"/>
      <c r="C432" s="330"/>
      <c r="D432" s="330"/>
      <c r="E432" s="330"/>
      <c r="F432" s="330"/>
      <c r="G432" s="330"/>
      <c r="H432" s="330"/>
      <c r="I432" s="330"/>
      <c r="J432" s="330"/>
      <c r="K432" s="330"/>
      <c r="L432" s="330"/>
      <c r="M432" s="330"/>
      <c r="N432" s="330"/>
      <c r="O432" s="330"/>
      <c r="P432" s="330"/>
      <c r="Q432" s="330"/>
      <c r="R432" s="330"/>
      <c r="S432" s="330"/>
      <c r="T432" s="330"/>
      <c r="U432" s="330"/>
      <c r="V432" s="330"/>
      <c r="W432" s="330"/>
      <c r="X432" s="330"/>
      <c r="Y432" s="330"/>
      <c r="Z432" s="330"/>
      <c r="AA432" s="330"/>
      <c r="AB432" s="330"/>
      <c r="AC432" s="330"/>
      <c r="AD432" s="330"/>
      <c r="AE432" s="330"/>
      <c r="AF432" s="330"/>
      <c r="AG432" s="330"/>
      <c r="AH432" s="330"/>
      <c r="AI432" s="330"/>
      <c r="AJ432" s="330"/>
      <c r="AK432" s="330"/>
      <c r="AL432" s="330"/>
      <c r="AM432" s="330"/>
      <c r="AN432" s="330"/>
      <c r="AO432" s="330"/>
      <c r="AP432" s="330"/>
      <c r="AQ432" s="330"/>
      <c r="AR432" s="330"/>
      <c r="AS432" s="330"/>
      <c r="AT432" s="330"/>
      <c r="AU432" s="330"/>
      <c r="AV432" s="330"/>
      <c r="AW432" s="330"/>
      <c r="AX432" s="330"/>
      <c r="AY432" s="330"/>
      <c r="AZ432" s="330"/>
      <c r="BA432" s="330"/>
      <c r="BB432" s="330"/>
      <c r="BC432" s="330"/>
      <c r="BD432" s="330"/>
      <c r="BE432" s="330"/>
      <c r="BF432" s="330"/>
    </row>
    <row r="433" spans="1:58">
      <c r="A433" s="330"/>
      <c r="B433" s="330"/>
      <c r="C433" s="330"/>
      <c r="D433" s="330"/>
      <c r="E433" s="330"/>
      <c r="F433" s="330"/>
      <c r="G433" s="330"/>
      <c r="H433" s="330"/>
      <c r="I433" s="330"/>
      <c r="J433" s="330"/>
      <c r="K433" s="330"/>
      <c r="L433" s="330"/>
      <c r="M433" s="330"/>
      <c r="N433" s="330"/>
      <c r="O433" s="330"/>
      <c r="P433" s="330"/>
      <c r="Q433" s="330"/>
      <c r="R433" s="330"/>
      <c r="S433" s="330"/>
      <c r="T433" s="330"/>
      <c r="U433" s="330"/>
      <c r="V433" s="330"/>
      <c r="W433" s="330"/>
      <c r="X433" s="330"/>
      <c r="Y433" s="330"/>
      <c r="Z433" s="330"/>
      <c r="AA433" s="330"/>
      <c r="AB433" s="330"/>
      <c r="AC433" s="330"/>
      <c r="AD433" s="330"/>
      <c r="AE433" s="330"/>
      <c r="AF433" s="330"/>
      <c r="AG433" s="330"/>
      <c r="AH433" s="330"/>
      <c r="AI433" s="330"/>
      <c r="AJ433" s="330"/>
      <c r="AK433" s="330"/>
      <c r="AL433" s="330"/>
      <c r="AM433" s="330"/>
      <c r="AN433" s="330"/>
      <c r="AO433" s="330"/>
      <c r="AP433" s="330"/>
      <c r="AQ433" s="330"/>
      <c r="AR433" s="330"/>
      <c r="AS433" s="330"/>
      <c r="AT433" s="330"/>
      <c r="AU433" s="330"/>
      <c r="AV433" s="330"/>
      <c r="AW433" s="330"/>
      <c r="AX433" s="330"/>
      <c r="AY433" s="330"/>
      <c r="AZ433" s="330"/>
      <c r="BA433" s="330"/>
      <c r="BB433" s="330"/>
      <c r="BC433" s="330"/>
      <c r="BD433" s="330"/>
      <c r="BE433" s="330"/>
      <c r="BF433" s="330"/>
    </row>
    <row r="434" spans="1:58">
      <c r="A434" s="330"/>
      <c r="B434" s="330"/>
      <c r="C434" s="330"/>
      <c r="D434" s="330"/>
      <c r="E434" s="330"/>
      <c r="F434" s="330"/>
      <c r="G434" s="330"/>
      <c r="H434" s="330"/>
      <c r="I434" s="330"/>
      <c r="J434" s="330"/>
      <c r="K434" s="330"/>
      <c r="L434" s="330"/>
      <c r="M434" s="330"/>
      <c r="N434" s="330"/>
      <c r="O434" s="330"/>
      <c r="P434" s="330"/>
      <c r="Q434" s="330"/>
      <c r="R434" s="330"/>
      <c r="S434" s="330"/>
      <c r="T434" s="330"/>
      <c r="U434" s="330"/>
      <c r="V434" s="330"/>
      <c r="W434" s="330"/>
      <c r="X434" s="330"/>
      <c r="Y434" s="330"/>
      <c r="Z434" s="330"/>
      <c r="AA434" s="330"/>
      <c r="AB434" s="330"/>
      <c r="AC434" s="330"/>
      <c r="AD434" s="330"/>
      <c r="AE434" s="330"/>
      <c r="AF434" s="330"/>
      <c r="AG434" s="330"/>
      <c r="AH434" s="330"/>
      <c r="AI434" s="330"/>
      <c r="AJ434" s="330"/>
      <c r="AK434" s="330"/>
      <c r="AL434" s="330"/>
      <c r="AM434" s="330"/>
      <c r="AN434" s="330"/>
      <c r="AO434" s="330"/>
      <c r="AP434" s="330"/>
      <c r="AQ434" s="330"/>
      <c r="AR434" s="330"/>
      <c r="AS434" s="330"/>
      <c r="AT434" s="330"/>
      <c r="AU434" s="330"/>
      <c r="AV434" s="330"/>
      <c r="AW434" s="330"/>
      <c r="AX434" s="330"/>
      <c r="AY434" s="330"/>
      <c r="AZ434" s="330"/>
      <c r="BA434" s="330"/>
      <c r="BB434" s="330"/>
      <c r="BC434" s="330"/>
      <c r="BD434" s="330"/>
      <c r="BE434" s="330"/>
      <c r="BF434" s="330"/>
    </row>
    <row r="435" spans="1:58">
      <c r="A435" s="330"/>
      <c r="B435" s="330"/>
      <c r="C435" s="330"/>
      <c r="D435" s="330"/>
      <c r="E435" s="330"/>
      <c r="F435" s="330"/>
      <c r="G435" s="330"/>
      <c r="H435" s="330"/>
      <c r="I435" s="330"/>
      <c r="J435" s="330"/>
      <c r="K435" s="330"/>
      <c r="L435" s="330"/>
      <c r="M435" s="330"/>
      <c r="N435" s="330"/>
      <c r="O435" s="330"/>
      <c r="P435" s="330"/>
      <c r="Q435" s="330"/>
      <c r="R435" s="330"/>
      <c r="S435" s="330"/>
      <c r="T435" s="330"/>
      <c r="U435" s="330"/>
      <c r="V435" s="330"/>
      <c r="W435" s="330"/>
      <c r="X435" s="330"/>
      <c r="Y435" s="330"/>
      <c r="Z435" s="330"/>
      <c r="AA435" s="330"/>
      <c r="AB435" s="330"/>
      <c r="AC435" s="330"/>
      <c r="AD435" s="330"/>
      <c r="AE435" s="330"/>
      <c r="AF435" s="330"/>
      <c r="AG435" s="330"/>
      <c r="AH435" s="330"/>
      <c r="AI435" s="330"/>
      <c r="AJ435" s="330"/>
      <c r="AK435" s="330"/>
      <c r="AL435" s="330"/>
      <c r="AM435" s="330"/>
      <c r="AN435" s="330"/>
      <c r="AO435" s="330"/>
      <c r="AP435" s="330"/>
      <c r="AQ435" s="330"/>
      <c r="AR435" s="330"/>
      <c r="AS435" s="330"/>
      <c r="AT435" s="330"/>
      <c r="AU435" s="330"/>
      <c r="AV435" s="330"/>
      <c r="AW435" s="330"/>
      <c r="AX435" s="330"/>
      <c r="AY435" s="330"/>
      <c r="AZ435" s="330"/>
      <c r="BA435" s="330"/>
      <c r="BB435" s="330"/>
      <c r="BC435" s="330"/>
      <c r="BD435" s="330"/>
      <c r="BE435" s="330"/>
      <c r="BF435" s="330"/>
    </row>
    <row r="436" spans="1:58">
      <c r="A436" s="330"/>
      <c r="B436" s="330"/>
      <c r="C436" s="330"/>
      <c r="D436" s="330"/>
      <c r="E436" s="330"/>
      <c r="F436" s="330"/>
      <c r="G436" s="330"/>
      <c r="H436" s="330"/>
      <c r="I436" s="330"/>
      <c r="J436" s="330"/>
      <c r="K436" s="330"/>
      <c r="L436" s="330"/>
      <c r="M436" s="330"/>
      <c r="N436" s="330"/>
      <c r="O436" s="330"/>
      <c r="P436" s="330"/>
      <c r="Q436" s="330"/>
      <c r="R436" s="330"/>
      <c r="S436" s="330"/>
      <c r="T436" s="330"/>
      <c r="U436" s="330"/>
      <c r="V436" s="330"/>
      <c r="W436" s="330"/>
      <c r="X436" s="330"/>
      <c r="Y436" s="330"/>
      <c r="Z436" s="330"/>
      <c r="AA436" s="330"/>
      <c r="AB436" s="330"/>
      <c r="AC436" s="330"/>
      <c r="AD436" s="330"/>
      <c r="AE436" s="330"/>
      <c r="AF436" s="330"/>
      <c r="AG436" s="330"/>
      <c r="AH436" s="330"/>
      <c r="AI436" s="330"/>
      <c r="AJ436" s="330"/>
      <c r="AK436" s="330"/>
      <c r="AL436" s="330"/>
      <c r="AM436" s="330"/>
      <c r="AN436" s="330"/>
      <c r="AO436" s="330"/>
      <c r="AP436" s="330"/>
      <c r="AQ436" s="330"/>
      <c r="AR436" s="330"/>
      <c r="AS436" s="330"/>
      <c r="AT436" s="330"/>
      <c r="AU436" s="330"/>
      <c r="AV436" s="330"/>
      <c r="AW436" s="330"/>
      <c r="AX436" s="330"/>
      <c r="AY436" s="330"/>
      <c r="AZ436" s="330"/>
      <c r="BA436" s="330"/>
      <c r="BB436" s="330"/>
      <c r="BC436" s="330"/>
      <c r="BD436" s="330"/>
      <c r="BE436" s="330"/>
      <c r="BF436" s="330"/>
    </row>
    <row r="437" spans="1:58">
      <c r="A437" s="330"/>
      <c r="B437" s="330"/>
      <c r="C437" s="330"/>
      <c r="D437" s="330"/>
      <c r="E437" s="330"/>
      <c r="F437" s="330"/>
      <c r="G437" s="330"/>
      <c r="H437" s="330"/>
      <c r="I437" s="330"/>
      <c r="J437" s="330"/>
      <c r="K437" s="330"/>
      <c r="L437" s="330"/>
      <c r="M437" s="330"/>
      <c r="N437" s="330"/>
      <c r="O437" s="330"/>
      <c r="P437" s="330"/>
      <c r="Q437" s="330"/>
      <c r="R437" s="330"/>
      <c r="S437" s="330"/>
      <c r="T437" s="330"/>
      <c r="U437" s="330"/>
      <c r="V437" s="330"/>
      <c r="W437" s="330"/>
      <c r="X437" s="330"/>
      <c r="Y437" s="330"/>
      <c r="Z437" s="330"/>
      <c r="AA437" s="330"/>
      <c r="AB437" s="330"/>
      <c r="AC437" s="330"/>
      <c r="AD437" s="330"/>
      <c r="AE437" s="330"/>
      <c r="AF437" s="330"/>
      <c r="AG437" s="330"/>
      <c r="AH437" s="330"/>
      <c r="AI437" s="330"/>
      <c r="AJ437" s="330"/>
      <c r="AK437" s="330"/>
      <c r="AL437" s="330"/>
      <c r="AM437" s="330"/>
      <c r="AN437" s="330"/>
      <c r="AO437" s="330"/>
      <c r="AP437" s="330"/>
      <c r="AQ437" s="330"/>
      <c r="AR437" s="330"/>
      <c r="AS437" s="330"/>
      <c r="AT437" s="330"/>
      <c r="AU437" s="330"/>
      <c r="AV437" s="330"/>
      <c r="AW437" s="330"/>
      <c r="AX437" s="330"/>
      <c r="AY437" s="330"/>
      <c r="AZ437" s="330"/>
      <c r="BA437" s="330"/>
      <c r="BB437" s="330"/>
      <c r="BC437" s="330"/>
      <c r="BD437" s="330"/>
      <c r="BE437" s="330"/>
      <c r="BF437" s="330"/>
    </row>
    <row r="438" spans="1:58">
      <c r="A438" s="330"/>
      <c r="B438" s="330"/>
      <c r="C438" s="330"/>
      <c r="D438" s="330"/>
      <c r="E438" s="330"/>
      <c r="F438" s="330"/>
      <c r="G438" s="330"/>
      <c r="H438" s="330"/>
      <c r="I438" s="330"/>
      <c r="J438" s="330"/>
      <c r="K438" s="330"/>
      <c r="L438" s="330"/>
      <c r="M438" s="330"/>
      <c r="N438" s="330"/>
      <c r="O438" s="330"/>
      <c r="P438" s="330"/>
      <c r="Q438" s="330"/>
      <c r="R438" s="330"/>
      <c r="S438" s="330"/>
      <c r="T438" s="330"/>
      <c r="U438" s="330"/>
      <c r="V438" s="330"/>
      <c r="W438" s="330"/>
      <c r="X438" s="330"/>
      <c r="Y438" s="330"/>
      <c r="Z438" s="330"/>
      <c r="AA438" s="330"/>
      <c r="AB438" s="330"/>
      <c r="AC438" s="330"/>
      <c r="AD438" s="330"/>
      <c r="AE438" s="330"/>
      <c r="AF438" s="330"/>
      <c r="AG438" s="330"/>
      <c r="AH438" s="330"/>
      <c r="AI438" s="330"/>
      <c r="AJ438" s="330"/>
      <c r="AK438" s="330"/>
      <c r="AL438" s="330"/>
      <c r="AM438" s="330"/>
      <c r="AN438" s="330"/>
      <c r="AO438" s="330"/>
      <c r="AP438" s="330"/>
      <c r="AQ438" s="330"/>
      <c r="AR438" s="330"/>
      <c r="AS438" s="330"/>
      <c r="AT438" s="330"/>
      <c r="AU438" s="330"/>
      <c r="AV438" s="330"/>
      <c r="AW438" s="330"/>
      <c r="AX438" s="330"/>
      <c r="AY438" s="330"/>
      <c r="AZ438" s="330"/>
      <c r="BA438" s="330"/>
      <c r="BB438" s="330"/>
      <c r="BC438" s="330"/>
      <c r="BD438" s="330"/>
      <c r="BE438" s="330"/>
      <c r="BF438" s="330"/>
    </row>
    <row r="439" spans="1:58">
      <c r="A439" s="330"/>
      <c r="B439" s="330"/>
      <c r="C439" s="330"/>
      <c r="D439" s="330"/>
      <c r="E439" s="330"/>
      <c r="F439" s="330"/>
      <c r="G439" s="330"/>
      <c r="H439" s="330"/>
      <c r="I439" s="330"/>
      <c r="J439" s="330"/>
      <c r="K439" s="330"/>
      <c r="L439" s="330"/>
      <c r="M439" s="330"/>
      <c r="N439" s="330"/>
      <c r="O439" s="330"/>
      <c r="P439" s="330"/>
      <c r="Q439" s="330"/>
      <c r="R439" s="330"/>
      <c r="S439" s="330"/>
      <c r="T439" s="330"/>
      <c r="U439" s="330"/>
      <c r="V439" s="330"/>
      <c r="W439" s="330"/>
      <c r="X439" s="330"/>
      <c r="Y439" s="330"/>
      <c r="Z439" s="330"/>
      <c r="AA439" s="330"/>
      <c r="AB439" s="330"/>
      <c r="AC439" s="330"/>
      <c r="AD439" s="330"/>
      <c r="AE439" s="330"/>
      <c r="AF439" s="330"/>
      <c r="AG439" s="330"/>
      <c r="AH439" s="330"/>
      <c r="AI439" s="330"/>
      <c r="AJ439" s="330"/>
      <c r="AK439" s="330"/>
      <c r="AL439" s="330"/>
      <c r="AM439" s="330"/>
      <c r="AN439" s="330"/>
      <c r="AO439" s="330"/>
      <c r="AP439" s="330"/>
      <c r="AQ439" s="330"/>
      <c r="AR439" s="330"/>
      <c r="AS439" s="330"/>
      <c r="AT439" s="330"/>
      <c r="AU439" s="330"/>
      <c r="AV439" s="330"/>
      <c r="AW439" s="330"/>
      <c r="AX439" s="330"/>
      <c r="AY439" s="330"/>
      <c r="AZ439" s="330"/>
      <c r="BA439" s="330"/>
      <c r="BB439" s="330"/>
      <c r="BC439" s="330"/>
      <c r="BD439" s="330"/>
      <c r="BE439" s="330"/>
      <c r="BF439" s="330"/>
    </row>
    <row r="440" spans="1:58">
      <c r="A440" s="330"/>
      <c r="B440" s="330"/>
      <c r="C440" s="330"/>
      <c r="D440" s="330"/>
      <c r="E440" s="330"/>
      <c r="F440" s="330"/>
      <c r="G440" s="330"/>
      <c r="H440" s="330"/>
      <c r="I440" s="330"/>
      <c r="J440" s="330"/>
      <c r="K440" s="330"/>
      <c r="L440" s="330"/>
      <c r="M440" s="330"/>
      <c r="N440" s="330"/>
      <c r="O440" s="330"/>
      <c r="P440" s="330"/>
      <c r="Q440" s="330"/>
      <c r="R440" s="330"/>
      <c r="S440" s="330"/>
      <c r="T440" s="330"/>
      <c r="U440" s="330"/>
      <c r="V440" s="330"/>
      <c r="W440" s="330"/>
      <c r="X440" s="330"/>
      <c r="Y440" s="330"/>
      <c r="Z440" s="330"/>
      <c r="AA440" s="330"/>
      <c r="AB440" s="330"/>
      <c r="AC440" s="330"/>
      <c r="AD440" s="330"/>
      <c r="AE440" s="330"/>
      <c r="AF440" s="330"/>
      <c r="AG440" s="330"/>
      <c r="AH440" s="330"/>
      <c r="AI440" s="330"/>
      <c r="AJ440" s="330"/>
      <c r="AK440" s="330"/>
      <c r="AL440" s="330"/>
      <c r="AM440" s="330"/>
      <c r="AN440" s="330"/>
      <c r="AO440" s="330"/>
      <c r="AP440" s="330"/>
      <c r="AQ440" s="330"/>
      <c r="AR440" s="330"/>
      <c r="AS440" s="330"/>
      <c r="AT440" s="330"/>
      <c r="AU440" s="330"/>
      <c r="AV440" s="330"/>
      <c r="AW440" s="330"/>
      <c r="AX440" s="330"/>
      <c r="AY440" s="330"/>
      <c r="AZ440" s="330"/>
      <c r="BA440" s="330"/>
      <c r="BB440" s="330"/>
      <c r="BC440" s="330"/>
      <c r="BD440" s="330"/>
      <c r="BE440" s="330"/>
      <c r="BF440" s="330"/>
    </row>
    <row r="441" spans="1:58">
      <c r="A441" s="330"/>
      <c r="B441" s="330"/>
      <c r="C441" s="330"/>
      <c r="D441" s="330"/>
      <c r="E441" s="330"/>
      <c r="F441" s="330"/>
      <c r="G441" s="330"/>
      <c r="H441" s="330"/>
      <c r="I441" s="330"/>
      <c r="J441" s="330"/>
      <c r="K441" s="330"/>
      <c r="L441" s="330"/>
      <c r="M441" s="330"/>
      <c r="N441" s="330"/>
      <c r="O441" s="330"/>
      <c r="P441" s="330"/>
      <c r="Q441" s="330"/>
      <c r="R441" s="330"/>
      <c r="S441" s="330"/>
      <c r="T441" s="330"/>
      <c r="U441" s="330"/>
      <c r="V441" s="330"/>
      <c r="W441" s="330"/>
      <c r="X441" s="330"/>
      <c r="Y441" s="330"/>
      <c r="Z441" s="330"/>
      <c r="AA441" s="330"/>
      <c r="AB441" s="330"/>
      <c r="AC441" s="330"/>
      <c r="AD441" s="330"/>
      <c r="AE441" s="330"/>
      <c r="AF441" s="330"/>
      <c r="AG441" s="330"/>
      <c r="AH441" s="330"/>
      <c r="AI441" s="330"/>
      <c r="AJ441" s="330"/>
      <c r="AK441" s="330"/>
      <c r="AL441" s="330"/>
      <c r="AM441" s="330"/>
      <c r="AN441" s="330"/>
      <c r="AO441" s="330"/>
      <c r="AP441" s="330"/>
      <c r="AQ441" s="330"/>
      <c r="AR441" s="330"/>
      <c r="AS441" s="330"/>
      <c r="AT441" s="330"/>
      <c r="AU441" s="330"/>
      <c r="AV441" s="330"/>
      <c r="AW441" s="330"/>
      <c r="AX441" s="330"/>
      <c r="AY441" s="330"/>
      <c r="AZ441" s="330"/>
      <c r="BA441" s="330"/>
      <c r="BB441" s="330"/>
      <c r="BC441" s="330"/>
      <c r="BD441" s="330"/>
      <c r="BE441" s="330"/>
      <c r="BF441" s="330"/>
    </row>
    <row r="442" spans="1:58">
      <c r="A442" s="330"/>
      <c r="B442" s="330"/>
      <c r="C442" s="330"/>
      <c r="D442" s="330"/>
      <c r="E442" s="330"/>
      <c r="F442" s="330"/>
      <c r="G442" s="330"/>
      <c r="H442" s="330"/>
      <c r="I442" s="330"/>
      <c r="J442" s="330"/>
      <c r="K442" s="330"/>
      <c r="L442" s="330"/>
      <c r="M442" s="330"/>
      <c r="N442" s="330"/>
      <c r="O442" s="330"/>
      <c r="P442" s="330"/>
      <c r="Q442" s="330"/>
      <c r="R442" s="330"/>
      <c r="S442" s="330"/>
      <c r="T442" s="330"/>
      <c r="U442" s="330"/>
      <c r="V442" s="330"/>
      <c r="W442" s="330"/>
      <c r="X442" s="330"/>
      <c r="Y442" s="330"/>
      <c r="Z442" s="330"/>
      <c r="AA442" s="330"/>
      <c r="AB442" s="330"/>
      <c r="AC442" s="330"/>
      <c r="AD442" s="330"/>
      <c r="AE442" s="330"/>
      <c r="AF442" s="330"/>
      <c r="AG442" s="330"/>
      <c r="AH442" s="330"/>
      <c r="AI442" s="330"/>
      <c r="AJ442" s="330"/>
      <c r="AK442" s="330"/>
      <c r="AL442" s="330"/>
      <c r="AM442" s="330"/>
      <c r="AN442" s="330"/>
      <c r="AO442" s="330"/>
      <c r="AP442" s="330"/>
      <c r="AQ442" s="330"/>
      <c r="AR442" s="330"/>
      <c r="AS442" s="330"/>
      <c r="AT442" s="330"/>
      <c r="AU442" s="330"/>
      <c r="AV442" s="330"/>
      <c r="AW442" s="330"/>
      <c r="AX442" s="330"/>
      <c r="AY442" s="330"/>
      <c r="AZ442" s="330"/>
      <c r="BA442" s="330"/>
      <c r="BB442" s="330"/>
      <c r="BC442" s="330"/>
      <c r="BD442" s="330"/>
      <c r="BE442" s="330"/>
      <c r="BF442" s="330"/>
    </row>
    <row r="443" spans="1:58">
      <c r="A443" s="330"/>
      <c r="B443" s="330"/>
      <c r="C443" s="330"/>
      <c r="D443" s="330"/>
      <c r="E443" s="330"/>
      <c r="F443" s="330"/>
      <c r="G443" s="330"/>
      <c r="H443" s="330"/>
      <c r="I443" s="330"/>
      <c r="J443" s="330"/>
      <c r="K443" s="330"/>
      <c r="L443" s="330"/>
      <c r="M443" s="330"/>
      <c r="N443" s="330"/>
      <c r="O443" s="330"/>
      <c r="P443" s="330"/>
      <c r="Q443" s="330"/>
      <c r="R443" s="330"/>
      <c r="S443" s="330"/>
      <c r="T443" s="330"/>
      <c r="U443" s="330"/>
      <c r="V443" s="330"/>
      <c r="W443" s="330"/>
      <c r="X443" s="330"/>
      <c r="Y443" s="330"/>
      <c r="Z443" s="330"/>
      <c r="AA443" s="330"/>
      <c r="AB443" s="330"/>
      <c r="AC443" s="330"/>
      <c r="AD443" s="330"/>
      <c r="AE443" s="330"/>
      <c r="AF443" s="330"/>
      <c r="AG443" s="330"/>
      <c r="AH443" s="330"/>
      <c r="AI443" s="330"/>
      <c r="AJ443" s="330"/>
      <c r="AK443" s="330"/>
      <c r="AL443" s="330"/>
      <c r="AM443" s="330"/>
      <c r="AN443" s="330"/>
      <c r="AO443" s="330"/>
      <c r="AP443" s="330"/>
      <c r="AQ443" s="330"/>
      <c r="AR443" s="330"/>
      <c r="AS443" s="330"/>
      <c r="AT443" s="330"/>
      <c r="AU443" s="330"/>
      <c r="AV443" s="330"/>
      <c r="AW443" s="330"/>
      <c r="AX443" s="330"/>
      <c r="AY443" s="330"/>
      <c r="AZ443" s="330"/>
      <c r="BA443" s="330"/>
      <c r="BB443" s="330"/>
      <c r="BC443" s="330"/>
      <c r="BD443" s="330"/>
      <c r="BE443" s="330"/>
      <c r="BF443" s="330"/>
    </row>
    <row r="444" spans="1:58">
      <c r="A444" s="330"/>
      <c r="B444" s="330"/>
      <c r="C444" s="330"/>
      <c r="D444" s="330"/>
      <c r="E444" s="330"/>
      <c r="F444" s="330"/>
      <c r="G444" s="330"/>
      <c r="H444" s="330"/>
      <c r="I444" s="330"/>
      <c r="J444" s="330"/>
      <c r="K444" s="330"/>
      <c r="L444" s="330"/>
      <c r="M444" s="330"/>
      <c r="N444" s="330"/>
      <c r="O444" s="330"/>
      <c r="P444" s="330"/>
      <c r="Q444" s="330"/>
      <c r="R444" s="330"/>
      <c r="S444" s="330"/>
      <c r="T444" s="330"/>
      <c r="U444" s="330"/>
      <c r="V444" s="330"/>
      <c r="W444" s="330"/>
      <c r="X444" s="330"/>
      <c r="Y444" s="330"/>
      <c r="Z444" s="330"/>
      <c r="AA444" s="330"/>
      <c r="AB444" s="330"/>
      <c r="AC444" s="330"/>
      <c r="AD444" s="330"/>
      <c r="AE444" s="330"/>
      <c r="AF444" s="330"/>
      <c r="AG444" s="330"/>
      <c r="AH444" s="330"/>
      <c r="AI444" s="330"/>
      <c r="AJ444" s="330"/>
      <c r="AK444" s="330"/>
      <c r="AL444" s="330"/>
      <c r="AM444" s="330"/>
      <c r="AN444" s="330"/>
      <c r="AO444" s="330"/>
      <c r="AP444" s="330"/>
      <c r="AQ444" s="330"/>
      <c r="AR444" s="330"/>
      <c r="AS444" s="330"/>
      <c r="AT444" s="330"/>
      <c r="AU444" s="330"/>
      <c r="AV444" s="330"/>
      <c r="AW444" s="330"/>
      <c r="AX444" s="330"/>
      <c r="AY444" s="330"/>
      <c r="AZ444" s="330"/>
      <c r="BA444" s="330"/>
      <c r="BB444" s="330"/>
      <c r="BC444" s="330"/>
      <c r="BD444" s="330"/>
      <c r="BE444" s="330"/>
      <c r="BF444" s="330"/>
    </row>
    <row r="445" spans="1:58">
      <c r="A445" s="330"/>
      <c r="B445" s="330"/>
      <c r="C445" s="330"/>
      <c r="D445" s="330"/>
      <c r="E445" s="330"/>
      <c r="F445" s="330"/>
      <c r="G445" s="330"/>
      <c r="H445" s="330"/>
      <c r="I445" s="330"/>
      <c r="J445" s="330"/>
      <c r="K445" s="330"/>
      <c r="L445" s="330"/>
      <c r="M445" s="330"/>
      <c r="N445" s="330"/>
      <c r="O445" s="330"/>
      <c r="P445" s="330"/>
      <c r="Q445" s="330"/>
      <c r="R445" s="330"/>
      <c r="S445" s="330"/>
      <c r="T445" s="330"/>
      <c r="U445" s="330"/>
      <c r="V445" s="330"/>
      <c r="W445" s="330"/>
      <c r="X445" s="330"/>
      <c r="Y445" s="330"/>
      <c r="Z445" s="330"/>
      <c r="AA445" s="330"/>
      <c r="AB445" s="330"/>
      <c r="AC445" s="330"/>
      <c r="AD445" s="330"/>
      <c r="AE445" s="330"/>
      <c r="AF445" s="330"/>
      <c r="AG445" s="330"/>
      <c r="AH445" s="330"/>
      <c r="AI445" s="330"/>
      <c r="AJ445" s="330"/>
      <c r="AK445" s="330"/>
      <c r="AL445" s="330"/>
      <c r="AM445" s="330"/>
      <c r="AN445" s="330"/>
      <c r="AO445" s="330"/>
      <c r="AP445" s="330"/>
      <c r="AQ445" s="330"/>
      <c r="AR445" s="330"/>
      <c r="AS445" s="330"/>
      <c r="AT445" s="330"/>
      <c r="AU445" s="330"/>
      <c r="AV445" s="330"/>
      <c r="AW445" s="330"/>
      <c r="AX445" s="330"/>
      <c r="AY445" s="330"/>
      <c r="AZ445" s="330"/>
      <c r="BA445" s="330"/>
      <c r="BB445" s="330"/>
      <c r="BC445" s="330"/>
      <c r="BD445" s="330"/>
      <c r="BE445" s="330"/>
      <c r="BF445" s="330"/>
    </row>
    <row r="446" spans="1:58">
      <c r="A446" s="330"/>
      <c r="B446" s="330"/>
      <c r="C446" s="330"/>
      <c r="D446" s="330"/>
      <c r="E446" s="330"/>
      <c r="F446" s="330"/>
      <c r="G446" s="330"/>
      <c r="H446" s="330"/>
      <c r="I446" s="330"/>
      <c r="J446" s="330"/>
      <c r="K446" s="330"/>
      <c r="L446" s="330"/>
      <c r="M446" s="330"/>
      <c r="N446" s="330"/>
      <c r="O446" s="330"/>
      <c r="P446" s="330"/>
      <c r="Q446" s="330"/>
      <c r="R446" s="330"/>
      <c r="S446" s="330"/>
      <c r="T446" s="330"/>
      <c r="U446" s="330"/>
      <c r="V446" s="330"/>
      <c r="W446" s="330"/>
      <c r="X446" s="330"/>
      <c r="Y446" s="330"/>
      <c r="Z446" s="330"/>
      <c r="AA446" s="330"/>
      <c r="AB446" s="330"/>
      <c r="AC446" s="330"/>
      <c r="AD446" s="330"/>
      <c r="AE446" s="330"/>
      <c r="AF446" s="330"/>
      <c r="AG446" s="330"/>
      <c r="AH446" s="330"/>
      <c r="AI446" s="330"/>
      <c r="AJ446" s="330"/>
      <c r="AK446" s="330"/>
      <c r="AL446" s="330"/>
      <c r="AM446" s="330"/>
      <c r="AN446" s="330"/>
      <c r="AO446" s="330"/>
      <c r="AP446" s="330"/>
      <c r="AQ446" s="330"/>
      <c r="AR446" s="330"/>
      <c r="AS446" s="330"/>
      <c r="AT446" s="330"/>
      <c r="AU446" s="330"/>
      <c r="AV446" s="330"/>
      <c r="AW446" s="330"/>
      <c r="AX446" s="330"/>
      <c r="AY446" s="330"/>
      <c r="AZ446" s="330"/>
      <c r="BA446" s="330"/>
      <c r="BB446" s="330"/>
      <c r="BC446" s="330"/>
      <c r="BD446" s="330"/>
      <c r="BE446" s="330"/>
      <c r="BF446" s="330"/>
    </row>
    <row r="447" spans="1:58">
      <c r="A447" s="330"/>
      <c r="B447" s="330"/>
      <c r="C447" s="330"/>
      <c r="D447" s="330"/>
      <c r="E447" s="330"/>
      <c r="F447" s="330"/>
      <c r="G447" s="330"/>
      <c r="H447" s="330"/>
      <c r="I447" s="330"/>
      <c r="J447" s="330"/>
      <c r="K447" s="330"/>
      <c r="L447" s="330"/>
      <c r="M447" s="330"/>
      <c r="N447" s="330"/>
      <c r="O447" s="330"/>
      <c r="P447" s="330"/>
      <c r="Q447" s="330"/>
      <c r="R447" s="330"/>
      <c r="S447" s="330"/>
      <c r="T447" s="330"/>
      <c r="U447" s="330"/>
      <c r="V447" s="330"/>
      <c r="W447" s="330"/>
      <c r="X447" s="330"/>
      <c r="Y447" s="330"/>
      <c r="Z447" s="330"/>
      <c r="AA447" s="330"/>
      <c r="AB447" s="330"/>
      <c r="AC447" s="330"/>
      <c r="AD447" s="330"/>
      <c r="AE447" s="330"/>
      <c r="AF447" s="330"/>
      <c r="AG447" s="330"/>
      <c r="AH447" s="330"/>
      <c r="AI447" s="330"/>
      <c r="AJ447" s="330"/>
      <c r="AK447" s="330"/>
      <c r="AL447" s="330"/>
      <c r="AM447" s="330"/>
      <c r="AN447" s="330"/>
      <c r="AO447" s="330"/>
      <c r="AP447" s="330"/>
      <c r="AQ447" s="330"/>
      <c r="AR447" s="330"/>
      <c r="AS447" s="330"/>
      <c r="AT447" s="330"/>
      <c r="AU447" s="330"/>
      <c r="AV447" s="330"/>
      <c r="AW447" s="330"/>
      <c r="AX447" s="330"/>
      <c r="AY447" s="330"/>
      <c r="AZ447" s="330"/>
      <c r="BA447" s="330"/>
      <c r="BB447" s="330"/>
      <c r="BC447" s="330"/>
      <c r="BD447" s="330"/>
      <c r="BE447" s="330"/>
      <c r="BF447" s="330"/>
    </row>
    <row r="448" spans="1:58">
      <c r="A448" s="330"/>
      <c r="B448" s="330"/>
      <c r="C448" s="330"/>
      <c r="D448" s="330"/>
      <c r="E448" s="330"/>
      <c r="F448" s="330"/>
      <c r="G448" s="330"/>
      <c r="H448" s="330"/>
      <c r="I448" s="330"/>
      <c r="J448" s="330"/>
      <c r="K448" s="330"/>
      <c r="L448" s="330"/>
      <c r="M448" s="330"/>
      <c r="N448" s="330"/>
      <c r="O448" s="330"/>
      <c r="P448" s="330"/>
      <c r="Q448" s="330"/>
      <c r="R448" s="330"/>
      <c r="S448" s="330"/>
      <c r="T448" s="330"/>
      <c r="U448" s="330"/>
      <c r="V448" s="330"/>
      <c r="W448" s="330"/>
      <c r="X448" s="330"/>
      <c r="Y448" s="330"/>
      <c r="Z448" s="330"/>
      <c r="AA448" s="330"/>
      <c r="AB448" s="330"/>
      <c r="AC448" s="330"/>
      <c r="AD448" s="330"/>
      <c r="AE448" s="330"/>
      <c r="AF448" s="330"/>
      <c r="AG448" s="330"/>
      <c r="AH448" s="330"/>
      <c r="AI448" s="330"/>
      <c r="AJ448" s="330"/>
      <c r="AK448" s="330"/>
      <c r="AL448" s="330"/>
      <c r="AM448" s="330"/>
      <c r="AN448" s="330"/>
      <c r="AO448" s="330"/>
      <c r="AP448" s="330"/>
      <c r="AQ448" s="330"/>
      <c r="AR448" s="330"/>
      <c r="AS448" s="330"/>
      <c r="AT448" s="330"/>
      <c r="AU448" s="330"/>
      <c r="AV448" s="330"/>
      <c r="AW448" s="330"/>
      <c r="AX448" s="330"/>
      <c r="AY448" s="330"/>
      <c r="AZ448" s="330"/>
      <c r="BA448" s="330"/>
      <c r="BB448" s="330"/>
      <c r="BC448" s="330"/>
      <c r="BD448" s="330"/>
      <c r="BE448" s="330"/>
      <c r="BF448" s="330"/>
    </row>
    <row r="449" spans="1:58">
      <c r="A449" s="330"/>
      <c r="B449" s="330"/>
      <c r="C449" s="330"/>
      <c r="D449" s="330"/>
      <c r="E449" s="330"/>
      <c r="F449" s="330"/>
      <c r="G449" s="330"/>
      <c r="H449" s="330"/>
      <c r="I449" s="330"/>
      <c r="J449" s="330"/>
      <c r="K449" s="330"/>
      <c r="L449" s="330"/>
      <c r="M449" s="330"/>
      <c r="N449" s="330"/>
      <c r="O449" s="330"/>
      <c r="P449" s="330"/>
      <c r="Q449" s="330"/>
      <c r="R449" s="330"/>
      <c r="S449" s="330"/>
      <c r="T449" s="330"/>
      <c r="U449" s="330"/>
      <c r="V449" s="330"/>
      <c r="W449" s="330"/>
      <c r="X449" s="330"/>
      <c r="Y449" s="330"/>
      <c r="Z449" s="330"/>
      <c r="AA449" s="330"/>
      <c r="AB449" s="330"/>
      <c r="AC449" s="330"/>
      <c r="AD449" s="330"/>
      <c r="AE449" s="330"/>
      <c r="AF449" s="330"/>
      <c r="AG449" s="330"/>
      <c r="AH449" s="330"/>
      <c r="AI449" s="330"/>
      <c r="AJ449" s="330"/>
      <c r="AK449" s="330"/>
      <c r="AL449" s="330"/>
      <c r="AM449" s="330"/>
      <c r="AN449" s="330"/>
      <c r="AO449" s="330"/>
      <c r="AP449" s="330"/>
      <c r="AQ449" s="330"/>
      <c r="AR449" s="330"/>
      <c r="AS449" s="330"/>
      <c r="AT449" s="330"/>
      <c r="AU449" s="330"/>
      <c r="AV449" s="330"/>
      <c r="AW449" s="330"/>
      <c r="AX449" s="330"/>
      <c r="AY449" s="330"/>
      <c r="AZ449" s="330"/>
      <c r="BA449" s="330"/>
      <c r="BB449" s="330"/>
      <c r="BC449" s="330"/>
      <c r="BD449" s="330"/>
      <c r="BE449" s="330"/>
      <c r="BF449" s="330"/>
    </row>
  </sheetData>
  <sheetProtection sheet="1" objects="1" scenarios="1" selectLockedCells="1"/>
  <mergeCells count="1">
    <mergeCell ref="E3:L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BD1002"/>
  <sheetViews>
    <sheetView zoomScaleNormal="100" workbookViewId="0">
      <selection activeCell="E8" sqref="E8"/>
    </sheetView>
  </sheetViews>
  <sheetFormatPr baseColWidth="10" defaultColWidth="14.44140625" defaultRowHeight="15" customHeight="1"/>
  <cols>
    <col min="1" max="1" width="10.6640625" customWidth="1"/>
    <col min="2" max="2" width="12.5546875" customWidth="1"/>
    <col min="3" max="3" width="8.5546875" customWidth="1"/>
    <col min="4" max="4" width="10.6640625" customWidth="1"/>
    <col min="5" max="5" width="12.6640625" customWidth="1"/>
    <col min="6" max="6" width="8.5546875" customWidth="1"/>
    <col min="7" max="7" width="10.6640625" customWidth="1"/>
    <col min="8" max="8" width="12.6640625" customWidth="1"/>
    <col min="9" max="9" width="8.5546875" customWidth="1"/>
    <col min="10" max="10" width="10.6640625" customWidth="1"/>
    <col min="11" max="11" width="12.5546875" customWidth="1"/>
    <col min="12" max="12" width="8.5546875" customWidth="1"/>
    <col min="13" max="13" width="10.6640625" customWidth="1"/>
    <col min="14" max="14" width="12.5546875" customWidth="1"/>
    <col min="15" max="15" width="7.33203125" customWidth="1"/>
    <col min="16" max="16" width="10.6640625" customWidth="1"/>
    <col min="17" max="17" width="12.44140625" customWidth="1"/>
    <col min="18" max="18" width="10.6640625" customWidth="1"/>
    <col min="19" max="19" width="12" customWidth="1"/>
    <col min="20" max="40" width="10.6640625" customWidth="1"/>
    <col min="41" max="41" width="8.44140625" customWidth="1"/>
    <col min="42" max="42" width="14.5546875" customWidth="1"/>
    <col min="43" max="49" width="10.6640625" customWidth="1"/>
    <col min="50" max="50" width="11.6640625" customWidth="1"/>
    <col min="51" max="56" width="10.6640625" customWidth="1"/>
  </cols>
  <sheetData>
    <row r="1" spans="1:56" ht="15" customHeight="1">
      <c r="A1" s="342"/>
      <c r="B1" s="342"/>
      <c r="C1" s="342"/>
      <c r="D1" s="342"/>
      <c r="E1" s="1089" t="s">
        <v>0</v>
      </c>
      <c r="F1" s="1089"/>
      <c r="G1" s="1089"/>
      <c r="H1" s="1089"/>
      <c r="I1" s="1089"/>
      <c r="J1" s="1089"/>
      <c r="K1" s="1089"/>
      <c r="L1" s="1089"/>
      <c r="M1" s="1089"/>
      <c r="N1" s="342"/>
      <c r="O1" s="342"/>
      <c r="P1" s="342"/>
      <c r="Q1" s="342"/>
      <c r="R1" s="342"/>
      <c r="S1" s="329"/>
      <c r="T1" s="329"/>
      <c r="U1" s="329"/>
      <c r="V1" s="329"/>
      <c r="W1" s="329"/>
      <c r="X1" s="1"/>
      <c r="Y1" s="1"/>
      <c r="Z1" s="1"/>
      <c r="AA1" s="1"/>
      <c r="AB1" s="1"/>
      <c r="AC1" s="1"/>
      <c r="AD1" s="1"/>
      <c r="AE1" s="1"/>
      <c r="AF1" s="1"/>
      <c r="AG1" s="1"/>
      <c r="AH1" s="2"/>
      <c r="AI1" s="2"/>
      <c r="AJ1" s="2"/>
    </row>
    <row r="2" spans="1:56" ht="15" customHeight="1">
      <c r="A2" s="342"/>
      <c r="B2" s="342"/>
      <c r="C2" s="342"/>
      <c r="D2" s="342"/>
      <c r="E2" s="1089"/>
      <c r="F2" s="1089"/>
      <c r="G2" s="1089"/>
      <c r="H2" s="1089"/>
      <c r="I2" s="1089"/>
      <c r="J2" s="1089"/>
      <c r="K2" s="1089"/>
      <c r="L2" s="1089"/>
      <c r="M2" s="1089"/>
      <c r="N2" s="342"/>
      <c r="O2" s="342"/>
      <c r="P2" s="342"/>
      <c r="Q2" s="342"/>
      <c r="R2" s="342"/>
      <c r="S2" s="329"/>
      <c r="T2" s="329"/>
      <c r="U2" s="329"/>
      <c r="V2" s="329"/>
      <c r="W2" s="329"/>
      <c r="X2" s="1"/>
      <c r="Y2" s="1"/>
      <c r="Z2" s="1"/>
      <c r="AA2" s="1"/>
      <c r="AB2" s="1"/>
      <c r="AC2" s="1"/>
      <c r="AD2" s="1"/>
      <c r="AE2" s="1"/>
      <c r="AF2" s="1"/>
      <c r="AG2" s="1"/>
      <c r="AH2" s="2"/>
      <c r="AI2" s="2"/>
      <c r="AJ2" s="2"/>
      <c r="AL2" s="3">
        <v>1</v>
      </c>
      <c r="AU2" s="3" t="str">
        <f>Q8&amp;Q7</f>
        <v>1920</v>
      </c>
    </row>
    <row r="3" spans="1:56" ht="14.4">
      <c r="A3" s="342"/>
      <c r="B3" s="342"/>
      <c r="C3" s="342"/>
      <c r="D3" s="342"/>
      <c r="E3" s="1089"/>
      <c r="F3" s="1089"/>
      <c r="G3" s="1089"/>
      <c r="H3" s="1089"/>
      <c r="I3" s="1089"/>
      <c r="J3" s="1089"/>
      <c r="K3" s="1089"/>
      <c r="L3" s="1089"/>
      <c r="M3" s="1089"/>
      <c r="N3" s="342"/>
      <c r="O3" s="342"/>
      <c r="P3" s="342"/>
      <c r="Q3" s="342"/>
      <c r="R3" s="342"/>
      <c r="S3" s="329"/>
      <c r="T3" s="329"/>
      <c r="U3" s="329"/>
      <c r="V3" s="329"/>
      <c r="W3" s="329"/>
      <c r="X3" s="1"/>
      <c r="Y3" s="1"/>
      <c r="Z3" s="1"/>
      <c r="AA3" s="1"/>
      <c r="AB3" s="1"/>
      <c r="AC3" s="1"/>
      <c r="AD3" s="1"/>
      <c r="AE3" s="1"/>
      <c r="AF3" s="1"/>
      <c r="AG3" s="1"/>
      <c r="AH3" s="2"/>
      <c r="AI3" s="2"/>
      <c r="AJ3" s="2"/>
      <c r="AL3" s="3">
        <v>2</v>
      </c>
      <c r="AP3" s="3" t="s">
        <v>1</v>
      </c>
      <c r="AQ3" s="1">
        <f>IF(E5="ZMM",VLOOKUP(E9,AP11:AS18,2,0),IF(E5="ZM1",VLOOKUP(E9,AP11:AS18,3,0),IF(E5="ZM2",VLOOKUP(E9,AP11:AS18,4,0),"FALSO")))</f>
        <v>12800</v>
      </c>
    </row>
    <row r="4" spans="1:56" ht="14.4">
      <c r="A4" s="1068" t="s">
        <v>2</v>
      </c>
      <c r="B4" s="1069"/>
      <c r="C4" s="342"/>
      <c r="D4" s="1068" t="s">
        <v>3</v>
      </c>
      <c r="E4" s="1069"/>
      <c r="F4" s="343"/>
      <c r="G4" s="1068" t="s">
        <v>4</v>
      </c>
      <c r="H4" s="1069"/>
      <c r="I4" s="344"/>
      <c r="J4" s="1068" t="s">
        <v>5</v>
      </c>
      <c r="K4" s="1069"/>
      <c r="L4" s="342"/>
      <c r="M4" s="1068" t="s">
        <v>6</v>
      </c>
      <c r="N4" s="1069"/>
      <c r="O4" s="342"/>
      <c r="P4" s="1068" t="s">
        <v>7</v>
      </c>
      <c r="Q4" s="1069"/>
      <c r="R4" s="345"/>
      <c r="S4" s="329"/>
      <c r="T4" s="329"/>
      <c r="U4" s="329"/>
      <c r="V4" s="329"/>
      <c r="W4" s="329"/>
      <c r="X4" s="1"/>
      <c r="Y4" s="1"/>
      <c r="Z4" s="1"/>
      <c r="AA4" s="1"/>
      <c r="AB4" s="1"/>
      <c r="AC4" s="1"/>
      <c r="AD4" s="1"/>
      <c r="AE4" s="1"/>
      <c r="AF4" s="1"/>
      <c r="AG4" s="1"/>
      <c r="AH4" s="2"/>
      <c r="AI4" s="2"/>
      <c r="AJ4" s="2"/>
      <c r="AL4" s="3">
        <v>3</v>
      </c>
      <c r="AP4" s="3">
        <f>B10*B9*B8</f>
        <v>1200</v>
      </c>
    </row>
    <row r="5" spans="1:56" ht="14.4">
      <c r="A5" s="345" t="s">
        <v>8</v>
      </c>
      <c r="B5" s="796">
        <v>1016</v>
      </c>
      <c r="C5" s="342"/>
      <c r="D5" s="345" t="s">
        <v>9</v>
      </c>
      <c r="E5" s="800" t="s">
        <v>46</v>
      </c>
      <c r="F5" s="344"/>
      <c r="G5" s="345" t="s">
        <v>9</v>
      </c>
      <c r="H5" s="800" t="s">
        <v>79</v>
      </c>
      <c r="I5" s="342"/>
      <c r="J5" s="345" t="s">
        <v>12</v>
      </c>
      <c r="K5" s="797">
        <f>E7</f>
        <v>0</v>
      </c>
      <c r="L5" s="342"/>
      <c r="M5" s="345" t="s">
        <v>13</v>
      </c>
      <c r="N5" s="796">
        <f>H7</f>
        <v>2438.3999999999996</v>
      </c>
      <c r="O5" s="342"/>
      <c r="P5" s="345" t="s">
        <v>8</v>
      </c>
      <c r="Q5" s="801">
        <v>220</v>
      </c>
      <c r="R5" s="920" t="s">
        <v>46</v>
      </c>
      <c r="S5" s="921" t="s">
        <v>1204</v>
      </c>
      <c r="T5" s="921">
        <f>+(0.010085)*E6</f>
        <v>35.862259999999999</v>
      </c>
      <c r="U5" s="329"/>
      <c r="V5" s="329"/>
      <c r="W5" s="329"/>
      <c r="X5" s="1"/>
      <c r="Y5" s="1"/>
      <c r="Z5" s="1"/>
      <c r="AA5" s="1"/>
      <c r="AB5" s="1"/>
      <c r="AC5" s="1"/>
      <c r="AD5" s="1"/>
      <c r="AE5" s="1"/>
      <c r="AF5" s="1"/>
      <c r="AG5" s="1"/>
      <c r="AH5" s="2"/>
      <c r="AI5" s="2"/>
      <c r="AJ5" s="2"/>
      <c r="AL5" s="3">
        <v>4</v>
      </c>
    </row>
    <row r="6" spans="1:56" ht="14.4">
      <c r="A6" s="345" t="s">
        <v>14</v>
      </c>
      <c r="B6" s="797">
        <v>1219.2</v>
      </c>
      <c r="C6" s="342"/>
      <c r="D6" s="345" t="s">
        <v>15</v>
      </c>
      <c r="E6" s="797">
        <v>3556</v>
      </c>
      <c r="F6" s="344"/>
      <c r="G6" s="345" t="s">
        <v>16</v>
      </c>
      <c r="H6" s="801" t="s">
        <v>450</v>
      </c>
      <c r="I6" s="342"/>
      <c r="J6" s="345" t="s">
        <v>18</v>
      </c>
      <c r="K6" s="803">
        <v>2</v>
      </c>
      <c r="L6" s="344"/>
      <c r="M6" s="345" t="s">
        <v>12</v>
      </c>
      <c r="N6" s="797">
        <f>E7</f>
        <v>0</v>
      </c>
      <c r="O6" s="344"/>
      <c r="P6" s="345" t="s">
        <v>14</v>
      </c>
      <c r="Q6" s="797">
        <f>E7</f>
        <v>0</v>
      </c>
      <c r="R6" s="920" t="s">
        <v>10</v>
      </c>
      <c r="S6" s="921" t="s">
        <v>1205</v>
      </c>
      <c r="T6" s="921">
        <f>+(0.007353)*E6</f>
        <v>26.147268</v>
      </c>
      <c r="U6" s="329"/>
      <c r="V6" s="329"/>
      <c r="W6" s="329"/>
      <c r="X6" s="1"/>
      <c r="Y6" s="1"/>
      <c r="Z6" s="1"/>
      <c r="AA6" s="1"/>
      <c r="AB6" s="1"/>
      <c r="AC6" s="1"/>
      <c r="AD6" s="1"/>
      <c r="AE6" s="1"/>
      <c r="AF6" s="1"/>
      <c r="AG6" s="1"/>
      <c r="AH6" s="2"/>
      <c r="AI6" s="2"/>
      <c r="AJ6" s="2"/>
      <c r="AL6" s="3">
        <v>5</v>
      </c>
      <c r="AW6" s="5" t="s">
        <v>19</v>
      </c>
      <c r="AX6" s="6" t="s">
        <v>19</v>
      </c>
      <c r="AY6" s="5" t="s">
        <v>19</v>
      </c>
      <c r="AZ6" s="6" t="s">
        <v>19</v>
      </c>
      <c r="BA6" s="5" t="s">
        <v>19</v>
      </c>
      <c r="BB6" s="6" t="s">
        <v>19</v>
      </c>
      <c r="BC6" s="5" t="s">
        <v>19</v>
      </c>
      <c r="BD6" s="6" t="s">
        <v>19</v>
      </c>
    </row>
    <row r="7" spans="1:56" ht="14.4">
      <c r="A7" s="345" t="s">
        <v>15</v>
      </c>
      <c r="B7" s="797">
        <v>1600</v>
      </c>
      <c r="C7" s="342"/>
      <c r="D7" s="345" t="s">
        <v>14</v>
      </c>
      <c r="E7" s="797">
        <v>0</v>
      </c>
      <c r="F7" s="342"/>
      <c r="G7" s="345" t="s">
        <v>20</v>
      </c>
      <c r="H7" s="797">
        <f>96*25.4</f>
        <v>2438.3999999999996</v>
      </c>
      <c r="I7" s="342"/>
      <c r="J7" s="345" t="s">
        <v>21</v>
      </c>
      <c r="K7" s="797">
        <f>B19</f>
        <v>203.2</v>
      </c>
      <c r="L7" s="344"/>
      <c r="M7" s="345" t="s">
        <v>22</v>
      </c>
      <c r="N7" s="799">
        <v>2</v>
      </c>
      <c r="O7" s="344"/>
      <c r="P7" s="346" t="s">
        <v>23</v>
      </c>
      <c r="Q7" s="804">
        <v>20</v>
      </c>
      <c r="R7" s="342"/>
      <c r="S7" s="329"/>
      <c r="T7" s="329"/>
      <c r="U7" s="329"/>
      <c r="V7" s="329"/>
      <c r="W7" s="329"/>
      <c r="X7" s="1"/>
      <c r="Y7" s="1"/>
      <c r="Z7" s="1"/>
      <c r="AA7" s="1"/>
      <c r="AB7" s="1"/>
      <c r="AC7" s="1"/>
      <c r="AD7" s="1"/>
      <c r="AE7" s="1"/>
      <c r="AF7" s="1"/>
      <c r="AG7" s="1"/>
      <c r="AH7" s="2"/>
      <c r="AI7" s="2"/>
      <c r="AJ7" s="2"/>
      <c r="AL7" s="3">
        <v>6</v>
      </c>
      <c r="AO7" s="1"/>
      <c r="AP7" s="1"/>
      <c r="AQ7" s="1"/>
      <c r="AR7" s="1"/>
      <c r="AS7" s="1"/>
      <c r="AT7" s="1"/>
      <c r="AW7" s="5" t="s">
        <v>24</v>
      </c>
      <c r="AX7" s="6" t="s">
        <v>25</v>
      </c>
      <c r="AY7" s="5" t="s">
        <v>26</v>
      </c>
      <c r="AZ7" s="6" t="s">
        <v>27</v>
      </c>
      <c r="BA7" s="5" t="s">
        <v>28</v>
      </c>
      <c r="BB7" s="6" t="s">
        <v>29</v>
      </c>
      <c r="BC7" s="5" t="s">
        <v>30</v>
      </c>
      <c r="BD7" s="6" t="s">
        <v>31</v>
      </c>
    </row>
    <row r="8" spans="1:56" ht="14.4">
      <c r="A8" s="345" t="s">
        <v>32</v>
      </c>
      <c r="B8" s="798">
        <v>150</v>
      </c>
      <c r="C8" s="342"/>
      <c r="D8" s="345" t="s">
        <v>33</v>
      </c>
      <c r="E8" s="797">
        <v>0</v>
      </c>
      <c r="F8" s="342"/>
      <c r="G8" s="345" t="s">
        <v>34</v>
      </c>
      <c r="H8" s="802">
        <f>(B8*B9)/2</f>
        <v>150</v>
      </c>
      <c r="I8" s="342"/>
      <c r="J8" s="345" t="s">
        <v>9</v>
      </c>
      <c r="K8" s="804" t="s">
        <v>35</v>
      </c>
      <c r="L8" s="344"/>
      <c r="M8" s="348"/>
      <c r="N8" s="348"/>
      <c r="O8" s="344"/>
      <c r="P8" s="346" t="s">
        <v>36</v>
      </c>
      <c r="Q8" s="804">
        <v>19</v>
      </c>
      <c r="R8" s="342"/>
      <c r="S8" s="329"/>
      <c r="T8" s="329"/>
      <c r="U8" s="329"/>
      <c r="V8" s="329"/>
      <c r="W8" s="329"/>
      <c r="X8" s="1"/>
      <c r="Y8" s="1"/>
      <c r="Z8" s="1"/>
      <c r="AA8" s="1"/>
      <c r="AB8" s="1"/>
      <c r="AC8" s="1"/>
      <c r="AD8" s="1"/>
      <c r="AE8" s="1"/>
      <c r="AF8" s="1"/>
      <c r="AG8" s="1"/>
      <c r="AH8" s="2"/>
      <c r="AI8" s="2"/>
      <c r="AJ8" s="2"/>
      <c r="AL8" s="3">
        <v>7</v>
      </c>
      <c r="AO8" s="1"/>
    </row>
    <row r="9" spans="1:56" ht="14.4">
      <c r="A9" s="345" t="s">
        <v>37</v>
      </c>
      <c r="B9" s="799">
        <v>2</v>
      </c>
      <c r="C9" s="342"/>
      <c r="D9" s="345" t="s">
        <v>38</v>
      </c>
      <c r="E9" s="801">
        <v>1500</v>
      </c>
      <c r="F9" s="342"/>
      <c r="G9" s="345" t="s">
        <v>39</v>
      </c>
      <c r="H9" s="349">
        <f>Vigas!D20</f>
        <v>1781.2118957571254</v>
      </c>
      <c r="I9" s="342"/>
      <c r="J9" s="345" t="s">
        <v>40</v>
      </c>
      <c r="K9" s="804">
        <v>2</v>
      </c>
      <c r="L9" s="344"/>
      <c r="M9" s="345" t="s">
        <v>41</v>
      </c>
      <c r="N9" s="350">
        <f>Datos!H13</f>
        <v>46</v>
      </c>
      <c r="O9" s="344"/>
      <c r="P9" s="345" t="s">
        <v>42</v>
      </c>
      <c r="Q9" s="351" t="e">
        <f>IF(AND(AX19&gt;=BD19),"Correcto","Falla")</f>
        <v>#N/A</v>
      </c>
      <c r="R9" s="342"/>
      <c r="S9" s="329"/>
      <c r="T9" s="329"/>
      <c r="U9" s="329"/>
      <c r="V9" s="329"/>
      <c r="W9" s="329"/>
      <c r="X9" s="1"/>
      <c r="Y9" s="1"/>
      <c r="Z9" s="1"/>
      <c r="AA9" s="1"/>
      <c r="AB9" s="1"/>
      <c r="AC9" s="1"/>
      <c r="AD9" s="1"/>
      <c r="AE9" s="1"/>
      <c r="AF9" s="1"/>
      <c r="AG9" s="1"/>
      <c r="AH9" s="2"/>
      <c r="AI9" s="2"/>
      <c r="AJ9" s="2"/>
      <c r="AL9" s="3">
        <v>8</v>
      </c>
      <c r="AO9" s="1"/>
      <c r="AP9" s="2"/>
      <c r="AQ9" s="2"/>
      <c r="AR9" s="2"/>
      <c r="AS9" s="2"/>
      <c r="AT9" s="2"/>
    </row>
    <row r="10" spans="1:56" ht="14.4">
      <c r="A10" s="345" t="s">
        <v>43</v>
      </c>
      <c r="B10" s="799">
        <v>4</v>
      </c>
      <c r="C10" s="342"/>
      <c r="D10" s="345" t="s">
        <v>42</v>
      </c>
      <c r="E10" s="351" t="str">
        <f>IF(AND(AQ3&gt;=AP4),"Correcto","Falla")</f>
        <v>Correcto</v>
      </c>
      <c r="F10" s="342"/>
      <c r="G10" s="345" t="s">
        <v>42</v>
      </c>
      <c r="H10" s="351" t="str">
        <f>Vigas!G18</f>
        <v>Correcto</v>
      </c>
      <c r="I10" s="342"/>
      <c r="J10" s="345"/>
      <c r="K10" s="346"/>
      <c r="L10" s="344"/>
      <c r="M10" s="345" t="s">
        <v>44</v>
      </c>
      <c r="N10" s="350">
        <f>Datos!F14</f>
        <v>0</v>
      </c>
      <c r="O10" s="344"/>
      <c r="P10" s="344"/>
      <c r="Q10" s="342"/>
      <c r="R10" s="342"/>
      <c r="S10" s="329"/>
      <c r="T10" s="329"/>
      <c r="U10" s="329"/>
      <c r="V10" s="329"/>
      <c r="W10" s="329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2"/>
      <c r="AI10" s="2"/>
      <c r="AJ10" s="2"/>
      <c r="AO10" s="1"/>
      <c r="AP10" t="s">
        <v>38</v>
      </c>
      <c r="AQ10" s="7" t="s">
        <v>45</v>
      </c>
      <c r="AR10" s="7" t="s">
        <v>10</v>
      </c>
      <c r="AS10" s="7" t="s">
        <v>46</v>
      </c>
      <c r="AT10" s="2"/>
      <c r="AV10" s="8" t="s">
        <v>14</v>
      </c>
      <c r="AW10" s="8">
        <v>1914</v>
      </c>
      <c r="AX10" s="8">
        <v>1918</v>
      </c>
      <c r="AY10" s="8">
        <v>1920</v>
      </c>
      <c r="AZ10" s="8">
        <v>1922</v>
      </c>
      <c r="BA10" s="8">
        <v>4114</v>
      </c>
      <c r="BB10" s="8">
        <v>4118</v>
      </c>
      <c r="BC10" s="8">
        <v>4120</v>
      </c>
      <c r="BD10" s="9">
        <v>4122</v>
      </c>
    </row>
    <row r="11" spans="1:56" ht="14.4">
      <c r="A11" s="365"/>
      <c r="B11" s="342"/>
      <c r="C11" s="342"/>
      <c r="D11" s="345" t="s">
        <v>47</v>
      </c>
      <c r="E11" s="805">
        <f>Pesos!G22</f>
        <v>0</v>
      </c>
      <c r="F11" s="342"/>
      <c r="G11" s="342"/>
      <c r="H11" s="342"/>
      <c r="I11" s="342"/>
      <c r="J11" s="345" t="s">
        <v>20</v>
      </c>
      <c r="K11" s="352">
        <f>K5*K6+K7*(K6-1)+101.6</f>
        <v>304.79999999999995</v>
      </c>
      <c r="L11" s="344"/>
      <c r="M11" s="344"/>
      <c r="N11" s="344"/>
      <c r="O11" s="344"/>
      <c r="P11" s="346" t="s">
        <v>32</v>
      </c>
      <c r="Q11" s="353">
        <f>Panel!H13</f>
        <v>-0.1099098</v>
      </c>
      <c r="R11" s="342"/>
      <c r="S11" s="329"/>
      <c r="T11" s="329"/>
      <c r="U11" s="329"/>
      <c r="V11" s="329"/>
      <c r="W11" s="329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2"/>
      <c r="AI11" s="2"/>
      <c r="AJ11" s="2"/>
      <c r="AO11" s="1"/>
      <c r="AP11" s="4">
        <v>1050</v>
      </c>
      <c r="AQ11" s="10">
        <v>5500</v>
      </c>
      <c r="AR11" s="10">
        <v>10200</v>
      </c>
      <c r="AS11" s="10">
        <v>14100</v>
      </c>
      <c r="AT11" s="2"/>
      <c r="AV11" s="11">
        <v>609.6</v>
      </c>
      <c r="AW11" s="12">
        <v>341</v>
      </c>
      <c r="AX11" s="13">
        <v>247</v>
      </c>
      <c r="AY11" s="12">
        <v>153</v>
      </c>
      <c r="AZ11" s="13">
        <v>94</v>
      </c>
      <c r="BA11" s="12">
        <v>808</v>
      </c>
      <c r="BB11" s="13">
        <v>601</v>
      </c>
      <c r="BC11" s="12">
        <v>395</v>
      </c>
      <c r="BD11" s="13">
        <v>206</v>
      </c>
    </row>
    <row r="12" spans="1:56" ht="14.4">
      <c r="A12" s="342"/>
      <c r="B12" s="342"/>
      <c r="C12" s="342"/>
      <c r="D12" s="345" t="s">
        <v>48</v>
      </c>
      <c r="E12" s="799">
        <v>14</v>
      </c>
      <c r="F12" s="342"/>
      <c r="G12" s="345" t="s">
        <v>49</v>
      </c>
      <c r="H12" s="354">
        <f>Vigas!M68</f>
        <v>10.143744</v>
      </c>
      <c r="I12" s="342"/>
      <c r="J12" s="345" t="s">
        <v>47</v>
      </c>
      <c r="K12" s="347">
        <f>K9*Datos!K18</f>
        <v>4</v>
      </c>
      <c r="L12" s="344"/>
      <c r="M12" s="344"/>
      <c r="N12" s="344"/>
      <c r="O12" s="344"/>
      <c r="P12" s="346" t="s">
        <v>50</v>
      </c>
      <c r="Q12" s="355">
        <f>Panel!D16</f>
        <v>-55</v>
      </c>
      <c r="R12" s="342"/>
      <c r="S12" s="329"/>
      <c r="T12" s="329"/>
      <c r="U12" s="329"/>
      <c r="V12" s="329"/>
      <c r="W12" s="329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2"/>
      <c r="AI12" s="2"/>
      <c r="AJ12" s="2"/>
      <c r="AO12" s="1"/>
      <c r="AP12" s="4">
        <v>1200</v>
      </c>
      <c r="AQ12" s="10">
        <v>4750</v>
      </c>
      <c r="AR12" s="10">
        <v>9900</v>
      </c>
      <c r="AS12" s="10">
        <v>13700</v>
      </c>
      <c r="AT12" s="2"/>
      <c r="AV12" s="11">
        <v>762</v>
      </c>
      <c r="AW12" s="12">
        <v>268</v>
      </c>
      <c r="AX12" s="13">
        <v>187</v>
      </c>
      <c r="AY12" s="12">
        <v>107</v>
      </c>
      <c r="AZ12" s="13">
        <v>80</v>
      </c>
      <c r="BA12" s="12">
        <v>634</v>
      </c>
      <c r="BB12" s="13">
        <v>497</v>
      </c>
      <c r="BC12" s="12">
        <v>360</v>
      </c>
      <c r="BD12" s="13">
        <v>137</v>
      </c>
    </row>
    <row r="13" spans="1:56" ht="14.4">
      <c r="A13" s="342"/>
      <c r="B13" s="342"/>
      <c r="C13" s="342"/>
      <c r="D13" s="345" t="s">
        <v>51</v>
      </c>
      <c r="E13" s="799">
        <v>14</v>
      </c>
      <c r="F13" s="342"/>
      <c r="G13" s="345" t="s">
        <v>52</v>
      </c>
      <c r="H13" s="354">
        <f>Vigas!M69</f>
        <v>1.02</v>
      </c>
      <c r="I13" s="342"/>
      <c r="J13" s="342" t="s">
        <v>53</v>
      </c>
      <c r="K13" s="356">
        <f>(2*Datos!E19*2+2*Datos!E20*4)+Datos!K19*2</f>
        <v>8</v>
      </c>
      <c r="L13" s="344"/>
      <c r="M13" s="344"/>
      <c r="N13" s="344"/>
      <c r="O13" s="344"/>
      <c r="P13" s="344"/>
      <c r="Q13" s="342"/>
      <c r="R13" s="342"/>
      <c r="S13" s="329"/>
      <c r="T13" s="329"/>
      <c r="U13" s="329"/>
      <c r="V13" s="329"/>
      <c r="W13" s="329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2"/>
      <c r="AI13" s="2"/>
      <c r="AJ13" s="2"/>
      <c r="AO13" s="1"/>
      <c r="AP13" s="4">
        <v>1350</v>
      </c>
      <c r="AQ13" s="10">
        <v>4000</v>
      </c>
      <c r="AR13" s="10">
        <v>9500</v>
      </c>
      <c r="AS13" s="10">
        <v>13300</v>
      </c>
      <c r="AT13" s="2"/>
      <c r="AV13" s="11">
        <v>863.6</v>
      </c>
      <c r="AW13" s="12">
        <v>225</v>
      </c>
      <c r="AX13" s="13">
        <v>153</v>
      </c>
      <c r="AY13" s="12">
        <v>82</v>
      </c>
      <c r="AZ13" s="13">
        <v>71</v>
      </c>
      <c r="BA13" s="12">
        <v>554</v>
      </c>
      <c r="BB13" s="13">
        <v>412</v>
      </c>
      <c r="BC13" s="12">
        <v>271</v>
      </c>
      <c r="BD13" s="13">
        <v>141</v>
      </c>
    </row>
    <row r="14" spans="1:56" ht="14.4">
      <c r="A14" s="342"/>
      <c r="B14" s="342"/>
      <c r="C14" s="342"/>
      <c r="D14" s="345" t="s">
        <v>54</v>
      </c>
      <c r="E14" s="353">
        <f>Pesos!O12</f>
        <v>31.444730145231972</v>
      </c>
      <c r="F14" s="342"/>
      <c r="G14" s="345" t="s">
        <v>55</v>
      </c>
      <c r="H14" s="357">
        <f>Vigas!M71</f>
        <v>12.163743999999999</v>
      </c>
      <c r="I14" s="342"/>
      <c r="J14" s="342" t="s">
        <v>56</v>
      </c>
      <c r="K14" s="358">
        <f>(K11/1000)*5.21*K9+Datos!G21*Datos!K18</f>
        <v>21.576015999999999</v>
      </c>
      <c r="L14" s="344"/>
      <c r="M14" s="344"/>
      <c r="N14" s="344"/>
      <c r="O14" s="344"/>
      <c r="P14" s="344"/>
      <c r="Q14" s="342"/>
      <c r="R14" s="342"/>
      <c r="S14" s="329"/>
      <c r="T14" s="329"/>
      <c r="U14" s="329"/>
      <c r="V14" s="329"/>
      <c r="W14" s="329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2"/>
      <c r="AI14" s="2"/>
      <c r="AJ14" s="2"/>
      <c r="AO14" s="1"/>
      <c r="AP14" s="4">
        <v>1500</v>
      </c>
      <c r="AQ14" s="10">
        <v>3250</v>
      </c>
      <c r="AR14" s="10">
        <v>9000</v>
      </c>
      <c r="AS14" s="10">
        <v>12800</v>
      </c>
      <c r="AT14" s="2"/>
      <c r="AV14" s="11">
        <v>914.4</v>
      </c>
      <c r="AW14" s="12">
        <v>200</v>
      </c>
      <c r="AX14" s="13">
        <v>136</v>
      </c>
      <c r="AY14" s="12">
        <v>73</v>
      </c>
      <c r="AZ14" s="13">
        <v>63</v>
      </c>
      <c r="BA14" s="12">
        <v>522</v>
      </c>
      <c r="BB14" s="13">
        <v>388</v>
      </c>
      <c r="BC14" s="12">
        <v>255</v>
      </c>
      <c r="BD14" s="13">
        <v>133</v>
      </c>
    </row>
    <row r="15" spans="1:56" ht="14.4">
      <c r="A15" s="342"/>
      <c r="B15" s="342"/>
      <c r="C15" s="342"/>
      <c r="D15" s="345" t="s">
        <v>57</v>
      </c>
      <c r="E15" s="354">
        <f>Pesos!O14</f>
        <v>14.708320000000001</v>
      </c>
      <c r="F15" s="342"/>
      <c r="G15" s="342"/>
      <c r="H15" s="342"/>
      <c r="I15" s="342"/>
      <c r="J15" s="344"/>
      <c r="K15" s="344"/>
      <c r="L15" s="344"/>
      <c r="M15" s="344"/>
      <c r="N15" s="344"/>
      <c r="O15" s="344"/>
      <c r="P15" s="344"/>
      <c r="Q15" s="342"/>
      <c r="R15" s="342"/>
      <c r="S15" s="329"/>
      <c r="T15" s="329"/>
      <c r="U15" s="329"/>
      <c r="V15" s="329"/>
      <c r="W15" s="329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2"/>
      <c r="AI15" s="2"/>
      <c r="AJ15" s="2"/>
      <c r="AO15" s="1"/>
      <c r="AP15" s="4">
        <v>1650</v>
      </c>
      <c r="AQ15" s="10">
        <v>2700</v>
      </c>
      <c r="AR15" s="10">
        <v>8500</v>
      </c>
      <c r="AS15" s="10">
        <v>12100</v>
      </c>
      <c r="AT15" s="2"/>
      <c r="AV15" s="11">
        <v>1016</v>
      </c>
      <c r="AW15" s="12">
        <v>160</v>
      </c>
      <c r="AX15" s="13">
        <v>109</v>
      </c>
      <c r="AY15" s="12">
        <v>58</v>
      </c>
      <c r="AZ15" s="13">
        <v>51</v>
      </c>
      <c r="BA15" s="12">
        <v>466</v>
      </c>
      <c r="BB15" s="13">
        <v>347</v>
      </c>
      <c r="BC15" s="12">
        <v>228</v>
      </c>
      <c r="BD15" s="13">
        <v>119</v>
      </c>
    </row>
    <row r="16" spans="1:56" ht="14.4">
      <c r="A16" s="342"/>
      <c r="B16" s="342"/>
      <c r="C16" s="342"/>
      <c r="D16" s="342"/>
      <c r="E16" s="342"/>
      <c r="F16" s="342"/>
      <c r="G16" s="342"/>
      <c r="H16" s="342"/>
      <c r="I16" s="342"/>
      <c r="J16" s="344"/>
      <c r="K16" s="344"/>
      <c r="L16" s="344"/>
      <c r="M16" s="344"/>
      <c r="N16" s="344"/>
      <c r="O16" s="344"/>
      <c r="P16" s="344"/>
      <c r="Q16" s="342"/>
      <c r="R16" s="342"/>
      <c r="S16" s="329"/>
      <c r="T16" s="329"/>
      <c r="U16" s="329"/>
      <c r="V16" s="329"/>
      <c r="W16" s="329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2"/>
      <c r="AI16" s="2"/>
      <c r="AJ16" s="2"/>
      <c r="AO16" s="1"/>
      <c r="AP16" s="4">
        <v>1800</v>
      </c>
      <c r="AQ16" s="10">
        <v>2250</v>
      </c>
      <c r="AR16" s="10">
        <v>7900</v>
      </c>
      <c r="AS16" s="10">
        <v>11500</v>
      </c>
      <c r="AT16" s="2"/>
      <c r="AV16" s="11">
        <v>1066.8</v>
      </c>
      <c r="AW16" s="12">
        <v>144</v>
      </c>
      <c r="AX16" s="13">
        <v>98</v>
      </c>
      <c r="AY16" s="12">
        <v>52</v>
      </c>
      <c r="AZ16" s="13">
        <v>46</v>
      </c>
      <c r="BA16" s="12">
        <v>443</v>
      </c>
      <c r="BB16" s="13">
        <v>330</v>
      </c>
      <c r="BC16" s="12">
        <v>217</v>
      </c>
      <c r="BD16" s="13">
        <v>113</v>
      </c>
    </row>
    <row r="17" spans="1:56" ht="15.75" customHeight="1">
      <c r="A17" s="1068" t="s">
        <v>58</v>
      </c>
      <c r="B17" s="1069"/>
      <c r="C17" s="342"/>
      <c r="D17" s="1068" t="s">
        <v>59</v>
      </c>
      <c r="E17" s="1069"/>
      <c r="F17" s="342"/>
      <c r="G17" s="1068" t="s">
        <v>60</v>
      </c>
      <c r="H17" s="1069"/>
      <c r="I17" s="342"/>
      <c r="J17" s="1090" t="s">
        <v>713</v>
      </c>
      <c r="K17" s="1090"/>
      <c r="L17" s="1090"/>
      <c r="M17" s="1090"/>
      <c r="N17" s="1090"/>
      <c r="O17" s="1090"/>
      <c r="P17" s="1090"/>
      <c r="Q17" s="1090"/>
      <c r="R17" s="342"/>
      <c r="S17" s="329"/>
      <c r="T17" s="329"/>
      <c r="U17" s="329"/>
      <c r="V17" s="329"/>
      <c r="W17" s="329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2"/>
      <c r="AI17" s="2"/>
      <c r="AJ17" s="2"/>
      <c r="AK17" s="2"/>
      <c r="AL17" s="2"/>
      <c r="AM17" s="2"/>
      <c r="AN17" s="2"/>
      <c r="AO17" s="1"/>
      <c r="AP17" s="4">
        <v>1950</v>
      </c>
      <c r="AQ17" s="10">
        <v>1950</v>
      </c>
      <c r="AR17" s="10">
        <v>7400</v>
      </c>
      <c r="AS17" s="10">
        <v>10700</v>
      </c>
      <c r="AT17" s="2"/>
      <c r="AV17" s="11">
        <v>1219.2</v>
      </c>
      <c r="AW17" s="12">
        <v>109</v>
      </c>
      <c r="AX17" s="13">
        <v>74</v>
      </c>
      <c r="AY17" s="12">
        <v>39</v>
      </c>
      <c r="AZ17" s="13">
        <v>35</v>
      </c>
      <c r="BA17" s="12">
        <v>385</v>
      </c>
      <c r="BB17" s="13">
        <v>286</v>
      </c>
      <c r="BC17" s="12">
        <v>188</v>
      </c>
      <c r="BD17" s="13">
        <v>98</v>
      </c>
    </row>
    <row r="18" spans="1:56" ht="15" customHeight="1">
      <c r="A18" s="345" t="s">
        <v>9</v>
      </c>
      <c r="B18" s="800" t="s">
        <v>61</v>
      </c>
      <c r="C18" s="342"/>
      <c r="D18" s="345" t="s">
        <v>9</v>
      </c>
      <c r="E18" s="800" t="s">
        <v>62</v>
      </c>
      <c r="F18" s="342"/>
      <c r="G18" s="345" t="s">
        <v>13</v>
      </c>
      <c r="H18" s="797">
        <f>H7</f>
        <v>2438.3999999999996</v>
      </c>
      <c r="I18" s="342"/>
      <c r="J18" s="1091" t="s">
        <v>64</v>
      </c>
      <c r="K18" s="1091"/>
      <c r="L18" s="1092" t="s">
        <v>130</v>
      </c>
      <c r="M18" s="1091"/>
      <c r="N18" s="1093" t="s">
        <v>737</v>
      </c>
      <c r="O18" s="1094"/>
      <c r="P18" s="1092" t="s">
        <v>752</v>
      </c>
      <c r="Q18" s="1091"/>
      <c r="R18" s="342"/>
      <c r="S18" s="329"/>
      <c r="T18" s="329"/>
      <c r="U18" s="329"/>
      <c r="V18" s="329"/>
      <c r="W18" s="329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2"/>
      <c r="AI18" s="2"/>
      <c r="AJ18" s="2"/>
      <c r="AO18" s="1"/>
      <c r="AP18" s="4">
        <v>2100</v>
      </c>
      <c r="AQ18" s="10">
        <v>1650</v>
      </c>
      <c r="AR18" s="10">
        <v>6900</v>
      </c>
      <c r="AS18" s="10">
        <v>10100</v>
      </c>
      <c r="AT18" s="2"/>
    </row>
    <row r="19" spans="1:56" ht="15.75" customHeight="1">
      <c r="A19" s="345" t="s">
        <v>20</v>
      </c>
      <c r="B19" s="797">
        <v>203.2</v>
      </c>
      <c r="C19" s="342"/>
      <c r="D19" s="345" t="s">
        <v>12</v>
      </c>
      <c r="E19" s="797">
        <f>E7</f>
        <v>0</v>
      </c>
      <c r="F19" s="342"/>
      <c r="G19" s="345" t="s">
        <v>63</v>
      </c>
      <c r="H19" s="797">
        <v>76.2</v>
      </c>
      <c r="I19" s="342"/>
      <c r="J19" s="342"/>
      <c r="K19" s="344"/>
      <c r="L19" s="344"/>
      <c r="M19" s="359"/>
      <c r="N19" s="360"/>
      <c r="O19" s="361"/>
      <c r="P19" s="344"/>
      <c r="Q19" s="342"/>
      <c r="R19" s="342"/>
      <c r="S19" s="329"/>
      <c r="T19" s="329"/>
      <c r="U19" s="329"/>
      <c r="V19" s="329"/>
      <c r="W19" s="329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2"/>
      <c r="AI19" s="2"/>
      <c r="AJ19" s="2"/>
      <c r="AO19" s="1"/>
      <c r="AP19" s="4"/>
      <c r="AQ19" s="2"/>
      <c r="AR19" s="2"/>
      <c r="AS19" s="2"/>
      <c r="AT19" s="2"/>
      <c r="AX19" s="3" t="e">
        <f>IF(AU2="1914",VLOOKUP(Q6,AV11:BD17,2,0),IF(AU2="1918",VLOOKUP(Q6,AV11:BD17,3,0),IF(AU2="1920",VLOOKUP(Q6,AV11:BD17,4,0),IF(AU2="1922",VLOOKUP(Q6,AV11:BD17,5,0),IF(AU2="4114",VLOOKUP(Q6,AV11:BD17,6,0),IF(AU2="4118",VLOOKUP(Q6,AV11:BD17,7,0),IF(AU2="4120",VLOOKUP(Q6,AV11:BD17,8,0),IF(AU2="4122",VLOOKUP(Q6,AV11:BD17,9,0),"Falla"))))))))</f>
        <v>#N/A</v>
      </c>
      <c r="BA19" s="3">
        <f>H7/Q5</f>
        <v>11.083636363636362</v>
      </c>
      <c r="BB19" s="3">
        <f>ROUND(BA19,0)</f>
        <v>11</v>
      </c>
      <c r="BC19" s="3">
        <f>H8*2</f>
        <v>300</v>
      </c>
      <c r="BD19" s="3">
        <f>BC19/BB19</f>
        <v>27.272727272727273</v>
      </c>
    </row>
    <row r="20" spans="1:56" ht="14.4">
      <c r="A20" s="345" t="s">
        <v>32</v>
      </c>
      <c r="B20" s="353">
        <f>SUM(Distanciadores!E2:E7)</f>
        <v>1.00576</v>
      </c>
      <c r="C20" s="342"/>
      <c r="D20" s="346" t="s">
        <v>47</v>
      </c>
      <c r="E20" s="356">
        <f>Datos!I31</f>
        <v>3</v>
      </c>
      <c r="F20" s="342"/>
      <c r="G20" s="346" t="s">
        <v>47</v>
      </c>
      <c r="H20" s="356">
        <v>4</v>
      </c>
      <c r="I20" s="342"/>
      <c r="J20" s="342"/>
      <c r="K20" s="342"/>
      <c r="L20" s="342"/>
      <c r="M20" s="362"/>
      <c r="N20" s="363"/>
      <c r="O20" s="364"/>
      <c r="P20" s="342"/>
      <c r="Q20" s="342"/>
      <c r="R20" s="342"/>
      <c r="S20" s="329"/>
      <c r="T20" s="329"/>
      <c r="U20" s="329"/>
      <c r="V20" s="329"/>
      <c r="W20" s="329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2"/>
      <c r="AI20" s="2"/>
      <c r="AJ20" s="2"/>
      <c r="AO20" s="1"/>
      <c r="AP20" s="4"/>
      <c r="AQ20" s="2"/>
      <c r="AR20" s="2"/>
      <c r="AS20" s="2"/>
      <c r="AT20" s="2"/>
    </row>
    <row r="21" spans="1:56" ht="15.75" customHeight="1">
      <c r="A21" s="342"/>
      <c r="B21" s="342"/>
      <c r="C21" s="342"/>
      <c r="D21" s="345" t="s">
        <v>32</v>
      </c>
      <c r="E21" s="353">
        <f>Datos!H31</f>
        <v>-0.14518740600000002</v>
      </c>
      <c r="F21" s="342"/>
      <c r="G21" s="345" t="s">
        <v>32</v>
      </c>
      <c r="H21" s="353">
        <f>Datos!F40+3</f>
        <v>12.907145483999999</v>
      </c>
      <c r="I21" s="342"/>
      <c r="J21" s="342"/>
      <c r="K21" s="342"/>
      <c r="L21" s="342"/>
      <c r="M21" s="342"/>
      <c r="N21" s="342"/>
      <c r="O21" s="342"/>
      <c r="P21" s="342"/>
      <c r="Q21" s="342"/>
      <c r="R21" s="342"/>
      <c r="S21" s="329"/>
      <c r="T21" s="329"/>
      <c r="U21" s="329"/>
      <c r="V21" s="329"/>
      <c r="W21" s="329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2"/>
      <c r="AI21" s="2"/>
      <c r="AJ21" s="2"/>
    </row>
    <row r="22" spans="1:56" ht="15.75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66"/>
      <c r="K22" s="366"/>
      <c r="L22" s="366"/>
      <c r="M22" s="366"/>
      <c r="N22" s="366"/>
      <c r="O22" s="366"/>
      <c r="P22" s="366"/>
      <c r="Q22" s="366"/>
      <c r="R22" s="342"/>
      <c r="S22" s="329"/>
      <c r="T22" s="329"/>
      <c r="U22" s="329"/>
      <c r="V22" s="329"/>
      <c r="W22" s="329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2"/>
      <c r="AI22" s="2"/>
      <c r="AJ22" s="2"/>
      <c r="AS22" s="311">
        <f>E6</f>
        <v>3556</v>
      </c>
    </row>
    <row r="23" spans="1:56" ht="15.75" customHeight="1">
      <c r="A23" s="366"/>
      <c r="B23" s="366"/>
      <c r="C23" s="366"/>
      <c r="D23" s="366"/>
      <c r="E23" s="366"/>
      <c r="F23" s="366"/>
      <c r="G23" s="366"/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31"/>
      <c r="T23" s="331"/>
      <c r="U23" s="331"/>
      <c r="V23" s="331"/>
      <c r="W23" s="331"/>
      <c r="X23" s="332"/>
      <c r="Y23" s="332"/>
      <c r="Z23" s="332"/>
      <c r="AA23" s="332"/>
      <c r="AB23" s="332"/>
      <c r="AC23" s="332"/>
      <c r="AD23" s="332"/>
      <c r="AE23" s="332"/>
      <c r="AF23" s="332"/>
      <c r="AG23" s="332"/>
      <c r="AH23" s="333"/>
      <c r="AI23" s="333"/>
      <c r="AJ23" s="333"/>
      <c r="AS23">
        <f>AS22/25.4</f>
        <v>140</v>
      </c>
    </row>
    <row r="24" spans="1:56" ht="15.75" customHeight="1">
      <c r="A24" s="342"/>
      <c r="B24" s="342"/>
      <c r="C24" s="342"/>
      <c r="D24" s="342"/>
      <c r="E24" s="342"/>
      <c r="F24" s="342"/>
      <c r="G24" s="342"/>
      <c r="H24" s="342"/>
      <c r="I24" s="342"/>
      <c r="J24" s="366"/>
      <c r="K24" s="366"/>
      <c r="L24" s="366"/>
      <c r="M24" s="366"/>
      <c r="N24" s="366"/>
      <c r="O24" s="366"/>
      <c r="P24" s="366"/>
      <c r="Q24" s="366"/>
      <c r="R24" s="342"/>
      <c r="S24" s="329"/>
      <c r="T24" s="329"/>
      <c r="U24" s="329"/>
      <c r="V24" s="329"/>
      <c r="W24" s="329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2"/>
      <c r="AI24" s="2"/>
      <c r="AJ24" s="2"/>
      <c r="AS24">
        <f>EVEN(AS23)</f>
        <v>140</v>
      </c>
    </row>
    <row r="25" spans="1:56" ht="15.75" customHeight="1">
      <c r="A25" s="366"/>
      <c r="B25" s="366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66"/>
      <c r="S25" s="331"/>
      <c r="T25" s="331"/>
      <c r="U25" s="331"/>
      <c r="V25" s="329"/>
      <c r="W25" s="329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2"/>
      <c r="AI25" s="2"/>
      <c r="AJ25" s="2"/>
      <c r="AS25">
        <f>AS24*25.4</f>
        <v>3556</v>
      </c>
    </row>
    <row r="26" spans="1:56" ht="15" customHeight="1">
      <c r="A26" s="344"/>
      <c r="B26" s="344"/>
      <c r="C26" s="342"/>
      <c r="D26" s="1068" t="s">
        <v>64</v>
      </c>
      <c r="E26" s="1071"/>
      <c r="F26" s="1071"/>
      <c r="G26" s="1069"/>
      <c r="H26" s="1041" t="s">
        <v>156</v>
      </c>
      <c r="I26" s="1041"/>
      <c r="J26" s="343"/>
      <c r="K26" s="360"/>
      <c r="L26" s="360"/>
      <c r="M26" s="360"/>
      <c r="N26" s="360"/>
      <c r="O26" s="342"/>
      <c r="P26" s="342"/>
      <c r="Q26" s="342"/>
      <c r="R26" s="342"/>
      <c r="S26" s="329"/>
      <c r="T26" s="329"/>
      <c r="U26" s="329"/>
      <c r="V26" s="329"/>
      <c r="W26" s="329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2"/>
      <c r="AI26" s="2"/>
      <c r="AJ26" s="2"/>
    </row>
    <row r="27" spans="1:56" ht="15.75" customHeight="1">
      <c r="A27" s="344"/>
      <c r="B27" s="344"/>
      <c r="C27" s="342"/>
      <c r="D27" s="367"/>
      <c r="E27" s="367" t="s">
        <v>66</v>
      </c>
      <c r="F27" s="367" t="s">
        <v>23</v>
      </c>
      <c r="G27" s="367" t="s">
        <v>67</v>
      </c>
      <c r="H27" s="1070" t="s">
        <v>720</v>
      </c>
      <c r="I27" s="1070"/>
      <c r="J27" s="368"/>
      <c r="K27" s="360"/>
      <c r="L27" s="360"/>
      <c r="M27" s="360"/>
      <c r="N27" s="360"/>
      <c r="O27" s="342"/>
      <c r="P27" s="342"/>
      <c r="Q27" s="342"/>
      <c r="R27" s="342"/>
      <c r="S27" s="329"/>
      <c r="T27" s="329"/>
      <c r="U27" s="329"/>
      <c r="V27" s="329"/>
      <c r="W27" s="329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2"/>
      <c r="AI27" s="2"/>
      <c r="AJ27" s="2"/>
    </row>
    <row r="28" spans="1:56" ht="15" customHeight="1">
      <c r="A28" s="344"/>
      <c r="B28" s="344"/>
      <c r="C28" s="342"/>
      <c r="D28" s="1074" t="s">
        <v>69</v>
      </c>
      <c r="E28" s="369" t="s">
        <v>45</v>
      </c>
      <c r="F28" s="342" t="s">
        <v>132</v>
      </c>
      <c r="G28" s="342"/>
      <c r="H28" s="342"/>
      <c r="I28" s="342"/>
      <c r="J28" s="360"/>
      <c r="K28" s="360"/>
      <c r="L28" s="360"/>
      <c r="M28" s="360"/>
      <c r="N28" s="360"/>
      <c r="O28" s="342"/>
      <c r="P28" s="342"/>
      <c r="Q28" s="342"/>
      <c r="R28" s="342"/>
      <c r="S28" s="329"/>
      <c r="T28" s="329"/>
      <c r="U28" s="329"/>
      <c r="V28" s="329"/>
      <c r="W28" s="329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2"/>
      <c r="AI28" s="2"/>
      <c r="AJ28" s="2"/>
    </row>
    <row r="29" spans="1:56" ht="15.75" customHeight="1">
      <c r="A29" s="344"/>
      <c r="B29" s="344"/>
      <c r="C29" s="342"/>
      <c r="D29" s="1066"/>
      <c r="E29" s="918" t="s">
        <v>10</v>
      </c>
      <c r="F29" s="919">
        <v>16</v>
      </c>
      <c r="G29" s="919" t="s">
        <v>73</v>
      </c>
      <c r="H29" s="342"/>
      <c r="I29" s="342"/>
      <c r="J29" s="360"/>
      <c r="K29" s="360"/>
      <c r="L29" s="360"/>
      <c r="M29" s="360"/>
      <c r="N29" s="360"/>
      <c r="O29" s="342"/>
      <c r="P29" s="342"/>
      <c r="Q29" s="342"/>
      <c r="R29" s="342"/>
      <c r="S29" s="329"/>
      <c r="T29" s="329"/>
      <c r="U29" s="329"/>
      <c r="V29" s="329"/>
      <c r="W29" s="329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2"/>
      <c r="AI29" s="2"/>
      <c r="AJ29" s="2"/>
    </row>
    <row r="30" spans="1:56" ht="15.75" customHeight="1">
      <c r="A30" s="344"/>
      <c r="B30" s="344"/>
      <c r="C30" s="342"/>
      <c r="D30" s="1066"/>
      <c r="E30" s="918" t="s">
        <v>46</v>
      </c>
      <c r="F30" s="919">
        <v>14</v>
      </c>
      <c r="G30" s="919" t="s">
        <v>73</v>
      </c>
      <c r="H30" s="342"/>
      <c r="I30" s="342"/>
      <c r="J30" s="360"/>
      <c r="K30" s="360"/>
      <c r="L30" s="360"/>
      <c r="M30" s="1041" t="s">
        <v>721</v>
      </c>
      <c r="N30" s="1041"/>
      <c r="O30" s="343"/>
      <c r="P30" s="342"/>
      <c r="Q30" s="342"/>
      <c r="R30" s="342"/>
      <c r="S30" s="329"/>
      <c r="T30" s="329"/>
      <c r="U30" s="329"/>
      <c r="V30" s="329"/>
      <c r="W30" s="329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2"/>
      <c r="AI30" s="2"/>
      <c r="AJ30" s="2"/>
    </row>
    <row r="31" spans="1:56" ht="15.75" customHeight="1">
      <c r="A31" s="344"/>
      <c r="B31" s="344"/>
      <c r="C31" s="342"/>
      <c r="D31" s="1067"/>
      <c r="E31" s="370" t="s">
        <v>77</v>
      </c>
      <c r="F31" s="371">
        <v>14</v>
      </c>
      <c r="G31" s="371" t="s">
        <v>78</v>
      </c>
      <c r="H31" s="342"/>
      <c r="I31" s="342"/>
      <c r="J31" s="360"/>
      <c r="K31" s="360"/>
      <c r="L31" s="360"/>
      <c r="M31" s="1070" t="s">
        <v>720</v>
      </c>
      <c r="N31" s="1070"/>
      <c r="O31" s="368"/>
      <c r="P31" s="342"/>
      <c r="Q31" s="342"/>
      <c r="R31" s="342"/>
      <c r="S31" s="329"/>
      <c r="T31" s="329"/>
      <c r="U31" s="329"/>
      <c r="V31" s="329"/>
      <c r="W31" s="329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2"/>
      <c r="AI31" s="2"/>
      <c r="AJ31" s="2"/>
    </row>
    <row r="32" spans="1:56" ht="15.75" customHeight="1">
      <c r="A32" s="344"/>
      <c r="B32" s="344"/>
      <c r="C32" s="342"/>
      <c r="D32" s="1065" t="s">
        <v>81</v>
      </c>
      <c r="E32" s="372" t="s">
        <v>82</v>
      </c>
      <c r="F32" s="342">
        <v>16</v>
      </c>
      <c r="G32" s="342" t="s">
        <v>73</v>
      </c>
      <c r="H32" s="342"/>
      <c r="I32" s="342"/>
      <c r="J32" s="360"/>
      <c r="K32" s="360"/>
      <c r="L32" s="360"/>
      <c r="M32" s="360"/>
      <c r="N32" s="360"/>
      <c r="O32" s="342"/>
      <c r="P32" s="342"/>
      <c r="Q32" s="342"/>
      <c r="R32" s="342"/>
      <c r="S32" s="329"/>
      <c r="T32" s="329"/>
      <c r="U32" s="329"/>
      <c r="V32" s="329"/>
      <c r="W32" s="329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2"/>
      <c r="AI32" s="2"/>
      <c r="AJ32" s="2"/>
    </row>
    <row r="33" spans="1:36" ht="15.75" customHeight="1">
      <c r="A33" s="345"/>
      <c r="B33" s="345"/>
      <c r="C33" s="342"/>
      <c r="D33" s="1066"/>
      <c r="E33" s="369" t="s">
        <v>85</v>
      </c>
      <c r="F33" s="342">
        <v>14</v>
      </c>
      <c r="G33" s="342" t="s">
        <v>73</v>
      </c>
      <c r="H33" s="342"/>
      <c r="I33" s="342"/>
      <c r="J33" s="360"/>
      <c r="K33" s="360"/>
      <c r="L33" s="360"/>
      <c r="M33" s="360"/>
      <c r="N33" s="360"/>
      <c r="O33" s="342"/>
      <c r="P33" s="342"/>
      <c r="Q33" s="342"/>
      <c r="R33" s="342"/>
      <c r="S33" s="329"/>
      <c r="T33" s="329"/>
      <c r="U33" s="329"/>
      <c r="V33" s="329"/>
      <c r="W33" s="329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2"/>
      <c r="AI33" s="2"/>
      <c r="AJ33" s="2"/>
    </row>
    <row r="34" spans="1:36" ht="15" customHeight="1">
      <c r="A34" s="345"/>
      <c r="B34" s="345"/>
      <c r="C34" s="342"/>
      <c r="D34" s="1066"/>
      <c r="E34" s="369" t="s">
        <v>89</v>
      </c>
      <c r="F34" s="342">
        <v>14</v>
      </c>
      <c r="G34" s="342" t="s">
        <v>78</v>
      </c>
      <c r="H34" s="342"/>
      <c r="I34" s="342"/>
      <c r="J34" s="360"/>
      <c r="K34" s="360"/>
      <c r="L34" s="360"/>
      <c r="M34" s="360"/>
      <c r="N34" s="360"/>
      <c r="O34" s="342"/>
      <c r="P34" s="342"/>
      <c r="Q34" s="342"/>
      <c r="R34" s="342"/>
      <c r="S34" s="329"/>
      <c r="T34" s="329"/>
      <c r="U34" s="329"/>
      <c r="V34" s="329"/>
      <c r="W34" s="329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2"/>
      <c r="AI34" s="2"/>
      <c r="AJ34" s="2"/>
    </row>
    <row r="35" spans="1:36" ht="15.75" customHeight="1">
      <c r="A35" s="1048" t="s">
        <v>92</v>
      </c>
      <c r="B35" s="1049"/>
      <c r="C35" s="1050"/>
      <c r="D35" s="1067"/>
      <c r="E35" s="370" t="s">
        <v>93</v>
      </c>
      <c r="F35" s="371">
        <v>14</v>
      </c>
      <c r="G35" s="371" t="s">
        <v>94</v>
      </c>
      <c r="H35" s="342"/>
      <c r="I35" s="342"/>
      <c r="J35" s="360"/>
      <c r="K35" s="360"/>
      <c r="L35" s="360"/>
      <c r="M35" s="360"/>
      <c r="N35" s="1057" t="s">
        <v>724</v>
      </c>
      <c r="O35" s="1057"/>
      <c r="P35" s="1057"/>
      <c r="Q35" s="1057"/>
      <c r="R35" s="342"/>
      <c r="S35" s="329"/>
      <c r="T35" s="329"/>
      <c r="U35" s="329"/>
      <c r="V35" s="329"/>
      <c r="W35" s="329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2"/>
      <c r="AI35" s="2"/>
      <c r="AJ35" s="2"/>
    </row>
    <row r="36" spans="1:36" ht="15.75" customHeight="1">
      <c r="A36" s="1051"/>
      <c r="B36" s="1052"/>
      <c r="C36" s="1053"/>
      <c r="D36" s="1065" t="s">
        <v>97</v>
      </c>
      <c r="E36" s="372" t="s">
        <v>98</v>
      </c>
      <c r="F36" s="342" t="s">
        <v>99</v>
      </c>
      <c r="G36" s="342"/>
      <c r="H36" s="342"/>
      <c r="I36" s="342"/>
      <c r="J36" s="360"/>
      <c r="K36" s="360"/>
      <c r="L36" s="360"/>
      <c r="M36" s="360"/>
      <c r="N36" s="373" t="s">
        <v>722</v>
      </c>
      <c r="O36" s="1058" t="s">
        <v>123</v>
      </c>
      <c r="P36" s="1059"/>
      <c r="Q36" s="374" t="s">
        <v>132</v>
      </c>
      <c r="R36" s="342"/>
      <c r="S36" s="329"/>
      <c r="T36" s="329"/>
      <c r="U36" s="329"/>
      <c r="V36" s="329"/>
      <c r="W36" s="329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2"/>
      <c r="AI36" s="2"/>
      <c r="AJ36" s="2"/>
    </row>
    <row r="37" spans="1:36" ht="15.75" customHeight="1">
      <c r="A37" s="1051"/>
      <c r="B37" s="1052"/>
      <c r="C37" s="1053"/>
      <c r="D37" s="1066"/>
      <c r="E37" s="369" t="s">
        <v>101</v>
      </c>
      <c r="F37" s="342" t="s">
        <v>102</v>
      </c>
      <c r="G37" s="342"/>
      <c r="H37" s="342"/>
      <c r="I37" s="1095"/>
      <c r="J37" s="1095"/>
      <c r="K37" s="360"/>
      <c r="L37" s="360"/>
      <c r="M37" s="360"/>
      <c r="N37" s="375" t="s">
        <v>723</v>
      </c>
      <c r="O37" s="1040" t="s">
        <v>126</v>
      </c>
      <c r="P37" s="1041"/>
      <c r="Q37" s="376">
        <v>4</v>
      </c>
      <c r="R37" s="342"/>
      <c r="S37" s="329"/>
      <c r="T37" s="329"/>
      <c r="U37" s="329"/>
      <c r="V37" s="329"/>
      <c r="W37" s="329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2"/>
      <c r="AI37" s="2"/>
      <c r="AJ37" s="2"/>
    </row>
    <row r="38" spans="1:36" ht="15.75" customHeight="1">
      <c r="A38" s="1054"/>
      <c r="B38" s="1055"/>
      <c r="C38" s="1056"/>
      <c r="D38" s="1066"/>
      <c r="E38" s="369" t="s">
        <v>105</v>
      </c>
      <c r="F38" s="342" t="s">
        <v>106</v>
      </c>
      <c r="G38" s="342"/>
      <c r="H38" s="1041" t="s">
        <v>718</v>
      </c>
      <c r="I38" s="1041"/>
      <c r="J38" s="343"/>
      <c r="K38" s="360"/>
      <c r="L38" s="360"/>
      <c r="M38" s="360"/>
      <c r="N38" s="375" t="s">
        <v>725</v>
      </c>
      <c r="O38" s="1040" t="s">
        <v>126</v>
      </c>
      <c r="P38" s="1041"/>
      <c r="Q38" s="376">
        <v>8</v>
      </c>
      <c r="R38" s="342"/>
      <c r="S38" s="329"/>
      <c r="T38" s="329"/>
      <c r="U38" s="329"/>
      <c r="V38" s="329"/>
      <c r="W38" s="329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2"/>
      <c r="AI38" s="2"/>
      <c r="AJ38" s="2"/>
    </row>
    <row r="39" spans="1:36" ht="15.75" customHeight="1">
      <c r="A39" s="342"/>
      <c r="B39" s="342"/>
      <c r="C39" s="342"/>
      <c r="D39" s="1067"/>
      <c r="E39" s="370" t="s">
        <v>109</v>
      </c>
      <c r="F39" s="371" t="s">
        <v>110</v>
      </c>
      <c r="G39" s="371"/>
      <c r="H39" s="1070" t="s">
        <v>719</v>
      </c>
      <c r="I39" s="1070"/>
      <c r="J39" s="368"/>
      <c r="K39" s="360"/>
      <c r="L39" s="360"/>
      <c r="M39" s="360"/>
      <c r="N39" s="375" t="s">
        <v>736</v>
      </c>
      <c r="O39" s="1040" t="s">
        <v>132</v>
      </c>
      <c r="P39" s="1041"/>
      <c r="Q39" s="376">
        <v>3</v>
      </c>
      <c r="R39" s="342"/>
      <c r="S39" s="329"/>
      <c r="T39" s="329"/>
      <c r="U39" s="329"/>
      <c r="V39" s="329"/>
      <c r="W39" s="329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2"/>
      <c r="AI39" s="2"/>
      <c r="AJ39" s="2"/>
    </row>
    <row r="40" spans="1:36" ht="15.75" customHeight="1">
      <c r="A40" s="342"/>
      <c r="B40" s="342"/>
      <c r="C40" s="342"/>
      <c r="D40" s="342"/>
      <c r="E40" s="342"/>
      <c r="F40" s="344"/>
      <c r="G40" s="344"/>
      <c r="H40" s="342"/>
      <c r="I40" s="342"/>
      <c r="J40" s="360"/>
      <c r="K40" s="377"/>
      <c r="L40" s="377"/>
      <c r="M40" s="377"/>
      <c r="N40" s="377"/>
      <c r="O40" s="366"/>
      <c r="P40" s="342"/>
      <c r="Q40" s="342"/>
      <c r="R40" s="342"/>
      <c r="S40" s="329"/>
      <c r="T40" s="329"/>
      <c r="U40" s="329"/>
      <c r="V40" s="329"/>
      <c r="W40" s="329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2"/>
      <c r="AI40" s="2"/>
      <c r="AJ40" s="2"/>
    </row>
    <row r="41" spans="1:36" ht="15.75" customHeight="1">
      <c r="A41" s="360"/>
      <c r="B41" s="360"/>
      <c r="C41" s="378" t="s">
        <v>132</v>
      </c>
      <c r="D41" s="360" t="s">
        <v>714</v>
      </c>
      <c r="E41" s="360"/>
      <c r="F41" s="360"/>
      <c r="G41" s="360"/>
      <c r="H41" s="342"/>
      <c r="I41" s="342"/>
      <c r="J41" s="360"/>
      <c r="K41" s="377"/>
      <c r="L41" s="377"/>
      <c r="M41" s="377"/>
      <c r="N41" s="377"/>
      <c r="O41" s="366"/>
      <c r="P41" s="342"/>
      <c r="Q41" s="342"/>
      <c r="R41" s="342"/>
      <c r="S41" s="329"/>
      <c r="T41" s="329"/>
      <c r="U41" s="329"/>
      <c r="V41" s="329"/>
      <c r="W41" s="329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2"/>
      <c r="AI41" s="2"/>
      <c r="AJ41" s="2"/>
    </row>
    <row r="42" spans="1:36" ht="15.75" customHeight="1">
      <c r="A42" s="360"/>
      <c r="B42" s="360"/>
      <c r="C42" s="378" t="s">
        <v>132</v>
      </c>
      <c r="D42" s="360" t="s">
        <v>715</v>
      </c>
      <c r="E42" s="360"/>
      <c r="F42" s="360"/>
      <c r="G42" s="360"/>
      <c r="H42" s="342"/>
      <c r="I42" s="342"/>
      <c r="J42" s="344"/>
      <c r="K42" s="366"/>
      <c r="L42" s="379"/>
      <c r="M42" s="380"/>
      <c r="N42" s="366"/>
      <c r="O42" s="366"/>
      <c r="P42" s="342"/>
      <c r="Q42" s="342"/>
      <c r="R42" s="342"/>
      <c r="S42" s="329"/>
      <c r="T42" s="329"/>
      <c r="U42" s="329"/>
      <c r="V42" s="329"/>
      <c r="W42" s="329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2"/>
      <c r="AI42" s="2"/>
      <c r="AJ42" s="2"/>
    </row>
    <row r="43" spans="1:36" ht="15.75" customHeight="1">
      <c r="A43" s="360"/>
      <c r="B43" s="360"/>
      <c r="C43" s="378" t="s">
        <v>132</v>
      </c>
      <c r="D43" s="360" t="s">
        <v>716</v>
      </c>
      <c r="E43" s="360"/>
      <c r="F43" s="360"/>
      <c r="G43" s="360"/>
      <c r="H43" s="342"/>
      <c r="I43" s="342"/>
      <c r="J43" s="344"/>
      <c r="K43" s="381"/>
      <c r="L43" s="366"/>
      <c r="M43" s="366"/>
      <c r="N43" s="366"/>
      <c r="O43" s="366"/>
      <c r="P43" s="342"/>
      <c r="Q43" s="342"/>
      <c r="R43" s="342"/>
      <c r="S43" s="329"/>
      <c r="T43" s="329"/>
      <c r="U43" s="329"/>
      <c r="V43" s="329"/>
      <c r="W43" s="329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2"/>
      <c r="AI43" s="2"/>
      <c r="AJ43" s="2"/>
    </row>
    <row r="44" spans="1:36" ht="15.75" customHeight="1">
      <c r="A44" s="360"/>
      <c r="B44" s="360"/>
      <c r="C44" s="378" t="s">
        <v>132</v>
      </c>
      <c r="D44" s="360" t="s">
        <v>717</v>
      </c>
      <c r="E44" s="360"/>
      <c r="F44" s="360"/>
      <c r="G44" s="360"/>
      <c r="H44" s="342"/>
      <c r="I44" s="342"/>
      <c r="J44" s="344"/>
      <c r="K44" s="344"/>
      <c r="L44" s="342"/>
      <c r="M44" s="342"/>
      <c r="N44" s="342"/>
      <c r="O44" s="342"/>
      <c r="P44" s="342"/>
      <c r="Q44" s="342"/>
      <c r="R44" s="342"/>
      <c r="S44" s="329"/>
      <c r="T44" s="329"/>
      <c r="U44" s="329"/>
      <c r="V44" s="329"/>
      <c r="W44" s="329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2"/>
      <c r="AI44" s="2"/>
      <c r="AJ44" s="2"/>
    </row>
    <row r="45" spans="1:36" ht="15.75" customHeight="1">
      <c r="A45" s="360"/>
      <c r="B45" s="360"/>
      <c r="C45" s="378" t="s">
        <v>132</v>
      </c>
      <c r="D45" s="360" t="s">
        <v>726</v>
      </c>
      <c r="E45" s="360"/>
      <c r="F45" s="360"/>
      <c r="G45" s="360"/>
      <c r="H45" s="342"/>
      <c r="I45" s="342"/>
      <c r="J45" s="344"/>
      <c r="K45" s="344"/>
      <c r="L45" s="342"/>
      <c r="M45" s="342"/>
      <c r="N45" s="342"/>
      <c r="O45" s="342"/>
      <c r="P45" s="342"/>
      <c r="Q45" s="342"/>
      <c r="R45" s="342"/>
      <c r="S45" s="329"/>
      <c r="T45" s="329"/>
      <c r="U45" s="329"/>
      <c r="V45" s="329"/>
      <c r="W45" s="329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2"/>
      <c r="AI45" s="2"/>
      <c r="AJ45" s="2"/>
    </row>
    <row r="46" spans="1:36" ht="15.75" customHeight="1">
      <c r="A46" s="360"/>
      <c r="B46" s="360"/>
      <c r="C46" s="360"/>
      <c r="D46" s="360"/>
      <c r="E46" s="360"/>
      <c r="F46" s="360"/>
      <c r="G46" s="360"/>
      <c r="H46" s="342"/>
      <c r="I46" s="342"/>
      <c r="J46" s="1068" t="s">
        <v>65</v>
      </c>
      <c r="K46" s="1071"/>
      <c r="L46" s="1071"/>
      <c r="M46" s="1071"/>
      <c r="N46" s="1069"/>
      <c r="O46" s="342"/>
      <c r="P46" s="342"/>
      <c r="Q46" s="342"/>
      <c r="R46" s="342"/>
      <c r="S46" s="329"/>
      <c r="T46" s="329"/>
      <c r="U46" s="329"/>
      <c r="V46" s="329"/>
      <c r="W46" s="329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2"/>
      <c r="AI46" s="2"/>
      <c r="AJ46" s="2"/>
    </row>
    <row r="47" spans="1:36" ht="15.75" customHeight="1">
      <c r="A47" s="360"/>
      <c r="B47" s="360"/>
      <c r="C47" s="360"/>
      <c r="D47" s="360"/>
      <c r="E47" s="360"/>
      <c r="F47" s="360"/>
      <c r="G47" s="360"/>
      <c r="H47" s="342"/>
      <c r="I47" s="342"/>
      <c r="J47" s="342"/>
      <c r="K47" s="342" t="s">
        <v>66</v>
      </c>
      <c r="L47" s="1075" t="s">
        <v>1158</v>
      </c>
      <c r="M47" s="1076"/>
      <c r="N47" s="342" t="s">
        <v>68</v>
      </c>
      <c r="O47" s="342"/>
      <c r="P47" s="342"/>
      <c r="Q47" s="342"/>
      <c r="R47" s="342"/>
      <c r="S47" s="329"/>
      <c r="T47" s="329"/>
      <c r="U47" s="329"/>
      <c r="V47" s="329"/>
      <c r="W47" s="329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2"/>
      <c r="AI47" s="2"/>
      <c r="AJ47" s="2"/>
    </row>
    <row r="48" spans="1:36" ht="15.75" customHeight="1">
      <c r="A48" s="342"/>
      <c r="B48" s="342"/>
      <c r="C48" s="342"/>
      <c r="D48" s="342"/>
      <c r="E48" s="342"/>
      <c r="F48" s="342"/>
      <c r="G48" s="342"/>
      <c r="H48" s="342"/>
      <c r="I48" s="342"/>
      <c r="J48" s="1077" t="s">
        <v>727</v>
      </c>
      <c r="K48" s="372" t="s">
        <v>70</v>
      </c>
      <c r="L48" s="1075" t="s">
        <v>71</v>
      </c>
      <c r="M48" s="1076"/>
      <c r="N48" s="382"/>
      <c r="O48" s="342"/>
      <c r="P48" s="342"/>
      <c r="Q48" s="342"/>
      <c r="R48" s="342"/>
      <c r="S48" s="329"/>
      <c r="T48" s="329"/>
      <c r="U48" s="329"/>
      <c r="V48" s="329"/>
      <c r="W48" s="329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2"/>
      <c r="AI48" s="2"/>
      <c r="AJ48" s="2"/>
    </row>
    <row r="49" spans="1:36" ht="15.75" customHeight="1">
      <c r="A49" s="342"/>
      <c r="B49" s="342"/>
      <c r="C49" s="342"/>
      <c r="D49" s="342"/>
      <c r="E49" s="342"/>
      <c r="F49" s="342"/>
      <c r="G49" s="342"/>
      <c r="H49" s="342"/>
      <c r="I49" s="342"/>
      <c r="J49" s="1078"/>
      <c r="K49" s="370" t="s">
        <v>11</v>
      </c>
      <c r="L49" s="1068" t="s">
        <v>72</v>
      </c>
      <c r="M49" s="1069"/>
      <c r="N49" s="371"/>
      <c r="O49" s="342"/>
      <c r="P49" s="342"/>
      <c r="Q49" s="342"/>
      <c r="R49" s="342"/>
      <c r="S49" s="329"/>
      <c r="T49" s="329"/>
      <c r="U49" s="329"/>
      <c r="V49" s="329"/>
      <c r="W49" s="329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2"/>
      <c r="AI49" s="2"/>
      <c r="AJ49" s="2"/>
    </row>
    <row r="50" spans="1:36" ht="15.75" customHeight="1">
      <c r="A50" s="342"/>
      <c r="B50" s="342"/>
      <c r="C50" s="342"/>
      <c r="D50" s="342"/>
      <c r="E50" s="342"/>
      <c r="F50" s="342"/>
      <c r="G50" s="342"/>
      <c r="H50" s="342"/>
      <c r="I50" s="342"/>
      <c r="J50" s="1079" t="s">
        <v>74</v>
      </c>
      <c r="K50" s="369" t="s">
        <v>75</v>
      </c>
      <c r="L50" s="1062" t="s">
        <v>1164</v>
      </c>
      <c r="M50" s="1063"/>
      <c r="N50" s="383" t="s">
        <v>76</v>
      </c>
      <c r="O50" s="342"/>
      <c r="P50" s="342"/>
      <c r="Q50" s="342"/>
      <c r="R50" s="342"/>
      <c r="S50" s="329"/>
      <c r="T50" s="329"/>
      <c r="U50" s="329"/>
      <c r="V50" s="329"/>
      <c r="W50" s="329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2"/>
      <c r="AI50" s="2"/>
      <c r="AJ50" s="2"/>
    </row>
    <row r="51" spans="1:36" ht="15.75" customHeight="1">
      <c r="A51" s="342"/>
      <c r="B51" s="342" t="s">
        <v>36</v>
      </c>
      <c r="C51" s="342"/>
      <c r="D51" s="342"/>
      <c r="E51" s="342"/>
      <c r="F51" s="342"/>
      <c r="G51" s="342"/>
      <c r="H51" s="342"/>
      <c r="I51" s="342"/>
      <c r="J51" s="1080"/>
      <c r="K51" s="369" t="s">
        <v>79</v>
      </c>
      <c r="L51" s="1062" t="s">
        <v>1159</v>
      </c>
      <c r="M51" s="1063"/>
      <c r="N51" s="383" t="s">
        <v>80</v>
      </c>
      <c r="O51" s="342"/>
      <c r="P51" s="342"/>
      <c r="Q51" s="342"/>
      <c r="R51" s="342"/>
      <c r="S51" s="329"/>
      <c r="T51" s="329"/>
      <c r="U51" s="329"/>
      <c r="V51" s="329"/>
      <c r="W51" s="329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2"/>
      <c r="AI51" s="2"/>
      <c r="AJ51" s="2"/>
    </row>
    <row r="52" spans="1:36" ht="15.75" customHeight="1">
      <c r="A52" s="342"/>
      <c r="B52" s="342"/>
      <c r="C52" s="342"/>
      <c r="D52" s="342"/>
      <c r="E52" s="342"/>
      <c r="F52" s="342"/>
      <c r="G52" s="342"/>
      <c r="H52" s="342"/>
      <c r="I52" s="342"/>
      <c r="J52" s="1080"/>
      <c r="K52" s="369" t="s">
        <v>83</v>
      </c>
      <c r="L52" s="1062" t="s">
        <v>1165</v>
      </c>
      <c r="M52" s="1063"/>
      <c r="N52" s="383" t="s">
        <v>84</v>
      </c>
      <c r="O52" s="342"/>
      <c r="P52" s="342"/>
      <c r="Q52" s="342"/>
      <c r="R52" s="342"/>
      <c r="S52" s="329"/>
      <c r="T52" s="329"/>
      <c r="U52" s="329"/>
      <c r="V52" s="329"/>
      <c r="W52" s="329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2"/>
      <c r="AI52" s="2"/>
      <c r="AJ52" s="2"/>
    </row>
    <row r="53" spans="1:36" ht="15.75" customHeight="1">
      <c r="A53" s="342"/>
      <c r="B53" s="342"/>
      <c r="C53" s="342"/>
      <c r="D53" s="342"/>
      <c r="E53" s="342"/>
      <c r="F53" s="342"/>
      <c r="G53" s="342"/>
      <c r="H53" s="342"/>
      <c r="I53" s="342"/>
      <c r="J53" s="1080"/>
      <c r="K53" s="369" t="s">
        <v>87</v>
      </c>
      <c r="L53" s="1062" t="s">
        <v>1160</v>
      </c>
      <c r="M53" s="1063"/>
      <c r="N53" s="383" t="s">
        <v>88</v>
      </c>
      <c r="O53" s="342"/>
      <c r="P53" s="342"/>
      <c r="Q53" s="342"/>
      <c r="R53" s="342"/>
      <c r="S53" s="329"/>
      <c r="T53" s="329"/>
      <c r="U53" s="329"/>
      <c r="V53" s="329"/>
      <c r="W53" s="329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2"/>
      <c r="AI53" s="2"/>
      <c r="AJ53" s="2"/>
    </row>
    <row r="54" spans="1:36" ht="15.75" customHeight="1">
      <c r="A54" s="342"/>
      <c r="B54" s="342"/>
      <c r="C54" s="342"/>
      <c r="D54" s="342"/>
      <c r="E54" s="342"/>
      <c r="F54" s="342"/>
      <c r="G54" s="342" t="s">
        <v>733</v>
      </c>
      <c r="H54" s="342"/>
      <c r="I54" s="342"/>
      <c r="J54" s="1080"/>
      <c r="K54" s="369" t="s">
        <v>90</v>
      </c>
      <c r="L54" s="1062" t="s">
        <v>1161</v>
      </c>
      <c r="M54" s="1063"/>
      <c r="N54" s="383" t="s">
        <v>91</v>
      </c>
      <c r="O54" s="342"/>
      <c r="P54" s="342"/>
      <c r="Q54" s="342"/>
      <c r="R54" s="342"/>
      <c r="S54" s="329"/>
      <c r="T54" s="329"/>
      <c r="U54" s="329"/>
      <c r="V54" s="329"/>
      <c r="W54" s="329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2"/>
      <c r="AI54" s="2"/>
      <c r="AJ54" s="2"/>
    </row>
    <row r="55" spans="1:36" ht="15.75" customHeight="1">
      <c r="A55" s="342"/>
      <c r="B55" s="342"/>
      <c r="C55" s="342"/>
      <c r="D55" s="342"/>
      <c r="E55" s="342"/>
      <c r="F55" s="342"/>
      <c r="G55" s="342"/>
      <c r="H55" s="342"/>
      <c r="I55" s="342"/>
      <c r="J55" s="1080"/>
      <c r="K55" s="369" t="s">
        <v>95</v>
      </c>
      <c r="L55" s="1062" t="s">
        <v>1166</v>
      </c>
      <c r="M55" s="1063"/>
      <c r="N55" s="383" t="s">
        <v>96</v>
      </c>
      <c r="O55" s="342"/>
      <c r="P55" s="1048" t="s">
        <v>92</v>
      </c>
      <c r="Q55" s="1049"/>
      <c r="R55" s="1050"/>
      <c r="S55" s="329"/>
      <c r="T55" s="329"/>
      <c r="U55" s="329"/>
      <c r="V55" s="329"/>
      <c r="W55" s="329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2"/>
      <c r="AI55" s="2"/>
      <c r="AJ55" s="2"/>
    </row>
    <row r="56" spans="1:36" ht="15.75" customHeight="1">
      <c r="A56" s="342"/>
      <c r="B56" s="342"/>
      <c r="C56" s="342"/>
      <c r="D56" s="342"/>
      <c r="E56" s="342"/>
      <c r="F56" s="342"/>
      <c r="G56" s="342"/>
      <c r="H56" s="342"/>
      <c r="I56" s="342"/>
      <c r="J56" s="1080"/>
      <c r="K56" s="369" t="s">
        <v>605</v>
      </c>
      <c r="L56" s="1062" t="s">
        <v>1162</v>
      </c>
      <c r="M56" s="1063"/>
      <c r="N56" s="383" t="s">
        <v>100</v>
      </c>
      <c r="O56" s="342"/>
      <c r="P56" s="1051"/>
      <c r="Q56" s="1052"/>
      <c r="R56" s="1053"/>
      <c r="S56" s="329"/>
      <c r="T56" s="329"/>
      <c r="U56" s="329"/>
      <c r="V56" s="329"/>
      <c r="W56" s="329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2"/>
      <c r="AI56" s="2"/>
      <c r="AJ56" s="2"/>
    </row>
    <row r="57" spans="1:36" ht="15.75" customHeight="1">
      <c r="A57" s="342"/>
      <c r="B57" s="342"/>
      <c r="C57" s="342"/>
      <c r="D57" s="342"/>
      <c r="E57" s="342"/>
      <c r="F57" s="342"/>
      <c r="G57" s="342"/>
      <c r="H57" s="342"/>
      <c r="I57" s="342"/>
      <c r="J57" s="1081"/>
      <c r="K57" s="369" t="s">
        <v>103</v>
      </c>
      <c r="L57" s="1062" t="s">
        <v>1167</v>
      </c>
      <c r="M57" s="1063"/>
      <c r="N57" s="383" t="s">
        <v>104</v>
      </c>
      <c r="O57" s="342"/>
      <c r="P57" s="1051"/>
      <c r="Q57" s="1052"/>
      <c r="R57" s="1053"/>
      <c r="S57" s="329"/>
      <c r="T57" s="329"/>
      <c r="U57" s="329"/>
      <c r="V57" s="329"/>
      <c r="W57" s="329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2"/>
      <c r="AI57" s="2"/>
      <c r="AJ57" s="2"/>
    </row>
    <row r="58" spans="1:36" ht="15.75" customHeight="1">
      <c r="A58" s="342"/>
      <c r="B58" s="342"/>
      <c r="C58" s="342"/>
      <c r="D58" s="342"/>
      <c r="E58" s="342"/>
      <c r="F58" s="342"/>
      <c r="G58" s="342" t="s">
        <v>16</v>
      </c>
      <c r="H58" s="342"/>
      <c r="I58" s="342"/>
      <c r="J58" s="384"/>
      <c r="K58" s="370" t="s">
        <v>107</v>
      </c>
      <c r="L58" s="1068" t="s">
        <v>1163</v>
      </c>
      <c r="M58" s="1069"/>
      <c r="N58" s="385" t="s">
        <v>108</v>
      </c>
      <c r="O58" s="342"/>
      <c r="P58" s="1054"/>
      <c r="Q58" s="1055"/>
      <c r="R58" s="1056"/>
      <c r="S58" s="329"/>
      <c r="T58" s="329"/>
      <c r="U58" s="329"/>
      <c r="V58" s="329"/>
      <c r="W58" s="329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"/>
      <c r="AI58" s="2"/>
      <c r="AJ58" s="2"/>
    </row>
    <row r="59" spans="1:36" ht="15.75" customHeight="1">
      <c r="A59" s="342"/>
      <c r="B59" s="342"/>
      <c r="C59" s="342"/>
      <c r="D59" s="342"/>
      <c r="E59" s="342"/>
      <c r="F59" s="342"/>
      <c r="G59" s="386" t="s">
        <v>732</v>
      </c>
      <c r="H59" s="342"/>
      <c r="I59" s="342"/>
      <c r="J59" s="1074" t="s">
        <v>111</v>
      </c>
      <c r="K59" s="369" t="s">
        <v>112</v>
      </c>
      <c r="L59" s="1062" t="s">
        <v>1166</v>
      </c>
      <c r="M59" s="1063"/>
      <c r="N59" s="383" t="s">
        <v>96</v>
      </c>
      <c r="O59" s="342"/>
      <c r="P59" s="342"/>
      <c r="Q59" s="342"/>
      <c r="R59" s="342"/>
      <c r="S59" s="329"/>
      <c r="T59" s="329"/>
      <c r="U59" s="329"/>
      <c r="V59" s="329"/>
      <c r="W59" s="329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"/>
      <c r="AI59" s="2"/>
      <c r="AJ59" s="2"/>
    </row>
    <row r="60" spans="1:36" ht="15.75" customHeight="1">
      <c r="A60" s="342"/>
      <c r="B60" s="342"/>
      <c r="C60" s="342"/>
      <c r="D60" s="342"/>
      <c r="E60" s="342"/>
      <c r="F60" s="342"/>
      <c r="G60" s="342"/>
      <c r="H60" s="342"/>
      <c r="I60" s="342"/>
      <c r="J60" s="1066"/>
      <c r="K60" s="369" t="s">
        <v>113</v>
      </c>
      <c r="L60" s="1062" t="s">
        <v>1162</v>
      </c>
      <c r="M60" s="1063"/>
      <c r="N60" s="383" t="s">
        <v>100</v>
      </c>
      <c r="O60" s="342"/>
      <c r="P60" s="342"/>
      <c r="Q60" s="342"/>
      <c r="R60" s="342"/>
      <c r="S60" s="329"/>
      <c r="T60" s="329"/>
      <c r="U60" s="329"/>
      <c r="V60" s="329"/>
      <c r="W60" s="329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"/>
      <c r="AI60" s="2"/>
      <c r="AJ60" s="2"/>
    </row>
    <row r="61" spans="1:36" ht="15.75" customHeight="1">
      <c r="A61" s="342"/>
      <c r="B61" s="342"/>
      <c r="C61" s="342"/>
      <c r="D61" s="342"/>
      <c r="E61" s="342"/>
      <c r="F61" s="342" t="s">
        <v>731</v>
      </c>
      <c r="G61" s="342"/>
      <c r="H61" s="342"/>
      <c r="I61" s="342"/>
      <c r="J61" s="1066"/>
      <c r="K61" s="369" t="s">
        <v>115</v>
      </c>
      <c r="L61" s="1062" t="s">
        <v>1167</v>
      </c>
      <c r="M61" s="1063"/>
      <c r="N61" s="383" t="s">
        <v>104</v>
      </c>
      <c r="O61" s="342"/>
      <c r="P61" s="342"/>
      <c r="Q61" s="342"/>
      <c r="R61" s="342"/>
      <c r="S61" s="329"/>
      <c r="T61" s="329"/>
      <c r="U61" s="329"/>
      <c r="V61" s="329"/>
      <c r="W61" s="329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"/>
      <c r="AI61" s="2"/>
      <c r="AJ61" s="2"/>
    </row>
    <row r="62" spans="1:36" ht="15.75" customHeight="1">
      <c r="A62" s="342"/>
      <c r="B62" s="342"/>
      <c r="C62" s="342"/>
      <c r="D62" s="342"/>
      <c r="E62" s="342"/>
      <c r="F62" s="342"/>
      <c r="G62" s="342"/>
      <c r="H62" s="342"/>
      <c r="I62" s="342"/>
      <c r="J62" s="1067"/>
      <c r="K62" s="370" t="s">
        <v>120</v>
      </c>
      <c r="L62" s="1068" t="s">
        <v>1163</v>
      </c>
      <c r="M62" s="1069"/>
      <c r="N62" s="385" t="s">
        <v>108</v>
      </c>
      <c r="O62" s="342"/>
      <c r="P62" s="342"/>
      <c r="Q62" s="342"/>
      <c r="R62" s="342"/>
      <c r="S62" s="329"/>
      <c r="T62" s="329"/>
      <c r="U62" s="329"/>
      <c r="V62" s="331"/>
      <c r="W62" s="331"/>
      <c r="X62" s="332"/>
      <c r="Y62" s="332"/>
      <c r="Z62" s="332"/>
      <c r="AA62" s="332"/>
      <c r="AB62" s="332"/>
      <c r="AC62" s="332"/>
      <c r="AD62" s="332"/>
      <c r="AE62" s="332"/>
      <c r="AF62" s="332"/>
      <c r="AG62" s="332"/>
      <c r="AH62" s="333"/>
      <c r="AI62" s="333"/>
      <c r="AJ62" s="333"/>
    </row>
    <row r="63" spans="1:36" ht="15.75" customHeight="1">
      <c r="A63" s="342"/>
      <c r="B63" s="1057" t="s">
        <v>735</v>
      </c>
      <c r="C63" s="1057"/>
      <c r="D63" s="1057"/>
      <c r="E63" s="1057"/>
      <c r="F63" s="378" t="s">
        <v>132</v>
      </c>
      <c r="G63" s="360" t="s">
        <v>734</v>
      </c>
      <c r="H63" s="342"/>
      <c r="I63" s="342"/>
      <c r="J63" s="342"/>
      <c r="K63" s="342"/>
      <c r="L63" s="342"/>
      <c r="M63" s="342"/>
      <c r="N63" s="342"/>
      <c r="O63" s="342"/>
      <c r="P63" s="342"/>
      <c r="Q63" s="342"/>
      <c r="R63" s="342"/>
      <c r="S63" s="329"/>
      <c r="T63" s="329"/>
      <c r="U63" s="329"/>
      <c r="V63" s="331"/>
      <c r="W63" s="331"/>
      <c r="X63" s="332"/>
      <c r="Y63" s="332"/>
      <c r="Z63" s="332"/>
      <c r="AA63" s="332"/>
      <c r="AB63" s="332"/>
      <c r="AC63" s="332"/>
      <c r="AD63" s="332"/>
      <c r="AE63" s="332"/>
      <c r="AF63" s="332"/>
      <c r="AG63" s="332"/>
      <c r="AH63" s="333"/>
      <c r="AI63" s="333"/>
      <c r="AJ63" s="333"/>
    </row>
    <row r="64" spans="1:36" ht="15.75" customHeight="1">
      <c r="A64" s="366"/>
      <c r="B64" s="373" t="s">
        <v>1137</v>
      </c>
      <c r="C64" s="1058" t="s">
        <v>132</v>
      </c>
      <c r="D64" s="1059"/>
      <c r="E64" s="374">
        <v>2</v>
      </c>
      <c r="F64" s="378" t="s">
        <v>132</v>
      </c>
      <c r="G64" s="360" t="s">
        <v>728</v>
      </c>
      <c r="H64" s="366"/>
      <c r="I64" s="366"/>
      <c r="J64" s="366"/>
      <c r="K64" s="366"/>
      <c r="L64" s="366"/>
      <c r="M64" s="366"/>
      <c r="N64" s="366"/>
      <c r="O64" s="366"/>
      <c r="P64" s="366"/>
      <c r="Q64" s="366"/>
      <c r="R64" s="366"/>
      <c r="S64" s="331"/>
      <c r="T64" s="331"/>
      <c r="U64" s="331"/>
      <c r="V64" s="331"/>
      <c r="W64" s="331"/>
      <c r="X64" s="332"/>
      <c r="Y64" s="332"/>
      <c r="Z64" s="332"/>
      <c r="AA64" s="332"/>
      <c r="AB64" s="332"/>
      <c r="AC64" s="332"/>
      <c r="AD64" s="332"/>
      <c r="AE64" s="332"/>
      <c r="AF64" s="332"/>
      <c r="AG64" s="332"/>
      <c r="AH64" s="333"/>
      <c r="AI64" s="333"/>
      <c r="AJ64" s="333"/>
    </row>
    <row r="65" spans="1:36" ht="15.75" customHeight="1">
      <c r="A65" s="366"/>
      <c r="B65" s="373"/>
      <c r="C65" s="1041"/>
      <c r="D65" s="1041"/>
      <c r="E65" s="366"/>
      <c r="F65" s="378" t="s">
        <v>132</v>
      </c>
      <c r="G65" s="360" t="s">
        <v>729</v>
      </c>
      <c r="H65" s="366"/>
      <c r="I65" s="366"/>
      <c r="J65" s="366"/>
      <c r="K65" s="366"/>
      <c r="L65" s="366"/>
      <c r="M65" s="366"/>
      <c r="N65" s="366"/>
      <c r="O65" s="366"/>
      <c r="P65" s="366"/>
      <c r="Q65" s="366"/>
      <c r="R65" s="366"/>
      <c r="S65" s="331"/>
      <c r="T65" s="331"/>
      <c r="U65" s="331"/>
      <c r="V65" s="329"/>
      <c r="W65" s="329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2"/>
      <c r="AI65" s="2"/>
      <c r="AJ65" s="2"/>
    </row>
    <row r="66" spans="1:36" ht="15.75" customHeight="1">
      <c r="A66" s="366"/>
      <c r="B66" s="373"/>
      <c r="C66" s="1041"/>
      <c r="D66" s="1041"/>
      <c r="E66" s="366"/>
      <c r="F66" s="378" t="s">
        <v>132</v>
      </c>
      <c r="G66" s="360" t="s">
        <v>730</v>
      </c>
      <c r="H66" s="366"/>
      <c r="I66" s="366"/>
      <c r="J66" s="366"/>
      <c r="K66" s="366"/>
      <c r="L66" s="366"/>
      <c r="M66" s="366"/>
      <c r="N66" s="366"/>
      <c r="O66" s="366"/>
      <c r="P66" s="366"/>
      <c r="Q66" s="366"/>
      <c r="R66" s="366"/>
      <c r="S66" s="331"/>
      <c r="T66" s="331"/>
      <c r="U66" s="331"/>
      <c r="V66" s="329"/>
      <c r="W66" s="329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2"/>
      <c r="AI66" s="2"/>
      <c r="AJ66" s="2"/>
    </row>
    <row r="67" spans="1:36" ht="15.75" customHeight="1">
      <c r="A67" s="342"/>
      <c r="B67" s="342"/>
      <c r="C67" s="342"/>
      <c r="D67" s="342"/>
      <c r="E67" s="342"/>
      <c r="F67" s="378"/>
      <c r="G67" s="360"/>
      <c r="H67" s="342"/>
      <c r="I67" s="342"/>
      <c r="J67" s="342"/>
      <c r="K67" s="342"/>
      <c r="L67" s="342"/>
      <c r="M67" s="342"/>
      <c r="N67" s="342"/>
      <c r="O67" s="342"/>
      <c r="P67" s="342"/>
      <c r="Q67" s="342"/>
      <c r="R67" s="342"/>
      <c r="S67" s="329"/>
      <c r="T67" s="329"/>
      <c r="U67" s="329"/>
      <c r="V67" s="329"/>
      <c r="W67" s="329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2"/>
      <c r="AI67" s="2"/>
      <c r="AJ67" s="2"/>
    </row>
    <row r="68" spans="1:36" ht="15.75" customHeight="1">
      <c r="A68" s="1042" t="s">
        <v>58</v>
      </c>
      <c r="B68" s="1042"/>
      <c r="C68" s="1042"/>
      <c r="D68" s="1042"/>
      <c r="E68" s="360"/>
      <c r="F68" s="1064" t="s">
        <v>114</v>
      </c>
      <c r="G68" s="1064"/>
      <c r="H68" s="1064"/>
      <c r="I68" s="1064"/>
      <c r="J68" s="1064"/>
      <c r="K68" s="1064"/>
      <c r="L68" s="1064"/>
      <c r="M68" s="342"/>
      <c r="N68" s="342"/>
      <c r="O68" s="342"/>
      <c r="P68" s="342"/>
      <c r="Q68" s="342"/>
      <c r="R68" s="342"/>
      <c r="S68" s="329"/>
      <c r="T68" s="329"/>
      <c r="U68" s="329"/>
      <c r="V68" s="331"/>
      <c r="W68" s="331"/>
      <c r="X68" s="332"/>
      <c r="Y68" s="332"/>
      <c r="Z68" s="332"/>
      <c r="AA68" s="332"/>
      <c r="AB68" s="332"/>
      <c r="AC68" s="332"/>
      <c r="AD68" s="332"/>
      <c r="AE68" s="332"/>
      <c r="AF68" s="332"/>
      <c r="AG68" s="332"/>
      <c r="AH68" s="333"/>
      <c r="AI68" s="333"/>
      <c r="AJ68" s="333"/>
    </row>
    <row r="69" spans="1:36" ht="15.75" customHeight="1">
      <c r="A69" s="1043" t="s">
        <v>738</v>
      </c>
      <c r="B69" s="1044"/>
      <c r="C69" s="1044"/>
      <c r="D69" s="1044"/>
      <c r="E69" s="360"/>
      <c r="F69" s="1083" t="s">
        <v>116</v>
      </c>
      <c r="G69" s="1083"/>
      <c r="H69" s="1083"/>
      <c r="I69" s="1068" t="s">
        <v>117</v>
      </c>
      <c r="J69" s="1069"/>
      <c r="K69" s="342" t="s">
        <v>118</v>
      </c>
      <c r="L69" s="342" t="s">
        <v>119</v>
      </c>
      <c r="M69" s="342"/>
      <c r="N69" s="342"/>
      <c r="O69" s="342"/>
      <c r="P69" s="342"/>
      <c r="Q69" s="342"/>
      <c r="R69" s="342"/>
      <c r="S69" s="329"/>
      <c r="T69" s="329"/>
      <c r="U69" s="329"/>
      <c r="V69" s="329"/>
      <c r="W69" s="329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2"/>
      <c r="AI69" s="2"/>
      <c r="AJ69" s="2"/>
    </row>
    <row r="70" spans="1:36" ht="15.75" customHeight="1">
      <c r="A70" s="1045" t="s">
        <v>739</v>
      </c>
      <c r="B70" s="1045"/>
      <c r="C70" s="1045"/>
      <c r="D70" s="1045"/>
      <c r="E70" s="360"/>
      <c r="F70" s="1084" t="s">
        <v>121</v>
      </c>
      <c r="G70" s="1084"/>
      <c r="H70" s="1085"/>
      <c r="I70" s="1086" t="s">
        <v>122</v>
      </c>
      <c r="J70" s="1087"/>
      <c r="K70" s="372">
        <f>E11</f>
        <v>0</v>
      </c>
      <c r="L70" s="390" t="s">
        <v>123</v>
      </c>
      <c r="M70" s="366"/>
      <c r="N70" s="366"/>
      <c r="O70" s="366"/>
      <c r="P70" s="366"/>
      <c r="Q70" s="366"/>
      <c r="R70" s="366"/>
      <c r="S70" s="331"/>
      <c r="T70" s="331"/>
      <c r="U70" s="331"/>
      <c r="V70" s="331"/>
      <c r="W70" s="331"/>
      <c r="X70" s="332"/>
      <c r="Y70" s="332"/>
      <c r="Z70" s="332"/>
      <c r="AA70" s="332"/>
      <c r="AB70" s="332"/>
      <c r="AC70" s="332"/>
      <c r="AD70" s="332"/>
      <c r="AE70" s="332"/>
      <c r="AF70" s="332"/>
      <c r="AG70" s="332"/>
      <c r="AH70" s="333"/>
      <c r="AI70" s="333"/>
      <c r="AJ70" s="333"/>
    </row>
    <row r="71" spans="1:36" ht="15.75" customHeight="1">
      <c r="A71" s="1046"/>
      <c r="B71" s="1046"/>
      <c r="C71" s="1046"/>
      <c r="D71" s="1046"/>
      <c r="E71" s="360"/>
      <c r="F71" s="1041" t="s">
        <v>124</v>
      </c>
      <c r="G71" s="1041"/>
      <c r="H71" s="1082"/>
      <c r="I71" s="1060" t="s">
        <v>125</v>
      </c>
      <c r="J71" s="1061"/>
      <c r="K71" s="369">
        <v>4</v>
      </c>
      <c r="L71" s="391" t="s">
        <v>126</v>
      </c>
      <c r="M71" s="342"/>
      <c r="N71" s="342"/>
      <c r="O71" s="342"/>
      <c r="P71" s="342"/>
      <c r="Q71" s="342"/>
      <c r="R71" s="342"/>
      <c r="S71" s="329"/>
      <c r="T71" s="329"/>
      <c r="U71" s="329"/>
      <c r="V71" s="329"/>
      <c r="W71" s="329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2"/>
      <c r="AI71" s="2"/>
      <c r="AJ71" s="2"/>
    </row>
    <row r="72" spans="1:36" ht="15.75" customHeight="1">
      <c r="A72" s="1047"/>
      <c r="B72" s="1047"/>
      <c r="C72" s="1047"/>
      <c r="D72" s="1047"/>
      <c r="E72" s="360"/>
      <c r="F72" s="1041" t="s">
        <v>58</v>
      </c>
      <c r="G72" s="1041"/>
      <c r="H72" s="1082"/>
      <c r="I72" s="1060" t="s">
        <v>114</v>
      </c>
      <c r="J72" s="1061"/>
      <c r="K72" s="369">
        <v>4</v>
      </c>
      <c r="L72" s="391" t="s">
        <v>127</v>
      </c>
      <c r="M72" s="366"/>
      <c r="N72" s="366"/>
      <c r="O72" s="366"/>
      <c r="P72" s="366"/>
      <c r="Q72" s="366"/>
      <c r="R72" s="366"/>
      <c r="S72" s="331"/>
      <c r="T72" s="331"/>
      <c r="U72" s="331"/>
      <c r="V72" s="329"/>
      <c r="W72" s="329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2"/>
      <c r="AI72" s="2"/>
      <c r="AJ72" s="2"/>
    </row>
    <row r="73" spans="1:36" ht="15.75" customHeight="1">
      <c r="A73" s="1043" t="s">
        <v>740</v>
      </c>
      <c r="B73" s="1044"/>
      <c r="C73" s="1044"/>
      <c r="D73" s="1044"/>
      <c r="E73" s="360"/>
      <c r="F73" s="1041" t="s">
        <v>128</v>
      </c>
      <c r="G73" s="1041"/>
      <c r="H73" s="1082"/>
      <c r="I73" s="1060" t="s">
        <v>114</v>
      </c>
      <c r="J73" s="1061"/>
      <c r="K73" s="369">
        <f>K12</f>
        <v>4</v>
      </c>
      <c r="L73" s="391" t="s">
        <v>129</v>
      </c>
      <c r="M73" s="342"/>
      <c r="N73" s="342"/>
      <c r="O73" s="342"/>
      <c r="P73" s="342"/>
      <c r="Q73" s="342"/>
      <c r="R73" s="342"/>
      <c r="S73" s="329"/>
      <c r="T73" s="329"/>
      <c r="U73" s="329"/>
      <c r="V73" s="329"/>
      <c r="W73" s="329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2"/>
      <c r="AI73" s="2"/>
      <c r="AJ73" s="2"/>
    </row>
    <row r="74" spans="1:36" ht="15.75" customHeight="1">
      <c r="A74" s="1043" t="s">
        <v>741</v>
      </c>
      <c r="B74" s="1044"/>
      <c r="C74" s="1044"/>
      <c r="D74" s="1044"/>
      <c r="E74" s="360"/>
      <c r="F74" s="1041" t="s">
        <v>130</v>
      </c>
      <c r="G74" s="1041"/>
      <c r="H74" s="1082"/>
      <c r="I74" s="1060" t="s">
        <v>131</v>
      </c>
      <c r="J74" s="1061"/>
      <c r="K74" s="369">
        <v>2</v>
      </c>
      <c r="L74" s="369" t="s">
        <v>132</v>
      </c>
      <c r="M74" s="342"/>
      <c r="N74" s="342"/>
      <c r="O74" s="1048" t="s">
        <v>92</v>
      </c>
      <c r="P74" s="1049"/>
      <c r="Q74" s="1050"/>
      <c r="R74" s="342"/>
      <c r="S74" s="329"/>
      <c r="T74" s="329"/>
      <c r="U74" s="329"/>
      <c r="V74" s="329"/>
      <c r="W74" s="329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2"/>
      <c r="AI74" s="2"/>
      <c r="AJ74" s="2"/>
    </row>
    <row r="75" spans="1:36" ht="15.75" customHeight="1">
      <c r="A75" s="1045" t="s">
        <v>742</v>
      </c>
      <c r="B75" s="1072"/>
      <c r="C75" s="1072"/>
      <c r="D75" s="1072"/>
      <c r="E75" s="360"/>
      <c r="F75" s="1041" t="s">
        <v>64</v>
      </c>
      <c r="G75" s="1041"/>
      <c r="H75" s="1082"/>
      <c r="I75" s="1060" t="s">
        <v>133</v>
      </c>
      <c r="J75" s="1061"/>
      <c r="K75" s="369">
        <v>3</v>
      </c>
      <c r="L75" s="369" t="s">
        <v>132</v>
      </c>
      <c r="M75" s="342"/>
      <c r="N75" s="342"/>
      <c r="O75" s="1051"/>
      <c r="P75" s="1052"/>
      <c r="Q75" s="1053"/>
      <c r="R75" s="342"/>
      <c r="S75" s="329"/>
      <c r="T75" s="329"/>
      <c r="U75" s="329"/>
      <c r="V75" s="329"/>
      <c r="W75" s="329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2"/>
      <c r="AI75" s="2"/>
      <c r="AJ75" s="2"/>
    </row>
    <row r="76" spans="1:36" ht="15.75" customHeight="1">
      <c r="A76" s="1073"/>
      <c r="B76" s="1073"/>
      <c r="C76" s="1073"/>
      <c r="D76" s="1073"/>
      <c r="E76" s="360"/>
      <c r="F76" s="1041" t="s">
        <v>134</v>
      </c>
      <c r="G76" s="1041"/>
      <c r="H76" s="1082"/>
      <c r="I76" s="1060" t="s">
        <v>135</v>
      </c>
      <c r="J76" s="1061"/>
      <c r="K76" s="369">
        <v>3</v>
      </c>
      <c r="L76" s="369"/>
      <c r="M76" s="342"/>
      <c r="N76" s="342"/>
      <c r="O76" s="1051"/>
      <c r="P76" s="1052"/>
      <c r="Q76" s="1053"/>
      <c r="R76" s="342"/>
      <c r="S76" s="329"/>
      <c r="T76" s="329"/>
      <c r="U76" s="329"/>
      <c r="V76" s="329"/>
      <c r="W76" s="329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2"/>
      <c r="AI76" s="2"/>
      <c r="AJ76" s="2"/>
    </row>
    <row r="77" spans="1:36" ht="15.75" customHeight="1">
      <c r="A77" s="1045" t="s">
        <v>743</v>
      </c>
      <c r="B77" s="1072"/>
      <c r="C77" s="1072"/>
      <c r="D77" s="1072"/>
      <c r="E77" s="342"/>
      <c r="F77" s="342"/>
      <c r="G77" s="342"/>
      <c r="H77" s="342"/>
      <c r="I77" s="342"/>
      <c r="J77" s="342"/>
      <c r="K77" s="342"/>
      <c r="L77" s="342"/>
      <c r="M77" s="342"/>
      <c r="N77" s="342"/>
      <c r="O77" s="1054"/>
      <c r="P77" s="1055"/>
      <c r="Q77" s="1056"/>
      <c r="R77" s="342"/>
      <c r="S77" s="329"/>
      <c r="T77" s="329"/>
      <c r="U77" s="329"/>
      <c r="V77" s="329"/>
      <c r="W77" s="329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2"/>
      <c r="AI77" s="2"/>
      <c r="AJ77" s="2"/>
    </row>
    <row r="78" spans="1:36" ht="15.75" customHeight="1">
      <c r="A78" s="1073"/>
      <c r="B78" s="1073"/>
      <c r="C78" s="1073"/>
      <c r="D78" s="1073"/>
      <c r="E78" s="342"/>
      <c r="F78" s="342"/>
      <c r="G78" s="342"/>
      <c r="H78" s="342"/>
      <c r="I78" s="342"/>
      <c r="J78" s="342"/>
      <c r="K78" s="342"/>
      <c r="L78" s="342"/>
      <c r="M78" s="342"/>
      <c r="N78" s="342"/>
      <c r="O78" s="342"/>
      <c r="P78" s="342"/>
      <c r="Q78" s="342"/>
      <c r="R78" s="342"/>
      <c r="S78" s="329"/>
      <c r="T78" s="329"/>
      <c r="U78" s="329"/>
      <c r="V78" s="331"/>
      <c r="W78" s="331"/>
      <c r="X78" s="332"/>
      <c r="Y78" s="332"/>
      <c r="Z78" s="332"/>
      <c r="AA78" s="332"/>
      <c r="AB78" s="332"/>
      <c r="AC78" s="332"/>
      <c r="AD78" s="332"/>
      <c r="AE78" s="332"/>
      <c r="AF78" s="332"/>
      <c r="AG78" s="332"/>
      <c r="AH78" s="333"/>
      <c r="AI78" s="333"/>
      <c r="AJ78" s="333"/>
    </row>
    <row r="79" spans="1:36" ht="15.75" customHeight="1">
      <c r="A79" s="342"/>
      <c r="B79" s="342"/>
      <c r="C79" s="342"/>
      <c r="D79" s="342"/>
      <c r="E79" s="342"/>
      <c r="F79" s="342"/>
      <c r="G79" s="342"/>
      <c r="H79" s="342"/>
      <c r="I79" s="342"/>
      <c r="J79" s="342"/>
      <c r="K79" s="342"/>
      <c r="L79" s="342"/>
      <c r="M79" s="342"/>
      <c r="N79" s="342"/>
      <c r="O79" s="342"/>
      <c r="P79" s="342"/>
      <c r="Q79" s="342"/>
      <c r="R79" s="342"/>
      <c r="S79" s="329"/>
      <c r="T79" s="329"/>
      <c r="U79" s="329"/>
      <c r="V79" s="329"/>
      <c r="W79" s="329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2"/>
      <c r="AI79" s="2"/>
      <c r="AJ79" s="2"/>
    </row>
    <row r="80" spans="1:36" ht="15.75" customHeight="1">
      <c r="A80" s="366"/>
      <c r="B80" s="366"/>
      <c r="C80" s="366"/>
      <c r="D80" s="387"/>
      <c r="E80" s="366"/>
      <c r="F80" s="366"/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366"/>
      <c r="S80" s="331"/>
      <c r="T80" s="331"/>
      <c r="U80" s="331"/>
      <c r="V80" s="329"/>
      <c r="W80" s="329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2"/>
      <c r="AI80" s="2"/>
      <c r="AJ80" s="2"/>
    </row>
    <row r="81" spans="1:36" ht="15.75" customHeight="1">
      <c r="A81" s="1057" t="s">
        <v>744</v>
      </c>
      <c r="B81" s="1057"/>
      <c r="C81" s="388" t="s">
        <v>32</v>
      </c>
      <c r="D81" s="389" t="s">
        <v>745</v>
      </c>
      <c r="E81" s="342"/>
      <c r="F81" s="342"/>
      <c r="G81" s="342"/>
      <c r="H81" s="342"/>
      <c r="I81" s="342"/>
      <c r="J81" s="342"/>
      <c r="K81" s="342"/>
      <c r="L81" s="342"/>
      <c r="M81" s="342"/>
      <c r="N81" s="342"/>
      <c r="O81" s="342"/>
      <c r="P81" s="342"/>
      <c r="Q81" s="342"/>
      <c r="R81" s="342"/>
      <c r="S81" s="329"/>
      <c r="T81" s="329"/>
      <c r="U81" s="329"/>
      <c r="V81" s="329"/>
      <c r="W81" s="329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2"/>
      <c r="AI81" s="2"/>
      <c r="AJ81" s="2"/>
    </row>
    <row r="82" spans="1:36" ht="15.75" customHeight="1">
      <c r="A82" s="1088" t="s">
        <v>746</v>
      </c>
      <c r="B82" s="1088"/>
      <c r="C82" s="374" t="s">
        <v>747</v>
      </c>
      <c r="D82" s="374">
        <v>4</v>
      </c>
      <c r="E82" s="342"/>
      <c r="F82" s="342"/>
      <c r="G82" s="342"/>
      <c r="H82" s="342"/>
      <c r="I82" s="342"/>
      <c r="J82" s="342"/>
      <c r="K82" s="342"/>
      <c r="L82" s="342"/>
      <c r="M82" s="342"/>
      <c r="N82" s="342"/>
      <c r="O82" s="342"/>
      <c r="P82" s="342"/>
      <c r="Q82" s="342"/>
      <c r="R82" s="342"/>
      <c r="S82" s="329"/>
      <c r="T82" s="329"/>
      <c r="U82" s="329"/>
      <c r="V82" s="329"/>
      <c r="W82" s="329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2"/>
      <c r="AI82" s="2"/>
      <c r="AJ82" s="2"/>
    </row>
    <row r="83" spans="1:36" ht="15.75" customHeight="1">
      <c r="A83" s="1088" t="s">
        <v>748</v>
      </c>
      <c r="B83" s="1088"/>
      <c r="C83" s="376" t="s">
        <v>749</v>
      </c>
      <c r="D83" s="376">
        <v>4</v>
      </c>
      <c r="E83" s="342"/>
      <c r="F83" s="342"/>
      <c r="G83" s="342"/>
      <c r="H83" s="342"/>
      <c r="I83" s="342"/>
      <c r="J83" s="342"/>
      <c r="K83" s="342"/>
      <c r="L83" s="342"/>
      <c r="M83" s="342"/>
      <c r="N83" s="342"/>
      <c r="O83" s="342"/>
      <c r="P83" s="342"/>
      <c r="Q83" s="342"/>
      <c r="R83" s="342"/>
      <c r="S83" s="329"/>
      <c r="T83" s="329"/>
      <c r="U83" s="329"/>
      <c r="V83" s="329"/>
      <c r="W83" s="329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2"/>
      <c r="AI83" s="2"/>
      <c r="AJ83" s="2"/>
    </row>
    <row r="84" spans="1:36" ht="15.75" customHeight="1">
      <c r="A84" s="1088" t="s">
        <v>751</v>
      </c>
      <c r="B84" s="1088"/>
      <c r="C84" s="376" t="s">
        <v>750</v>
      </c>
      <c r="D84" s="376">
        <v>3</v>
      </c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R84" s="342"/>
      <c r="S84" s="329"/>
      <c r="T84" s="329"/>
      <c r="U84" s="329"/>
      <c r="V84" s="329"/>
      <c r="W84" s="329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2"/>
      <c r="AI84" s="2"/>
      <c r="AJ84" s="2"/>
    </row>
    <row r="85" spans="1:36" ht="15.75" customHeight="1">
      <c r="A85" s="342"/>
      <c r="B85" s="342"/>
      <c r="C85" s="342"/>
      <c r="D85" s="342"/>
      <c r="E85" s="342"/>
      <c r="F85" s="342"/>
      <c r="G85" s="342"/>
      <c r="H85" s="342"/>
      <c r="I85" s="342"/>
      <c r="J85" s="342"/>
      <c r="K85" s="342"/>
      <c r="L85" s="342"/>
      <c r="M85" s="342"/>
      <c r="N85" s="342"/>
      <c r="O85" s="342"/>
      <c r="P85" s="342"/>
      <c r="Q85" s="342"/>
      <c r="R85" s="342"/>
      <c r="S85" s="329"/>
      <c r="T85" s="329"/>
      <c r="U85" s="329"/>
      <c r="V85" s="329"/>
      <c r="W85" s="329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2"/>
      <c r="AI85" s="2"/>
      <c r="AJ85" s="2"/>
    </row>
    <row r="86" spans="1:36" ht="15.75" customHeight="1">
      <c r="A86" s="342"/>
      <c r="B86" s="342"/>
      <c r="C86" s="342"/>
      <c r="D86" s="342"/>
      <c r="E86" s="342"/>
      <c r="F86" s="342"/>
      <c r="G86" s="342"/>
      <c r="H86" s="342"/>
      <c r="I86" s="342"/>
      <c r="J86" s="342"/>
      <c r="K86" s="342"/>
      <c r="L86" s="342"/>
      <c r="M86" s="342"/>
      <c r="N86" s="342"/>
      <c r="O86" s="342"/>
      <c r="P86" s="342"/>
      <c r="Q86" s="342"/>
      <c r="R86" s="342"/>
      <c r="S86" s="329"/>
      <c r="T86" s="329"/>
      <c r="U86" s="329"/>
      <c r="V86" s="329"/>
      <c r="W86" s="329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2"/>
      <c r="AI86" s="2"/>
      <c r="AJ86" s="2"/>
    </row>
    <row r="87" spans="1:36" ht="15.75" customHeight="1">
      <c r="A87" s="342"/>
      <c r="B87" s="342"/>
      <c r="C87" s="342"/>
      <c r="D87" s="342"/>
      <c r="E87" s="342"/>
      <c r="F87" s="342"/>
      <c r="G87" s="342"/>
      <c r="H87" s="342"/>
      <c r="I87" s="342"/>
      <c r="J87" s="342"/>
      <c r="K87" s="342"/>
      <c r="L87" s="342"/>
      <c r="M87" s="342"/>
      <c r="N87" s="342"/>
      <c r="O87" s="342"/>
      <c r="P87" s="342"/>
      <c r="Q87" s="342"/>
      <c r="R87" s="342"/>
      <c r="S87" s="329"/>
      <c r="T87" s="329"/>
      <c r="U87" s="329"/>
      <c r="V87" s="329"/>
      <c r="W87" s="329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2"/>
      <c r="AI87" s="2"/>
      <c r="AJ87" s="2"/>
    </row>
    <row r="88" spans="1:36" ht="15.75" customHeight="1">
      <c r="A88" s="342"/>
      <c r="B88" s="342"/>
      <c r="C88" s="342"/>
      <c r="D88" s="342"/>
      <c r="E88" s="342"/>
      <c r="F88" s="342"/>
      <c r="G88" s="342"/>
      <c r="H88" s="342"/>
      <c r="I88" s="342"/>
      <c r="J88" s="342"/>
      <c r="K88" s="342"/>
      <c r="L88" s="342"/>
      <c r="M88" s="342"/>
      <c r="N88" s="342"/>
      <c r="O88" s="342"/>
      <c r="P88" s="342"/>
      <c r="Q88" s="342"/>
      <c r="R88" s="342"/>
      <c r="S88" s="329"/>
      <c r="T88" s="329"/>
      <c r="U88" s="329"/>
      <c r="V88" s="329"/>
      <c r="W88" s="329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2"/>
      <c r="AI88" s="2"/>
      <c r="AJ88" s="2"/>
    </row>
    <row r="89" spans="1:36" ht="15.75" customHeight="1">
      <c r="A89" s="342"/>
      <c r="B89" s="342"/>
      <c r="C89" s="342"/>
      <c r="D89" s="342"/>
      <c r="E89" s="342"/>
      <c r="F89" s="342"/>
      <c r="G89" s="342"/>
      <c r="H89" s="342"/>
      <c r="I89" s="342"/>
      <c r="J89" s="342"/>
      <c r="K89" s="342"/>
      <c r="L89" s="342"/>
      <c r="M89" s="342"/>
      <c r="N89" s="342"/>
      <c r="O89" s="342"/>
      <c r="P89" s="342"/>
      <c r="Q89" s="342"/>
      <c r="R89" s="342"/>
      <c r="S89" s="329"/>
      <c r="T89" s="329"/>
      <c r="U89" s="329"/>
      <c r="V89" s="329"/>
      <c r="W89" s="329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2"/>
      <c r="AI89" s="2"/>
      <c r="AJ89" s="2"/>
    </row>
    <row r="90" spans="1:36" ht="15.75" customHeight="1">
      <c r="A90" s="342"/>
      <c r="B90" s="342"/>
      <c r="C90" s="342"/>
      <c r="D90" s="342"/>
      <c r="E90" s="342"/>
      <c r="F90" s="342"/>
      <c r="G90" s="342"/>
      <c r="H90" s="342"/>
      <c r="I90" s="342"/>
      <c r="J90" s="342"/>
      <c r="K90" s="342"/>
      <c r="L90" s="342"/>
      <c r="M90" s="342"/>
      <c r="N90" s="342"/>
      <c r="O90" s="342"/>
      <c r="P90" s="342"/>
      <c r="Q90" s="342"/>
      <c r="R90" s="342"/>
      <c r="S90" s="329"/>
      <c r="T90" s="329"/>
      <c r="U90" s="329"/>
      <c r="V90" s="329"/>
      <c r="W90" s="329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2"/>
      <c r="AI90" s="2"/>
      <c r="AJ90" s="2"/>
    </row>
    <row r="91" spans="1:36" ht="15.75" customHeight="1">
      <c r="A91" s="342"/>
      <c r="B91" s="342"/>
      <c r="C91" s="342"/>
      <c r="D91" s="342"/>
      <c r="E91" s="342"/>
      <c r="F91" s="342"/>
      <c r="G91" s="342"/>
      <c r="H91" s="342"/>
      <c r="I91" s="342"/>
      <c r="J91" s="342"/>
      <c r="K91" s="342"/>
      <c r="L91" s="342"/>
      <c r="M91" s="342"/>
      <c r="N91" s="342"/>
      <c r="O91" s="342"/>
      <c r="P91" s="342"/>
      <c r="Q91" s="342"/>
      <c r="R91" s="342"/>
      <c r="S91" s="329"/>
      <c r="T91" s="329"/>
      <c r="U91" s="329"/>
      <c r="V91" s="329"/>
      <c r="W91" s="329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2"/>
      <c r="AI91" s="2"/>
      <c r="AJ91" s="2"/>
    </row>
    <row r="92" spans="1:36" ht="15.75" customHeight="1">
      <c r="A92" s="342"/>
      <c r="B92" s="342"/>
      <c r="C92" s="342"/>
      <c r="D92" s="342"/>
      <c r="E92" s="342"/>
      <c r="F92" s="342"/>
      <c r="G92" s="342"/>
      <c r="H92" s="342"/>
      <c r="I92" s="342"/>
      <c r="J92" s="342"/>
      <c r="K92" s="342"/>
      <c r="L92" s="342"/>
      <c r="M92" s="342"/>
      <c r="N92" s="342"/>
      <c r="O92" s="342"/>
      <c r="P92" s="342"/>
      <c r="Q92" s="342"/>
      <c r="R92" s="342"/>
      <c r="S92" s="329"/>
      <c r="T92" s="329"/>
      <c r="U92" s="329"/>
      <c r="V92" s="329"/>
      <c r="W92" s="329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2"/>
      <c r="AI92" s="2"/>
      <c r="AJ92" s="2"/>
    </row>
    <row r="93" spans="1:36" ht="15.75" customHeight="1">
      <c r="A93" s="342"/>
      <c r="B93" s="342"/>
      <c r="C93" s="342"/>
      <c r="D93" s="342"/>
      <c r="E93" s="342"/>
      <c r="F93" s="342"/>
      <c r="G93" s="342"/>
      <c r="H93" s="342"/>
      <c r="I93" s="342"/>
      <c r="J93" s="342"/>
      <c r="K93" s="342"/>
      <c r="L93" s="342"/>
      <c r="M93" s="342"/>
      <c r="N93" s="342"/>
      <c r="O93" s="342"/>
      <c r="P93" s="342"/>
      <c r="Q93" s="342"/>
      <c r="R93" s="342"/>
      <c r="S93" s="329"/>
      <c r="T93" s="329"/>
      <c r="U93" s="329"/>
      <c r="V93" s="329"/>
      <c r="W93" s="329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2"/>
      <c r="AI93" s="2"/>
      <c r="AJ93" s="2"/>
    </row>
    <row r="94" spans="1:36" ht="15.75" customHeight="1">
      <c r="A94" s="342"/>
      <c r="B94" s="342"/>
      <c r="C94" s="342"/>
      <c r="D94" s="342"/>
      <c r="E94" s="342"/>
      <c r="F94" s="342"/>
      <c r="G94" s="342"/>
      <c r="H94" s="342"/>
      <c r="I94" s="342"/>
      <c r="J94" s="342"/>
      <c r="K94" s="342"/>
      <c r="L94" s="342"/>
      <c r="M94" s="342"/>
      <c r="N94" s="342"/>
      <c r="O94" s="342"/>
      <c r="P94" s="342"/>
      <c r="Q94" s="342"/>
      <c r="R94" s="342"/>
      <c r="S94" s="329"/>
      <c r="T94" s="329"/>
      <c r="U94" s="329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2"/>
      <c r="AI94" s="2"/>
      <c r="AJ94" s="2"/>
    </row>
    <row r="95" spans="1:36" ht="15.75" customHeight="1">
      <c r="A95" s="342"/>
      <c r="B95" s="342"/>
      <c r="C95" s="342"/>
      <c r="D95" s="342"/>
      <c r="E95" s="342"/>
      <c r="F95" s="342"/>
      <c r="G95" s="342"/>
      <c r="H95" s="342"/>
      <c r="I95" s="342"/>
      <c r="J95" s="342"/>
      <c r="K95" s="342"/>
      <c r="L95" s="342"/>
      <c r="M95" s="342"/>
      <c r="N95" s="342"/>
      <c r="O95" s="342"/>
      <c r="P95" s="342"/>
      <c r="Q95" s="342"/>
      <c r="R95" s="342"/>
      <c r="S95" s="329"/>
      <c r="T95" s="329"/>
      <c r="U95" s="329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2"/>
      <c r="AI95" s="2"/>
      <c r="AJ95" s="2"/>
    </row>
    <row r="96" spans="1:36" ht="15.75" customHeight="1">
      <c r="A96" s="342"/>
      <c r="B96" s="342"/>
      <c r="C96" s="342"/>
      <c r="D96" s="342"/>
      <c r="E96" s="342"/>
      <c r="F96" s="342"/>
      <c r="G96" s="342"/>
      <c r="H96" s="342"/>
      <c r="I96" s="342"/>
      <c r="J96" s="342"/>
      <c r="K96" s="342"/>
      <c r="L96" s="342"/>
      <c r="M96" s="342"/>
      <c r="N96" s="342"/>
      <c r="O96" s="342"/>
      <c r="P96" s="342"/>
      <c r="Q96" s="342"/>
      <c r="R96" s="342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2"/>
      <c r="AI96" s="2"/>
      <c r="AJ96" s="2"/>
    </row>
    <row r="97" spans="1:36" ht="15.75" customHeight="1">
      <c r="A97" s="330"/>
      <c r="B97" s="330"/>
      <c r="C97" s="330"/>
      <c r="D97" s="330"/>
      <c r="E97" s="330"/>
      <c r="F97" s="330"/>
      <c r="G97" s="330"/>
      <c r="H97" s="342"/>
      <c r="I97" s="342"/>
      <c r="J97" s="342"/>
      <c r="K97" s="342"/>
      <c r="L97" s="342"/>
      <c r="M97" s="342"/>
      <c r="N97" s="342"/>
      <c r="O97" s="342"/>
      <c r="P97" s="342"/>
      <c r="Q97" s="342"/>
      <c r="R97" s="342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2"/>
      <c r="AI97" s="2"/>
      <c r="AJ97" s="2"/>
    </row>
    <row r="98" spans="1:36" ht="15.75" customHeight="1">
      <c r="A98" s="330"/>
      <c r="B98" s="330"/>
      <c r="C98" s="330"/>
      <c r="D98" s="330"/>
      <c r="E98" s="330"/>
      <c r="F98" s="330"/>
      <c r="G98" s="330"/>
      <c r="H98" s="342"/>
      <c r="I98" s="342"/>
      <c r="J98" s="342"/>
      <c r="K98" s="342"/>
      <c r="L98" s="342"/>
      <c r="M98" s="342"/>
      <c r="N98" s="342"/>
      <c r="O98" s="342"/>
      <c r="P98" s="342"/>
      <c r="Q98" s="342"/>
      <c r="R98" s="342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2"/>
      <c r="AI98" s="2"/>
      <c r="AJ98" s="2"/>
    </row>
    <row r="99" spans="1:36" ht="15.75" customHeight="1">
      <c r="A99" s="330"/>
      <c r="B99" s="330"/>
      <c r="C99" s="330"/>
      <c r="D99" s="330"/>
      <c r="E99" s="330"/>
      <c r="F99" s="330"/>
      <c r="G99" s="330"/>
      <c r="H99" s="342"/>
      <c r="I99" s="342"/>
      <c r="J99" s="342"/>
      <c r="K99" s="342"/>
      <c r="L99" s="342"/>
      <c r="M99" s="342"/>
      <c r="N99" s="342"/>
      <c r="O99" s="342"/>
      <c r="P99" s="342"/>
      <c r="Q99" s="342"/>
      <c r="R99" s="342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2"/>
      <c r="AI99" s="2"/>
      <c r="AJ99" s="2"/>
    </row>
    <row r="100" spans="1:36" ht="15.75" customHeight="1">
      <c r="A100" s="330"/>
      <c r="B100" s="330"/>
      <c r="C100" s="330"/>
      <c r="D100" s="330"/>
      <c r="E100" s="330"/>
      <c r="F100" s="330"/>
      <c r="G100" s="330"/>
      <c r="H100" s="342"/>
      <c r="I100" s="342"/>
      <c r="J100" s="342"/>
      <c r="K100" s="342"/>
      <c r="L100" s="342"/>
      <c r="M100" s="342"/>
      <c r="N100" s="342"/>
      <c r="O100" s="342"/>
      <c r="P100" s="342"/>
      <c r="Q100" s="342"/>
      <c r="R100" s="342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2"/>
      <c r="AI100" s="2"/>
      <c r="AJ100" s="2"/>
    </row>
    <row r="101" spans="1:36" ht="15.75" customHeight="1">
      <c r="A101" s="330"/>
      <c r="B101" s="330"/>
      <c r="C101" s="330"/>
      <c r="D101" s="330"/>
      <c r="E101" s="330"/>
      <c r="F101" s="330"/>
      <c r="G101" s="330"/>
      <c r="H101" s="342"/>
      <c r="I101" s="342"/>
      <c r="J101" s="342"/>
      <c r="K101" s="342"/>
      <c r="L101" s="342"/>
      <c r="M101" s="342"/>
      <c r="N101" s="342"/>
      <c r="O101" s="342"/>
      <c r="P101" s="342"/>
      <c r="Q101" s="342"/>
      <c r="R101" s="342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2"/>
      <c r="AI101" s="2"/>
      <c r="AJ101" s="2"/>
    </row>
    <row r="102" spans="1:36" ht="15.75" customHeight="1">
      <c r="A102" s="330"/>
      <c r="B102" s="330"/>
      <c r="C102" s="330"/>
      <c r="D102" s="330"/>
      <c r="E102" s="330"/>
      <c r="F102" s="330"/>
      <c r="G102" s="330"/>
      <c r="H102" s="342"/>
      <c r="I102" s="342"/>
      <c r="J102" s="342"/>
      <c r="K102" s="342"/>
      <c r="L102" s="342"/>
      <c r="M102" s="342"/>
      <c r="N102" s="342"/>
      <c r="O102" s="342"/>
      <c r="P102" s="342"/>
      <c r="Q102" s="342"/>
      <c r="R102" s="342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2"/>
      <c r="AI102" s="2"/>
      <c r="AJ102" s="2"/>
    </row>
    <row r="103" spans="1:36" ht="15.75" customHeight="1">
      <c r="A103" s="330"/>
      <c r="B103" s="330"/>
      <c r="C103" s="330"/>
      <c r="D103" s="330"/>
      <c r="E103" s="330"/>
      <c r="F103" s="330"/>
      <c r="G103" s="330"/>
      <c r="H103" s="342"/>
      <c r="I103" s="342"/>
      <c r="J103" s="342"/>
      <c r="K103" s="342"/>
      <c r="L103" s="342"/>
      <c r="M103" s="342"/>
      <c r="N103" s="342"/>
      <c r="O103" s="342"/>
      <c r="P103" s="342"/>
      <c r="Q103" s="342"/>
      <c r="R103" s="342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2"/>
      <c r="AI103" s="2"/>
      <c r="AJ103" s="2"/>
    </row>
    <row r="104" spans="1:36" ht="15.75" customHeight="1">
      <c r="A104" s="330"/>
      <c r="B104" s="330"/>
      <c r="C104" s="330"/>
      <c r="D104" s="330"/>
      <c r="E104" s="330"/>
      <c r="F104" s="330"/>
      <c r="G104" s="330"/>
      <c r="H104" s="342"/>
      <c r="I104" s="342"/>
      <c r="J104" s="342"/>
      <c r="K104" s="342"/>
      <c r="L104" s="342"/>
      <c r="M104" s="342"/>
      <c r="N104" s="342"/>
      <c r="O104" s="342"/>
      <c r="P104" s="342"/>
      <c r="Q104" s="342"/>
      <c r="R104" s="342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2"/>
      <c r="AI104" s="2"/>
      <c r="AJ104" s="2"/>
    </row>
    <row r="105" spans="1:36" ht="15.75" customHeight="1">
      <c r="A105" s="330"/>
      <c r="B105" s="330"/>
      <c r="C105" s="330"/>
      <c r="D105" s="330"/>
      <c r="E105" s="330"/>
      <c r="F105" s="330"/>
      <c r="G105" s="330"/>
      <c r="H105" s="342"/>
      <c r="I105" s="342"/>
      <c r="J105" s="342"/>
      <c r="K105" s="342"/>
      <c r="L105" s="342"/>
      <c r="M105" s="342"/>
      <c r="N105" s="342"/>
      <c r="O105" s="342"/>
      <c r="P105" s="342"/>
      <c r="Q105" s="342"/>
      <c r="R105" s="342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2"/>
      <c r="AI105" s="2"/>
      <c r="AJ105" s="2"/>
    </row>
    <row r="106" spans="1:36" ht="15.75" customHeight="1">
      <c r="A106" s="342"/>
      <c r="B106" s="342"/>
      <c r="C106" s="342"/>
      <c r="D106" s="342"/>
      <c r="E106" s="342"/>
      <c r="F106" s="342"/>
      <c r="G106" s="342"/>
      <c r="H106" s="342"/>
      <c r="I106" s="342"/>
      <c r="J106" s="342"/>
      <c r="K106" s="342"/>
      <c r="L106" s="342"/>
      <c r="M106" s="342"/>
      <c r="N106" s="342"/>
      <c r="O106" s="342"/>
      <c r="P106" s="342"/>
      <c r="Q106" s="342"/>
      <c r="R106" s="342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2"/>
      <c r="AI106" s="2"/>
      <c r="AJ106" s="2"/>
    </row>
    <row r="107" spans="1:3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2"/>
      <c r="AI107" s="2"/>
      <c r="AJ107" s="2"/>
    </row>
    <row r="108" spans="1:3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2"/>
      <c r="AI108" s="2"/>
      <c r="AJ108" s="2"/>
    </row>
    <row r="109" spans="1:3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2"/>
      <c r="AI109" s="2"/>
      <c r="AJ109" s="2"/>
    </row>
    <row r="110" spans="1:3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2"/>
      <c r="AI110" s="2"/>
      <c r="AJ110" s="2"/>
    </row>
    <row r="111" spans="1:3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2"/>
      <c r="AI111" s="2"/>
      <c r="AJ111" s="2"/>
    </row>
    <row r="112" spans="1:3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2"/>
      <c r="AI112" s="2"/>
      <c r="AJ112" s="2"/>
    </row>
    <row r="113" spans="1:3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2"/>
      <c r="AI113" s="2"/>
      <c r="AJ113" s="2"/>
    </row>
    <row r="114" spans="1:3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2"/>
      <c r="AI114" s="2"/>
      <c r="AJ114" s="2"/>
    </row>
    <row r="115" spans="1:3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2"/>
      <c r="AI115" s="2"/>
      <c r="AJ115" s="2"/>
    </row>
    <row r="116" spans="1:3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2"/>
      <c r="AI116" s="2"/>
      <c r="AJ116" s="2"/>
    </row>
    <row r="117" spans="1:3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2"/>
      <c r="AI117" s="2"/>
      <c r="AJ117" s="2"/>
    </row>
    <row r="118" spans="1:3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2"/>
      <c r="AI118" s="2"/>
      <c r="AJ118" s="2"/>
    </row>
    <row r="119" spans="1:3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2"/>
      <c r="AI119" s="2"/>
      <c r="AJ119" s="2"/>
    </row>
    <row r="120" spans="1:3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2"/>
      <c r="AI120" s="2"/>
      <c r="AJ120" s="2"/>
    </row>
    <row r="121" spans="1:3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2"/>
      <c r="AI121" s="2"/>
      <c r="AJ121" s="2"/>
    </row>
    <row r="122" spans="1:3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2"/>
      <c r="AI122" s="2"/>
      <c r="AJ122" s="2"/>
    </row>
    <row r="123" spans="1:3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2"/>
      <c r="AI123" s="2"/>
      <c r="AJ123" s="2"/>
    </row>
    <row r="124" spans="1:3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2"/>
      <c r="AI124" s="2"/>
      <c r="AJ124" s="2"/>
    </row>
    <row r="125" spans="1:3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2"/>
      <c r="AI125" s="2"/>
      <c r="AJ125" s="2"/>
    </row>
    <row r="126" spans="1:3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2"/>
      <c r="AI126" s="2"/>
      <c r="AJ126" s="2"/>
    </row>
    <row r="127" spans="1:3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2"/>
      <c r="AI127" s="2"/>
      <c r="AJ127" s="2"/>
    </row>
    <row r="128" spans="1:3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2"/>
      <c r="AI128" s="2"/>
      <c r="AJ128" s="2"/>
    </row>
    <row r="129" spans="1:3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2"/>
      <c r="AI129" s="2"/>
      <c r="AJ129" s="2"/>
    </row>
    <row r="130" spans="1:3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2"/>
      <c r="AI130" s="2"/>
      <c r="AJ130" s="2"/>
    </row>
    <row r="131" spans="1:3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2"/>
      <c r="AI131" s="2"/>
      <c r="AJ131" s="2"/>
    </row>
    <row r="132" spans="1:3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2"/>
      <c r="AI132" s="2"/>
      <c r="AJ132" s="2"/>
    </row>
    <row r="133" spans="1:3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2"/>
      <c r="AI133" s="2"/>
      <c r="AJ133" s="2"/>
    </row>
    <row r="134" spans="1:3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2"/>
      <c r="AI134" s="2"/>
      <c r="AJ134" s="2"/>
    </row>
    <row r="135" spans="1:3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2"/>
      <c r="AI135" s="2"/>
      <c r="AJ135" s="2"/>
    </row>
    <row r="136" spans="1: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2"/>
      <c r="AI136" s="2"/>
      <c r="AJ136" s="2"/>
    </row>
    <row r="137" spans="1:3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2"/>
      <c r="AI137" s="2"/>
      <c r="AJ137" s="2"/>
    </row>
    <row r="138" spans="1:3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2"/>
      <c r="AI138" s="2"/>
      <c r="AJ138" s="2"/>
    </row>
    <row r="139" spans="1:3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2"/>
      <c r="AI139" s="2"/>
      <c r="AJ139" s="2"/>
    </row>
    <row r="140" spans="1:3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2"/>
      <c r="AI140" s="2"/>
      <c r="AJ140" s="2"/>
    </row>
    <row r="141" spans="1:3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2"/>
      <c r="AI141" s="2"/>
      <c r="AJ141" s="2"/>
    </row>
    <row r="142" spans="1:3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2"/>
      <c r="AI142" s="2"/>
      <c r="AJ142" s="2"/>
    </row>
    <row r="143" spans="1:3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2"/>
      <c r="AI143" s="2"/>
      <c r="AJ143" s="2"/>
    </row>
    <row r="144" spans="1:3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2"/>
      <c r="AI144" s="2"/>
      <c r="AJ144" s="2"/>
    </row>
    <row r="145" spans="1:3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2"/>
      <c r="AI145" s="2"/>
      <c r="AJ145" s="2"/>
    </row>
    <row r="146" spans="1:3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2"/>
      <c r="AI146" s="2"/>
      <c r="AJ146" s="2"/>
    </row>
    <row r="147" spans="1:3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2"/>
      <c r="AI147" s="2"/>
      <c r="AJ147" s="2"/>
    </row>
    <row r="148" spans="1:3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2"/>
      <c r="AI148" s="2"/>
      <c r="AJ148" s="2"/>
    </row>
    <row r="149" spans="1:3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</row>
    <row r="150" spans="1:3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</row>
    <row r="151" spans="1:36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</row>
    <row r="152" spans="1:36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</row>
    <row r="153" spans="1:36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</row>
    <row r="154" spans="1:36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</row>
    <row r="155" spans="1:36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</row>
    <row r="156" spans="1:3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</row>
    <row r="157" spans="1:36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</row>
    <row r="158" spans="1:36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</row>
    <row r="159" spans="1:36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</row>
    <row r="160" spans="1:36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</row>
    <row r="161" spans="1:36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</row>
    <row r="162" spans="1:36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</row>
    <row r="163" spans="1:36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</row>
    <row r="164" spans="1:36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</row>
    <row r="165" spans="1:36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</row>
    <row r="166" spans="1:3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</row>
    <row r="167" spans="1:36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</row>
    <row r="168" spans="1:36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</row>
    <row r="169" spans="1:36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</row>
    <row r="170" spans="1:36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</row>
    <row r="171" spans="1:36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</row>
    <row r="172" spans="1:36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</row>
    <row r="173" spans="1:36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</row>
    <row r="174" spans="1:36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</row>
    <row r="175" spans="1:36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</row>
    <row r="176" spans="1:3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</row>
    <row r="177" spans="1:36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</row>
    <row r="178" spans="1:36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</row>
    <row r="179" spans="1:36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</row>
    <row r="180" spans="1:36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</row>
    <row r="181" spans="1:36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</row>
    <row r="182" spans="1:36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</row>
    <row r="183" spans="1:36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</row>
    <row r="184" spans="1:36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</row>
    <row r="185" spans="1:36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</row>
    <row r="186" spans="1:3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</row>
    <row r="187" spans="1:36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</row>
    <row r="188" spans="1:36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</row>
    <row r="189" spans="1:36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</row>
    <row r="190" spans="1:36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</row>
    <row r="191" spans="1:36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</row>
    <row r="192" spans="1:36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</row>
    <row r="193" spans="1:36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</row>
    <row r="194" spans="1:36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</row>
    <row r="195" spans="1:36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</row>
    <row r="196" spans="1:3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</row>
    <row r="197" spans="1:36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</row>
    <row r="198" spans="1:36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</row>
    <row r="199" spans="1:36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</row>
    <row r="200" spans="1:36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</row>
    <row r="201" spans="1:36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</row>
    <row r="202" spans="1:36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</row>
    <row r="203" spans="1:36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</row>
    <row r="204" spans="1:36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</row>
    <row r="205" spans="1:36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</row>
    <row r="206" spans="1:3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</row>
    <row r="207" spans="1:36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</row>
    <row r="208" spans="1:36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</row>
    <row r="209" spans="1:36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</row>
    <row r="210" spans="1:36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</row>
    <row r="211" spans="1:36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</row>
    <row r="212" spans="1:36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</row>
    <row r="213" spans="1:36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</row>
    <row r="214" spans="1:36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</row>
    <row r="215" spans="1:36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</row>
    <row r="216" spans="1:3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</row>
    <row r="217" spans="1:36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</row>
    <row r="218" spans="1:36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</row>
    <row r="219" spans="1:36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</row>
    <row r="220" spans="1:36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</row>
    <row r="221" spans="1:36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</row>
    <row r="222" spans="1:36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</row>
    <row r="223" spans="1:36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</row>
    <row r="224" spans="1:36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</row>
    <row r="225" spans="1:36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</row>
    <row r="226" spans="1:3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</row>
    <row r="227" spans="1:36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</row>
    <row r="228" spans="1:36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</row>
    <row r="229" spans="1:36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</row>
    <row r="230" spans="1:36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</row>
    <row r="231" spans="1:36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</row>
    <row r="232" spans="1:36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</row>
    <row r="233" spans="1:36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</row>
    <row r="234" spans="1:36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</row>
    <row r="235" spans="1:36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</row>
    <row r="236" spans="1: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</row>
    <row r="237" spans="1:36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</row>
    <row r="238" spans="1:36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</row>
    <row r="239" spans="1:36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</row>
    <row r="240" spans="1:36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</row>
    <row r="241" spans="1:36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</row>
    <row r="242" spans="1:36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</row>
    <row r="243" spans="1:36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</row>
    <row r="244" spans="1:36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</row>
    <row r="245" spans="1:36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</row>
    <row r="246" spans="1:3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</row>
    <row r="247" spans="1:36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</row>
    <row r="248" spans="1:36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</row>
    <row r="249" spans="1:36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</row>
    <row r="250" spans="1:36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</row>
    <row r="251" spans="1:36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</row>
    <row r="252" spans="1:36" ht="15.75" customHeight="1"/>
    <row r="253" spans="1:36" ht="15.75" customHeight="1"/>
    <row r="254" spans="1:36" ht="15.75" customHeight="1"/>
    <row r="255" spans="1:36" ht="15.75" customHeight="1"/>
    <row r="256" spans="1:3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sheetProtection selectLockedCells="1"/>
  <mergeCells count="86">
    <mergeCell ref="O74:Q77"/>
    <mergeCell ref="F76:H76"/>
    <mergeCell ref="I76:J76"/>
    <mergeCell ref="E1:M3"/>
    <mergeCell ref="J17:Q17"/>
    <mergeCell ref="J18:K18"/>
    <mergeCell ref="L18:M18"/>
    <mergeCell ref="N18:O18"/>
    <mergeCell ref="P18:Q18"/>
    <mergeCell ref="I37:J37"/>
    <mergeCell ref="P4:Q4"/>
    <mergeCell ref="L52:M52"/>
    <mergeCell ref="L53:M53"/>
    <mergeCell ref="M31:N31"/>
    <mergeCell ref="F74:H74"/>
    <mergeCell ref="I74:J74"/>
    <mergeCell ref="A84:B84"/>
    <mergeCell ref="A17:B17"/>
    <mergeCell ref="D17:E17"/>
    <mergeCell ref="G17:H17"/>
    <mergeCell ref="D26:G26"/>
    <mergeCell ref="A81:B81"/>
    <mergeCell ref="A82:B82"/>
    <mergeCell ref="A83:B83"/>
    <mergeCell ref="D28:D31"/>
    <mergeCell ref="A35:C38"/>
    <mergeCell ref="H26:I26"/>
    <mergeCell ref="H27:I27"/>
    <mergeCell ref="F75:H75"/>
    <mergeCell ref="I75:J75"/>
    <mergeCell ref="F73:H73"/>
    <mergeCell ref="I73:J73"/>
    <mergeCell ref="A4:B4"/>
    <mergeCell ref="D4:E4"/>
    <mergeCell ref="G4:H4"/>
    <mergeCell ref="I72:J72"/>
    <mergeCell ref="F72:H72"/>
    <mergeCell ref="F69:H69"/>
    <mergeCell ref="I69:J69"/>
    <mergeCell ref="F70:H70"/>
    <mergeCell ref="I70:J70"/>
    <mergeCell ref="F71:H71"/>
    <mergeCell ref="D32:D35"/>
    <mergeCell ref="O36:P36"/>
    <mergeCell ref="N35:Q35"/>
    <mergeCell ref="O37:P37"/>
    <mergeCell ref="O38:P38"/>
    <mergeCell ref="M30:N30"/>
    <mergeCell ref="A74:D74"/>
    <mergeCell ref="A75:D76"/>
    <mergeCell ref="A77:D78"/>
    <mergeCell ref="J4:K4"/>
    <mergeCell ref="M4:N4"/>
    <mergeCell ref="L55:M55"/>
    <mergeCell ref="L56:M56"/>
    <mergeCell ref="J59:J62"/>
    <mergeCell ref="L60:M60"/>
    <mergeCell ref="L62:M62"/>
    <mergeCell ref="L51:M51"/>
    <mergeCell ref="L47:M47"/>
    <mergeCell ref="J48:J49"/>
    <mergeCell ref="L48:M48"/>
    <mergeCell ref="L49:M49"/>
    <mergeCell ref="J50:J57"/>
    <mergeCell ref="L57:M57"/>
    <mergeCell ref="L58:M58"/>
    <mergeCell ref="H38:I38"/>
    <mergeCell ref="H39:I39"/>
    <mergeCell ref="L50:M50"/>
    <mergeCell ref="J46:N46"/>
    <mergeCell ref="O39:P39"/>
    <mergeCell ref="A68:D68"/>
    <mergeCell ref="A69:D69"/>
    <mergeCell ref="A73:D73"/>
    <mergeCell ref="A70:D72"/>
    <mergeCell ref="P55:R58"/>
    <mergeCell ref="B63:E63"/>
    <mergeCell ref="C64:D64"/>
    <mergeCell ref="I71:J71"/>
    <mergeCell ref="L59:M59"/>
    <mergeCell ref="L61:M61"/>
    <mergeCell ref="F68:L68"/>
    <mergeCell ref="C66:D66"/>
    <mergeCell ref="C65:D65"/>
    <mergeCell ref="L54:M54"/>
    <mergeCell ref="D36:D39"/>
  </mergeCells>
  <phoneticPr fontId="115" type="noConversion"/>
  <conditionalFormatting sqref="E10">
    <cfRule type="containsText" dxfId="22" priority="1" operator="containsText" text="Falla">
      <formula>NOT(ISERROR(SEARCH(("Falla"),(E10))))</formula>
    </cfRule>
  </conditionalFormatting>
  <conditionalFormatting sqref="E10">
    <cfRule type="containsText" dxfId="21" priority="2" operator="containsText" text="Falla">
      <formula>NOT(ISERROR(SEARCH(("Falla"),(E10))))</formula>
    </cfRule>
  </conditionalFormatting>
  <conditionalFormatting sqref="E10">
    <cfRule type="containsText" dxfId="20" priority="3" operator="containsText" text="Correcto">
      <formula>NOT(ISERROR(SEARCH(("Correcto"),(E10))))</formula>
    </cfRule>
  </conditionalFormatting>
  <conditionalFormatting sqref="E10">
    <cfRule type="containsText" dxfId="19" priority="4" operator="containsText" text="Correcto">
      <formula>NOT(ISERROR(SEARCH(("Correcto"),(E10))))</formula>
    </cfRule>
  </conditionalFormatting>
  <conditionalFormatting sqref="E10">
    <cfRule type="containsText" dxfId="18" priority="5" operator="containsText" text="Falla">
      <formula>NOT(ISERROR(SEARCH(("Falla"),(E10))))</formula>
    </cfRule>
  </conditionalFormatting>
  <conditionalFormatting sqref="E10">
    <cfRule type="containsText" dxfId="17" priority="6" operator="containsText" text="Correcto">
      <formula>NOT(ISERROR(SEARCH(("Correcto"),(E10))))</formula>
    </cfRule>
  </conditionalFormatting>
  <conditionalFormatting sqref="E10">
    <cfRule type="containsText" dxfId="16" priority="7" operator="containsText" text="Falla">
      <formula>NOT(ISERROR(SEARCH(("Falla"),(E10))))</formula>
    </cfRule>
  </conditionalFormatting>
  <conditionalFormatting sqref="E10">
    <cfRule type="containsText" dxfId="15" priority="8" operator="containsText" text="Falla">
      <formula>NOT(ISERROR(SEARCH(("Falla"),(E10))))</formula>
    </cfRule>
  </conditionalFormatting>
  <conditionalFormatting sqref="E10">
    <cfRule type="containsText" dxfId="14" priority="9" operator="containsText" text="Correcto">
      <formula>NOT(ISERROR(SEARCH(("Correcto"),(E10))))</formula>
    </cfRule>
  </conditionalFormatting>
  <conditionalFormatting sqref="E10">
    <cfRule type="containsText" dxfId="13" priority="10" operator="containsText" text="Correcto">
      <formula>NOT(ISERROR(SEARCH(("Correcto"),(E10))))</formula>
    </cfRule>
  </conditionalFormatting>
  <conditionalFormatting sqref="E10">
    <cfRule type="containsText" dxfId="12" priority="11" operator="containsText" text="Correcto">
      <formula>NOT(ISERROR(SEARCH(("Correcto"),(E10))))</formula>
    </cfRule>
  </conditionalFormatting>
  <conditionalFormatting sqref="H10">
    <cfRule type="containsText" dxfId="11" priority="12" operator="containsText" text="Falla">
      <formula>NOT(ISERROR(SEARCH(("Falla"),(H10))))</formula>
    </cfRule>
  </conditionalFormatting>
  <conditionalFormatting sqref="H10">
    <cfRule type="containsText" dxfId="10" priority="13" operator="containsText" text="Correcto">
      <formula>NOT(ISERROR(SEARCH(("Correcto"),(H10))))</formula>
    </cfRule>
  </conditionalFormatting>
  <conditionalFormatting sqref="H10">
    <cfRule type="containsText" dxfId="9" priority="14" operator="containsText" text="Correcto">
      <formula>NOT(ISERROR(SEARCH(("Correcto"),(H10))))</formula>
    </cfRule>
  </conditionalFormatting>
  <conditionalFormatting sqref="Q9">
    <cfRule type="containsText" dxfId="8" priority="15" operator="containsText" text="Falla">
      <formula>NOT(ISERROR(SEARCH(("Falla"),(Q9))))</formula>
    </cfRule>
  </conditionalFormatting>
  <conditionalFormatting sqref="Q9">
    <cfRule type="containsText" dxfId="7" priority="16" operator="containsText" text="Correcto">
      <formula>NOT(ISERROR(SEARCH(("Correcto"),(Q9))))</formula>
    </cfRule>
  </conditionalFormatting>
  <conditionalFormatting sqref="Q9">
    <cfRule type="containsText" dxfId="6" priority="17" operator="containsText" text="Correcto">
      <formula>NOT(ISERROR(SEARCH(("Correcto"),(Q9))))</formula>
    </cfRule>
  </conditionalFormatting>
  <dataValidations disablePrompts="1" count="3">
    <dataValidation type="list" allowBlank="1" showErrorMessage="1" sqref="B10" xr:uid="{00000000-0002-0000-0000-000000000000}">
      <formula1>$AL$3:$AL$9</formula1>
    </dataValidation>
    <dataValidation type="list" allowBlank="1" showErrorMessage="1" sqref="K6 N7" xr:uid="{00000000-0002-0000-0000-000005000000}">
      <formula1>$AL$2:$AL$5</formula1>
    </dataValidation>
    <dataValidation type="list" allowBlank="1" showErrorMessage="1" sqref="B9" xr:uid="{00000000-0002-0000-0000-000007000000}">
      <formula1>$AL$3:$AL$4</formula1>
    </dataValidation>
  </dataValidations>
  <pageMargins left="0.7" right="0.7" top="0.75" bottom="0.75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2">
        <x14:dataValidation type="list" allowBlank="1" showErrorMessage="1" xr:uid="{00000000-0002-0000-0000-000001000000}">
          <x14:formula1>
            <xm:f>Datos!$A$20:$A$21</xm:f>
          </x14:formula1>
          <xm:sqref>K9</xm:sqref>
        </x14:dataValidation>
        <x14:dataValidation type="list" allowBlank="1" showErrorMessage="1" xr:uid="{00000000-0002-0000-0000-000002000000}">
          <x14:formula1>
            <xm:f>Panel!$D$9:$D$12</xm:f>
          </x14:formula1>
          <xm:sqref>Q7</xm:sqref>
        </x14:dataValidation>
        <x14:dataValidation type="list" allowBlank="1" showErrorMessage="1" xr:uid="{00000000-0002-0000-0000-000003000000}">
          <x14:formula1>
            <xm:f>Pesos!$H$88:$H$90</xm:f>
          </x14:formula1>
          <xm:sqref>E13</xm:sqref>
        </x14:dataValidation>
        <x14:dataValidation type="list" allowBlank="1" showErrorMessage="1" xr:uid="{00000000-0002-0000-0000-000004000000}">
          <x14:formula1>
            <xm:f>Datos!$A$26:$A$30</xm:f>
          </x14:formula1>
          <xm:sqref>E18</xm:sqref>
        </x14:dataValidation>
        <x14:dataValidation type="list" allowBlank="1" showErrorMessage="1" xr:uid="{00000000-0002-0000-0000-000006000000}">
          <x14:formula1>
            <xm:f>Panel!$A$9:$A$10</xm:f>
          </x14:formula1>
          <xm:sqref>Q8</xm:sqref>
        </x14:dataValidation>
        <x14:dataValidation type="list" allowBlank="1" showErrorMessage="1" xr:uid="{00000000-0002-0000-0000-000008000000}">
          <x14:formula1>
            <xm:f>Pesos!$E$75:$E$86</xm:f>
          </x14:formula1>
          <xm:sqref>E5</xm:sqref>
        </x14:dataValidation>
        <x14:dataValidation type="list" allowBlank="1" showErrorMessage="1" xr:uid="{00000000-0002-0000-0000-000009000000}">
          <x14:formula1>
            <xm:f>Vigas!$H$147:$H$169</xm:f>
          </x14:formula1>
          <xm:sqref>H5</xm:sqref>
        </x14:dataValidation>
        <x14:dataValidation type="list" allowBlank="1" showErrorMessage="1" xr:uid="{00000000-0002-0000-0000-00000A000000}">
          <x14:formula1>
            <xm:f>Vigas!$P$61:$P$71</xm:f>
          </x14:formula1>
          <xm:sqref>H6</xm:sqref>
        </x14:dataValidation>
        <x14:dataValidation type="list" allowBlank="1" showErrorMessage="1" xr:uid="{00000000-0002-0000-0000-00000B000000}">
          <x14:formula1>
            <xm:f>Pesos!$Q$4:$Q$11</xm:f>
          </x14:formula1>
          <xm:sqref>E9</xm:sqref>
        </x14:dataValidation>
        <x14:dataValidation type="list" allowBlank="1" showErrorMessage="1" xr:uid="{00000000-0002-0000-0000-00000C000000}">
          <x14:formula1>
            <xm:f>Distanciadores!$B$2:$B$7</xm:f>
          </x14:formula1>
          <xm:sqref>B18</xm:sqref>
        </x14:dataValidation>
        <x14:dataValidation type="list" allowBlank="1" showErrorMessage="1" xr:uid="{00000000-0002-0000-0000-00000D000000}">
          <x14:formula1>
            <xm:f>Pesos!$H$75:$H$79</xm:f>
          </x14:formula1>
          <xm:sqref>E12</xm:sqref>
        </x14:dataValidation>
        <x14:dataValidation type="list" allowBlank="1" showErrorMessage="1" xr:uid="{00000000-0002-0000-0000-00000E000000}">
          <x14:formula1>
            <xm:f>Datos!$C$20:$C$21</xm:f>
          </x14:formula1>
          <xm:sqref>K8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6F56-90C2-449F-BB7D-643ABE9D3428}">
  <sheetPr codeName="Hoja9"/>
  <dimension ref="A1:AR999"/>
  <sheetViews>
    <sheetView tabSelected="1" topLeftCell="A10" zoomScaleNormal="100" workbookViewId="0">
      <selection activeCell="N25" sqref="N25"/>
    </sheetView>
  </sheetViews>
  <sheetFormatPr baseColWidth="10" defaultColWidth="14.44140625" defaultRowHeight="15" customHeight="1"/>
  <cols>
    <col min="1" max="1" width="5" style="334" customWidth="1"/>
    <col min="2" max="2" width="10.6640625" style="334" customWidth="1"/>
    <col min="3" max="3" width="8.6640625" style="334" customWidth="1"/>
    <col min="4" max="4" width="16.44140625" style="334" bestFit="1" customWidth="1"/>
    <col min="5" max="5" width="17.44140625" style="334" bestFit="1" customWidth="1"/>
    <col min="6" max="6" width="17.5546875" style="334" customWidth="1"/>
    <col min="7" max="7" width="17.6640625" style="334" customWidth="1"/>
    <col min="8" max="8" width="16.6640625" style="334" customWidth="1"/>
    <col min="9" max="9" width="16.33203125" style="334" customWidth="1"/>
    <col min="10" max="10" width="10.6640625" style="334" customWidth="1"/>
    <col min="11" max="11" width="12.6640625" style="334" customWidth="1"/>
    <col min="12" max="12" width="10" style="334" customWidth="1"/>
    <col min="13" max="13" width="22" style="334" customWidth="1"/>
    <col min="14" max="14" width="20.33203125" style="334" customWidth="1"/>
    <col min="15" max="15" width="10.6640625" style="334" customWidth="1"/>
    <col min="16" max="16" width="14.6640625" style="334" customWidth="1"/>
    <col min="17" max="17" width="14.33203125" style="334" customWidth="1"/>
    <col min="18" max="20" width="10.6640625" style="334" customWidth="1"/>
    <col min="21" max="21" width="11.44140625" style="334" customWidth="1"/>
    <col min="22" max="26" width="10.6640625" style="334" customWidth="1"/>
    <col min="27" max="27" width="14.44140625" style="334"/>
    <col min="28" max="28" width="25" style="334" customWidth="1"/>
    <col min="29" max="16384" width="14.44140625" style="334"/>
  </cols>
  <sheetData>
    <row r="1" spans="1:44" ht="15" customHeight="1">
      <c r="B1" s="884"/>
      <c r="C1" s="884"/>
      <c r="D1" s="884"/>
      <c r="E1" s="884"/>
      <c r="F1" s="884"/>
      <c r="G1" s="410"/>
      <c r="H1" s="884"/>
      <c r="I1" s="884"/>
      <c r="J1" s="884"/>
      <c r="K1" s="884"/>
      <c r="L1" s="884"/>
      <c r="M1" s="884"/>
      <c r="N1" s="884"/>
      <c r="O1" s="884"/>
      <c r="P1" s="884"/>
      <c r="Q1" s="884"/>
      <c r="R1" s="884"/>
      <c r="S1" s="884"/>
      <c r="T1" s="884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0"/>
      <c r="AF1" s="410"/>
      <c r="AG1" s="410"/>
      <c r="AH1" s="410"/>
      <c r="AI1" s="410"/>
      <c r="AJ1" s="410"/>
      <c r="AK1" s="410"/>
      <c r="AL1" s="410"/>
      <c r="AM1" s="410"/>
      <c r="AN1" s="410"/>
      <c r="AO1" s="410"/>
      <c r="AP1" s="410"/>
      <c r="AQ1" s="410"/>
      <c r="AR1" s="410"/>
    </row>
    <row r="2" spans="1:44" ht="15" customHeight="1">
      <c r="A2" s="884"/>
      <c r="B2" s="884"/>
      <c r="C2" s="884"/>
      <c r="D2" s="884"/>
      <c r="E2" s="884"/>
      <c r="F2" s="884"/>
      <c r="G2" s="410"/>
      <c r="H2" s="884"/>
      <c r="I2" s="884"/>
      <c r="J2" s="884"/>
      <c r="K2" s="884"/>
      <c r="L2" s="884"/>
      <c r="M2" s="884"/>
      <c r="N2" s="884"/>
      <c r="O2" s="884"/>
      <c r="P2" s="884"/>
      <c r="Q2" s="884"/>
      <c r="R2" s="884"/>
      <c r="S2" s="884"/>
      <c r="T2" s="884"/>
      <c r="U2" s="410"/>
      <c r="V2" s="410"/>
      <c r="W2" s="410"/>
      <c r="X2" s="410"/>
      <c r="Y2" s="410"/>
      <c r="Z2" s="410"/>
      <c r="AA2" s="979"/>
      <c r="AB2" s="410"/>
      <c r="AC2" s="830"/>
      <c r="AD2" s="83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10"/>
    </row>
    <row r="3" spans="1:44" ht="15" customHeight="1">
      <c r="A3" s="884"/>
      <c r="B3" s="884"/>
      <c r="C3" s="884"/>
      <c r="D3" s="884"/>
      <c r="E3" s="884"/>
      <c r="F3" s="998" t="s">
        <v>1157</v>
      </c>
      <c r="G3" s="998"/>
      <c r="H3" s="998"/>
      <c r="I3" s="998"/>
      <c r="J3" s="884"/>
      <c r="K3" s="884"/>
      <c r="L3" s="884"/>
      <c r="M3" s="884"/>
      <c r="N3" s="884"/>
      <c r="O3" s="884"/>
      <c r="P3" s="884"/>
      <c r="Q3" s="884"/>
      <c r="R3" s="884"/>
      <c r="S3" s="884"/>
      <c r="T3" s="884"/>
      <c r="U3" s="410"/>
      <c r="V3" s="410"/>
      <c r="W3" s="410"/>
      <c r="X3" s="410"/>
      <c r="Y3" s="410"/>
      <c r="Z3" s="410"/>
      <c r="AA3" s="979"/>
      <c r="AB3" s="410"/>
      <c r="AC3" s="830"/>
      <c r="AD3" s="830"/>
      <c r="AE3" s="410"/>
      <c r="AF3" s="410"/>
      <c r="AG3" s="410"/>
      <c r="AH3" s="410"/>
      <c r="AI3" s="410"/>
      <c r="AJ3" s="410"/>
      <c r="AK3" s="410"/>
      <c r="AL3" s="410"/>
      <c r="AM3" s="410"/>
      <c r="AN3" s="410"/>
      <c r="AO3" s="410"/>
      <c r="AP3" s="410"/>
      <c r="AQ3" s="410"/>
      <c r="AR3" s="410"/>
    </row>
    <row r="4" spans="1:44" ht="15" customHeight="1">
      <c r="A4" s="831"/>
      <c r="B4" s="829"/>
      <c r="C4" s="829"/>
      <c r="D4" s="830"/>
      <c r="E4" s="830"/>
      <c r="F4" s="998"/>
      <c r="G4" s="998"/>
      <c r="H4" s="998"/>
      <c r="I4" s="998"/>
      <c r="J4" s="832"/>
      <c r="K4" s="832"/>
      <c r="L4" s="832"/>
      <c r="M4" s="393"/>
      <c r="N4" s="393"/>
      <c r="O4" s="393"/>
      <c r="P4" s="393"/>
      <c r="Q4" s="393"/>
      <c r="R4" s="411"/>
      <c r="S4" s="411"/>
      <c r="T4" s="411"/>
      <c r="U4" s="410"/>
      <c r="V4" s="410"/>
      <c r="W4" s="410"/>
      <c r="X4" s="410"/>
      <c r="Y4" s="410"/>
      <c r="Z4" s="410"/>
      <c r="AA4" s="979"/>
      <c r="AB4" s="410"/>
      <c r="AC4" s="410"/>
      <c r="AD4" s="410"/>
      <c r="AE4" s="410"/>
      <c r="AF4" s="410"/>
      <c r="AG4" s="410"/>
      <c r="AH4" s="410"/>
      <c r="AI4" s="410"/>
      <c r="AJ4" s="410"/>
      <c r="AK4" s="410"/>
      <c r="AL4" s="410"/>
      <c r="AM4" s="410"/>
      <c r="AN4" s="410"/>
      <c r="AO4" s="410"/>
      <c r="AP4" s="410"/>
      <c r="AQ4" s="410"/>
      <c r="AR4" s="410"/>
    </row>
    <row r="5" spans="1:44" ht="15" customHeight="1">
      <c r="A5" s="831"/>
      <c r="B5" s="829"/>
      <c r="C5" s="829"/>
      <c r="D5" s="830"/>
      <c r="E5" s="830"/>
      <c r="F5" s="998"/>
      <c r="G5" s="998"/>
      <c r="H5" s="998"/>
      <c r="I5" s="998"/>
      <c r="J5" s="830"/>
      <c r="K5" s="830"/>
      <c r="L5" s="830"/>
      <c r="M5" s="406"/>
      <c r="N5" s="395"/>
      <c r="O5" s="393"/>
      <c r="P5" s="393"/>
      <c r="Q5" s="393"/>
      <c r="R5" s="411"/>
      <c r="S5" s="411"/>
      <c r="T5" s="411"/>
      <c r="U5" s="410"/>
      <c r="V5" s="410"/>
      <c r="W5" s="410"/>
      <c r="X5" s="410"/>
      <c r="Y5" s="410"/>
      <c r="Z5" s="410"/>
      <c r="AA5" s="410"/>
      <c r="AB5" s="410"/>
      <c r="AC5" s="410"/>
      <c r="AD5" s="410"/>
      <c r="AE5" s="410"/>
      <c r="AF5" s="410"/>
      <c r="AG5" s="410"/>
      <c r="AH5" s="410"/>
      <c r="AI5" s="410"/>
      <c r="AJ5" s="410"/>
      <c r="AK5" s="410"/>
      <c r="AL5" s="410"/>
      <c r="AM5" s="410"/>
      <c r="AN5" s="410"/>
      <c r="AO5" s="410"/>
      <c r="AP5" s="410"/>
      <c r="AQ5" s="410"/>
      <c r="AR5" s="410"/>
    </row>
    <row r="6" spans="1:44" ht="15" customHeight="1">
      <c r="A6" s="410"/>
      <c r="B6" s="410"/>
      <c r="C6" s="410"/>
      <c r="D6" s="410"/>
      <c r="E6" s="410"/>
      <c r="F6" s="410"/>
      <c r="G6" s="392"/>
      <c r="H6" s="392"/>
      <c r="I6" s="392"/>
      <c r="J6" s="393"/>
      <c r="K6" s="410"/>
      <c r="L6" s="410"/>
      <c r="M6" s="393"/>
      <c r="N6" s="393"/>
      <c r="O6" s="393"/>
      <c r="P6" s="393"/>
      <c r="Q6" s="393"/>
      <c r="R6" s="411"/>
      <c r="S6" s="411"/>
      <c r="T6" s="411"/>
      <c r="U6" s="410"/>
      <c r="V6" s="410"/>
      <c r="W6" s="410"/>
      <c r="X6" s="410"/>
      <c r="Y6" s="410"/>
      <c r="Z6" s="410"/>
      <c r="AA6" s="979"/>
      <c r="AB6" s="410"/>
      <c r="AC6" s="410"/>
      <c r="AD6" s="410"/>
      <c r="AE6" s="410"/>
      <c r="AF6" s="410"/>
      <c r="AG6" s="410"/>
      <c r="AH6" s="410"/>
      <c r="AI6" s="410"/>
      <c r="AJ6" s="410"/>
      <c r="AK6" s="410"/>
      <c r="AL6" s="410"/>
      <c r="AM6" s="410"/>
      <c r="AN6" s="410"/>
      <c r="AO6" s="410"/>
      <c r="AP6" s="410"/>
      <c r="AQ6" s="410"/>
      <c r="AR6" s="410"/>
    </row>
    <row r="7" spans="1:44" ht="15" customHeight="1">
      <c r="A7" s="1008" t="s">
        <v>753</v>
      </c>
      <c r="B7" s="1009"/>
      <c r="C7" s="1009"/>
      <c r="D7" s="1009"/>
      <c r="E7" s="1009"/>
      <c r="F7" s="1009"/>
      <c r="G7" s="1010"/>
      <c r="H7" s="397"/>
      <c r="I7" s="999"/>
      <c r="J7" s="1000"/>
      <c r="K7" s="1000"/>
      <c r="L7" s="1000"/>
      <c r="M7" s="1000"/>
      <c r="N7" s="1000"/>
      <c r="O7" s="1000"/>
      <c r="P7" s="1000"/>
      <c r="Q7" s="1000"/>
      <c r="R7" s="1000"/>
      <c r="S7" s="411"/>
      <c r="T7" s="411"/>
      <c r="U7" s="1011" t="s">
        <v>1252</v>
      </c>
      <c r="V7" s="1011"/>
      <c r="W7" s="1011"/>
      <c r="X7" s="410"/>
      <c r="Y7" s="830"/>
      <c r="Z7" s="410"/>
      <c r="AA7" s="979"/>
      <c r="AB7" s="410"/>
      <c r="AC7" s="410"/>
      <c r="AD7" s="410"/>
      <c r="AE7" s="410"/>
      <c r="AF7" s="410"/>
      <c r="AG7" s="410"/>
      <c r="AH7" s="410"/>
      <c r="AI7" s="410"/>
      <c r="AJ7" s="410"/>
      <c r="AK7" s="410"/>
      <c r="AL7" s="410"/>
      <c r="AM7" s="410"/>
      <c r="AN7" s="410"/>
      <c r="AO7" s="410"/>
      <c r="AP7" s="410"/>
      <c r="AQ7" s="410"/>
      <c r="AR7" s="410"/>
    </row>
    <row r="8" spans="1:44" ht="15" customHeight="1">
      <c r="A8" s="809" t="s">
        <v>754</v>
      </c>
      <c r="B8" s="398" t="s">
        <v>755</v>
      </c>
      <c r="C8" s="398" t="s">
        <v>756</v>
      </c>
      <c r="D8" s="398" t="s">
        <v>757</v>
      </c>
      <c r="E8" s="398" t="s">
        <v>117</v>
      </c>
      <c r="F8" s="1002" t="s">
        <v>758</v>
      </c>
      <c r="G8" s="1003"/>
      <c r="H8" s="838" t="s">
        <v>759</v>
      </c>
      <c r="I8" s="842" t="s">
        <v>760</v>
      </c>
      <c r="J8" s="843" t="s">
        <v>761</v>
      </c>
      <c r="K8" s="844" t="s">
        <v>762</v>
      </c>
      <c r="L8" s="845" t="s">
        <v>763</v>
      </c>
      <c r="M8" s="997" t="s">
        <v>1151</v>
      </c>
      <c r="N8" s="997"/>
      <c r="O8" s="837"/>
      <c r="P8" s="1001"/>
      <c r="Q8" s="1001"/>
      <c r="R8" s="836"/>
      <c r="S8" s="836"/>
      <c r="T8" s="836"/>
      <c r="U8" s="975" t="s">
        <v>1242</v>
      </c>
      <c r="V8" s="975">
        <v>11.82</v>
      </c>
      <c r="W8" s="975">
        <f>+IF($E$12=U8,V8,0)</f>
        <v>0</v>
      </c>
      <c r="X8" s="410"/>
      <c r="Y8" s="830"/>
      <c r="Z8" s="410"/>
      <c r="AA8" s="979"/>
      <c r="AB8" s="410"/>
      <c r="AC8" s="410"/>
      <c r="AD8" s="410"/>
      <c r="AE8" s="410"/>
      <c r="AF8" s="410"/>
      <c r="AG8" s="410"/>
      <c r="AH8" s="410"/>
      <c r="AI8" s="410"/>
      <c r="AJ8" s="410"/>
      <c r="AK8" s="410"/>
      <c r="AL8" s="410"/>
      <c r="AM8" s="410"/>
      <c r="AN8" s="410"/>
      <c r="AO8" s="410"/>
      <c r="AP8" s="410"/>
      <c r="AQ8" s="410"/>
      <c r="AR8" s="410"/>
    </row>
    <row r="9" spans="1:44" ht="15" customHeight="1">
      <c r="A9" s="810">
        <v>1</v>
      </c>
      <c r="B9" s="399" t="s">
        <v>764</v>
      </c>
      <c r="C9" s="396">
        <v>4</v>
      </c>
      <c r="D9" s="400" t="s">
        <v>704</v>
      </c>
      <c r="E9" s="401" t="s">
        <v>1241</v>
      </c>
      <c r="F9" s="1004">
        <v>3520</v>
      </c>
      <c r="G9" s="1005"/>
      <c r="H9" s="808">
        <f t="shared" ref="H9:H11" si="0">J9*L9</f>
        <v>3428.5104000000001</v>
      </c>
      <c r="I9" s="839">
        <f>H9*C9</f>
        <v>13714.0416</v>
      </c>
      <c r="J9" s="840">
        <f>+((F9/1000)*$E$30)+5</f>
        <v>54.4208</v>
      </c>
      <c r="K9" s="841">
        <f t="shared" ref="K9:K11" si="1">J9*C9</f>
        <v>217.6832</v>
      </c>
      <c r="L9" s="846">
        <f t="shared" ref="L9:L19" si="2">$N$26</f>
        <v>63</v>
      </c>
      <c r="M9" s="848" t="s">
        <v>1141</v>
      </c>
      <c r="N9" s="849">
        <f>+AB21</f>
        <v>1</v>
      </c>
      <c r="O9" s="829"/>
      <c r="P9" s="959"/>
      <c r="Q9" s="960"/>
      <c r="R9" s="335"/>
      <c r="S9" s="410"/>
      <c r="T9" s="410"/>
      <c r="U9" s="975" t="s">
        <v>1241</v>
      </c>
      <c r="V9" s="975">
        <v>14.04</v>
      </c>
      <c r="W9" s="975">
        <f t="shared" ref="W9:W18" si="3">+IF($E$12=U9,V9,0)</f>
        <v>14.04</v>
      </c>
      <c r="X9" s="410"/>
      <c r="Y9" s="410"/>
      <c r="Z9" s="410"/>
      <c r="AA9" s="410"/>
      <c r="AB9" s="410"/>
      <c r="AC9" s="410"/>
      <c r="AD9" s="410"/>
      <c r="AE9" s="410"/>
      <c r="AF9" s="410"/>
      <c r="AG9" s="410"/>
      <c r="AH9" s="410"/>
      <c r="AI9" s="410"/>
      <c r="AJ9" s="410"/>
      <c r="AK9" s="410"/>
      <c r="AL9" s="410"/>
      <c r="AM9" s="410"/>
      <c r="AN9" s="410"/>
      <c r="AO9" s="410"/>
      <c r="AP9" s="410"/>
      <c r="AQ9" s="410"/>
      <c r="AR9" s="410"/>
    </row>
    <row r="10" spans="1:44" ht="15" customHeight="1">
      <c r="A10" s="810" t="s">
        <v>1280</v>
      </c>
      <c r="B10" s="399" t="s">
        <v>764</v>
      </c>
      <c r="C10" s="396">
        <v>4</v>
      </c>
      <c r="D10" s="400" t="s">
        <v>704</v>
      </c>
      <c r="E10" s="401" t="s">
        <v>1241</v>
      </c>
      <c r="F10" s="1004">
        <v>3160</v>
      </c>
      <c r="G10" s="1005"/>
      <c r="H10" s="808">
        <f t="shared" si="0"/>
        <v>3110.0832</v>
      </c>
      <c r="I10" s="839">
        <f>H10*C10</f>
        <v>12440.3328</v>
      </c>
      <c r="J10" s="840">
        <f>+((F10/1000)*$E$30)+5</f>
        <v>49.366399999999999</v>
      </c>
      <c r="K10" s="841">
        <f t="shared" si="1"/>
        <v>197.46559999999999</v>
      </c>
      <c r="L10" s="846">
        <f t="shared" si="2"/>
        <v>63</v>
      </c>
      <c r="M10" s="848" t="s">
        <v>1215</v>
      </c>
      <c r="N10" s="958">
        <f>+M28/C33</f>
        <v>3165.7109439658848</v>
      </c>
      <c r="O10" s="829"/>
      <c r="P10" s="959"/>
      <c r="Q10" s="960"/>
      <c r="R10" s="335"/>
      <c r="S10" s="410"/>
      <c r="T10" s="410"/>
      <c r="U10" s="975" t="s">
        <v>1245</v>
      </c>
      <c r="V10" s="975">
        <v>12.13</v>
      </c>
      <c r="W10" s="975">
        <f t="shared" si="3"/>
        <v>0</v>
      </c>
      <c r="X10" s="410"/>
      <c r="Y10" s="410"/>
      <c r="Z10" s="410"/>
      <c r="AA10" s="410"/>
      <c r="AB10" s="410"/>
      <c r="AC10" s="410"/>
      <c r="AD10" s="410"/>
      <c r="AE10" s="410"/>
      <c r="AF10" s="410"/>
      <c r="AG10" s="410"/>
      <c r="AH10" s="410"/>
      <c r="AI10" s="410"/>
      <c r="AJ10" s="410"/>
      <c r="AK10" s="410"/>
      <c r="AL10" s="410"/>
      <c r="AM10" s="410"/>
      <c r="AN10" s="410"/>
      <c r="AO10" s="410"/>
      <c r="AP10" s="410"/>
      <c r="AQ10" s="410"/>
      <c r="AR10" s="410"/>
    </row>
    <row r="11" spans="1:44" ht="15" customHeight="1">
      <c r="A11" s="810" t="s">
        <v>1281</v>
      </c>
      <c r="B11" s="399" t="s">
        <v>764</v>
      </c>
      <c r="C11" s="396">
        <v>4</v>
      </c>
      <c r="D11" s="400" t="s">
        <v>704</v>
      </c>
      <c r="E11" s="401" t="s">
        <v>1241</v>
      </c>
      <c r="F11" s="1004">
        <v>2920</v>
      </c>
      <c r="G11" s="1005"/>
      <c r="H11" s="808">
        <f t="shared" si="0"/>
        <v>2897.7983999999997</v>
      </c>
      <c r="I11" s="839">
        <f>H11*C11</f>
        <v>11591.193599999999</v>
      </c>
      <c r="J11" s="840">
        <f>+((F11/1000)*$E$30)+5</f>
        <v>45.996799999999993</v>
      </c>
      <c r="K11" s="841">
        <f t="shared" si="1"/>
        <v>183.98719999999997</v>
      </c>
      <c r="L11" s="846">
        <f t="shared" si="2"/>
        <v>63</v>
      </c>
      <c r="M11" s="997" t="s">
        <v>1142</v>
      </c>
      <c r="N11" s="997"/>
      <c r="O11" s="833"/>
      <c r="P11" s="959"/>
      <c r="Q11" s="960"/>
      <c r="R11" s="410"/>
      <c r="S11" s="410"/>
      <c r="T11" s="410"/>
      <c r="U11" s="975" t="s">
        <v>1243</v>
      </c>
      <c r="V11" s="975">
        <v>18.96</v>
      </c>
      <c r="W11" s="975">
        <f t="shared" si="3"/>
        <v>0</v>
      </c>
      <c r="X11" s="410"/>
      <c r="Y11" s="410"/>
      <c r="Z11" s="410"/>
      <c r="AA11" s="410"/>
      <c r="AB11" s="410"/>
      <c r="AC11" s="410"/>
      <c r="AD11" s="410"/>
      <c r="AE11" s="410"/>
      <c r="AF11" s="410"/>
      <c r="AG11" s="410"/>
      <c r="AH11" s="410"/>
      <c r="AI11" s="410"/>
      <c r="AJ11" s="410"/>
      <c r="AK11" s="410"/>
      <c r="AL11" s="410"/>
      <c r="AM11" s="410"/>
      <c r="AN11" s="410"/>
      <c r="AO11" s="410"/>
      <c r="AP11" s="410"/>
      <c r="AQ11" s="410"/>
      <c r="AR11" s="410"/>
    </row>
    <row r="12" spans="1:44" ht="15" customHeight="1">
      <c r="A12" s="810" t="s">
        <v>1282</v>
      </c>
      <c r="B12" s="399" t="s">
        <v>764</v>
      </c>
      <c r="C12" s="396">
        <v>4</v>
      </c>
      <c r="D12" s="400" t="s">
        <v>704</v>
      </c>
      <c r="E12" s="401" t="s">
        <v>1241</v>
      </c>
      <c r="F12" s="1004">
        <v>2799.2</v>
      </c>
      <c r="G12" s="1005"/>
      <c r="H12" s="808">
        <f t="shared" ref="H12:H18" si="4">J12*L12</f>
        <v>2790.9483839999998</v>
      </c>
      <c r="I12" s="839">
        <f>H12*C12</f>
        <v>11163.793535999999</v>
      </c>
      <c r="J12" s="840">
        <f>+((F12/1000)*$E$30)+5</f>
        <v>44.300767999999998</v>
      </c>
      <c r="K12" s="841">
        <f t="shared" ref="K12:K17" si="5">J12*C12</f>
        <v>177.20307199999999</v>
      </c>
      <c r="L12" s="846">
        <f t="shared" si="2"/>
        <v>63</v>
      </c>
      <c r="M12" s="848" t="s">
        <v>1219</v>
      </c>
      <c r="N12" s="442">
        <v>450</v>
      </c>
      <c r="O12" s="829"/>
      <c r="P12" s="959"/>
      <c r="Q12" s="960"/>
      <c r="R12" s="410"/>
      <c r="S12" s="410"/>
      <c r="T12" s="410"/>
      <c r="U12" s="975" t="s">
        <v>1244</v>
      </c>
      <c r="V12" s="975">
        <v>21.62</v>
      </c>
      <c r="W12" s="975">
        <f t="shared" si="3"/>
        <v>0</v>
      </c>
      <c r="X12" s="410"/>
      <c r="Y12" s="979"/>
      <c r="Z12" s="410"/>
      <c r="AA12" s="410"/>
      <c r="AB12" s="410"/>
      <c r="AC12" s="410"/>
      <c r="AD12" s="410"/>
      <c r="AE12" s="410"/>
      <c r="AF12" s="410"/>
      <c r="AG12" s="410"/>
      <c r="AH12" s="410"/>
      <c r="AI12" s="410"/>
      <c r="AJ12" s="410"/>
      <c r="AK12" s="410"/>
      <c r="AL12" s="410"/>
      <c r="AM12" s="410"/>
      <c r="AN12" s="410"/>
      <c r="AO12" s="410"/>
      <c r="AP12" s="410"/>
      <c r="AQ12" s="410"/>
      <c r="AR12" s="410"/>
    </row>
    <row r="13" spans="1:44" ht="15" customHeight="1">
      <c r="A13" s="932">
        <v>5</v>
      </c>
      <c r="B13" s="399" t="s">
        <v>765</v>
      </c>
      <c r="C13" s="396">
        <v>12</v>
      </c>
      <c r="D13" s="400" t="s">
        <v>1233</v>
      </c>
      <c r="E13" s="400" t="s">
        <v>1235</v>
      </c>
      <c r="F13" s="1006">
        <v>4164</v>
      </c>
      <c r="G13" s="1007"/>
      <c r="H13" s="808">
        <f t="shared" ref="H13:H14" si="6">J13*L13</f>
        <v>5010.7427999999991</v>
      </c>
      <c r="I13" s="402">
        <f t="shared" ref="I13:I14" si="7">H13*C13</f>
        <v>60128.913599999985</v>
      </c>
      <c r="J13" s="840">
        <f>+((F13/1000)*E31)+X31+Y31+5</f>
        <v>79.535599999999988</v>
      </c>
      <c r="K13" s="794">
        <f t="shared" ref="K13:K14" si="8">J13*C13</f>
        <v>954.42719999999986</v>
      </c>
      <c r="L13" s="847">
        <f t="shared" si="2"/>
        <v>63</v>
      </c>
      <c r="M13" s="848" t="s">
        <v>1143</v>
      </c>
      <c r="N13" s="442">
        <v>8000</v>
      </c>
      <c r="O13" s="833"/>
      <c r="P13" s="959"/>
      <c r="Q13" s="960"/>
      <c r="R13" s="410"/>
      <c r="S13" s="410"/>
      <c r="T13" s="410"/>
      <c r="U13" s="975" t="s">
        <v>1246</v>
      </c>
      <c r="V13" s="975">
        <v>28.3</v>
      </c>
      <c r="W13" s="975">
        <f t="shared" si="3"/>
        <v>0</v>
      </c>
      <c r="X13" s="410"/>
      <c r="Y13" s="410"/>
      <c r="Z13" s="410"/>
      <c r="AA13" s="410"/>
      <c r="AB13" s="410"/>
      <c r="AC13" s="410"/>
      <c r="AD13" s="410"/>
      <c r="AE13" s="410"/>
      <c r="AF13" s="410"/>
      <c r="AG13" s="410"/>
      <c r="AH13" s="410"/>
      <c r="AI13" s="410"/>
      <c r="AJ13" s="410"/>
      <c r="AK13" s="410"/>
      <c r="AL13" s="410"/>
      <c r="AM13" s="410"/>
      <c r="AN13" s="410"/>
      <c r="AO13" s="410"/>
      <c r="AP13" s="410"/>
      <c r="AQ13" s="410"/>
      <c r="AR13" s="410"/>
    </row>
    <row r="14" spans="1:44" ht="15" customHeight="1">
      <c r="A14" s="932">
        <v>5</v>
      </c>
      <c r="B14" s="399" t="s">
        <v>765</v>
      </c>
      <c r="C14" s="396">
        <v>2</v>
      </c>
      <c r="D14" s="400" t="s">
        <v>1233</v>
      </c>
      <c r="E14" s="400" t="s">
        <v>1235</v>
      </c>
      <c r="F14" s="1006">
        <v>1200</v>
      </c>
      <c r="G14" s="1007"/>
      <c r="H14" s="808">
        <f t="shared" si="6"/>
        <v>2613.2399999999998</v>
      </c>
      <c r="I14" s="402">
        <f t="shared" si="7"/>
        <v>5226.4799999999996</v>
      </c>
      <c r="J14" s="840">
        <f>+((F14/1000)*E31)+X31+Y31+20</f>
        <v>41.48</v>
      </c>
      <c r="K14" s="794">
        <f t="shared" si="8"/>
        <v>82.96</v>
      </c>
      <c r="L14" s="847">
        <f t="shared" si="2"/>
        <v>63</v>
      </c>
      <c r="M14" s="850" t="s">
        <v>1144</v>
      </c>
      <c r="N14" s="851">
        <v>5000</v>
      </c>
      <c r="O14" s="863"/>
      <c r="P14" s="410"/>
      <c r="Q14" s="410"/>
      <c r="R14" s="410"/>
      <c r="S14" s="410"/>
      <c r="T14" s="410"/>
      <c r="U14" s="975" t="s">
        <v>1247</v>
      </c>
      <c r="V14" s="975">
        <v>40.49</v>
      </c>
      <c r="W14" s="975">
        <f t="shared" si="3"/>
        <v>0</v>
      </c>
      <c r="X14" s="410"/>
      <c r="Y14" s="410"/>
      <c r="Z14" s="410"/>
      <c r="AA14" s="410"/>
      <c r="AB14" s="410"/>
      <c r="AC14" s="410"/>
      <c r="AD14" s="410"/>
      <c r="AE14" s="410"/>
      <c r="AF14" s="410"/>
      <c r="AG14" s="410"/>
      <c r="AH14" s="410"/>
      <c r="AI14" s="410"/>
      <c r="AJ14" s="410"/>
      <c r="AK14" s="410"/>
      <c r="AL14" s="410"/>
      <c r="AM14" s="410"/>
      <c r="AN14" s="410"/>
      <c r="AO14" s="410"/>
      <c r="AP14" s="410"/>
      <c r="AQ14" s="410"/>
      <c r="AR14" s="410"/>
    </row>
    <row r="15" spans="1:44" ht="15" customHeight="1">
      <c r="A15" s="932">
        <v>5</v>
      </c>
      <c r="B15" s="399" t="s">
        <v>765</v>
      </c>
      <c r="C15" s="396">
        <v>1</v>
      </c>
      <c r="D15" s="400" t="s">
        <v>1233</v>
      </c>
      <c r="E15" s="400" t="s">
        <v>1235</v>
      </c>
      <c r="F15" s="1006">
        <v>3180.9</v>
      </c>
      <c r="G15" s="1007"/>
      <c r="H15" s="808">
        <f t="shared" si="4"/>
        <v>3902.1009300000001</v>
      </c>
      <c r="I15" s="402">
        <f t="shared" ref="I15:I16" si="9">H15*C15</f>
        <v>3902.1009300000001</v>
      </c>
      <c r="J15" s="840">
        <f>+((F15/1000)*E31)+X32+Y32+5</f>
        <v>61.938110000000002</v>
      </c>
      <c r="K15" s="794">
        <f t="shared" si="5"/>
        <v>61.938110000000002</v>
      </c>
      <c r="L15" s="847">
        <f t="shared" si="2"/>
        <v>63</v>
      </c>
      <c r="M15" s="850" t="s">
        <v>775</v>
      </c>
      <c r="N15" s="795">
        <f>+N12*C33</f>
        <v>60300</v>
      </c>
      <c r="O15" s="863"/>
      <c r="P15" s="410"/>
      <c r="Q15" s="410"/>
      <c r="R15" s="410"/>
      <c r="S15" s="410"/>
      <c r="T15" s="410"/>
      <c r="U15" s="975" t="s">
        <v>1248</v>
      </c>
      <c r="V15" s="975">
        <v>29.21</v>
      </c>
      <c r="W15" s="975">
        <f t="shared" si="3"/>
        <v>0</v>
      </c>
      <c r="X15" s="410"/>
      <c r="Y15" s="410"/>
      <c r="Z15" s="980"/>
      <c r="AA15" s="410"/>
      <c r="AB15" s="410"/>
      <c r="AC15" s="410"/>
      <c r="AD15" s="410"/>
      <c r="AE15" s="410"/>
      <c r="AF15" s="410"/>
      <c r="AG15" s="410"/>
      <c r="AH15" s="410"/>
      <c r="AI15" s="410"/>
      <c r="AJ15" s="410"/>
      <c r="AK15" s="410"/>
      <c r="AL15" s="410"/>
      <c r="AM15" s="410"/>
      <c r="AN15" s="410"/>
      <c r="AO15" s="410"/>
      <c r="AP15" s="410"/>
      <c r="AQ15" s="410"/>
      <c r="AR15" s="410"/>
    </row>
    <row r="16" spans="1:44" ht="15" customHeight="1">
      <c r="A16" s="932">
        <v>6</v>
      </c>
      <c r="B16" s="399" t="s">
        <v>764</v>
      </c>
      <c r="C16" s="396">
        <v>58</v>
      </c>
      <c r="D16" s="400" t="s">
        <v>1234</v>
      </c>
      <c r="E16" s="400" t="s">
        <v>1269</v>
      </c>
      <c r="F16" s="1006">
        <v>3180.93</v>
      </c>
      <c r="G16" s="1007"/>
      <c r="H16" s="808">
        <f t="shared" si="4"/>
        <v>1384.9479630000001</v>
      </c>
      <c r="I16" s="402">
        <f t="shared" si="9"/>
        <v>80326.981853999998</v>
      </c>
      <c r="J16" s="840">
        <f>+((F16/1000)*E32)+X56+Y56+Y56+3</f>
        <v>21.983301000000001</v>
      </c>
      <c r="K16" s="794">
        <f t="shared" si="5"/>
        <v>1275.0314580000002</v>
      </c>
      <c r="L16" s="847">
        <f t="shared" si="2"/>
        <v>63</v>
      </c>
      <c r="M16" s="850" t="s">
        <v>777</v>
      </c>
      <c r="N16" s="795">
        <v>10000</v>
      </c>
      <c r="O16" s="863" t="s">
        <v>1283</v>
      </c>
      <c r="P16" s="410"/>
      <c r="Q16" s="410"/>
      <c r="R16" s="410"/>
      <c r="S16" s="410"/>
      <c r="T16" s="410"/>
      <c r="U16" s="975" t="s">
        <v>1249</v>
      </c>
      <c r="V16" s="975">
        <v>38.42</v>
      </c>
      <c r="W16" s="975">
        <f t="shared" si="3"/>
        <v>0</v>
      </c>
      <c r="X16" s="410"/>
      <c r="Y16" s="410"/>
      <c r="Z16" s="410"/>
      <c r="AA16" s="410"/>
      <c r="AB16" s="410"/>
      <c r="AC16" s="410"/>
      <c r="AD16" s="410"/>
      <c r="AE16" s="410"/>
      <c r="AF16" s="410"/>
      <c r="AG16" s="410"/>
      <c r="AH16" s="410"/>
      <c r="AI16" s="410"/>
      <c r="AJ16" s="410"/>
      <c r="AK16" s="410"/>
      <c r="AL16" s="410"/>
      <c r="AM16" s="410"/>
      <c r="AN16" s="410"/>
      <c r="AO16" s="410"/>
      <c r="AP16" s="410"/>
      <c r="AQ16" s="410"/>
      <c r="AR16" s="410"/>
    </row>
    <row r="17" spans="1:44" ht="15" customHeight="1">
      <c r="A17" s="932">
        <v>7</v>
      </c>
      <c r="B17" s="399" t="s">
        <v>765</v>
      </c>
      <c r="C17" s="396">
        <f>13+10+13+10</f>
        <v>46</v>
      </c>
      <c r="D17" s="400" t="s">
        <v>1209</v>
      </c>
      <c r="E17" s="400" t="s">
        <v>1240</v>
      </c>
      <c r="F17" s="1006"/>
      <c r="G17" s="1007"/>
      <c r="H17" s="808">
        <f t="shared" si="4"/>
        <v>756</v>
      </c>
      <c r="I17" s="402">
        <f t="shared" ref="I17:I22" si="10">H17*C17</f>
        <v>34776</v>
      </c>
      <c r="J17" s="403">
        <v>12</v>
      </c>
      <c r="K17" s="794">
        <f t="shared" si="5"/>
        <v>552</v>
      </c>
      <c r="L17" s="847">
        <f t="shared" si="2"/>
        <v>63</v>
      </c>
      <c r="M17" s="997" t="s">
        <v>1145</v>
      </c>
      <c r="N17" s="997"/>
      <c r="O17" s="863" t="s">
        <v>1148</v>
      </c>
      <c r="P17" s="411"/>
      <c r="Q17" s="410"/>
      <c r="R17" s="410"/>
      <c r="S17" s="410"/>
      <c r="T17" s="410"/>
      <c r="U17" s="975" t="s">
        <v>1250</v>
      </c>
      <c r="V17" s="975">
        <v>48.56</v>
      </c>
      <c r="W17" s="975">
        <f t="shared" si="3"/>
        <v>0</v>
      </c>
      <c r="X17" s="410"/>
      <c r="Y17" s="410"/>
      <c r="Z17" s="410"/>
      <c r="AA17" s="410"/>
      <c r="AB17" s="410"/>
      <c r="AC17" s="410"/>
      <c r="AD17" s="410"/>
      <c r="AE17" s="410"/>
      <c r="AF17" s="410"/>
      <c r="AG17" s="410"/>
      <c r="AH17" s="410"/>
      <c r="AI17" s="410"/>
      <c r="AJ17" s="410"/>
      <c r="AK17" s="410"/>
      <c r="AL17" s="410"/>
      <c r="AM17" s="410"/>
      <c r="AN17" s="410"/>
      <c r="AO17" s="410"/>
      <c r="AP17" s="410"/>
      <c r="AQ17" s="410"/>
      <c r="AR17" s="410"/>
    </row>
    <row r="18" spans="1:44" s="394" customFormat="1" ht="15" customHeight="1">
      <c r="A18" s="932">
        <v>8</v>
      </c>
      <c r="B18" s="399"/>
      <c r="C18" s="396">
        <f>+C15*2</f>
        <v>2</v>
      </c>
      <c r="D18" s="404" t="s">
        <v>1236</v>
      </c>
      <c r="E18" s="404" t="s">
        <v>1206</v>
      </c>
      <c r="F18" s="405"/>
      <c r="G18" s="811"/>
      <c r="H18" s="808">
        <f t="shared" si="4"/>
        <v>567</v>
      </c>
      <c r="I18" s="402">
        <f t="shared" si="10"/>
        <v>1134</v>
      </c>
      <c r="J18" s="403">
        <v>9</v>
      </c>
      <c r="K18" s="794">
        <f>J18*C18</f>
        <v>18</v>
      </c>
      <c r="L18" s="847">
        <f t="shared" si="2"/>
        <v>63</v>
      </c>
      <c r="M18" s="850" t="s">
        <v>1138</v>
      </c>
      <c r="N18" s="861"/>
      <c r="O18" s="863" t="s">
        <v>1148</v>
      </c>
      <c r="P18" s="411"/>
      <c r="Q18" s="411"/>
      <c r="R18" s="411"/>
      <c r="S18" s="411"/>
      <c r="T18" s="411"/>
      <c r="U18" s="975" t="s">
        <v>1251</v>
      </c>
      <c r="V18" s="975">
        <v>71.28</v>
      </c>
      <c r="W18" s="975">
        <f t="shared" si="3"/>
        <v>0</v>
      </c>
      <c r="X18" s="411"/>
      <c r="Y18" s="411"/>
      <c r="Z18" s="411"/>
      <c r="AA18" s="411"/>
      <c r="AB18" s="411"/>
      <c r="AC18" s="411"/>
      <c r="AD18" s="411"/>
      <c r="AE18" s="411"/>
      <c r="AF18" s="411"/>
      <c r="AG18" s="411"/>
      <c r="AH18" s="411"/>
      <c r="AI18" s="411"/>
      <c r="AJ18" s="411"/>
      <c r="AK18" s="411"/>
      <c r="AL18" s="411"/>
      <c r="AM18" s="411"/>
      <c r="AN18" s="411"/>
      <c r="AO18" s="411"/>
      <c r="AP18" s="411"/>
      <c r="AQ18" s="411"/>
      <c r="AR18" s="411"/>
    </row>
    <row r="19" spans="1:44" s="394" customFormat="1" ht="15" customHeight="1">
      <c r="A19" s="932">
        <v>9</v>
      </c>
      <c r="B19" s="399"/>
      <c r="C19" s="396">
        <f>+C16*2</f>
        <v>116</v>
      </c>
      <c r="D19" s="404" t="s">
        <v>1236</v>
      </c>
      <c r="E19" s="404" t="s">
        <v>1207</v>
      </c>
      <c r="F19" s="405"/>
      <c r="G19" s="811"/>
      <c r="H19" s="808">
        <f t="shared" ref="H19" si="11">J19*L19</f>
        <v>315</v>
      </c>
      <c r="I19" s="402">
        <f t="shared" ref="I19" si="12">H19*C19</f>
        <v>36540</v>
      </c>
      <c r="J19" s="403">
        <v>5</v>
      </c>
      <c r="K19" s="794">
        <f>J19*C19</f>
        <v>580</v>
      </c>
      <c r="L19" s="847">
        <f t="shared" si="2"/>
        <v>63</v>
      </c>
      <c r="M19" s="850" t="s">
        <v>770</v>
      </c>
      <c r="N19" s="853">
        <v>45</v>
      </c>
      <c r="O19" s="863" t="s">
        <v>1148</v>
      </c>
      <c r="P19" s="411"/>
      <c r="Q19" s="411"/>
      <c r="R19" s="411"/>
      <c r="S19" s="411"/>
      <c r="T19" s="411"/>
      <c r="U19" s="411"/>
      <c r="V19" s="411"/>
      <c r="W19" s="976">
        <f>SUM(W8:W18)</f>
        <v>14.04</v>
      </c>
      <c r="X19" s="411"/>
      <c r="Y19" s="411"/>
      <c r="Z19" s="411"/>
      <c r="AA19" s="411">
        <v>51</v>
      </c>
      <c r="AB19" s="411" t="s">
        <v>1139</v>
      </c>
      <c r="AC19" s="411"/>
      <c r="AD19" s="411"/>
      <c r="AE19" s="411"/>
      <c r="AF19" s="411"/>
      <c r="AG19" s="411"/>
      <c r="AH19" s="411"/>
      <c r="AI19" s="411"/>
      <c r="AJ19" s="411"/>
      <c r="AK19" s="411"/>
      <c r="AL19" s="411"/>
      <c r="AM19" s="411"/>
      <c r="AN19" s="411"/>
      <c r="AO19" s="411"/>
      <c r="AP19" s="411"/>
      <c r="AQ19" s="411"/>
      <c r="AR19" s="411"/>
    </row>
    <row r="20" spans="1:44" s="394" customFormat="1" ht="15" customHeight="1">
      <c r="A20" s="932">
        <f t="shared" ref="A20:A22" si="13">+A19+1</f>
        <v>10</v>
      </c>
      <c r="B20" s="399"/>
      <c r="C20" s="396">
        <f>+C19*6</f>
        <v>696</v>
      </c>
      <c r="D20" s="404" t="s">
        <v>1237</v>
      </c>
      <c r="E20" s="400" t="s">
        <v>1223</v>
      </c>
      <c r="F20" s="1018" t="s">
        <v>1238</v>
      </c>
      <c r="G20" s="1019"/>
      <c r="H20" s="808">
        <v>15</v>
      </c>
      <c r="I20" s="402">
        <f t="shared" ref="I20" si="14">H20*C20</f>
        <v>10440</v>
      </c>
      <c r="J20" s="403"/>
      <c r="K20" s="794"/>
      <c r="L20" s="834"/>
      <c r="M20" s="850" t="s">
        <v>1214</v>
      </c>
      <c r="N20" s="854">
        <v>550</v>
      </c>
      <c r="O20" s="393"/>
      <c r="P20" s="411"/>
      <c r="Q20" s="411"/>
      <c r="R20" s="411"/>
      <c r="S20" s="411"/>
      <c r="T20" s="411"/>
      <c r="U20" s="1011" t="s">
        <v>1253</v>
      </c>
      <c r="V20" s="1011"/>
      <c r="W20" s="1011"/>
      <c r="X20" s="411"/>
      <c r="Y20" s="411"/>
      <c r="Z20" s="411"/>
      <c r="AA20" s="411"/>
      <c r="AB20" s="411">
        <f>+(N24)/15000</f>
        <v>0.35268638933333341</v>
      </c>
      <c r="AC20" s="411"/>
      <c r="AD20" s="981"/>
      <c r="AE20" s="411"/>
      <c r="AF20" s="411"/>
      <c r="AG20" s="411"/>
      <c r="AH20" s="411"/>
      <c r="AI20" s="411"/>
      <c r="AJ20" s="411"/>
      <c r="AK20" s="411"/>
      <c r="AL20" s="411"/>
      <c r="AM20" s="411"/>
      <c r="AN20" s="411"/>
      <c r="AO20" s="411"/>
      <c r="AP20" s="411"/>
      <c r="AQ20" s="411"/>
      <c r="AR20" s="411"/>
    </row>
    <row r="21" spans="1:44" s="394" customFormat="1" ht="15" customHeight="1">
      <c r="A21" s="932">
        <f t="shared" si="13"/>
        <v>11</v>
      </c>
      <c r="B21" s="399"/>
      <c r="C21" s="396">
        <f>+C18*10</f>
        <v>20</v>
      </c>
      <c r="D21" s="404" t="s">
        <v>1237</v>
      </c>
      <c r="E21" s="400" t="s">
        <v>1223</v>
      </c>
      <c r="F21" s="1018" t="s">
        <v>1239</v>
      </c>
      <c r="G21" s="1019"/>
      <c r="H21" s="808">
        <v>15</v>
      </c>
      <c r="I21" s="402">
        <f t="shared" si="10"/>
        <v>300</v>
      </c>
      <c r="J21" s="403"/>
      <c r="K21" s="794"/>
      <c r="L21" s="834"/>
      <c r="M21" s="850" t="s">
        <v>774</v>
      </c>
      <c r="N21" s="855">
        <f>+((N24-K25)*N19)++(SUM(I20:I22))+(C25*N20)</f>
        <v>252184.88422857143</v>
      </c>
      <c r="O21" s="863" t="s">
        <v>1148</v>
      </c>
      <c r="P21" s="411"/>
      <c r="Q21" s="411"/>
      <c r="R21" s="411"/>
      <c r="S21" s="411"/>
      <c r="T21" s="411"/>
      <c r="U21" s="975" t="s">
        <v>1254</v>
      </c>
      <c r="V21" s="975">
        <v>13.4</v>
      </c>
      <c r="W21" s="975">
        <f>+IF($E$15=U21,V21,0)</f>
        <v>0</v>
      </c>
      <c r="X21" s="975">
        <f>+IF($E$15=U21,1,0)*(0.285*$F$31)</f>
        <v>0</v>
      </c>
      <c r="Y21" s="975">
        <f t="shared" ref="Y21:Y31" si="15">(+IF($E$15=U21,1,0)*(($F$15/1000)*1.23))*(+IF($G$31="si",1,0))</f>
        <v>0</v>
      </c>
      <c r="Z21" s="411"/>
      <c r="AA21" s="411"/>
      <c r="AB21" s="411">
        <f>+ROUNDUP(AB20,0)</f>
        <v>1</v>
      </c>
      <c r="AC21" s="411"/>
      <c r="AD21" s="411"/>
      <c r="AE21" s="411"/>
      <c r="AF21" s="411"/>
      <c r="AG21" s="411"/>
      <c r="AH21" s="411"/>
      <c r="AI21" s="411"/>
      <c r="AJ21" s="411"/>
      <c r="AK21" s="411"/>
      <c r="AL21" s="411"/>
      <c r="AM21" s="411"/>
      <c r="AN21" s="411"/>
      <c r="AO21" s="411"/>
      <c r="AP21" s="411"/>
      <c r="AQ21" s="411"/>
      <c r="AR21" s="411"/>
    </row>
    <row r="22" spans="1:44" s="394" customFormat="1" ht="14.4">
      <c r="A22" s="932">
        <f t="shared" si="13"/>
        <v>12</v>
      </c>
      <c r="B22" s="806"/>
      <c r="C22" s="807">
        <f>(C12+C11+C10+C9)*4</f>
        <v>64</v>
      </c>
      <c r="D22" s="828" t="s">
        <v>768</v>
      </c>
      <c r="E22" s="828" t="s">
        <v>769</v>
      </c>
      <c r="F22" s="1020" t="s">
        <v>126</v>
      </c>
      <c r="G22" s="1021"/>
      <c r="H22" s="808">
        <v>15</v>
      </c>
      <c r="I22" s="402">
        <f t="shared" si="10"/>
        <v>960</v>
      </c>
      <c r="J22" s="403"/>
      <c r="K22" s="794"/>
      <c r="L22" s="834"/>
      <c r="M22" s="850" t="s">
        <v>776</v>
      </c>
      <c r="N22" s="856">
        <f>M28-N21-N14-N15-N16</f>
        <v>96720.382262857107</v>
      </c>
      <c r="P22" s="411"/>
      <c r="Q22" s="411"/>
      <c r="R22" s="411"/>
      <c r="S22" s="411"/>
      <c r="T22" s="411"/>
      <c r="U22" s="975" t="s">
        <v>1255</v>
      </c>
      <c r="V22" s="975">
        <v>14.9</v>
      </c>
      <c r="W22" s="975">
        <f t="shared" ref="W22:W31" si="16">+IF($E$15=U22,V22,0)</f>
        <v>0</v>
      </c>
      <c r="X22" s="975">
        <f>+IF($E$15=U22,1,0)*(0.38*$F$31)</f>
        <v>0</v>
      </c>
      <c r="Y22" s="975">
        <f t="shared" si="15"/>
        <v>0</v>
      </c>
      <c r="Z22" s="411"/>
      <c r="AA22" s="411"/>
      <c r="AB22" s="411"/>
      <c r="AC22" s="411"/>
      <c r="AD22" s="411"/>
      <c r="AE22" s="411"/>
      <c r="AF22" s="411"/>
      <c r="AG22" s="411"/>
      <c r="AH22" s="411"/>
      <c r="AI22" s="411"/>
      <c r="AJ22" s="411"/>
      <c r="AK22" s="411"/>
      <c r="AL22" s="411"/>
      <c r="AM22" s="411"/>
      <c r="AN22" s="411"/>
      <c r="AO22" s="411"/>
      <c r="AP22" s="411"/>
      <c r="AQ22" s="411"/>
      <c r="AR22" s="411"/>
    </row>
    <row r="23" spans="1:44" s="394" customFormat="1" ht="15" customHeight="1">
      <c r="A23" s="1013" t="s">
        <v>737</v>
      </c>
      <c r="B23" s="1014"/>
      <c r="C23" s="1014"/>
      <c r="D23" s="1014"/>
      <c r="E23" s="1014"/>
      <c r="F23" s="1014"/>
      <c r="G23" s="1015"/>
      <c r="H23" s="440"/>
      <c r="I23" s="440"/>
      <c r="J23" s="440"/>
      <c r="K23" s="440"/>
      <c r="L23" s="835"/>
      <c r="M23" s="997" t="s">
        <v>1146</v>
      </c>
      <c r="N23" s="997"/>
      <c r="O23" s="852" t="s">
        <v>1150</v>
      </c>
      <c r="P23" s="864">
        <v>0.4</v>
      </c>
      <c r="Q23" s="411"/>
      <c r="R23" s="411"/>
      <c r="S23" s="411"/>
      <c r="T23" s="411"/>
      <c r="U23" s="975" t="s">
        <v>1256</v>
      </c>
      <c r="V23" s="975">
        <v>19.3</v>
      </c>
      <c r="W23" s="975">
        <f t="shared" si="16"/>
        <v>0</v>
      </c>
      <c r="X23" s="975">
        <f>+IF($E$15=U23,1,0)*(0.38*$F$31)</f>
        <v>0</v>
      </c>
      <c r="Y23" s="975">
        <f t="shared" si="15"/>
        <v>0</v>
      </c>
      <c r="Z23" s="411"/>
      <c r="AA23" s="411"/>
      <c r="AB23" s="411"/>
      <c r="AC23" s="411"/>
      <c r="AD23" s="411"/>
      <c r="AE23" s="411"/>
      <c r="AF23" s="411"/>
      <c r="AG23" s="411"/>
      <c r="AH23" s="411"/>
      <c r="AI23" s="411"/>
      <c r="AJ23" s="411"/>
      <c r="AK23" s="411"/>
      <c r="AL23" s="411"/>
      <c r="AM23" s="411"/>
      <c r="AN23" s="411"/>
      <c r="AO23" s="411"/>
      <c r="AP23" s="411"/>
      <c r="AQ23" s="411"/>
      <c r="AR23" s="411"/>
    </row>
    <row r="24" spans="1:44" s="394" customFormat="1" ht="15" customHeight="1">
      <c r="A24" s="923" t="s">
        <v>754</v>
      </c>
      <c r="B24" s="924" t="s">
        <v>755</v>
      </c>
      <c r="C24" s="924" t="s">
        <v>756</v>
      </c>
      <c r="D24" s="924" t="s">
        <v>757</v>
      </c>
      <c r="E24" s="924" t="s">
        <v>117</v>
      </c>
      <c r="F24" s="995" t="s">
        <v>758</v>
      </c>
      <c r="G24" s="996"/>
      <c r="H24" s="925" t="s">
        <v>759</v>
      </c>
      <c r="I24" s="924" t="s">
        <v>760</v>
      </c>
      <c r="J24" s="924" t="s">
        <v>761</v>
      </c>
      <c r="K24" s="924" t="s">
        <v>762</v>
      </c>
      <c r="L24" s="926" t="s">
        <v>763</v>
      </c>
      <c r="M24" s="850" t="s">
        <v>773</v>
      </c>
      <c r="N24" s="862">
        <f>SUM(K9:K27)</f>
        <v>5290.2958400000007</v>
      </c>
      <c r="O24" s="411"/>
      <c r="P24" s="411"/>
      <c r="Q24" s="411"/>
      <c r="R24" s="411"/>
      <c r="S24" s="411"/>
      <c r="T24" s="411"/>
      <c r="U24" s="975" t="s">
        <v>1235</v>
      </c>
      <c r="V24" s="975">
        <v>17.899999999999999</v>
      </c>
      <c r="W24" s="975">
        <f t="shared" si="16"/>
        <v>17.899999999999999</v>
      </c>
      <c r="X24" s="975">
        <f>+IF($E$15=U24,1,0)*(0.475*$F$31)</f>
        <v>0</v>
      </c>
      <c r="Y24" s="975">
        <f t="shared" si="15"/>
        <v>0</v>
      </c>
      <c r="Z24" s="411"/>
      <c r="AA24" s="411"/>
      <c r="AB24" s="411"/>
      <c r="AC24" s="411"/>
      <c r="AD24" s="411"/>
      <c r="AE24" s="411"/>
      <c r="AF24" s="411"/>
      <c r="AG24" s="411"/>
      <c r="AH24" s="411"/>
      <c r="AI24" s="411"/>
      <c r="AJ24" s="411"/>
      <c r="AK24" s="411"/>
      <c r="AL24" s="411"/>
      <c r="AM24" s="411"/>
      <c r="AN24" s="411"/>
      <c r="AO24" s="411"/>
      <c r="AP24" s="411"/>
      <c r="AQ24" s="411"/>
      <c r="AR24" s="411"/>
    </row>
    <row r="25" spans="1:44" s="394" customFormat="1" ht="15" customHeight="1">
      <c r="A25" s="849" t="s">
        <v>1149</v>
      </c>
      <c r="B25" s="927" t="s">
        <v>1208</v>
      </c>
      <c r="C25" s="928">
        <f>(+C33/2.8)+((C33/2.8*0.1))</f>
        <v>52.642857142857146</v>
      </c>
      <c r="D25" s="994" t="s">
        <v>1211</v>
      </c>
      <c r="E25" s="994"/>
      <c r="F25" s="993" t="s">
        <v>1210</v>
      </c>
      <c r="G25" s="993"/>
      <c r="H25" s="929">
        <f>+N20+(N20*P23)</f>
        <v>770</v>
      </c>
      <c r="I25" s="929">
        <f t="shared" ref="I25:I27" si="17">H25*C25</f>
        <v>40535</v>
      </c>
      <c r="J25" s="930">
        <v>11.2</v>
      </c>
      <c r="K25" s="930">
        <f>+J25*C25</f>
        <v>589.6</v>
      </c>
      <c r="L25" s="931"/>
      <c r="M25" s="850" t="s">
        <v>771</v>
      </c>
      <c r="N25" s="859">
        <f>SUM(I9:I27)</f>
        <v>348905.26649142854</v>
      </c>
      <c r="O25" s="393"/>
      <c r="P25" s="393"/>
      <c r="Q25" s="411"/>
      <c r="R25" s="411"/>
      <c r="S25" s="411"/>
      <c r="T25" s="411"/>
      <c r="U25" s="975" t="s">
        <v>1257</v>
      </c>
      <c r="V25" s="975">
        <v>22.3</v>
      </c>
      <c r="W25" s="975">
        <f t="shared" si="16"/>
        <v>0</v>
      </c>
      <c r="X25" s="975">
        <f>+IF($E$15=U25,1,0)*(0.475*$F$31)</f>
        <v>0</v>
      </c>
      <c r="Y25" s="975">
        <f t="shared" si="15"/>
        <v>0</v>
      </c>
      <c r="Z25" s="411"/>
      <c r="AA25" s="411"/>
      <c r="AB25" s="411"/>
      <c r="AC25" s="411"/>
      <c r="AD25" s="411"/>
      <c r="AE25" s="411"/>
      <c r="AF25" s="411"/>
      <c r="AG25" s="411"/>
      <c r="AH25" s="411"/>
      <c r="AI25" s="411"/>
      <c r="AJ25" s="411"/>
      <c r="AK25" s="411"/>
      <c r="AL25" s="411"/>
      <c r="AM25" s="411"/>
      <c r="AN25" s="411"/>
      <c r="AO25" s="411"/>
      <c r="AP25" s="411"/>
      <c r="AQ25" s="411"/>
      <c r="AR25" s="411"/>
    </row>
    <row r="26" spans="1:44" s="394" customFormat="1" ht="15.75" customHeight="1">
      <c r="A26" s="849">
        <v>2</v>
      </c>
      <c r="B26" s="927"/>
      <c r="C26" s="928">
        <f>+C25*10</f>
        <v>526.42857142857144</v>
      </c>
      <c r="D26" s="1016" t="s">
        <v>1221</v>
      </c>
      <c r="E26" s="1017"/>
      <c r="F26" s="1022" t="s">
        <v>1222</v>
      </c>
      <c r="G26" s="1023"/>
      <c r="H26" s="929">
        <v>1</v>
      </c>
      <c r="I26" s="929">
        <f t="shared" si="17"/>
        <v>526.42857142857144</v>
      </c>
      <c r="J26" s="930"/>
      <c r="K26" s="930"/>
      <c r="L26" s="795"/>
      <c r="M26" s="860" t="s">
        <v>1147</v>
      </c>
      <c r="N26" s="854">
        <v>63</v>
      </c>
      <c r="O26" s="393"/>
      <c r="P26" s="393"/>
      <c r="Q26" s="393"/>
      <c r="R26" s="393"/>
      <c r="S26" s="393"/>
      <c r="T26" s="393"/>
      <c r="U26" s="975" t="s">
        <v>1258</v>
      </c>
      <c r="V26" s="975">
        <v>20.8</v>
      </c>
      <c r="W26" s="975">
        <f t="shared" si="16"/>
        <v>0</v>
      </c>
      <c r="X26" s="975">
        <f>+IF($E$15=U26,1,0)*(0.852*$F$31)</f>
        <v>0</v>
      </c>
      <c r="Y26" s="975">
        <f t="shared" si="15"/>
        <v>0</v>
      </c>
      <c r="Z26" s="411"/>
      <c r="AA26" s="411"/>
      <c r="AB26" s="982"/>
      <c r="AC26" s="411"/>
      <c r="AD26" s="411"/>
      <c r="AE26" s="411"/>
      <c r="AF26" s="411"/>
      <c r="AG26" s="411"/>
      <c r="AH26" s="411"/>
      <c r="AI26" s="411"/>
      <c r="AJ26" s="411"/>
      <c r="AK26" s="411"/>
      <c r="AL26" s="411"/>
      <c r="AM26" s="411"/>
      <c r="AN26" s="411"/>
      <c r="AO26" s="411"/>
      <c r="AP26" s="411"/>
      <c r="AQ26" s="411"/>
      <c r="AR26" s="411"/>
    </row>
    <row r="27" spans="1:44" s="394" customFormat="1" ht="14.4">
      <c r="A27" s="849">
        <v>3</v>
      </c>
      <c r="B27" s="927" t="s">
        <v>764</v>
      </c>
      <c r="C27" s="928">
        <v>1</v>
      </c>
      <c r="D27" s="994" t="s">
        <v>1212</v>
      </c>
      <c r="E27" s="994"/>
      <c r="F27" s="1022" t="s">
        <v>1213</v>
      </c>
      <c r="G27" s="1023"/>
      <c r="H27" s="929">
        <f>J27*L27</f>
        <v>25200</v>
      </c>
      <c r="I27" s="929">
        <f t="shared" si="17"/>
        <v>25200</v>
      </c>
      <c r="J27" s="930">
        <v>400</v>
      </c>
      <c r="K27" s="930">
        <f>J27*C27</f>
        <v>400</v>
      </c>
      <c r="L27" s="795">
        <f>+N26</f>
        <v>63</v>
      </c>
      <c r="M27" s="990" t="s">
        <v>772</v>
      </c>
      <c r="N27" s="990"/>
      <c r="O27" s="411"/>
      <c r="P27" s="393"/>
      <c r="Q27" s="393"/>
      <c r="R27" s="393"/>
      <c r="S27" s="393"/>
      <c r="T27" s="393"/>
      <c r="U27" s="975" t="s">
        <v>1259</v>
      </c>
      <c r="V27" s="975">
        <v>23.8</v>
      </c>
      <c r="W27" s="975">
        <f t="shared" si="16"/>
        <v>0</v>
      </c>
      <c r="X27" s="975">
        <f>+IF($E$15=U27,1,0)*(0.852*$F$31)</f>
        <v>0</v>
      </c>
      <c r="Y27" s="975">
        <f t="shared" si="15"/>
        <v>0</v>
      </c>
      <c r="Z27" s="983"/>
      <c r="AA27" s="411"/>
      <c r="AB27" s="984"/>
      <c r="AC27" s="982"/>
      <c r="AD27" s="411"/>
      <c r="AE27" s="411"/>
      <c r="AF27" s="411"/>
      <c r="AG27" s="411"/>
      <c r="AH27" s="411"/>
      <c r="AI27" s="411"/>
      <c r="AJ27" s="411"/>
      <c r="AK27" s="411"/>
      <c r="AL27" s="411"/>
      <c r="AM27" s="411"/>
      <c r="AN27" s="411"/>
      <c r="AO27" s="411"/>
      <c r="AP27" s="411"/>
      <c r="AQ27" s="411"/>
      <c r="AR27" s="411"/>
    </row>
    <row r="28" spans="1:44" s="394" customFormat="1" ht="14.4">
      <c r="A28" s="942"/>
      <c r="B28" s="942"/>
      <c r="C28" s="942"/>
      <c r="D28" s="935"/>
      <c r="E28" s="935"/>
      <c r="F28" s="935"/>
      <c r="G28" s="935"/>
      <c r="H28" s="935"/>
      <c r="I28" s="935"/>
      <c r="J28" s="935"/>
      <c r="K28" s="935"/>
      <c r="L28" s="935"/>
      <c r="M28" s="991">
        <f>N25+N14+N15+N16</f>
        <v>424205.26649142854</v>
      </c>
      <c r="N28" s="991"/>
      <c r="O28" s="411"/>
      <c r="P28" s="393"/>
      <c r="Q28" s="393"/>
      <c r="R28" s="393"/>
      <c r="S28" s="393"/>
      <c r="T28" s="393"/>
      <c r="U28" s="975" t="s">
        <v>1260</v>
      </c>
      <c r="V28" s="975">
        <v>28.3</v>
      </c>
      <c r="W28" s="975">
        <f t="shared" si="16"/>
        <v>0</v>
      </c>
      <c r="X28" s="975">
        <f>+IF($E$15=U28,1,0)*(0.852*$F$31)</f>
        <v>0</v>
      </c>
      <c r="Y28" s="975">
        <f t="shared" si="15"/>
        <v>0</v>
      </c>
      <c r="Z28" s="411"/>
      <c r="AA28" s="411"/>
      <c r="AB28" s="885"/>
      <c r="AC28" s="985"/>
      <c r="AD28" s="411"/>
      <c r="AE28" s="411"/>
      <c r="AF28" s="411"/>
      <c r="AG28" s="411"/>
      <c r="AH28" s="411"/>
      <c r="AI28" s="411"/>
      <c r="AJ28" s="411"/>
      <c r="AK28" s="411"/>
      <c r="AL28" s="411"/>
      <c r="AM28" s="411"/>
      <c r="AN28" s="411"/>
      <c r="AO28" s="411"/>
      <c r="AP28" s="411"/>
      <c r="AQ28" s="411"/>
      <c r="AR28" s="411"/>
    </row>
    <row r="29" spans="1:44" s="394" customFormat="1" ht="15.6">
      <c r="A29" s="935"/>
      <c r="B29" s="1012" t="s">
        <v>1220</v>
      </c>
      <c r="C29" s="1012"/>
      <c r="D29" s="1012" t="s">
        <v>1276</v>
      </c>
      <c r="E29" s="1012"/>
      <c r="F29" s="964" t="s">
        <v>1277</v>
      </c>
      <c r="G29" s="964" t="s">
        <v>1278</v>
      </c>
      <c r="H29" s="935"/>
      <c r="I29" s="935"/>
      <c r="J29" s="935"/>
      <c r="K29" s="942"/>
      <c r="L29" s="935"/>
      <c r="M29" s="991"/>
      <c r="N29" s="991"/>
      <c r="O29" s="863" t="s">
        <v>1148</v>
      </c>
      <c r="P29" s="393"/>
      <c r="Q29" s="393"/>
      <c r="R29" s="393"/>
      <c r="S29" s="393"/>
      <c r="T29" s="393"/>
      <c r="U29" s="975" t="s">
        <v>1261</v>
      </c>
      <c r="V29" s="975">
        <v>32.700000000000003</v>
      </c>
      <c r="W29" s="975">
        <f t="shared" si="16"/>
        <v>0</v>
      </c>
      <c r="X29" s="975">
        <f>+IF($E$15=U29,1,0)*(0.852*$F$31)</f>
        <v>0</v>
      </c>
      <c r="Y29" s="975">
        <f t="shared" si="15"/>
        <v>0</v>
      </c>
      <c r="Z29" s="411"/>
      <c r="AA29" s="411"/>
      <c r="AB29" s="885"/>
      <c r="AC29" s="985"/>
      <c r="AD29" s="411"/>
      <c r="AE29" s="411"/>
      <c r="AF29" s="411"/>
      <c r="AG29" s="411"/>
      <c r="AH29" s="411"/>
      <c r="AI29" s="411"/>
      <c r="AJ29" s="411"/>
      <c r="AK29" s="411"/>
      <c r="AL29" s="411"/>
      <c r="AM29" s="411"/>
      <c r="AN29" s="411"/>
      <c r="AO29" s="411"/>
      <c r="AP29" s="411"/>
      <c r="AQ29" s="411"/>
      <c r="AR29" s="411"/>
    </row>
    <row r="30" spans="1:44" s="394" customFormat="1" ht="14.4">
      <c r="A30" s="935"/>
      <c r="B30" s="964" t="s">
        <v>8</v>
      </c>
      <c r="C30" s="961">
        <v>13</v>
      </c>
      <c r="D30" s="964" t="s">
        <v>704</v>
      </c>
      <c r="E30" s="968">
        <f>+W19</f>
        <v>14.04</v>
      </c>
      <c r="F30" s="977" t="s">
        <v>132</v>
      </c>
      <c r="G30" s="977" t="s">
        <v>132</v>
      </c>
      <c r="H30" s="935"/>
      <c r="I30" s="936"/>
      <c r="J30" s="935"/>
      <c r="K30" s="942"/>
      <c r="L30" s="935"/>
      <c r="M30" s="411"/>
      <c r="N30" s="411"/>
      <c r="O30" s="411"/>
      <c r="P30" s="393"/>
      <c r="Q30" s="393"/>
      <c r="R30" s="393"/>
      <c r="S30" s="393"/>
      <c r="T30" s="393"/>
      <c r="U30" s="975" t="s">
        <v>1262</v>
      </c>
      <c r="V30" s="975">
        <v>32.700000000000003</v>
      </c>
      <c r="W30" s="975">
        <f t="shared" si="16"/>
        <v>0</v>
      </c>
      <c r="X30" s="975">
        <f>+IF($E$15=U30,1,0)*(0.994*$F$31)</f>
        <v>0</v>
      </c>
      <c r="Y30" s="975">
        <f t="shared" si="15"/>
        <v>0</v>
      </c>
      <c r="Z30" s="411"/>
      <c r="AA30" s="411"/>
      <c r="AB30" s="885"/>
      <c r="AC30" s="985"/>
      <c r="AD30" s="411"/>
      <c r="AE30" s="411"/>
      <c r="AF30" s="411"/>
      <c r="AG30" s="411"/>
      <c r="AH30" s="411"/>
      <c r="AI30" s="411"/>
      <c r="AJ30" s="411"/>
      <c r="AK30" s="411"/>
      <c r="AL30" s="411"/>
      <c r="AM30" s="411"/>
      <c r="AN30" s="411"/>
      <c r="AO30" s="411"/>
      <c r="AP30" s="411"/>
      <c r="AQ30" s="411"/>
      <c r="AR30" s="411"/>
    </row>
    <row r="31" spans="1:44" s="394" customFormat="1" ht="15.75" customHeight="1">
      <c r="A31" s="937"/>
      <c r="B31" s="964" t="s">
        <v>14</v>
      </c>
      <c r="C31" s="961">
        <v>10</v>
      </c>
      <c r="D31" s="964" t="s">
        <v>1206</v>
      </c>
      <c r="E31" s="968">
        <f>+W32</f>
        <v>17.899999999999999</v>
      </c>
      <c r="F31" s="977">
        <v>0</v>
      </c>
      <c r="G31" s="977" t="s">
        <v>1279</v>
      </c>
      <c r="H31" s="935"/>
      <c r="I31" s="935"/>
      <c r="J31" s="935"/>
      <c r="K31" s="935"/>
      <c r="L31" s="935"/>
      <c r="M31" s="393"/>
      <c r="N31" s="393"/>
      <c r="O31" s="857"/>
      <c r="P31" s="393"/>
      <c r="Q31" s="393"/>
      <c r="R31" s="393"/>
      <c r="S31" s="393"/>
      <c r="T31" s="393"/>
      <c r="U31" s="975" t="s">
        <v>1263</v>
      </c>
      <c r="V31" s="975">
        <v>38.700000000000003</v>
      </c>
      <c r="W31" s="975">
        <f t="shared" si="16"/>
        <v>0</v>
      </c>
      <c r="X31" s="975">
        <f>+IF($E$15=U31,1,0)*(0.994*$F$31)</f>
        <v>0</v>
      </c>
      <c r="Y31" s="975">
        <f t="shared" si="15"/>
        <v>0</v>
      </c>
      <c r="Z31" s="411"/>
      <c r="AA31" s="411"/>
      <c r="AB31" s="885"/>
      <c r="AC31" s="985"/>
      <c r="AD31" s="411"/>
      <c r="AE31" s="411"/>
      <c r="AF31" s="411"/>
      <c r="AG31" s="411"/>
      <c r="AH31" s="411"/>
      <c r="AI31" s="411"/>
      <c r="AJ31" s="411"/>
      <c r="AK31" s="411"/>
      <c r="AL31" s="411"/>
      <c r="AM31" s="411"/>
      <c r="AN31" s="411"/>
      <c r="AO31" s="411"/>
      <c r="AP31" s="411"/>
      <c r="AQ31" s="411"/>
      <c r="AR31" s="411"/>
    </row>
    <row r="32" spans="1:44" s="394" customFormat="1" ht="15.75" customHeight="1">
      <c r="A32" s="943"/>
      <c r="B32" s="965" t="s">
        <v>1216</v>
      </c>
      <c r="C32" s="962">
        <v>350</v>
      </c>
      <c r="D32" s="965" t="s">
        <v>1207</v>
      </c>
      <c r="E32" s="968">
        <f>+W56</f>
        <v>5.7</v>
      </c>
      <c r="F32" s="977">
        <v>3</v>
      </c>
      <c r="G32" s="977" t="s">
        <v>1279</v>
      </c>
      <c r="H32" s="935"/>
      <c r="I32" s="935"/>
      <c r="J32" s="935"/>
      <c r="K32" s="935"/>
      <c r="L32" s="935"/>
      <c r="M32" s="407"/>
      <c r="N32" s="393"/>
      <c r="O32" s="857"/>
      <c r="P32" s="393"/>
      <c r="Q32" s="393"/>
      <c r="R32" s="393"/>
      <c r="S32" s="393"/>
      <c r="T32" s="393"/>
      <c r="U32" s="411"/>
      <c r="V32" s="411"/>
      <c r="W32" s="976">
        <f>SUM(W21:W31)</f>
        <v>17.899999999999999</v>
      </c>
      <c r="X32" s="976">
        <f>SUM(X21:X31)</f>
        <v>0</v>
      </c>
      <c r="Y32" s="976">
        <f>SUM(Y21:Y31)</f>
        <v>0</v>
      </c>
      <c r="Z32" s="411"/>
      <c r="AA32" s="411"/>
      <c r="AB32" s="885"/>
      <c r="AC32" s="985"/>
      <c r="AD32" s="411"/>
      <c r="AE32" s="411"/>
      <c r="AF32" s="411"/>
      <c r="AG32" s="411"/>
      <c r="AH32" s="411"/>
      <c r="AI32" s="411"/>
      <c r="AJ32" s="411"/>
      <c r="AK32" s="411"/>
      <c r="AL32" s="411"/>
      <c r="AM32" s="411"/>
      <c r="AN32" s="411"/>
      <c r="AO32" s="411"/>
      <c r="AP32" s="411"/>
      <c r="AQ32" s="411"/>
      <c r="AR32" s="411"/>
    </row>
    <row r="33" spans="1:44" s="394" customFormat="1" ht="15.75" customHeight="1">
      <c r="A33" s="940"/>
      <c r="B33" s="966" t="s">
        <v>1217</v>
      </c>
      <c r="C33" s="963">
        <v>134</v>
      </c>
      <c r="D33" s="938"/>
      <c r="E33" s="938"/>
      <c r="F33" s="935"/>
      <c r="G33" s="935"/>
      <c r="H33" s="935"/>
      <c r="I33" s="935"/>
      <c r="J33" s="935"/>
      <c r="K33" s="935"/>
      <c r="L33" s="935"/>
      <c r="M33" s="393"/>
      <c r="N33" s="408"/>
      <c r="O33" s="858"/>
      <c r="P33" s="393"/>
      <c r="Q33" s="393"/>
      <c r="R33" s="393"/>
      <c r="S33" s="393"/>
      <c r="T33" s="393"/>
      <c r="U33" s="1011" t="s">
        <v>1264</v>
      </c>
      <c r="V33" s="1011"/>
      <c r="W33" s="1011"/>
      <c r="X33" s="411"/>
      <c r="Y33" s="411"/>
      <c r="Z33" s="411"/>
      <c r="AA33" s="411"/>
      <c r="AB33" s="885"/>
      <c r="AC33" s="985"/>
      <c r="AD33" s="411"/>
      <c r="AE33" s="411"/>
      <c r="AF33" s="411"/>
      <c r="AG33" s="411"/>
      <c r="AH33" s="411"/>
      <c r="AI33" s="411"/>
      <c r="AJ33" s="411"/>
      <c r="AK33" s="411"/>
      <c r="AL33" s="411"/>
      <c r="AM33" s="411"/>
      <c r="AN33" s="411"/>
      <c r="AO33" s="411"/>
      <c r="AP33" s="411"/>
      <c r="AQ33" s="411"/>
      <c r="AR33" s="411"/>
    </row>
    <row r="34" spans="1:44" s="394" customFormat="1" ht="15.75" customHeight="1">
      <c r="A34" s="935"/>
      <c r="B34" s="967" t="s">
        <v>1218</v>
      </c>
      <c r="C34" s="962">
        <f>+C33*C32</f>
        <v>46900</v>
      </c>
      <c r="D34" s="935"/>
      <c r="E34" s="935"/>
      <c r="F34" s="935"/>
      <c r="G34" s="935"/>
      <c r="H34" s="935"/>
      <c r="I34" s="939"/>
      <c r="J34" s="935"/>
      <c r="K34" s="935"/>
      <c r="L34" s="935"/>
      <c r="M34" s="393"/>
      <c r="N34" s="393"/>
      <c r="O34" s="858"/>
      <c r="P34" s="393"/>
      <c r="Q34" s="393"/>
      <c r="R34" s="393"/>
      <c r="S34" s="393"/>
      <c r="T34" s="393"/>
      <c r="U34" s="975" t="s">
        <v>1266</v>
      </c>
      <c r="V34" s="975">
        <v>3.4</v>
      </c>
      <c r="W34" s="975">
        <f>+IF($E$16=U34,V34,0)</f>
        <v>0</v>
      </c>
      <c r="X34" s="975">
        <f>+IF($E$16=U34,1,0)*(0.142*$F$32)</f>
        <v>0</v>
      </c>
      <c r="Y34" s="975">
        <f t="shared" ref="Y34:Y55" si="18">(+IF($E$16=U34,1,0)*(($F$16/1000)*1.23))*(+IF($G$32="si",1,0))</f>
        <v>0</v>
      </c>
      <c r="Z34" s="411"/>
      <c r="AA34" s="411"/>
      <c r="AB34" s="885"/>
      <c r="AC34" s="985"/>
      <c r="AD34" s="411"/>
      <c r="AE34" s="411"/>
      <c r="AF34" s="411"/>
      <c r="AG34" s="411"/>
      <c r="AH34" s="411"/>
      <c r="AI34" s="411"/>
      <c r="AJ34" s="411"/>
      <c r="AK34" s="411"/>
      <c r="AL34" s="411"/>
      <c r="AM34" s="411"/>
      <c r="AN34" s="411"/>
      <c r="AO34" s="411"/>
      <c r="AP34" s="411"/>
      <c r="AQ34" s="411"/>
      <c r="AR34" s="411"/>
    </row>
    <row r="35" spans="1:44" s="394" customFormat="1" ht="15.75" customHeight="1">
      <c r="A35" s="970"/>
      <c r="B35" s="970"/>
      <c r="C35" s="970"/>
      <c r="D35" s="970"/>
      <c r="E35" s="935"/>
      <c r="F35" s="935"/>
      <c r="G35" s="935"/>
      <c r="H35" s="935"/>
      <c r="I35" s="935"/>
      <c r="J35" s="935"/>
      <c r="K35" s="935"/>
      <c r="L35" s="935"/>
      <c r="M35" s="393"/>
      <c r="N35" s="393"/>
      <c r="O35" s="393"/>
      <c r="P35" s="393"/>
      <c r="Q35" s="393"/>
      <c r="R35" s="393"/>
      <c r="S35" s="393"/>
      <c r="T35" s="393"/>
      <c r="U35" s="975" t="s">
        <v>1267</v>
      </c>
      <c r="V35" s="975">
        <v>3.8</v>
      </c>
      <c r="W35" s="975">
        <f t="shared" ref="W35:W55" si="19">+IF($E$16=U35,V35,0)</f>
        <v>0</v>
      </c>
      <c r="X35" s="975">
        <f>+IF($E$16=U35,1,0)*(0.17*$F$32)</f>
        <v>0</v>
      </c>
      <c r="Y35" s="975">
        <f t="shared" si="18"/>
        <v>0</v>
      </c>
      <c r="Z35" s="411"/>
      <c r="AA35" s="411"/>
      <c r="AB35" s="885"/>
      <c r="AC35" s="985"/>
      <c r="AD35" s="411"/>
      <c r="AE35" s="411"/>
      <c r="AF35" s="411"/>
      <c r="AG35" s="411"/>
      <c r="AH35" s="411"/>
      <c r="AI35" s="411"/>
      <c r="AJ35" s="411"/>
      <c r="AK35" s="411"/>
      <c r="AL35" s="411"/>
      <c r="AM35" s="411"/>
      <c r="AN35" s="411"/>
      <c r="AO35" s="411"/>
      <c r="AP35" s="411"/>
      <c r="AQ35" s="411"/>
      <c r="AR35" s="411"/>
    </row>
    <row r="36" spans="1:44" s="394" customFormat="1" ht="15.75" customHeight="1">
      <c r="A36" s="970"/>
      <c r="B36" s="992" t="s">
        <v>1224</v>
      </c>
      <c r="C36" s="992"/>
      <c r="D36" s="970"/>
      <c r="E36" s="935"/>
      <c r="F36" s="935"/>
      <c r="G36" s="935"/>
      <c r="H36" s="935"/>
      <c r="I36" s="935" t="s">
        <v>1284</v>
      </c>
      <c r="J36" s="935"/>
      <c r="K36" s="935"/>
      <c r="L36" s="935"/>
      <c r="M36" s="393"/>
      <c r="N36" s="393"/>
      <c r="O36" s="393"/>
      <c r="P36" s="393"/>
      <c r="Q36" s="393"/>
      <c r="R36" s="393"/>
      <c r="S36" s="393"/>
      <c r="T36" s="393"/>
      <c r="U36" s="975" t="s">
        <v>1265</v>
      </c>
      <c r="V36" s="975">
        <v>4.21</v>
      </c>
      <c r="W36" s="975">
        <f t="shared" si="19"/>
        <v>0</v>
      </c>
      <c r="X36" s="975">
        <f>+IF($E$16=U36,1,0)*(0.21*$F$32)</f>
        <v>0</v>
      </c>
      <c r="Y36" s="975">
        <f t="shared" si="18"/>
        <v>0</v>
      </c>
      <c r="Z36" s="411"/>
      <c r="AA36" s="411"/>
      <c r="AB36" s="886"/>
      <c r="AC36" s="986"/>
      <c r="AD36" s="411"/>
      <c r="AE36" s="411"/>
      <c r="AF36" s="411"/>
      <c r="AG36" s="411"/>
      <c r="AH36" s="411"/>
      <c r="AI36" s="411"/>
      <c r="AJ36" s="411"/>
      <c r="AK36" s="411"/>
      <c r="AL36" s="411"/>
      <c r="AM36" s="411"/>
      <c r="AN36" s="411"/>
      <c r="AO36" s="411"/>
      <c r="AP36" s="411"/>
      <c r="AQ36" s="411"/>
      <c r="AR36" s="411"/>
    </row>
    <row r="37" spans="1:44" s="394" customFormat="1" ht="15.75" customHeight="1">
      <c r="A37" s="970"/>
      <c r="B37" s="988" t="s">
        <v>1225</v>
      </c>
      <c r="C37" s="988"/>
      <c r="D37" s="970"/>
      <c r="E37" s="935"/>
      <c r="F37" s="935"/>
      <c r="G37" s="935"/>
      <c r="H37" s="940"/>
      <c r="I37" s="935"/>
      <c r="J37" s="935"/>
      <c r="K37" s="935"/>
      <c r="L37" s="935"/>
      <c r="M37" s="393"/>
      <c r="N37" s="393"/>
      <c r="O37" s="393"/>
      <c r="P37" s="393"/>
      <c r="Q37" s="393"/>
      <c r="R37" s="393"/>
      <c r="S37" s="393"/>
      <c r="T37" s="393"/>
      <c r="U37" s="975" t="s">
        <v>1268</v>
      </c>
      <c r="V37" s="975">
        <v>5.86</v>
      </c>
      <c r="W37" s="975">
        <f t="shared" si="19"/>
        <v>0</v>
      </c>
      <c r="X37" s="975">
        <f>+IF($E$16=U37,1,0)*(0.21*$F$32)</f>
        <v>0</v>
      </c>
      <c r="Y37" s="975">
        <f t="shared" si="18"/>
        <v>0</v>
      </c>
      <c r="Z37" s="411"/>
      <c r="AA37" s="411"/>
      <c r="AB37" s="411"/>
      <c r="AC37" s="411"/>
      <c r="AD37" s="411"/>
      <c r="AE37" s="411"/>
      <c r="AF37" s="411"/>
      <c r="AG37" s="411"/>
      <c r="AH37" s="411"/>
      <c r="AI37" s="411"/>
      <c r="AJ37" s="411"/>
      <c r="AK37" s="411"/>
      <c r="AL37" s="411"/>
      <c r="AM37" s="411"/>
      <c r="AN37" s="411"/>
      <c r="AO37" s="411"/>
      <c r="AP37" s="411"/>
      <c r="AQ37" s="411"/>
      <c r="AR37" s="411"/>
    </row>
    <row r="38" spans="1:44" s="394" customFormat="1" ht="15.75" customHeight="1">
      <c r="A38" s="971"/>
      <c r="B38" s="988" t="s">
        <v>1226</v>
      </c>
      <c r="C38" s="988"/>
      <c r="D38" s="970"/>
      <c r="E38" s="935"/>
      <c r="F38" s="935"/>
      <c r="G38" s="935"/>
      <c r="H38" s="940"/>
      <c r="I38" s="935"/>
      <c r="J38" s="935"/>
      <c r="K38" s="935"/>
      <c r="L38" s="935"/>
      <c r="M38" s="393"/>
      <c r="N38" s="393"/>
      <c r="O38" s="393"/>
      <c r="P38" s="393"/>
      <c r="Q38" s="393"/>
      <c r="R38" s="393"/>
      <c r="S38" s="393"/>
      <c r="T38" s="393"/>
      <c r="U38" s="975" t="s">
        <v>1269</v>
      </c>
      <c r="V38" s="975">
        <v>5.7</v>
      </c>
      <c r="W38" s="975">
        <f t="shared" si="19"/>
        <v>5.7</v>
      </c>
      <c r="X38" s="975">
        <f>+IF($E$16=U38,1,0)*(0.284*$F$32)</f>
        <v>0.85199999999999987</v>
      </c>
      <c r="Y38" s="975">
        <f t="shared" si="18"/>
        <v>0</v>
      </c>
      <c r="Z38" s="411"/>
      <c r="AA38" s="411"/>
      <c r="AB38" s="411"/>
      <c r="AC38" s="411"/>
      <c r="AD38" s="411"/>
      <c r="AE38" s="411"/>
      <c r="AF38" s="411"/>
      <c r="AG38" s="411"/>
      <c r="AH38" s="411"/>
      <c r="AI38" s="411"/>
      <c r="AJ38" s="411"/>
      <c r="AK38" s="411"/>
      <c r="AL38" s="411"/>
      <c r="AM38" s="411"/>
      <c r="AN38" s="411"/>
      <c r="AO38" s="411"/>
      <c r="AP38" s="411"/>
      <c r="AQ38" s="411"/>
      <c r="AR38" s="411"/>
    </row>
    <row r="39" spans="1:44" s="394" customFormat="1" ht="15.75" customHeight="1">
      <c r="A39" s="972"/>
      <c r="B39" s="988" t="s">
        <v>1229</v>
      </c>
      <c r="C39" s="988"/>
      <c r="D39" s="973"/>
      <c r="E39" s="940"/>
      <c r="F39" s="935"/>
      <c r="G39" s="935"/>
      <c r="H39" s="940"/>
      <c r="I39" s="935"/>
      <c r="J39" s="935"/>
      <c r="K39" s="935"/>
      <c r="L39" s="935"/>
      <c r="M39" s="335"/>
      <c r="N39" s="335"/>
      <c r="O39" s="393"/>
      <c r="P39" s="393"/>
      <c r="Q39" s="393"/>
      <c r="R39" s="393"/>
      <c r="S39" s="393"/>
      <c r="T39" s="393"/>
      <c r="U39" s="975" t="s">
        <v>1270</v>
      </c>
      <c r="V39" s="975">
        <v>7.96</v>
      </c>
      <c r="W39" s="975">
        <f t="shared" si="19"/>
        <v>0</v>
      </c>
      <c r="X39" s="975">
        <f>+IF($E$16=U39,1,0)*(0.284*$F$32)</f>
        <v>0</v>
      </c>
      <c r="Y39" s="975">
        <f t="shared" si="18"/>
        <v>0</v>
      </c>
      <c r="Z39" s="411"/>
      <c r="AA39" s="411"/>
      <c r="AB39" s="411"/>
      <c r="AC39" s="411"/>
      <c r="AD39" s="411"/>
      <c r="AE39" s="411"/>
      <c r="AF39" s="411"/>
      <c r="AG39" s="411"/>
      <c r="AH39" s="411"/>
      <c r="AI39" s="411"/>
      <c r="AJ39" s="411"/>
      <c r="AK39" s="411"/>
      <c r="AL39" s="411"/>
      <c r="AM39" s="411"/>
      <c r="AN39" s="411"/>
      <c r="AO39" s="411"/>
      <c r="AP39" s="411"/>
      <c r="AQ39" s="411"/>
      <c r="AR39" s="411"/>
    </row>
    <row r="40" spans="1:44" s="394" customFormat="1" ht="15.75" customHeight="1">
      <c r="A40" s="972"/>
      <c r="B40" s="989" t="s">
        <v>1227</v>
      </c>
      <c r="C40" s="989"/>
      <c r="D40" s="973"/>
      <c r="E40" s="940"/>
      <c r="F40" s="935"/>
      <c r="G40" s="935"/>
      <c r="H40" s="940"/>
      <c r="I40" s="935"/>
      <c r="J40" s="935"/>
      <c r="K40" s="935"/>
      <c r="L40" s="935"/>
      <c r="M40" s="335"/>
      <c r="N40" s="335"/>
      <c r="O40" s="393"/>
      <c r="P40" s="393"/>
      <c r="Q40" s="393"/>
      <c r="R40" s="393"/>
      <c r="S40" s="393"/>
      <c r="T40" s="393"/>
      <c r="U40" s="975" t="s">
        <v>1271</v>
      </c>
      <c r="V40" s="975">
        <v>6.34</v>
      </c>
      <c r="W40" s="975">
        <f t="shared" si="19"/>
        <v>0</v>
      </c>
      <c r="X40" s="975">
        <f>+IF($E$16=U40,1,0)*(0.426*$F$32)</f>
        <v>0</v>
      </c>
      <c r="Y40" s="975">
        <f t="shared" si="18"/>
        <v>0</v>
      </c>
      <c r="Z40" s="411"/>
      <c r="AA40" s="411"/>
      <c r="AB40" s="411"/>
      <c r="AC40" s="411"/>
      <c r="AD40" s="411"/>
      <c r="AE40" s="411"/>
      <c r="AF40" s="411"/>
      <c r="AG40" s="411"/>
      <c r="AH40" s="411"/>
      <c r="AI40" s="411"/>
      <c r="AJ40" s="411"/>
      <c r="AK40" s="411"/>
      <c r="AL40" s="411"/>
      <c r="AM40" s="411"/>
      <c r="AN40" s="411"/>
      <c r="AO40" s="411"/>
      <c r="AP40" s="411"/>
      <c r="AQ40" s="411"/>
      <c r="AR40" s="411"/>
    </row>
    <row r="41" spans="1:44" s="394" customFormat="1" ht="15.75" customHeight="1">
      <c r="A41" s="973"/>
      <c r="B41" s="989" t="s">
        <v>1228</v>
      </c>
      <c r="C41" s="989"/>
      <c r="D41" s="973"/>
      <c r="E41" s="940"/>
      <c r="F41" s="940"/>
      <c r="G41" s="940"/>
      <c r="H41" s="940"/>
      <c r="I41" s="940"/>
      <c r="J41" s="940"/>
      <c r="K41" s="940"/>
      <c r="L41" s="941"/>
      <c r="M41" s="335"/>
      <c r="N41" s="335"/>
      <c r="O41" s="393"/>
      <c r="P41" s="393"/>
      <c r="Q41" s="393"/>
      <c r="R41" s="393"/>
      <c r="S41" s="393"/>
      <c r="T41" s="393"/>
      <c r="U41" s="975" t="s">
        <v>1272</v>
      </c>
      <c r="V41" s="975">
        <v>8.8000000000000007</v>
      </c>
      <c r="W41" s="975">
        <f t="shared" si="19"/>
        <v>0</v>
      </c>
      <c r="X41" s="975">
        <f>+IF($E$16=U41,1,0)*(0.426*$F$32)</f>
        <v>0</v>
      </c>
      <c r="Y41" s="975">
        <f t="shared" si="18"/>
        <v>0</v>
      </c>
      <c r="Z41" s="411"/>
      <c r="AA41" s="411"/>
      <c r="AB41" s="411"/>
      <c r="AC41" s="411"/>
      <c r="AD41" s="411"/>
      <c r="AE41" s="411"/>
      <c r="AF41" s="411"/>
      <c r="AG41" s="411"/>
      <c r="AH41" s="411"/>
      <c r="AI41" s="411"/>
      <c r="AJ41" s="411"/>
      <c r="AK41" s="411"/>
      <c r="AL41" s="411"/>
      <c r="AM41" s="411"/>
      <c r="AN41" s="411"/>
      <c r="AO41" s="411"/>
      <c r="AP41" s="411"/>
      <c r="AQ41" s="411"/>
      <c r="AR41" s="411"/>
    </row>
    <row r="42" spans="1:44" s="394" customFormat="1" ht="15.75" customHeight="1">
      <c r="A42" s="972"/>
      <c r="B42" s="989" t="s">
        <v>1230</v>
      </c>
      <c r="C42" s="989"/>
      <c r="D42" s="973"/>
      <c r="E42" s="940"/>
      <c r="F42" s="940"/>
      <c r="G42" s="940"/>
      <c r="H42" s="940"/>
      <c r="I42" s="940"/>
      <c r="J42" s="940"/>
      <c r="K42" s="940"/>
      <c r="L42" s="941"/>
      <c r="M42" s="338"/>
      <c r="N42" s="335"/>
      <c r="O42" s="393"/>
      <c r="P42" s="393"/>
      <c r="Q42" s="393"/>
      <c r="R42" s="393"/>
      <c r="S42" s="393"/>
      <c r="T42" s="393"/>
      <c r="U42" s="975" t="s">
        <v>1273</v>
      </c>
      <c r="V42" s="975">
        <v>8</v>
      </c>
      <c r="W42" s="975">
        <f t="shared" si="19"/>
        <v>0</v>
      </c>
      <c r="X42" s="975">
        <f>+IF($E$16=U42,1,0)*(0.57*$F$32)</f>
        <v>0</v>
      </c>
      <c r="Y42" s="975">
        <f t="shared" si="18"/>
        <v>0</v>
      </c>
      <c r="Z42" s="411"/>
      <c r="AA42" s="411"/>
      <c r="AB42" s="411"/>
      <c r="AC42" s="411"/>
      <c r="AD42" s="411"/>
      <c r="AE42" s="411"/>
      <c r="AF42" s="411"/>
      <c r="AG42" s="411"/>
      <c r="AH42" s="411"/>
      <c r="AI42" s="411"/>
      <c r="AJ42" s="411"/>
      <c r="AK42" s="411"/>
      <c r="AL42" s="411"/>
      <c r="AM42" s="411"/>
      <c r="AN42" s="411"/>
      <c r="AO42" s="411"/>
      <c r="AP42" s="411"/>
      <c r="AQ42" s="411"/>
      <c r="AR42" s="411"/>
    </row>
    <row r="43" spans="1:44" s="394" customFormat="1" ht="15.75" customHeight="1">
      <c r="A43" s="974"/>
      <c r="B43" s="987" t="s">
        <v>1231</v>
      </c>
      <c r="C43" s="987"/>
      <c r="D43" s="973"/>
      <c r="E43" s="940"/>
      <c r="F43" s="940"/>
      <c r="G43" s="940"/>
      <c r="H43" s="933"/>
      <c r="I43" s="940"/>
      <c r="J43" s="940"/>
      <c r="K43" s="940"/>
      <c r="L43" s="941"/>
      <c r="M43" s="341"/>
      <c r="N43" s="336"/>
      <c r="O43" s="393"/>
      <c r="P43" s="393"/>
      <c r="Q43" s="393"/>
      <c r="R43" s="393"/>
      <c r="S43" s="393"/>
      <c r="T43" s="393"/>
      <c r="U43" s="975" t="s">
        <v>1274</v>
      </c>
      <c r="V43" s="975">
        <v>10.99</v>
      </c>
      <c r="W43" s="975">
        <f t="shared" si="19"/>
        <v>0</v>
      </c>
      <c r="X43" s="975">
        <f>+IF($E$16=U43,1,0)*(0.57*$F$32)</f>
        <v>0</v>
      </c>
      <c r="Y43" s="975">
        <f t="shared" si="18"/>
        <v>0</v>
      </c>
      <c r="Z43" s="411"/>
      <c r="AA43" s="411"/>
      <c r="AB43" s="411"/>
      <c r="AC43" s="411"/>
      <c r="AD43" s="411"/>
      <c r="AE43" s="411"/>
      <c r="AF43" s="411"/>
      <c r="AG43" s="411"/>
      <c r="AH43" s="411"/>
      <c r="AI43" s="411"/>
      <c r="AJ43" s="411"/>
      <c r="AK43" s="411"/>
      <c r="AL43" s="411"/>
      <c r="AM43" s="411"/>
      <c r="AN43" s="411"/>
      <c r="AO43" s="411"/>
      <c r="AP43" s="411"/>
      <c r="AQ43" s="411"/>
      <c r="AR43" s="411"/>
    </row>
    <row r="44" spans="1:44" s="394" customFormat="1" ht="15.75" customHeight="1">
      <c r="A44" s="941"/>
      <c r="B44" s="987" t="s">
        <v>1232</v>
      </c>
      <c r="C44" s="987"/>
      <c r="D44" s="940"/>
      <c r="E44" s="940"/>
      <c r="F44" s="940"/>
      <c r="G44" s="940"/>
      <c r="H44" s="949"/>
      <c r="I44" s="940"/>
      <c r="J44" s="940"/>
      <c r="K44" s="940"/>
      <c r="L44" s="941"/>
      <c r="M44" s="338"/>
      <c r="N44" s="336"/>
      <c r="O44" s="335"/>
      <c r="P44" s="335"/>
      <c r="Q44" s="393"/>
      <c r="R44" s="393"/>
      <c r="S44" s="393"/>
      <c r="T44" s="393"/>
      <c r="U44" s="975" t="s">
        <v>1275</v>
      </c>
      <c r="V44" s="975">
        <v>13.7</v>
      </c>
      <c r="W44" s="975">
        <f t="shared" si="19"/>
        <v>0</v>
      </c>
      <c r="X44" s="975">
        <f>+IF($E$16=U44,1,0)*(0.57*$F$32)</f>
        <v>0</v>
      </c>
      <c r="Y44" s="975">
        <f t="shared" si="18"/>
        <v>0</v>
      </c>
      <c r="Z44" s="411"/>
      <c r="AA44" s="411"/>
      <c r="AB44" s="411"/>
      <c r="AC44" s="411"/>
      <c r="AD44" s="411"/>
      <c r="AE44" s="411"/>
      <c r="AF44" s="411"/>
      <c r="AG44" s="411"/>
      <c r="AH44" s="411"/>
      <c r="AI44" s="411"/>
      <c r="AJ44" s="411"/>
      <c r="AK44" s="411"/>
      <c r="AL44" s="411"/>
      <c r="AM44" s="411"/>
      <c r="AN44" s="411"/>
      <c r="AO44" s="411"/>
      <c r="AP44" s="411"/>
      <c r="AQ44" s="411"/>
      <c r="AR44" s="411"/>
    </row>
    <row r="45" spans="1:44" ht="15.75" customHeight="1">
      <c r="A45" s="974"/>
      <c r="B45" s="971"/>
      <c r="C45" s="969"/>
      <c r="D45" s="933"/>
      <c r="E45" s="933"/>
      <c r="F45" s="940"/>
      <c r="G45" s="940"/>
      <c r="H45" s="891"/>
      <c r="I45" s="940"/>
      <c r="J45" s="940"/>
      <c r="K45" s="940"/>
      <c r="L45" s="941"/>
      <c r="M45" s="335"/>
      <c r="N45" s="336"/>
      <c r="O45" s="335"/>
      <c r="P45" s="335"/>
      <c r="Q45" s="335"/>
      <c r="R45" s="335"/>
      <c r="S45" s="335"/>
      <c r="T45" s="335"/>
      <c r="U45" s="975" t="s">
        <v>1254</v>
      </c>
      <c r="V45" s="975">
        <v>13.4</v>
      </c>
      <c r="W45" s="975">
        <f t="shared" si="19"/>
        <v>0</v>
      </c>
      <c r="X45" s="975">
        <f>+IF($E$16=U45,1,0)*(0.285*$F$32)</f>
        <v>0</v>
      </c>
      <c r="Y45" s="975">
        <f t="shared" si="18"/>
        <v>0</v>
      </c>
      <c r="Z45" s="410"/>
      <c r="AA45" s="410"/>
      <c r="AB45" s="410"/>
      <c r="AC45" s="410"/>
      <c r="AD45" s="410"/>
      <c r="AE45" s="410"/>
      <c r="AF45" s="410"/>
      <c r="AG45" s="410"/>
      <c r="AH45" s="410"/>
      <c r="AI45" s="410"/>
      <c r="AJ45" s="410"/>
      <c r="AK45" s="410"/>
      <c r="AL45" s="410"/>
      <c r="AM45" s="410"/>
      <c r="AN45" s="410"/>
      <c r="AO45" s="410"/>
      <c r="AP45" s="410"/>
      <c r="AQ45" s="410"/>
      <c r="AR45" s="410"/>
    </row>
    <row r="46" spans="1:44" ht="15.75" customHeight="1">
      <c r="A46" s="940"/>
      <c r="B46" s="940"/>
      <c r="C46" s="944"/>
      <c r="D46" s="946"/>
      <c r="E46" s="947"/>
      <c r="F46" s="940"/>
      <c r="G46" s="940"/>
      <c r="H46" s="953"/>
      <c r="I46" s="940"/>
      <c r="J46" s="940"/>
      <c r="K46" s="940"/>
      <c r="L46" s="941"/>
      <c r="M46" s="335"/>
      <c r="N46" s="336"/>
      <c r="O46" s="335"/>
      <c r="P46" s="335"/>
      <c r="Q46" s="335"/>
      <c r="R46" s="335"/>
      <c r="S46" s="335"/>
      <c r="T46" s="335"/>
      <c r="U46" s="975" t="s">
        <v>1255</v>
      </c>
      <c r="V46" s="975">
        <v>14.9</v>
      </c>
      <c r="W46" s="975">
        <f t="shared" si="19"/>
        <v>0</v>
      </c>
      <c r="X46" s="975">
        <f>+IF($E$16=U46,1,0)*(0.38*$F$32)</f>
        <v>0</v>
      </c>
      <c r="Y46" s="975">
        <f t="shared" si="18"/>
        <v>0</v>
      </c>
      <c r="Z46" s="410"/>
      <c r="AA46" s="410"/>
      <c r="AB46" s="410"/>
      <c r="AC46" s="410"/>
      <c r="AD46" s="410"/>
      <c r="AE46" s="410"/>
      <c r="AF46" s="410"/>
      <c r="AG46" s="410"/>
      <c r="AH46" s="410"/>
      <c r="AI46" s="410"/>
      <c r="AJ46" s="410"/>
      <c r="AK46" s="410"/>
      <c r="AL46" s="410"/>
      <c r="AM46" s="410"/>
      <c r="AN46" s="410"/>
      <c r="AO46" s="410"/>
      <c r="AP46" s="410"/>
      <c r="AQ46" s="410"/>
      <c r="AR46" s="410"/>
    </row>
    <row r="47" spans="1:44" ht="15.75" customHeight="1">
      <c r="A47" s="922"/>
      <c r="B47" s="922"/>
      <c r="C47" s="945"/>
      <c r="D47" s="950"/>
      <c r="E47" s="337"/>
      <c r="F47" s="933"/>
      <c r="G47" s="933"/>
      <c r="H47" s="953"/>
      <c r="I47" s="933"/>
      <c r="J47" s="933"/>
      <c r="K47" s="933"/>
      <c r="L47" s="409"/>
      <c r="M47" s="338"/>
      <c r="N47" s="336"/>
      <c r="O47" s="335"/>
      <c r="P47" s="335"/>
      <c r="Q47" s="335"/>
      <c r="R47" s="335"/>
      <c r="S47" s="335"/>
      <c r="T47" s="335"/>
      <c r="U47" s="975" t="s">
        <v>1256</v>
      </c>
      <c r="V47" s="975">
        <v>19.3</v>
      </c>
      <c r="W47" s="975">
        <f t="shared" si="19"/>
        <v>0</v>
      </c>
      <c r="X47" s="975">
        <f>+IF($E$16=U47,1,0)*(0.38*$F$32)</f>
        <v>0</v>
      </c>
      <c r="Y47" s="975">
        <f t="shared" si="18"/>
        <v>0</v>
      </c>
      <c r="Z47" s="410"/>
      <c r="AA47" s="410"/>
      <c r="AB47" s="410"/>
      <c r="AC47" s="410"/>
      <c r="AD47" s="410"/>
      <c r="AE47" s="410"/>
      <c r="AF47" s="410"/>
      <c r="AG47" s="410"/>
      <c r="AH47" s="410"/>
      <c r="AI47" s="410"/>
      <c r="AJ47" s="410"/>
      <c r="AK47" s="410"/>
      <c r="AL47" s="410"/>
      <c r="AM47" s="410"/>
      <c r="AN47" s="410"/>
      <c r="AO47" s="410"/>
      <c r="AP47" s="410"/>
      <c r="AQ47" s="410"/>
      <c r="AR47" s="410"/>
    </row>
    <row r="48" spans="1:44" ht="15.75" customHeight="1">
      <c r="A48" s="922"/>
      <c r="B48" s="922"/>
      <c r="C48" s="945"/>
      <c r="D48" s="817"/>
      <c r="E48" s="951"/>
      <c r="F48" s="948"/>
      <c r="G48" s="948"/>
      <c r="H48" s="949"/>
      <c r="I48" s="934"/>
      <c r="J48" s="934"/>
      <c r="K48" s="934"/>
      <c r="L48" s="891"/>
      <c r="M48" s="338"/>
      <c r="N48" s="336"/>
      <c r="O48" s="335"/>
      <c r="P48" s="335"/>
      <c r="Q48" s="335"/>
      <c r="R48" s="335"/>
      <c r="S48" s="335"/>
      <c r="T48" s="335"/>
      <c r="U48" s="975" t="s">
        <v>1235</v>
      </c>
      <c r="V48" s="975">
        <v>17.899999999999999</v>
      </c>
      <c r="W48" s="975">
        <f t="shared" si="19"/>
        <v>0</v>
      </c>
      <c r="X48" s="975">
        <f>+IF($E$16=U48,1,0)*(0.475*$F$32)</f>
        <v>0</v>
      </c>
      <c r="Y48" s="975">
        <f t="shared" si="18"/>
        <v>0</v>
      </c>
      <c r="Z48" s="410"/>
      <c r="AA48" s="410"/>
      <c r="AB48" s="410"/>
      <c r="AC48" s="410"/>
      <c r="AD48" s="410"/>
      <c r="AE48" s="410"/>
      <c r="AF48" s="410"/>
      <c r="AG48" s="410"/>
      <c r="AH48" s="410"/>
      <c r="AI48" s="410"/>
      <c r="AJ48" s="410"/>
      <c r="AK48" s="410"/>
      <c r="AL48" s="410"/>
      <c r="AM48" s="410"/>
      <c r="AN48" s="410"/>
      <c r="AO48" s="410"/>
      <c r="AP48" s="410"/>
      <c r="AQ48" s="410"/>
      <c r="AR48" s="410"/>
    </row>
    <row r="49" spans="1:44" ht="15.75" customHeight="1">
      <c r="A49" s="338"/>
      <c r="B49" s="338"/>
      <c r="C49" s="337"/>
      <c r="D49" s="955"/>
      <c r="E49" s="951"/>
      <c r="F49" s="893"/>
      <c r="G49" s="893"/>
      <c r="H49" s="895"/>
      <c r="I49" s="891"/>
      <c r="J49" s="891"/>
      <c r="K49" s="891"/>
      <c r="L49" s="891"/>
      <c r="M49" s="338"/>
      <c r="N49" s="336"/>
      <c r="O49" s="335"/>
      <c r="P49" s="335"/>
      <c r="Q49" s="335"/>
      <c r="R49" s="335"/>
      <c r="S49" s="335"/>
      <c r="T49" s="335"/>
      <c r="U49" s="975" t="s">
        <v>1257</v>
      </c>
      <c r="V49" s="975">
        <v>22.3</v>
      </c>
      <c r="W49" s="975">
        <f t="shared" si="19"/>
        <v>0</v>
      </c>
      <c r="X49" s="975">
        <f>+IF($E$16=U49,1,0)*(0.475*$F$32)</f>
        <v>0</v>
      </c>
      <c r="Y49" s="975">
        <f t="shared" si="18"/>
        <v>0</v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410"/>
      <c r="AL49" s="410"/>
      <c r="AM49" s="410"/>
      <c r="AN49" s="410"/>
      <c r="AO49" s="410"/>
      <c r="AP49" s="410"/>
      <c r="AQ49" s="410"/>
      <c r="AR49" s="410"/>
    </row>
    <row r="50" spans="1:44" ht="15.75" customHeight="1">
      <c r="A50" s="338"/>
      <c r="B50" s="338"/>
      <c r="C50" s="337"/>
      <c r="D50" s="812"/>
      <c r="E50" s="956"/>
      <c r="F50" s="952"/>
      <c r="G50" s="952"/>
      <c r="H50" s="889"/>
      <c r="I50" s="954"/>
      <c r="J50" s="891"/>
      <c r="K50" s="891"/>
      <c r="L50" s="891"/>
      <c r="M50" s="338"/>
      <c r="N50" s="336"/>
      <c r="O50" s="335"/>
      <c r="P50" s="335"/>
      <c r="Q50" s="335"/>
      <c r="R50" s="335"/>
      <c r="S50" s="335"/>
      <c r="T50" s="335"/>
      <c r="U50" s="975" t="s">
        <v>1258</v>
      </c>
      <c r="V50" s="975">
        <v>20.8</v>
      </c>
      <c r="W50" s="975">
        <f t="shared" si="19"/>
        <v>0</v>
      </c>
      <c r="X50" s="975">
        <f>+IF($E$16=U50,1,0)*(0.852*$F$32)</f>
        <v>0</v>
      </c>
      <c r="Y50" s="975">
        <f t="shared" si="18"/>
        <v>0</v>
      </c>
      <c r="Z50" s="410"/>
      <c r="AA50" s="410"/>
      <c r="AB50" s="410"/>
      <c r="AC50" s="410"/>
      <c r="AD50" s="410"/>
      <c r="AE50" s="410"/>
      <c r="AF50" s="410"/>
      <c r="AG50" s="410"/>
      <c r="AH50" s="410"/>
      <c r="AI50" s="410"/>
      <c r="AJ50" s="410"/>
      <c r="AK50" s="410"/>
      <c r="AL50" s="410"/>
      <c r="AM50" s="410"/>
      <c r="AN50" s="410"/>
      <c r="AO50" s="410"/>
      <c r="AP50" s="410"/>
      <c r="AQ50" s="410"/>
      <c r="AR50" s="410"/>
    </row>
    <row r="51" spans="1:44" ht="15.75" customHeight="1">
      <c r="A51" s="338"/>
      <c r="B51" s="338"/>
      <c r="C51" s="951"/>
      <c r="D51" s="817"/>
      <c r="E51" s="340"/>
      <c r="F51" s="952"/>
      <c r="G51" s="952"/>
      <c r="H51" s="889"/>
      <c r="I51" s="894"/>
      <c r="J51" s="891"/>
      <c r="K51" s="891"/>
      <c r="L51" s="891"/>
      <c r="M51" s="338"/>
      <c r="N51" s="336"/>
      <c r="O51" s="335"/>
      <c r="P51" s="335"/>
      <c r="Q51" s="335"/>
      <c r="R51" s="335"/>
      <c r="S51" s="335"/>
      <c r="T51" s="335"/>
      <c r="U51" s="975" t="s">
        <v>1259</v>
      </c>
      <c r="V51" s="975">
        <v>23.8</v>
      </c>
      <c r="W51" s="975">
        <f t="shared" si="19"/>
        <v>0</v>
      </c>
      <c r="X51" s="975">
        <f>+IF($E$16=U51,1,0)*(0.852*$F$32)</f>
        <v>0</v>
      </c>
      <c r="Y51" s="975">
        <f t="shared" si="18"/>
        <v>0</v>
      </c>
      <c r="Z51" s="410"/>
      <c r="AA51" s="410"/>
      <c r="AB51" s="410"/>
      <c r="AC51" s="410"/>
      <c r="AD51" s="410"/>
      <c r="AE51" s="410"/>
      <c r="AF51" s="410"/>
      <c r="AG51" s="410"/>
      <c r="AH51" s="410"/>
      <c r="AI51" s="410"/>
      <c r="AJ51" s="410"/>
      <c r="AK51" s="410"/>
      <c r="AL51" s="410"/>
      <c r="AM51" s="410"/>
      <c r="AN51" s="410"/>
      <c r="AO51" s="410"/>
      <c r="AP51" s="410"/>
      <c r="AQ51" s="410"/>
      <c r="AR51" s="410"/>
    </row>
    <row r="52" spans="1:44" ht="15.75" customHeight="1">
      <c r="A52" s="338"/>
      <c r="B52" s="338"/>
      <c r="C52" s="951"/>
      <c r="D52" s="817"/>
      <c r="E52" s="340"/>
      <c r="F52" s="957"/>
      <c r="G52" s="957"/>
      <c r="H52" s="895"/>
      <c r="I52" s="890"/>
      <c r="J52" s="891"/>
      <c r="K52" s="891"/>
      <c r="L52" s="891"/>
      <c r="M52" s="338"/>
      <c r="N52" s="336"/>
      <c r="O52" s="335"/>
      <c r="P52" s="335"/>
      <c r="Q52" s="335"/>
      <c r="R52" s="335"/>
      <c r="S52" s="335"/>
      <c r="T52" s="335"/>
      <c r="U52" s="975" t="s">
        <v>1260</v>
      </c>
      <c r="V52" s="975">
        <v>28.3</v>
      </c>
      <c r="W52" s="975">
        <f t="shared" si="19"/>
        <v>0</v>
      </c>
      <c r="X52" s="975">
        <f>+IF($E$16=U52,1,0)*(0.852*$F$32)</f>
        <v>0</v>
      </c>
      <c r="Y52" s="975">
        <f t="shared" si="18"/>
        <v>0</v>
      </c>
      <c r="Z52" s="410"/>
      <c r="AA52" s="410"/>
      <c r="AB52" s="410"/>
      <c r="AC52" s="410"/>
      <c r="AD52" s="410"/>
      <c r="AE52" s="410"/>
      <c r="AF52" s="410"/>
      <c r="AG52" s="410"/>
      <c r="AH52" s="410"/>
      <c r="AI52" s="410"/>
      <c r="AJ52" s="410"/>
      <c r="AK52" s="410"/>
      <c r="AL52" s="410"/>
      <c r="AM52" s="410"/>
      <c r="AN52" s="410"/>
      <c r="AO52" s="410"/>
      <c r="AP52" s="410"/>
      <c r="AQ52" s="410"/>
      <c r="AR52" s="410"/>
    </row>
    <row r="53" spans="1:44" ht="15.75" customHeight="1">
      <c r="A53" s="338"/>
      <c r="B53" s="338"/>
      <c r="C53" s="339"/>
      <c r="D53" s="817"/>
      <c r="E53" s="340"/>
      <c r="F53" s="887"/>
      <c r="G53" s="887"/>
      <c r="H53" s="896"/>
      <c r="I53" s="890"/>
      <c r="J53" s="891"/>
      <c r="K53" s="892"/>
      <c r="L53" s="892"/>
      <c r="M53" s="338"/>
      <c r="N53" s="336"/>
      <c r="O53" s="335"/>
      <c r="P53" s="335"/>
      <c r="Q53" s="335"/>
      <c r="R53" s="335"/>
      <c r="S53" s="335"/>
      <c r="T53" s="335"/>
      <c r="U53" s="975" t="s">
        <v>1261</v>
      </c>
      <c r="V53" s="975">
        <v>32.700000000000003</v>
      </c>
      <c r="W53" s="975">
        <f t="shared" si="19"/>
        <v>0</v>
      </c>
      <c r="X53" s="975">
        <f>+IF($E$16=U53,1,0)*(0.852*$F$32)</f>
        <v>0</v>
      </c>
      <c r="Y53" s="975">
        <f t="shared" si="18"/>
        <v>0</v>
      </c>
      <c r="Z53" s="410"/>
      <c r="AA53" s="410"/>
      <c r="AB53" s="410"/>
      <c r="AC53" s="410"/>
      <c r="AD53" s="410"/>
      <c r="AE53" s="410"/>
      <c r="AF53" s="410"/>
      <c r="AG53" s="410"/>
      <c r="AH53" s="410"/>
      <c r="AI53" s="410"/>
      <c r="AJ53" s="410"/>
      <c r="AK53" s="410"/>
      <c r="AL53" s="410"/>
      <c r="AM53" s="410"/>
      <c r="AN53" s="410"/>
      <c r="AO53" s="410"/>
      <c r="AP53" s="410"/>
      <c r="AQ53" s="410"/>
      <c r="AR53" s="410"/>
    </row>
    <row r="54" spans="1:44" ht="15.75" customHeight="1">
      <c r="A54" s="338"/>
      <c r="B54" s="338" t="b">
        <v>1</v>
      </c>
      <c r="C54" s="865">
        <f>+IF(B54=TRUE,"1","0")+0</f>
        <v>1</v>
      </c>
      <c r="D54" s="817"/>
      <c r="E54" s="340"/>
      <c r="F54" s="887"/>
      <c r="G54" s="887"/>
      <c r="H54" s="900"/>
      <c r="I54" s="890"/>
      <c r="J54" s="891"/>
      <c r="K54" s="892"/>
      <c r="L54" s="892"/>
      <c r="M54" s="338"/>
      <c r="N54" s="336"/>
      <c r="O54" s="335"/>
      <c r="P54" s="335"/>
      <c r="Q54" s="335"/>
      <c r="R54" s="335"/>
      <c r="S54" s="335"/>
      <c r="T54" s="335"/>
      <c r="U54" s="975" t="s">
        <v>1262</v>
      </c>
      <c r="V54" s="975">
        <v>32.700000000000003</v>
      </c>
      <c r="W54" s="975">
        <f t="shared" si="19"/>
        <v>0</v>
      </c>
      <c r="X54" s="975">
        <f>+IF($E$16=U54,1,0)*(0.994*$F$32)</f>
        <v>0</v>
      </c>
      <c r="Y54" s="975">
        <f t="shared" si="18"/>
        <v>0</v>
      </c>
      <c r="Z54" s="410"/>
      <c r="AA54" s="410"/>
      <c r="AB54" s="410"/>
      <c r="AC54" s="410"/>
      <c r="AD54" s="410"/>
      <c r="AE54" s="410"/>
      <c r="AF54" s="410"/>
      <c r="AG54" s="410"/>
      <c r="AH54" s="410"/>
      <c r="AI54" s="410"/>
      <c r="AJ54" s="410"/>
      <c r="AK54" s="410"/>
      <c r="AL54" s="410"/>
      <c r="AM54" s="410"/>
      <c r="AN54" s="410"/>
      <c r="AO54" s="410"/>
      <c r="AP54" s="410"/>
      <c r="AQ54" s="410"/>
      <c r="AR54" s="410"/>
    </row>
    <row r="55" spans="1:44" ht="15.75" customHeight="1">
      <c r="A55" s="338"/>
      <c r="B55" s="338" t="b">
        <v>1</v>
      </c>
      <c r="C55" s="865">
        <f t="shared" ref="C55:C58" si="20">+IF(B55=TRUE,"1","0")+0</f>
        <v>1</v>
      </c>
      <c r="D55" s="817"/>
      <c r="E55" s="814"/>
      <c r="F55" s="887"/>
      <c r="G55" s="887"/>
      <c r="H55" s="815"/>
      <c r="I55" s="890"/>
      <c r="J55" s="891"/>
      <c r="K55" s="892"/>
      <c r="L55" s="892"/>
      <c r="M55" s="812"/>
      <c r="N55" s="816"/>
      <c r="O55" s="335"/>
      <c r="P55" s="335"/>
      <c r="Q55" s="335"/>
      <c r="R55" s="335"/>
      <c r="S55" s="335"/>
      <c r="T55" s="335"/>
      <c r="U55" s="975" t="s">
        <v>1263</v>
      </c>
      <c r="V55" s="975">
        <v>38.700000000000003</v>
      </c>
      <c r="W55" s="975">
        <f t="shared" si="19"/>
        <v>0</v>
      </c>
      <c r="X55" s="975">
        <f>+IF($E$16=U55,1,0)*(0.994*$F$32)</f>
        <v>0</v>
      </c>
      <c r="Y55" s="975">
        <f t="shared" si="18"/>
        <v>0</v>
      </c>
      <c r="Z55" s="410"/>
      <c r="AA55" s="410"/>
      <c r="AB55" s="410"/>
      <c r="AC55" s="410"/>
      <c r="AD55" s="410"/>
      <c r="AE55" s="410"/>
      <c r="AF55" s="410"/>
      <c r="AG55" s="410"/>
      <c r="AH55" s="410"/>
      <c r="AI55" s="410"/>
      <c r="AJ55" s="410"/>
      <c r="AK55" s="410"/>
      <c r="AL55" s="410"/>
      <c r="AM55" s="410"/>
      <c r="AN55" s="410"/>
      <c r="AO55" s="410"/>
      <c r="AP55" s="410"/>
      <c r="AQ55" s="410"/>
      <c r="AR55" s="410"/>
    </row>
    <row r="56" spans="1:44" ht="15.75" customHeight="1">
      <c r="A56" s="338"/>
      <c r="B56" s="338" t="b">
        <v>1</v>
      </c>
      <c r="C56" s="865">
        <f t="shared" si="20"/>
        <v>1</v>
      </c>
      <c r="D56" s="817"/>
      <c r="E56" s="814"/>
      <c r="F56" s="887"/>
      <c r="G56" s="887"/>
      <c r="H56" s="812"/>
      <c r="I56" s="890"/>
      <c r="J56" s="891"/>
      <c r="K56" s="892"/>
      <c r="L56" s="892"/>
      <c r="M56" s="812"/>
      <c r="N56" s="816"/>
      <c r="O56" s="335"/>
      <c r="P56" s="335"/>
      <c r="Q56" s="335"/>
      <c r="R56" s="335"/>
      <c r="S56" s="335"/>
      <c r="T56" s="335"/>
      <c r="U56" s="410"/>
      <c r="V56" s="410"/>
      <c r="W56" s="978">
        <f>SUM(W34:W55)</f>
        <v>5.7</v>
      </c>
      <c r="X56" s="978">
        <f>SUM(X34:X55)</f>
        <v>0.85199999999999987</v>
      </c>
      <c r="Y56" s="978">
        <f>SUM(Y34:Y55)</f>
        <v>0</v>
      </c>
      <c r="Z56" s="410"/>
      <c r="AA56" s="410"/>
      <c r="AB56" s="410"/>
      <c r="AC56" s="410"/>
      <c r="AD56" s="410"/>
      <c r="AE56" s="410"/>
      <c r="AF56" s="410"/>
      <c r="AG56" s="410"/>
      <c r="AH56" s="410"/>
      <c r="AI56" s="410"/>
      <c r="AJ56" s="410"/>
      <c r="AK56" s="410"/>
      <c r="AL56" s="410"/>
      <c r="AM56" s="410"/>
      <c r="AN56" s="410"/>
      <c r="AO56" s="410"/>
      <c r="AP56" s="410"/>
      <c r="AQ56" s="410"/>
      <c r="AR56" s="410"/>
    </row>
    <row r="57" spans="1:44" ht="15.75" customHeight="1">
      <c r="A57" s="338"/>
      <c r="B57" s="338" t="b">
        <v>1</v>
      </c>
      <c r="C57" s="865">
        <f t="shared" si="20"/>
        <v>1</v>
      </c>
      <c r="D57" s="866"/>
      <c r="E57" s="815"/>
      <c r="F57" s="888"/>
      <c r="G57" s="888"/>
      <c r="H57" s="819"/>
      <c r="I57" s="897"/>
      <c r="J57" s="898"/>
      <c r="K57" s="899"/>
      <c r="L57" s="899"/>
      <c r="M57" s="812"/>
      <c r="N57" s="816"/>
      <c r="O57" s="335"/>
      <c r="P57" s="335"/>
      <c r="Q57" s="335"/>
      <c r="R57" s="335"/>
      <c r="S57" s="335"/>
      <c r="T57" s="335"/>
      <c r="U57" s="410"/>
      <c r="V57" s="410"/>
      <c r="W57" s="410"/>
      <c r="X57" s="410"/>
      <c r="Y57" s="410"/>
      <c r="Z57" s="410"/>
      <c r="AA57" s="410"/>
      <c r="AB57" s="410"/>
      <c r="AC57" s="410"/>
      <c r="AD57" s="410"/>
      <c r="AE57" s="410"/>
      <c r="AF57" s="410"/>
      <c r="AG57" s="410"/>
      <c r="AH57" s="410"/>
      <c r="AI57" s="410"/>
      <c r="AJ57" s="410"/>
      <c r="AK57" s="410"/>
      <c r="AL57" s="410"/>
      <c r="AM57" s="410"/>
      <c r="AN57" s="410"/>
      <c r="AO57" s="410"/>
      <c r="AP57" s="410"/>
      <c r="AQ57" s="410"/>
      <c r="AR57" s="410"/>
    </row>
    <row r="58" spans="1:44" ht="15.75" customHeight="1">
      <c r="A58" s="338"/>
      <c r="B58" s="338" t="b">
        <v>0</v>
      </c>
      <c r="C58" s="865">
        <f t="shared" si="20"/>
        <v>0</v>
      </c>
      <c r="D58" s="824"/>
      <c r="E58" s="817"/>
      <c r="F58" s="888"/>
      <c r="G58" s="888"/>
      <c r="H58" s="820"/>
      <c r="I58" s="897"/>
      <c r="J58" s="898"/>
      <c r="K58" s="899"/>
      <c r="L58" s="899"/>
      <c r="M58" s="812"/>
      <c r="N58" s="816"/>
      <c r="O58" s="335"/>
      <c r="P58" s="335"/>
      <c r="Q58" s="335"/>
      <c r="R58" s="335"/>
      <c r="S58" s="335"/>
      <c r="T58" s="335"/>
      <c r="U58" s="410"/>
      <c r="V58" s="410"/>
      <c r="W58" s="410"/>
      <c r="X58" s="410"/>
      <c r="Y58" s="410"/>
      <c r="Z58" s="410"/>
      <c r="AA58" s="410"/>
      <c r="AB58" s="410"/>
      <c r="AC58" s="410"/>
      <c r="AD58" s="410"/>
      <c r="AE58" s="410"/>
      <c r="AF58" s="410"/>
      <c r="AG58" s="410"/>
      <c r="AH58" s="410"/>
      <c r="AI58" s="410"/>
      <c r="AJ58" s="410"/>
      <c r="AK58" s="410"/>
      <c r="AL58" s="410"/>
      <c r="AM58" s="410"/>
      <c r="AN58" s="410"/>
      <c r="AO58" s="410"/>
      <c r="AP58" s="410"/>
      <c r="AQ58" s="410"/>
      <c r="AR58" s="410"/>
    </row>
    <row r="59" spans="1:44" ht="15.75" customHeight="1">
      <c r="A59" s="338"/>
      <c r="B59" s="812"/>
      <c r="C59" s="334">
        <f>SUM(C54:C58)</f>
        <v>4</v>
      </c>
      <c r="D59" s="824"/>
      <c r="E59" s="818"/>
      <c r="F59" s="815"/>
      <c r="G59" s="815"/>
      <c r="H59" s="812"/>
      <c r="I59" s="815"/>
      <c r="J59" s="812"/>
      <c r="K59" s="815"/>
      <c r="L59" s="815"/>
      <c r="M59" s="827"/>
      <c r="N59" s="816"/>
      <c r="O59" s="335"/>
      <c r="P59" s="335"/>
      <c r="Q59" s="335"/>
      <c r="R59" s="335"/>
      <c r="S59" s="335"/>
      <c r="T59" s="335"/>
      <c r="U59" s="410"/>
      <c r="V59" s="410"/>
      <c r="W59" s="410"/>
      <c r="X59" s="410"/>
      <c r="Y59" s="410"/>
      <c r="Z59" s="410"/>
      <c r="AA59" s="410"/>
      <c r="AB59" s="410"/>
      <c r="AC59" s="410"/>
      <c r="AD59" s="410"/>
      <c r="AE59" s="410"/>
      <c r="AF59" s="410"/>
      <c r="AG59" s="410"/>
      <c r="AH59" s="410"/>
      <c r="AI59" s="410"/>
      <c r="AJ59" s="410"/>
      <c r="AK59" s="410"/>
      <c r="AL59" s="410"/>
      <c r="AM59" s="410"/>
      <c r="AN59" s="410"/>
      <c r="AO59" s="410"/>
      <c r="AP59" s="410"/>
      <c r="AQ59" s="410"/>
      <c r="AR59" s="410"/>
    </row>
    <row r="60" spans="1:44" ht="15.75" customHeight="1">
      <c r="A60" s="338"/>
      <c r="B60" s="812"/>
      <c r="C60" s="867" t="str">
        <f>+IF(C59=5,"Validado","Denegado")</f>
        <v>Denegado</v>
      </c>
      <c r="D60" s="824"/>
      <c r="E60" s="812"/>
      <c r="F60" s="817"/>
      <c r="G60" s="817"/>
      <c r="H60" s="812"/>
      <c r="I60" s="812"/>
      <c r="J60" s="812"/>
      <c r="K60" s="815"/>
      <c r="L60" s="815"/>
      <c r="M60" s="827"/>
      <c r="N60" s="827"/>
      <c r="O60" s="815"/>
      <c r="P60" s="815"/>
      <c r="Q60" s="335"/>
      <c r="R60" s="335"/>
      <c r="S60" s="335"/>
      <c r="T60" s="335"/>
      <c r="U60" s="410"/>
      <c r="V60" s="410"/>
      <c r="W60" s="410"/>
      <c r="X60" s="410"/>
      <c r="Y60" s="410"/>
      <c r="Z60" s="410"/>
      <c r="AA60" s="410"/>
      <c r="AB60" s="410"/>
      <c r="AC60" s="410"/>
      <c r="AD60" s="410"/>
      <c r="AE60" s="410"/>
      <c r="AF60" s="410"/>
      <c r="AG60" s="410"/>
      <c r="AH60" s="410"/>
      <c r="AI60" s="410"/>
      <c r="AJ60" s="410"/>
      <c r="AK60" s="410"/>
      <c r="AL60" s="410"/>
      <c r="AM60" s="410"/>
      <c r="AN60" s="410"/>
      <c r="AO60" s="410"/>
      <c r="AP60" s="410"/>
      <c r="AQ60" s="410"/>
      <c r="AR60" s="410"/>
    </row>
    <row r="61" spans="1:44" ht="15.75" customHeight="1">
      <c r="A61" s="338"/>
      <c r="B61" s="812"/>
      <c r="C61" s="813"/>
      <c r="D61" s="824"/>
      <c r="E61" s="817"/>
      <c r="F61" s="818"/>
      <c r="G61" s="818"/>
      <c r="H61" s="812"/>
      <c r="I61" s="812"/>
      <c r="J61" s="812"/>
      <c r="K61" s="812"/>
      <c r="L61" s="812"/>
      <c r="M61" s="827"/>
      <c r="N61" s="827"/>
      <c r="O61" s="815"/>
      <c r="P61" s="815"/>
      <c r="Q61" s="815"/>
      <c r="R61" s="815"/>
      <c r="S61" s="815"/>
      <c r="T61" s="815"/>
      <c r="U61" s="410"/>
      <c r="V61" s="410"/>
      <c r="W61" s="410"/>
      <c r="X61" s="410"/>
      <c r="Y61" s="410"/>
      <c r="Z61" s="410"/>
      <c r="AA61" s="410"/>
      <c r="AB61" s="410"/>
      <c r="AC61" s="410"/>
      <c r="AD61" s="410"/>
      <c r="AE61" s="410"/>
      <c r="AF61" s="410"/>
      <c r="AG61" s="410"/>
      <c r="AH61" s="410"/>
      <c r="AI61" s="410"/>
      <c r="AJ61" s="410"/>
      <c r="AK61" s="410"/>
      <c r="AL61" s="410"/>
      <c r="AM61" s="410"/>
      <c r="AN61" s="410"/>
      <c r="AO61" s="410"/>
      <c r="AP61" s="410"/>
      <c r="AQ61" s="410"/>
      <c r="AR61" s="410"/>
    </row>
    <row r="62" spans="1:44" ht="15.75" customHeight="1">
      <c r="A62" s="338"/>
      <c r="B62" s="812"/>
      <c r="C62" s="812"/>
      <c r="D62" s="824"/>
      <c r="E62" s="817"/>
      <c r="F62" s="812"/>
      <c r="G62" s="812"/>
      <c r="H62" s="812"/>
      <c r="I62" s="812"/>
      <c r="J62" s="812"/>
      <c r="K62" s="813"/>
      <c r="L62" s="821"/>
      <c r="M62" s="827"/>
      <c r="N62" s="827"/>
      <c r="O62" s="815"/>
      <c r="P62" s="815"/>
      <c r="Q62" s="815"/>
      <c r="R62" s="815"/>
      <c r="S62" s="815"/>
      <c r="T62" s="815"/>
      <c r="U62" s="410"/>
      <c r="V62" s="410"/>
      <c r="W62" s="410"/>
      <c r="X62" s="410"/>
      <c r="Y62" s="410"/>
      <c r="Z62" s="410"/>
      <c r="AA62" s="410"/>
      <c r="AB62" s="410"/>
      <c r="AC62" s="410"/>
      <c r="AD62" s="410"/>
      <c r="AE62" s="410"/>
      <c r="AF62" s="410"/>
      <c r="AG62" s="410"/>
      <c r="AH62" s="410"/>
      <c r="AI62" s="410"/>
      <c r="AJ62" s="410"/>
      <c r="AK62" s="410"/>
      <c r="AL62" s="410"/>
      <c r="AM62" s="410"/>
      <c r="AN62" s="410"/>
      <c r="AO62" s="410"/>
      <c r="AP62" s="410"/>
      <c r="AQ62" s="410"/>
      <c r="AR62" s="410"/>
    </row>
    <row r="63" spans="1:44" ht="15.75" customHeight="1">
      <c r="A63" s="338"/>
      <c r="B63" s="812"/>
      <c r="C63" s="817"/>
      <c r="D63" s="817"/>
      <c r="E63" s="817"/>
      <c r="F63" s="817"/>
      <c r="G63" s="817"/>
      <c r="H63" s="812"/>
      <c r="I63" s="812"/>
      <c r="J63" s="812"/>
      <c r="K63" s="812"/>
      <c r="L63" s="812"/>
      <c r="M63" s="827"/>
      <c r="N63" s="827"/>
      <c r="O63" s="815"/>
      <c r="P63" s="815"/>
      <c r="Q63" s="815"/>
      <c r="R63" s="815"/>
      <c r="S63" s="815"/>
      <c r="T63" s="815"/>
      <c r="U63" s="410"/>
      <c r="V63" s="410"/>
      <c r="W63" s="410"/>
      <c r="X63" s="410"/>
      <c r="Y63" s="410"/>
      <c r="Z63" s="410"/>
      <c r="AA63" s="410"/>
      <c r="AB63" s="410"/>
      <c r="AC63" s="410"/>
      <c r="AD63" s="410"/>
      <c r="AE63" s="410"/>
      <c r="AF63" s="410"/>
      <c r="AG63" s="410"/>
      <c r="AH63" s="410"/>
      <c r="AI63" s="410"/>
      <c r="AJ63" s="410"/>
      <c r="AK63" s="410"/>
      <c r="AL63" s="410"/>
      <c r="AM63" s="410"/>
      <c r="AN63" s="410"/>
      <c r="AO63" s="410"/>
      <c r="AP63" s="410"/>
      <c r="AQ63" s="410"/>
      <c r="AR63" s="410"/>
    </row>
    <row r="64" spans="1:44" ht="15.75" customHeight="1">
      <c r="A64" s="338"/>
      <c r="B64" s="812"/>
      <c r="C64" s="817"/>
      <c r="D64" s="817"/>
      <c r="E64" s="817"/>
      <c r="F64" s="817"/>
      <c r="G64" s="817"/>
      <c r="H64" s="823"/>
      <c r="I64" s="812"/>
      <c r="J64" s="812"/>
      <c r="K64" s="815"/>
      <c r="L64" s="815"/>
      <c r="M64" s="827"/>
      <c r="N64" s="827"/>
      <c r="O64" s="815"/>
      <c r="P64" s="815"/>
      <c r="Q64" s="815"/>
      <c r="R64" s="815"/>
      <c r="S64" s="815"/>
      <c r="T64" s="815"/>
      <c r="U64" s="410"/>
      <c r="V64" s="410"/>
      <c r="W64" s="410"/>
      <c r="X64" s="410"/>
      <c r="Y64" s="410"/>
      <c r="Z64" s="410"/>
      <c r="AA64" s="410"/>
      <c r="AB64" s="410"/>
      <c r="AC64" s="410"/>
      <c r="AD64" s="410"/>
      <c r="AE64" s="410"/>
      <c r="AF64" s="410"/>
      <c r="AG64" s="410"/>
      <c r="AH64" s="410"/>
      <c r="AI64" s="410"/>
      <c r="AJ64" s="410"/>
      <c r="AK64" s="410"/>
      <c r="AL64" s="410"/>
      <c r="AM64" s="410"/>
      <c r="AN64" s="410"/>
      <c r="AO64" s="410"/>
      <c r="AP64" s="410"/>
      <c r="AQ64" s="410"/>
      <c r="AR64" s="410"/>
    </row>
    <row r="65" spans="1:44" ht="15.75" customHeight="1">
      <c r="A65" s="338"/>
      <c r="B65" s="812"/>
      <c r="C65" s="817"/>
      <c r="D65" s="817"/>
      <c r="E65" s="817"/>
      <c r="F65" s="817"/>
      <c r="G65" s="817"/>
      <c r="H65" s="823"/>
      <c r="I65" s="812"/>
      <c r="J65" s="812"/>
      <c r="K65" s="815"/>
      <c r="L65" s="815"/>
      <c r="M65" s="827"/>
      <c r="N65" s="827"/>
      <c r="O65" s="815"/>
      <c r="P65" s="815"/>
      <c r="Q65" s="815"/>
      <c r="R65" s="815"/>
      <c r="S65" s="815"/>
      <c r="T65" s="815"/>
      <c r="U65" s="410"/>
      <c r="V65" s="410"/>
      <c r="W65" s="410"/>
      <c r="X65" s="410"/>
      <c r="Y65" s="410"/>
      <c r="Z65" s="410"/>
      <c r="AA65" s="410"/>
      <c r="AB65" s="410"/>
      <c r="AC65" s="410"/>
      <c r="AD65" s="410"/>
      <c r="AE65" s="410"/>
      <c r="AF65" s="410"/>
      <c r="AG65" s="410"/>
      <c r="AH65" s="410"/>
      <c r="AI65" s="410"/>
      <c r="AJ65" s="410"/>
      <c r="AK65" s="410"/>
      <c r="AL65" s="410"/>
      <c r="AM65" s="410"/>
      <c r="AN65" s="410"/>
      <c r="AO65" s="410"/>
      <c r="AP65" s="410"/>
      <c r="AQ65" s="410"/>
      <c r="AR65" s="410"/>
    </row>
    <row r="66" spans="1:44" ht="15.75" customHeight="1">
      <c r="A66" s="338"/>
      <c r="B66" s="812"/>
      <c r="C66" s="817"/>
      <c r="D66" s="827"/>
      <c r="E66" s="824"/>
      <c r="F66" s="817"/>
      <c r="G66" s="817"/>
      <c r="H66" s="823"/>
      <c r="I66" s="812"/>
      <c r="J66" s="812"/>
      <c r="K66" s="812"/>
      <c r="L66" s="812"/>
      <c r="M66" s="827"/>
      <c r="N66" s="827"/>
      <c r="O66" s="815"/>
      <c r="P66" s="815"/>
      <c r="Q66" s="815"/>
      <c r="R66" s="815"/>
      <c r="S66" s="815"/>
      <c r="T66" s="815"/>
      <c r="U66" s="410"/>
      <c r="V66" s="410"/>
      <c r="W66" s="410"/>
      <c r="X66" s="410"/>
      <c r="Y66" s="410"/>
      <c r="Z66" s="410"/>
      <c r="AA66" s="410"/>
      <c r="AB66" s="410"/>
      <c r="AC66" s="410"/>
      <c r="AD66" s="410"/>
      <c r="AE66" s="410"/>
      <c r="AF66" s="410"/>
      <c r="AG66" s="410"/>
      <c r="AH66" s="410"/>
      <c r="AI66" s="410"/>
      <c r="AJ66" s="410"/>
      <c r="AK66" s="410"/>
      <c r="AL66" s="410"/>
      <c r="AM66" s="410"/>
      <c r="AN66" s="410"/>
      <c r="AO66" s="410"/>
      <c r="AP66" s="410"/>
      <c r="AQ66" s="410"/>
      <c r="AR66" s="410"/>
    </row>
    <row r="67" spans="1:44" ht="15.75" customHeight="1">
      <c r="A67" s="338"/>
      <c r="B67" s="812"/>
      <c r="C67" s="817"/>
      <c r="D67" s="827"/>
      <c r="E67" s="824"/>
      <c r="F67" s="817"/>
      <c r="G67" s="817"/>
      <c r="H67" s="823"/>
      <c r="I67" s="812"/>
      <c r="J67" s="812"/>
      <c r="K67" s="812"/>
      <c r="L67" s="812"/>
      <c r="M67" s="827"/>
      <c r="N67" s="827"/>
      <c r="O67" s="815"/>
      <c r="P67" s="815"/>
      <c r="Q67" s="815"/>
      <c r="R67" s="815"/>
      <c r="S67" s="815"/>
      <c r="T67" s="815"/>
      <c r="U67" s="410"/>
      <c r="V67" s="410"/>
      <c r="W67" s="410"/>
      <c r="X67" s="410"/>
      <c r="Y67" s="410"/>
      <c r="Z67" s="410"/>
      <c r="AA67" s="410"/>
      <c r="AB67" s="410"/>
      <c r="AC67" s="410"/>
      <c r="AD67" s="410"/>
      <c r="AE67" s="410"/>
      <c r="AF67" s="410"/>
      <c r="AG67" s="410"/>
      <c r="AH67" s="410"/>
      <c r="AI67" s="410"/>
      <c r="AJ67" s="410"/>
      <c r="AK67" s="410"/>
      <c r="AL67" s="410"/>
      <c r="AM67" s="410"/>
      <c r="AN67" s="410"/>
      <c r="AO67" s="410"/>
      <c r="AP67" s="410"/>
      <c r="AQ67" s="410"/>
      <c r="AR67" s="410"/>
    </row>
    <row r="68" spans="1:44" ht="15.75" customHeight="1">
      <c r="A68" s="338"/>
      <c r="B68" s="822"/>
      <c r="C68" s="823"/>
      <c r="D68" s="827"/>
      <c r="E68" s="824"/>
      <c r="F68" s="824"/>
      <c r="G68" s="824"/>
      <c r="H68" s="823"/>
      <c r="I68" s="812"/>
      <c r="J68" s="812"/>
      <c r="K68" s="812"/>
      <c r="L68" s="812"/>
      <c r="M68" s="827"/>
      <c r="N68" s="827"/>
      <c r="O68" s="815"/>
      <c r="P68" s="815"/>
      <c r="Q68" s="815"/>
      <c r="R68" s="815"/>
      <c r="S68" s="815"/>
      <c r="T68" s="815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  <c r="AO68" s="410"/>
      <c r="AP68" s="410"/>
      <c r="AQ68" s="410"/>
      <c r="AR68" s="410"/>
    </row>
    <row r="69" spans="1:44" ht="15.75" customHeight="1">
      <c r="A69" s="338"/>
      <c r="B69" s="823"/>
      <c r="C69" s="824"/>
      <c r="D69" s="827"/>
      <c r="E69" s="824"/>
      <c r="F69" s="824"/>
      <c r="G69" s="824"/>
      <c r="H69" s="823"/>
      <c r="I69" s="812"/>
      <c r="J69" s="812"/>
      <c r="K69" s="812"/>
      <c r="L69" s="812"/>
      <c r="M69" s="827"/>
      <c r="N69" s="827"/>
      <c r="O69" s="815"/>
      <c r="P69" s="815"/>
      <c r="Q69" s="815"/>
      <c r="R69" s="815"/>
      <c r="S69" s="815"/>
      <c r="T69" s="815"/>
      <c r="U69" s="410"/>
      <c r="V69" s="410"/>
      <c r="W69" s="410"/>
      <c r="X69" s="410"/>
      <c r="Y69" s="410"/>
      <c r="Z69" s="410"/>
      <c r="AA69" s="410"/>
      <c r="AB69" s="410"/>
      <c r="AC69" s="410"/>
      <c r="AD69" s="410"/>
      <c r="AE69" s="410"/>
      <c r="AF69" s="410"/>
      <c r="AG69" s="410"/>
      <c r="AH69" s="410"/>
      <c r="AI69" s="410"/>
      <c r="AJ69" s="410"/>
      <c r="AK69" s="410"/>
      <c r="AL69" s="410"/>
      <c r="AM69" s="410"/>
      <c r="AN69" s="410"/>
      <c r="AO69" s="410"/>
      <c r="AP69" s="410"/>
      <c r="AQ69" s="410"/>
      <c r="AR69" s="410"/>
    </row>
    <row r="70" spans="1:44" ht="15.75" customHeight="1">
      <c r="A70" s="338"/>
      <c r="B70" s="823"/>
      <c r="C70" s="824"/>
      <c r="D70" s="827"/>
      <c r="E70" s="824"/>
      <c r="F70" s="824"/>
      <c r="G70" s="824"/>
      <c r="H70" s="823"/>
      <c r="I70" s="812"/>
      <c r="J70" s="812"/>
      <c r="K70" s="812"/>
      <c r="L70" s="812"/>
      <c r="M70" s="827"/>
      <c r="N70" s="827"/>
      <c r="O70" s="815"/>
      <c r="P70" s="815"/>
      <c r="Q70" s="815"/>
      <c r="R70" s="815"/>
      <c r="S70" s="815"/>
      <c r="T70" s="815"/>
      <c r="U70" s="410"/>
      <c r="V70" s="410"/>
      <c r="W70" s="410"/>
      <c r="X70" s="410"/>
      <c r="Y70" s="410"/>
      <c r="Z70" s="410"/>
      <c r="AA70" s="410"/>
      <c r="AB70" s="410"/>
      <c r="AC70" s="410"/>
      <c r="AD70" s="410"/>
      <c r="AE70" s="410"/>
      <c r="AF70" s="410"/>
      <c r="AG70" s="410"/>
      <c r="AH70" s="410"/>
      <c r="AI70" s="410"/>
      <c r="AJ70" s="410"/>
      <c r="AK70" s="410"/>
      <c r="AL70" s="410"/>
      <c r="AM70" s="410"/>
      <c r="AN70" s="410"/>
      <c r="AO70" s="410"/>
      <c r="AP70" s="410"/>
      <c r="AQ70" s="410"/>
      <c r="AR70" s="410"/>
    </row>
    <row r="71" spans="1:44" ht="15.75" customHeight="1">
      <c r="A71" s="338"/>
      <c r="B71" s="823"/>
      <c r="C71" s="824"/>
      <c r="D71" s="827"/>
      <c r="E71" s="824"/>
      <c r="F71" s="824"/>
      <c r="G71" s="824"/>
      <c r="H71" s="812"/>
      <c r="I71" s="812"/>
      <c r="J71" s="812"/>
      <c r="K71" s="812"/>
      <c r="L71" s="812"/>
      <c r="M71" s="827"/>
      <c r="N71" s="827"/>
      <c r="O71" s="815"/>
      <c r="P71" s="815"/>
      <c r="Q71" s="815"/>
      <c r="R71" s="815"/>
      <c r="S71" s="815"/>
      <c r="T71" s="815"/>
      <c r="U71" s="410"/>
      <c r="V71" s="410"/>
      <c r="W71" s="410"/>
      <c r="X71" s="410"/>
      <c r="Y71" s="410"/>
      <c r="Z71" s="410"/>
      <c r="AA71" s="410"/>
      <c r="AB71" s="410"/>
      <c r="AC71" s="410"/>
      <c r="AD71" s="410"/>
      <c r="AE71" s="410"/>
      <c r="AF71" s="410"/>
      <c r="AG71" s="410"/>
      <c r="AH71" s="410"/>
      <c r="AI71" s="410"/>
      <c r="AJ71" s="410"/>
      <c r="AK71" s="410"/>
      <c r="AL71" s="410"/>
      <c r="AM71" s="410"/>
      <c r="AN71" s="410"/>
      <c r="AO71" s="410"/>
      <c r="AP71" s="410"/>
      <c r="AQ71" s="410"/>
      <c r="AR71" s="410"/>
    </row>
    <row r="72" spans="1:44" ht="15.75" customHeight="1">
      <c r="A72" s="338"/>
      <c r="B72" s="823"/>
      <c r="C72" s="824"/>
      <c r="E72" s="824"/>
      <c r="F72" s="824"/>
      <c r="G72" s="824"/>
      <c r="H72" s="812"/>
      <c r="I72" s="812"/>
      <c r="J72" s="812"/>
      <c r="K72" s="812"/>
      <c r="L72" s="812"/>
      <c r="M72" s="827"/>
      <c r="N72" s="827"/>
      <c r="O72" s="815"/>
      <c r="P72" s="815"/>
      <c r="Q72" s="815"/>
      <c r="R72" s="815"/>
      <c r="S72" s="815"/>
      <c r="T72" s="815"/>
      <c r="U72" s="410"/>
      <c r="V72" s="410"/>
      <c r="W72" s="410"/>
      <c r="X72" s="410"/>
      <c r="Y72" s="410"/>
      <c r="Z72" s="410"/>
      <c r="AA72" s="410"/>
      <c r="AB72" s="410"/>
      <c r="AC72" s="410"/>
      <c r="AD72" s="410"/>
      <c r="AE72" s="410"/>
      <c r="AF72" s="410"/>
      <c r="AG72" s="410"/>
      <c r="AH72" s="410"/>
      <c r="AI72" s="410"/>
      <c r="AJ72" s="410"/>
      <c r="AK72" s="410"/>
      <c r="AL72" s="410"/>
      <c r="AM72" s="410"/>
      <c r="AN72" s="410"/>
      <c r="AO72" s="410"/>
      <c r="AP72" s="410"/>
      <c r="AQ72" s="410"/>
      <c r="AR72" s="410"/>
    </row>
    <row r="73" spans="1:44" ht="15.75" customHeight="1">
      <c r="A73" s="338"/>
      <c r="B73" s="823"/>
      <c r="C73" s="824"/>
      <c r="E73" s="817"/>
      <c r="F73" s="824"/>
      <c r="G73" s="824"/>
      <c r="H73" s="812"/>
      <c r="I73" s="812"/>
      <c r="J73" s="812"/>
      <c r="K73" s="812"/>
      <c r="L73" s="812"/>
      <c r="M73" s="827"/>
      <c r="N73" s="827"/>
      <c r="O73" s="815"/>
      <c r="P73" s="815"/>
      <c r="Q73" s="815"/>
      <c r="R73" s="815"/>
      <c r="S73" s="815"/>
      <c r="T73" s="815"/>
      <c r="U73" s="410"/>
      <c r="V73" s="410"/>
      <c r="W73" s="410"/>
      <c r="X73" s="410"/>
      <c r="Y73" s="410"/>
      <c r="Z73" s="410"/>
      <c r="AA73" s="410"/>
      <c r="AB73" s="410"/>
      <c r="AC73" s="410"/>
      <c r="AD73" s="410"/>
      <c r="AE73" s="410"/>
      <c r="AF73" s="410"/>
      <c r="AG73" s="410"/>
      <c r="AH73" s="410"/>
      <c r="AI73" s="410"/>
      <c r="AJ73" s="410"/>
      <c r="AK73" s="410"/>
      <c r="AL73" s="410"/>
      <c r="AM73" s="410"/>
      <c r="AN73" s="410"/>
      <c r="AO73" s="410"/>
      <c r="AP73" s="410"/>
      <c r="AQ73" s="410"/>
      <c r="AR73" s="410"/>
    </row>
    <row r="74" spans="1:44" ht="15.75" customHeight="1">
      <c r="A74" s="338"/>
      <c r="B74" s="823"/>
      <c r="C74" s="824"/>
      <c r="E74" s="817"/>
      <c r="F74" s="824"/>
      <c r="G74" s="824"/>
      <c r="H74" s="827"/>
      <c r="I74" s="812"/>
      <c r="J74" s="812"/>
      <c r="K74" s="812"/>
      <c r="L74" s="812"/>
      <c r="M74" s="827"/>
      <c r="N74" s="827"/>
      <c r="O74" s="815"/>
      <c r="P74" s="815"/>
      <c r="Q74" s="815"/>
      <c r="R74" s="815"/>
      <c r="S74" s="815"/>
      <c r="T74" s="815"/>
      <c r="U74" s="410"/>
      <c r="V74" s="410"/>
      <c r="W74" s="410"/>
      <c r="X74" s="410"/>
      <c r="Y74" s="410"/>
      <c r="Z74" s="410"/>
      <c r="AA74" s="410"/>
      <c r="AB74" s="410"/>
      <c r="AC74" s="410"/>
      <c r="AD74" s="410"/>
      <c r="AE74" s="410"/>
      <c r="AF74" s="410"/>
      <c r="AG74" s="410"/>
      <c r="AH74" s="410"/>
      <c r="AI74" s="410"/>
      <c r="AJ74" s="410"/>
      <c r="AK74" s="410"/>
      <c r="AL74" s="410"/>
      <c r="AM74" s="410"/>
      <c r="AN74" s="410"/>
      <c r="AO74" s="410"/>
      <c r="AP74" s="410"/>
      <c r="AQ74" s="410"/>
      <c r="AR74" s="410"/>
    </row>
    <row r="75" spans="1:44" ht="15.75" customHeight="1">
      <c r="A75" s="338"/>
      <c r="B75" s="825"/>
      <c r="C75" s="826"/>
      <c r="E75" s="817"/>
      <c r="F75" s="817"/>
      <c r="G75" s="817"/>
      <c r="H75" s="827"/>
      <c r="I75" s="812"/>
      <c r="J75" s="812"/>
      <c r="K75" s="812"/>
      <c r="L75" s="812"/>
      <c r="M75" s="827"/>
      <c r="N75" s="827"/>
      <c r="O75" s="827"/>
      <c r="P75" s="827"/>
      <c r="Q75" s="815"/>
      <c r="R75" s="815"/>
      <c r="S75" s="815"/>
      <c r="T75" s="815"/>
      <c r="U75" s="410"/>
      <c r="V75" s="410"/>
      <c r="W75" s="410"/>
      <c r="X75" s="410"/>
      <c r="Y75" s="410"/>
      <c r="Z75" s="410"/>
      <c r="AA75" s="410"/>
      <c r="AB75" s="410"/>
      <c r="AC75" s="410"/>
      <c r="AD75" s="410"/>
      <c r="AE75" s="410"/>
      <c r="AF75" s="410"/>
      <c r="AG75" s="410"/>
      <c r="AH75" s="410"/>
      <c r="AI75" s="410"/>
      <c r="AJ75" s="410"/>
      <c r="AK75" s="410"/>
      <c r="AL75" s="410"/>
      <c r="AM75" s="410"/>
      <c r="AN75" s="410"/>
      <c r="AO75" s="410"/>
      <c r="AP75" s="410"/>
      <c r="AQ75" s="410"/>
      <c r="AR75" s="410"/>
    </row>
    <row r="76" spans="1:44" ht="15.75" customHeight="1">
      <c r="A76" s="338"/>
      <c r="B76" s="825"/>
      <c r="C76" s="826"/>
      <c r="E76" s="827"/>
      <c r="F76" s="817"/>
      <c r="G76" s="817"/>
      <c r="H76" s="827"/>
      <c r="I76" s="812"/>
      <c r="J76" s="812"/>
      <c r="K76" s="812"/>
      <c r="L76" s="812"/>
      <c r="M76" s="827"/>
      <c r="N76" s="827"/>
      <c r="O76" s="827"/>
      <c r="P76" s="827"/>
      <c r="Q76" s="827"/>
      <c r="R76" s="827"/>
      <c r="S76" s="827"/>
      <c r="T76" s="827"/>
      <c r="U76" s="410"/>
      <c r="V76" s="410"/>
      <c r="W76" s="410"/>
      <c r="X76" s="410"/>
      <c r="Y76" s="410"/>
      <c r="Z76" s="410"/>
      <c r="AA76" s="410"/>
      <c r="AB76" s="410"/>
      <c r="AC76" s="410"/>
      <c r="AD76" s="410"/>
      <c r="AE76" s="410"/>
      <c r="AF76" s="410"/>
      <c r="AG76" s="410"/>
      <c r="AH76" s="410"/>
      <c r="AI76" s="410"/>
      <c r="AJ76" s="410"/>
      <c r="AK76" s="410"/>
      <c r="AL76" s="410"/>
      <c r="AM76" s="410"/>
      <c r="AN76" s="410"/>
      <c r="AO76" s="410"/>
      <c r="AP76" s="410"/>
      <c r="AQ76" s="410"/>
      <c r="AR76" s="410"/>
    </row>
    <row r="77" spans="1:44" ht="15.75" customHeight="1">
      <c r="A77" s="338"/>
      <c r="B77" s="825"/>
      <c r="C77" s="826"/>
      <c r="E77" s="827"/>
      <c r="F77" s="817"/>
      <c r="G77" s="817"/>
      <c r="H77" s="827"/>
      <c r="I77" s="812"/>
      <c r="J77" s="812"/>
      <c r="K77" s="812"/>
      <c r="L77" s="812"/>
      <c r="M77" s="827"/>
      <c r="N77" s="827"/>
      <c r="O77" s="827"/>
      <c r="P77" s="827"/>
      <c r="Q77" s="827"/>
      <c r="R77" s="827"/>
      <c r="S77" s="827"/>
      <c r="T77" s="827"/>
      <c r="U77" s="410"/>
      <c r="V77" s="410"/>
      <c r="W77" s="410"/>
      <c r="X77" s="410"/>
      <c r="Y77" s="410"/>
      <c r="Z77" s="410"/>
      <c r="AA77" s="410"/>
      <c r="AB77" s="410"/>
      <c r="AC77" s="410"/>
      <c r="AD77" s="410"/>
      <c r="AE77" s="410"/>
      <c r="AF77" s="410"/>
      <c r="AG77" s="410"/>
      <c r="AH77" s="410"/>
      <c r="AI77" s="410"/>
      <c r="AJ77" s="410"/>
      <c r="AK77" s="410"/>
      <c r="AL77" s="410"/>
      <c r="AM77" s="410"/>
      <c r="AN77" s="410"/>
      <c r="AO77" s="410"/>
      <c r="AP77" s="410"/>
      <c r="AQ77" s="410"/>
      <c r="AR77" s="410"/>
    </row>
    <row r="78" spans="1:44" ht="15.75" customHeight="1">
      <c r="B78" s="827"/>
      <c r="C78" s="827"/>
      <c r="E78" s="827"/>
      <c r="F78" s="827"/>
      <c r="G78" s="827"/>
      <c r="H78" s="827"/>
      <c r="I78" s="827"/>
      <c r="J78" s="827"/>
      <c r="K78" s="827"/>
      <c r="L78" s="827"/>
      <c r="M78" s="827"/>
      <c r="N78" s="827"/>
      <c r="O78" s="827"/>
      <c r="P78" s="827"/>
      <c r="Q78" s="827"/>
      <c r="R78" s="827"/>
      <c r="S78" s="827"/>
      <c r="T78" s="827"/>
      <c r="U78" s="410"/>
      <c r="V78" s="410"/>
      <c r="W78" s="410"/>
      <c r="X78" s="410"/>
      <c r="Y78" s="410"/>
      <c r="Z78" s="410"/>
      <c r="AA78" s="410"/>
      <c r="AB78" s="410"/>
      <c r="AC78" s="410"/>
      <c r="AD78" s="410"/>
      <c r="AE78" s="410"/>
      <c r="AF78" s="410"/>
      <c r="AG78" s="410"/>
      <c r="AH78" s="410"/>
      <c r="AI78" s="410"/>
      <c r="AJ78" s="410"/>
      <c r="AK78" s="410"/>
      <c r="AL78" s="410"/>
      <c r="AM78" s="410"/>
      <c r="AN78" s="410"/>
      <c r="AO78" s="410"/>
      <c r="AP78" s="410"/>
      <c r="AQ78" s="410"/>
      <c r="AR78" s="410"/>
    </row>
    <row r="79" spans="1:44" ht="15.75" customHeight="1">
      <c r="B79" s="827"/>
      <c r="C79" s="827"/>
      <c r="E79" s="827"/>
      <c r="F79" s="827"/>
      <c r="G79" s="827"/>
      <c r="H79" s="827"/>
      <c r="I79" s="827"/>
      <c r="J79" s="827"/>
      <c r="K79" s="827"/>
      <c r="L79" s="827"/>
      <c r="M79" s="827"/>
      <c r="N79" s="827"/>
      <c r="O79" s="827"/>
      <c r="P79" s="827"/>
      <c r="Q79" s="827"/>
      <c r="R79" s="827"/>
      <c r="S79" s="827"/>
      <c r="T79" s="827"/>
      <c r="U79" s="410"/>
      <c r="V79" s="410"/>
      <c r="W79" s="410"/>
      <c r="X79" s="410"/>
      <c r="Y79" s="410"/>
      <c r="Z79" s="410"/>
      <c r="AA79" s="410"/>
      <c r="AB79" s="410"/>
      <c r="AC79" s="410"/>
      <c r="AD79" s="410"/>
      <c r="AE79" s="410"/>
      <c r="AF79" s="410"/>
      <c r="AG79" s="410"/>
      <c r="AH79" s="410"/>
      <c r="AI79" s="410"/>
      <c r="AJ79" s="410"/>
      <c r="AK79" s="410"/>
      <c r="AL79" s="410"/>
      <c r="AM79" s="410"/>
      <c r="AN79" s="410"/>
      <c r="AO79" s="410"/>
      <c r="AP79" s="410"/>
      <c r="AQ79" s="410"/>
      <c r="AR79" s="410"/>
    </row>
    <row r="80" spans="1:44" ht="15.75" customHeight="1">
      <c r="B80" s="827"/>
      <c r="C80" s="827"/>
      <c r="E80" s="827"/>
      <c r="F80" s="827"/>
      <c r="G80" s="827"/>
      <c r="I80" s="827"/>
      <c r="J80" s="827"/>
      <c r="K80" s="827"/>
      <c r="L80" s="827"/>
      <c r="M80" s="827"/>
      <c r="N80" s="827"/>
      <c r="O80" s="827"/>
      <c r="P80" s="827"/>
      <c r="Q80" s="827"/>
      <c r="R80" s="827"/>
      <c r="S80" s="827"/>
      <c r="T80" s="827"/>
      <c r="U80" s="410"/>
      <c r="V80" s="410"/>
      <c r="W80" s="410"/>
      <c r="X80" s="410"/>
      <c r="Y80" s="410"/>
      <c r="Z80" s="410"/>
      <c r="AA80" s="410"/>
      <c r="AB80" s="410"/>
      <c r="AC80" s="410"/>
      <c r="AD80" s="410"/>
      <c r="AE80" s="410"/>
      <c r="AF80" s="410"/>
      <c r="AG80" s="410"/>
      <c r="AH80" s="410"/>
      <c r="AI80" s="410"/>
      <c r="AJ80" s="410"/>
      <c r="AK80" s="410"/>
      <c r="AL80" s="410"/>
      <c r="AM80" s="410"/>
      <c r="AN80" s="410"/>
      <c r="AO80" s="410"/>
      <c r="AP80" s="410"/>
      <c r="AQ80" s="410"/>
      <c r="AR80" s="410"/>
    </row>
    <row r="81" spans="2:44" ht="15.75" customHeight="1">
      <c r="B81" s="827"/>
      <c r="C81" s="827"/>
      <c r="E81" s="827"/>
      <c r="F81" s="827"/>
      <c r="G81" s="827"/>
      <c r="I81" s="827"/>
      <c r="J81" s="827"/>
      <c r="K81" s="827"/>
      <c r="L81" s="827"/>
      <c r="M81" s="827"/>
      <c r="N81" s="827"/>
      <c r="O81" s="827"/>
      <c r="P81" s="827"/>
      <c r="Q81" s="827"/>
      <c r="R81" s="827"/>
      <c r="S81" s="827"/>
      <c r="T81" s="827"/>
      <c r="U81" s="410"/>
      <c r="V81" s="410"/>
      <c r="W81" s="410"/>
      <c r="X81" s="410"/>
      <c r="Y81" s="410"/>
      <c r="Z81" s="410"/>
      <c r="AA81" s="410"/>
      <c r="AB81" s="410"/>
      <c r="AC81" s="410"/>
      <c r="AD81" s="410"/>
      <c r="AE81" s="410"/>
      <c r="AF81" s="410"/>
      <c r="AG81" s="410"/>
      <c r="AH81" s="410"/>
      <c r="AI81" s="410"/>
      <c r="AJ81" s="410"/>
      <c r="AK81" s="410"/>
      <c r="AL81" s="410"/>
      <c r="AM81" s="410"/>
      <c r="AN81" s="410"/>
      <c r="AO81" s="410"/>
      <c r="AP81" s="410"/>
      <c r="AQ81" s="410"/>
      <c r="AR81" s="410"/>
    </row>
    <row r="82" spans="2:44" ht="15.75" customHeight="1">
      <c r="B82" s="827"/>
      <c r="C82" s="827"/>
      <c r="F82" s="827"/>
      <c r="G82" s="827"/>
      <c r="I82" s="827"/>
      <c r="J82" s="827"/>
      <c r="K82" s="827"/>
      <c r="L82" s="827"/>
      <c r="O82" s="827"/>
      <c r="P82" s="827"/>
      <c r="Q82" s="827"/>
      <c r="R82" s="827"/>
      <c r="S82" s="827"/>
      <c r="T82" s="827"/>
      <c r="U82" s="410"/>
      <c r="V82" s="410"/>
      <c r="W82" s="410"/>
      <c r="X82" s="410"/>
      <c r="Y82" s="410"/>
      <c r="Z82" s="410"/>
      <c r="AA82" s="410"/>
      <c r="AB82" s="410"/>
      <c r="AC82" s="410"/>
      <c r="AD82" s="410"/>
      <c r="AE82" s="410"/>
      <c r="AF82" s="410"/>
      <c r="AG82" s="410"/>
      <c r="AH82" s="410"/>
      <c r="AI82" s="410"/>
      <c r="AJ82" s="410"/>
      <c r="AK82" s="410"/>
      <c r="AL82" s="410"/>
      <c r="AM82" s="410"/>
      <c r="AN82" s="410"/>
      <c r="AO82" s="410"/>
      <c r="AP82" s="410"/>
      <c r="AQ82" s="410"/>
      <c r="AR82" s="410"/>
    </row>
    <row r="83" spans="2:44" ht="15.75" customHeight="1">
      <c r="B83" s="827"/>
      <c r="C83" s="827"/>
      <c r="F83" s="827"/>
      <c r="G83" s="827"/>
      <c r="I83" s="827"/>
      <c r="J83" s="827"/>
      <c r="K83" s="827"/>
      <c r="L83" s="827"/>
      <c r="O83" s="827"/>
      <c r="P83" s="827"/>
      <c r="Q83" s="827"/>
      <c r="R83" s="827"/>
      <c r="S83" s="827"/>
      <c r="T83" s="827"/>
      <c r="U83" s="410"/>
      <c r="V83" s="410"/>
      <c r="W83" s="410"/>
      <c r="X83" s="410"/>
      <c r="Y83" s="410"/>
      <c r="Z83" s="410"/>
      <c r="AA83" s="410"/>
      <c r="AB83" s="410"/>
      <c r="AC83" s="410"/>
      <c r="AD83" s="410"/>
      <c r="AE83" s="410"/>
      <c r="AF83" s="410"/>
      <c r="AG83" s="410"/>
      <c r="AH83" s="410"/>
      <c r="AI83" s="410"/>
      <c r="AJ83" s="410"/>
      <c r="AK83" s="410"/>
      <c r="AL83" s="410"/>
      <c r="AM83" s="410"/>
      <c r="AN83" s="410"/>
      <c r="AO83" s="410"/>
      <c r="AP83" s="410"/>
      <c r="AQ83" s="410"/>
      <c r="AR83" s="410"/>
    </row>
    <row r="84" spans="2:44" ht="15.75" customHeight="1">
      <c r="B84" s="827"/>
      <c r="C84" s="827"/>
      <c r="O84" s="827"/>
      <c r="P84" s="827"/>
      <c r="Q84" s="827"/>
      <c r="R84" s="827"/>
      <c r="S84" s="827"/>
      <c r="T84" s="827"/>
      <c r="U84" s="410"/>
      <c r="V84" s="410"/>
      <c r="W84" s="410"/>
      <c r="X84" s="410"/>
      <c r="Y84" s="410"/>
      <c r="Z84" s="410"/>
      <c r="AA84" s="410"/>
      <c r="AB84" s="410"/>
      <c r="AC84" s="410"/>
      <c r="AD84" s="410"/>
      <c r="AE84" s="410"/>
      <c r="AF84" s="410"/>
      <c r="AG84" s="410"/>
      <c r="AH84" s="410"/>
      <c r="AI84" s="410"/>
      <c r="AJ84" s="410"/>
      <c r="AK84" s="410"/>
      <c r="AL84" s="410"/>
      <c r="AM84" s="410"/>
      <c r="AN84" s="410"/>
      <c r="AO84" s="410"/>
      <c r="AP84" s="410"/>
      <c r="AQ84" s="410"/>
      <c r="AR84" s="410"/>
    </row>
    <row r="85" spans="2:44" ht="15.75" customHeight="1">
      <c r="B85" s="827"/>
      <c r="C85" s="827"/>
      <c r="O85" s="827"/>
      <c r="P85" s="827"/>
      <c r="Q85" s="827"/>
      <c r="R85" s="827"/>
      <c r="S85" s="827"/>
      <c r="T85" s="827"/>
      <c r="U85" s="410"/>
      <c r="V85" s="410"/>
      <c r="W85" s="410"/>
      <c r="X85" s="410"/>
      <c r="Y85" s="410"/>
      <c r="Z85" s="410"/>
      <c r="AA85" s="410"/>
      <c r="AB85" s="410"/>
      <c r="AC85" s="410"/>
      <c r="AD85" s="410"/>
      <c r="AE85" s="410"/>
      <c r="AF85" s="410"/>
      <c r="AG85" s="410"/>
      <c r="AH85" s="410"/>
      <c r="AI85" s="410"/>
      <c r="AJ85" s="410"/>
      <c r="AK85" s="410"/>
      <c r="AL85" s="410"/>
      <c r="AM85" s="410"/>
      <c r="AN85" s="410"/>
      <c r="AO85" s="410"/>
      <c r="AP85" s="410"/>
      <c r="AQ85" s="410"/>
      <c r="AR85" s="410"/>
    </row>
    <row r="86" spans="2:44" ht="15.75" customHeight="1">
      <c r="O86" s="827"/>
      <c r="P86" s="827"/>
      <c r="Q86" s="827"/>
      <c r="R86" s="827"/>
      <c r="S86" s="827"/>
      <c r="T86" s="827"/>
      <c r="U86" s="410"/>
      <c r="V86" s="410"/>
      <c r="W86" s="410"/>
      <c r="X86" s="410"/>
      <c r="Y86" s="410"/>
      <c r="Z86" s="410"/>
      <c r="AA86" s="410"/>
      <c r="AB86" s="410"/>
      <c r="AC86" s="410"/>
      <c r="AD86" s="410"/>
      <c r="AE86" s="410"/>
      <c r="AF86" s="410"/>
      <c r="AG86" s="410"/>
      <c r="AH86" s="410"/>
      <c r="AI86" s="410"/>
      <c r="AJ86" s="410"/>
      <c r="AK86" s="410"/>
      <c r="AL86" s="410"/>
      <c r="AM86" s="410"/>
      <c r="AN86" s="410"/>
      <c r="AO86" s="410"/>
      <c r="AP86" s="410"/>
      <c r="AQ86" s="410"/>
      <c r="AR86" s="410"/>
    </row>
    <row r="87" spans="2:44" ht="15.75" customHeight="1">
      <c r="Q87" s="827"/>
      <c r="R87" s="827"/>
      <c r="S87" s="827"/>
      <c r="T87" s="827"/>
      <c r="U87" s="410"/>
      <c r="V87" s="410"/>
      <c r="W87" s="410"/>
      <c r="X87" s="410"/>
      <c r="Y87" s="410"/>
      <c r="Z87" s="410"/>
      <c r="AA87" s="410"/>
      <c r="AB87" s="410"/>
      <c r="AC87" s="410"/>
      <c r="AD87" s="410"/>
      <c r="AE87" s="410"/>
      <c r="AF87" s="410"/>
      <c r="AG87" s="410"/>
      <c r="AH87" s="410"/>
      <c r="AI87" s="410"/>
      <c r="AJ87" s="410"/>
      <c r="AK87" s="410"/>
      <c r="AL87" s="410"/>
      <c r="AM87" s="410"/>
      <c r="AN87" s="410"/>
      <c r="AO87" s="410"/>
      <c r="AP87" s="410"/>
      <c r="AQ87" s="410"/>
      <c r="AR87" s="410"/>
    </row>
    <row r="88" spans="2:44" ht="15.75" customHeight="1">
      <c r="U88" s="410"/>
      <c r="V88" s="410"/>
      <c r="W88" s="410"/>
      <c r="X88" s="410"/>
      <c r="Y88" s="410"/>
      <c r="Z88" s="410"/>
      <c r="AA88" s="410"/>
      <c r="AB88" s="410"/>
      <c r="AC88" s="410"/>
      <c r="AD88" s="410"/>
      <c r="AE88" s="410"/>
      <c r="AF88" s="410"/>
      <c r="AG88" s="410"/>
      <c r="AH88" s="410"/>
      <c r="AI88" s="410"/>
      <c r="AJ88" s="410"/>
      <c r="AK88" s="410"/>
      <c r="AL88" s="410"/>
      <c r="AM88" s="410"/>
      <c r="AN88" s="410"/>
      <c r="AO88" s="410"/>
      <c r="AP88" s="410"/>
      <c r="AQ88" s="410"/>
      <c r="AR88" s="410"/>
    </row>
    <row r="89" spans="2:44" ht="15.75" customHeight="1">
      <c r="U89" s="410"/>
      <c r="V89" s="410"/>
      <c r="W89" s="410"/>
      <c r="X89" s="410"/>
      <c r="Y89" s="410"/>
      <c r="Z89" s="410"/>
      <c r="AA89" s="410"/>
      <c r="AB89" s="410"/>
      <c r="AC89" s="410"/>
      <c r="AD89" s="410"/>
      <c r="AE89" s="410"/>
      <c r="AF89" s="410"/>
      <c r="AG89" s="410"/>
      <c r="AH89" s="410"/>
      <c r="AI89" s="410"/>
      <c r="AJ89" s="410"/>
      <c r="AK89" s="410"/>
      <c r="AL89" s="410"/>
      <c r="AM89" s="410"/>
      <c r="AN89" s="410"/>
      <c r="AO89" s="410"/>
      <c r="AP89" s="410"/>
      <c r="AQ89" s="410"/>
      <c r="AR89" s="410"/>
    </row>
    <row r="90" spans="2:44" ht="15.75" customHeight="1">
      <c r="U90" s="410"/>
      <c r="V90" s="410"/>
      <c r="W90" s="410"/>
      <c r="X90" s="410"/>
      <c r="Y90" s="410"/>
      <c r="Z90" s="410"/>
      <c r="AA90" s="410"/>
      <c r="AB90" s="410"/>
      <c r="AC90" s="410"/>
      <c r="AD90" s="410"/>
      <c r="AE90" s="410"/>
      <c r="AF90" s="410"/>
      <c r="AG90" s="410"/>
      <c r="AH90" s="410"/>
      <c r="AI90" s="410"/>
      <c r="AJ90" s="410"/>
      <c r="AK90" s="410"/>
      <c r="AL90" s="410"/>
      <c r="AM90" s="410"/>
      <c r="AN90" s="410"/>
      <c r="AO90" s="410"/>
      <c r="AP90" s="410"/>
      <c r="AQ90" s="410"/>
      <c r="AR90" s="410"/>
    </row>
    <row r="91" spans="2:44" ht="15.75" customHeight="1">
      <c r="U91" s="410"/>
      <c r="V91" s="410"/>
      <c r="W91" s="410"/>
      <c r="X91" s="410"/>
      <c r="Y91" s="410"/>
      <c r="Z91" s="410"/>
      <c r="AA91" s="410"/>
      <c r="AB91" s="410"/>
      <c r="AC91" s="410"/>
      <c r="AD91" s="410"/>
      <c r="AE91" s="410"/>
      <c r="AF91" s="410"/>
      <c r="AG91" s="410"/>
      <c r="AH91" s="410"/>
      <c r="AI91" s="410"/>
      <c r="AJ91" s="410"/>
      <c r="AK91" s="410"/>
      <c r="AL91" s="410"/>
      <c r="AM91" s="410"/>
      <c r="AN91" s="410"/>
      <c r="AO91" s="410"/>
      <c r="AP91" s="410"/>
      <c r="AQ91" s="410"/>
      <c r="AR91" s="410"/>
    </row>
    <row r="92" spans="2:44" ht="15.75" customHeight="1">
      <c r="U92" s="410"/>
      <c r="V92" s="410"/>
      <c r="W92" s="410"/>
      <c r="X92" s="410"/>
      <c r="Y92" s="410"/>
      <c r="Z92" s="410"/>
      <c r="AA92" s="410"/>
      <c r="AB92" s="410"/>
      <c r="AC92" s="410"/>
      <c r="AD92" s="410"/>
      <c r="AE92" s="410"/>
      <c r="AF92" s="410"/>
      <c r="AG92" s="410"/>
      <c r="AH92" s="410"/>
      <c r="AI92" s="410"/>
      <c r="AJ92" s="410"/>
      <c r="AK92" s="410"/>
      <c r="AL92" s="410"/>
      <c r="AM92" s="410"/>
      <c r="AN92" s="410"/>
      <c r="AO92" s="410"/>
      <c r="AP92" s="410"/>
      <c r="AQ92" s="410"/>
      <c r="AR92" s="410"/>
    </row>
    <row r="93" spans="2:44" ht="15.75" customHeight="1">
      <c r="U93" s="410"/>
      <c r="V93" s="410"/>
      <c r="W93" s="410"/>
      <c r="X93" s="410"/>
      <c r="Y93" s="410"/>
      <c r="Z93" s="410"/>
      <c r="AA93" s="410"/>
      <c r="AB93" s="410"/>
      <c r="AC93" s="410"/>
      <c r="AD93" s="410"/>
      <c r="AE93" s="410"/>
      <c r="AF93" s="410"/>
      <c r="AG93" s="410"/>
      <c r="AH93" s="410"/>
      <c r="AI93" s="410"/>
      <c r="AJ93" s="410"/>
      <c r="AK93" s="410"/>
      <c r="AL93" s="410"/>
      <c r="AM93" s="410"/>
      <c r="AN93" s="410"/>
      <c r="AO93" s="410"/>
      <c r="AP93" s="410"/>
      <c r="AQ93" s="410"/>
      <c r="AR93" s="410"/>
    </row>
    <row r="94" spans="2:44" ht="15.75" customHeight="1">
      <c r="U94" s="410"/>
      <c r="V94" s="410"/>
      <c r="W94" s="410"/>
      <c r="X94" s="410"/>
      <c r="Y94" s="410"/>
      <c r="Z94" s="410"/>
      <c r="AA94" s="410"/>
      <c r="AB94" s="410"/>
      <c r="AC94" s="410"/>
      <c r="AD94" s="410"/>
      <c r="AE94" s="410"/>
      <c r="AF94" s="410"/>
      <c r="AG94" s="410"/>
      <c r="AH94" s="410"/>
      <c r="AI94" s="410"/>
      <c r="AJ94" s="410"/>
      <c r="AK94" s="410"/>
      <c r="AL94" s="410"/>
      <c r="AM94" s="410"/>
      <c r="AN94" s="410"/>
      <c r="AO94" s="410"/>
      <c r="AP94" s="410"/>
      <c r="AQ94" s="410"/>
      <c r="AR94" s="410"/>
    </row>
    <row r="95" spans="2:44" ht="15.75" customHeight="1">
      <c r="U95" s="410"/>
      <c r="V95" s="410"/>
      <c r="W95" s="410"/>
      <c r="X95" s="410"/>
      <c r="Y95" s="410"/>
      <c r="Z95" s="410"/>
      <c r="AA95" s="410"/>
      <c r="AB95" s="410"/>
      <c r="AC95" s="410"/>
      <c r="AD95" s="410"/>
      <c r="AE95" s="410"/>
      <c r="AF95" s="410"/>
      <c r="AG95" s="410"/>
      <c r="AH95" s="410"/>
      <c r="AI95" s="410"/>
      <c r="AJ95" s="410"/>
      <c r="AK95" s="410"/>
      <c r="AL95" s="410"/>
      <c r="AM95" s="410"/>
      <c r="AN95" s="410"/>
      <c r="AO95" s="410"/>
      <c r="AP95" s="410"/>
      <c r="AQ95" s="410"/>
      <c r="AR95" s="410"/>
    </row>
    <row r="96" spans="2:44" ht="15.75" customHeight="1">
      <c r="U96" s="410"/>
      <c r="V96" s="410"/>
      <c r="W96" s="410"/>
      <c r="X96" s="410"/>
      <c r="Y96" s="410"/>
      <c r="Z96" s="410"/>
      <c r="AA96" s="410"/>
      <c r="AB96" s="410"/>
      <c r="AC96" s="410"/>
      <c r="AD96" s="410"/>
      <c r="AE96" s="410"/>
      <c r="AF96" s="410"/>
      <c r="AG96" s="410"/>
      <c r="AH96" s="410"/>
      <c r="AI96" s="410"/>
      <c r="AJ96" s="410"/>
      <c r="AK96" s="410"/>
      <c r="AL96" s="410"/>
      <c r="AM96" s="410"/>
      <c r="AN96" s="410"/>
      <c r="AO96" s="410"/>
      <c r="AP96" s="410"/>
      <c r="AQ96" s="410"/>
      <c r="AR96" s="410"/>
    </row>
    <row r="97" spans="21:44" ht="15.75" customHeight="1">
      <c r="U97" s="410"/>
      <c r="V97" s="410"/>
      <c r="W97" s="410"/>
      <c r="X97" s="410"/>
      <c r="Y97" s="410"/>
      <c r="Z97" s="410"/>
      <c r="AA97" s="410"/>
      <c r="AB97" s="410"/>
      <c r="AC97" s="410"/>
      <c r="AD97" s="410"/>
      <c r="AE97" s="410"/>
      <c r="AF97" s="410"/>
      <c r="AG97" s="410"/>
      <c r="AH97" s="410"/>
      <c r="AI97" s="410"/>
      <c r="AJ97" s="410"/>
      <c r="AK97" s="410"/>
      <c r="AL97" s="410"/>
      <c r="AM97" s="410"/>
      <c r="AN97" s="410"/>
      <c r="AO97" s="410"/>
      <c r="AP97" s="410"/>
      <c r="AQ97" s="410"/>
      <c r="AR97" s="410"/>
    </row>
    <row r="98" spans="21:44" ht="15.75" customHeight="1">
      <c r="U98" s="410"/>
      <c r="V98" s="410"/>
      <c r="W98" s="410"/>
      <c r="X98" s="410"/>
      <c r="Y98" s="410"/>
      <c r="Z98" s="410"/>
      <c r="AA98" s="410"/>
      <c r="AB98" s="410"/>
      <c r="AC98" s="410"/>
      <c r="AD98" s="410"/>
      <c r="AE98" s="410"/>
      <c r="AF98" s="410"/>
      <c r="AG98" s="410"/>
      <c r="AH98" s="410"/>
      <c r="AI98" s="410"/>
      <c r="AJ98" s="410"/>
      <c r="AK98" s="410"/>
      <c r="AL98" s="410"/>
      <c r="AM98" s="410"/>
      <c r="AN98" s="410"/>
      <c r="AO98" s="410"/>
      <c r="AP98" s="410"/>
      <c r="AQ98" s="410"/>
      <c r="AR98" s="410"/>
    </row>
    <row r="99" spans="21:44" ht="15.75" customHeight="1">
      <c r="U99" s="410"/>
      <c r="V99" s="410"/>
      <c r="W99" s="410"/>
      <c r="X99" s="410"/>
      <c r="Y99" s="410"/>
      <c r="Z99" s="410"/>
      <c r="AA99" s="410"/>
      <c r="AB99" s="410"/>
      <c r="AC99" s="410"/>
      <c r="AD99" s="410"/>
      <c r="AE99" s="410"/>
      <c r="AF99" s="410"/>
      <c r="AG99" s="410"/>
      <c r="AH99" s="410"/>
      <c r="AI99" s="410"/>
      <c r="AJ99" s="410"/>
      <c r="AK99" s="410"/>
      <c r="AL99" s="410"/>
      <c r="AM99" s="410"/>
      <c r="AN99" s="410"/>
      <c r="AO99" s="410"/>
      <c r="AP99" s="410"/>
      <c r="AQ99" s="410"/>
      <c r="AR99" s="410"/>
    </row>
    <row r="100" spans="21:44" ht="15.75" customHeight="1">
      <c r="U100" s="410"/>
      <c r="V100" s="410"/>
      <c r="W100" s="410"/>
      <c r="X100" s="410"/>
      <c r="Y100" s="410"/>
      <c r="Z100" s="410"/>
      <c r="AA100" s="410"/>
      <c r="AB100" s="410"/>
      <c r="AC100" s="410"/>
      <c r="AD100" s="410"/>
      <c r="AE100" s="410"/>
      <c r="AF100" s="410"/>
      <c r="AG100" s="410"/>
      <c r="AH100" s="410"/>
      <c r="AI100" s="410"/>
      <c r="AJ100" s="410"/>
      <c r="AK100" s="410"/>
      <c r="AL100" s="410"/>
      <c r="AM100" s="410"/>
      <c r="AN100" s="410"/>
      <c r="AO100" s="410"/>
      <c r="AP100" s="410"/>
      <c r="AQ100" s="410"/>
      <c r="AR100" s="410"/>
    </row>
    <row r="101" spans="21:44" ht="15.75" customHeight="1">
      <c r="U101" s="410"/>
      <c r="V101" s="410"/>
      <c r="W101" s="410"/>
      <c r="X101" s="410"/>
      <c r="Y101" s="410"/>
      <c r="Z101" s="410"/>
      <c r="AA101" s="410"/>
      <c r="AB101" s="410"/>
      <c r="AC101" s="410"/>
      <c r="AD101" s="410"/>
      <c r="AE101" s="410"/>
      <c r="AF101" s="410"/>
      <c r="AG101" s="410"/>
      <c r="AH101" s="410"/>
      <c r="AI101" s="410"/>
      <c r="AJ101" s="410"/>
      <c r="AK101" s="410"/>
      <c r="AL101" s="410"/>
      <c r="AM101" s="410"/>
      <c r="AN101" s="410"/>
      <c r="AO101" s="410"/>
      <c r="AP101" s="410"/>
      <c r="AQ101" s="410"/>
      <c r="AR101" s="410"/>
    </row>
    <row r="102" spans="21:44" ht="15.75" customHeight="1">
      <c r="U102" s="410"/>
      <c r="V102" s="410"/>
      <c r="W102" s="410"/>
      <c r="X102" s="410"/>
      <c r="Y102" s="410"/>
      <c r="Z102" s="410"/>
      <c r="AA102" s="410"/>
      <c r="AB102" s="410"/>
      <c r="AC102" s="410"/>
      <c r="AD102" s="410"/>
      <c r="AE102" s="410"/>
      <c r="AF102" s="410"/>
      <c r="AG102" s="410"/>
      <c r="AH102" s="410"/>
      <c r="AI102" s="410"/>
      <c r="AJ102" s="410"/>
      <c r="AK102" s="410"/>
      <c r="AL102" s="410"/>
      <c r="AM102" s="410"/>
      <c r="AN102" s="410"/>
      <c r="AO102" s="410"/>
      <c r="AP102" s="410"/>
      <c r="AQ102" s="410"/>
      <c r="AR102" s="410"/>
    </row>
    <row r="103" spans="21:44" ht="15.75" customHeight="1">
      <c r="U103" s="410"/>
      <c r="V103" s="410"/>
      <c r="W103" s="410"/>
      <c r="X103" s="410"/>
      <c r="Y103" s="410"/>
      <c r="Z103" s="410"/>
      <c r="AA103" s="410"/>
      <c r="AB103" s="410"/>
      <c r="AC103" s="410"/>
      <c r="AD103" s="410"/>
      <c r="AE103" s="410"/>
      <c r="AF103" s="410"/>
      <c r="AG103" s="410"/>
      <c r="AH103" s="410"/>
      <c r="AI103" s="410"/>
      <c r="AJ103" s="410"/>
      <c r="AK103" s="410"/>
      <c r="AL103" s="410"/>
      <c r="AM103" s="410"/>
      <c r="AN103" s="410"/>
      <c r="AO103" s="410"/>
      <c r="AP103" s="410"/>
      <c r="AQ103" s="410"/>
      <c r="AR103" s="410"/>
    </row>
    <row r="104" spans="21:44" ht="15.75" customHeight="1">
      <c r="U104" s="410"/>
      <c r="V104" s="410"/>
      <c r="W104" s="410"/>
      <c r="X104" s="410"/>
      <c r="Y104" s="410"/>
      <c r="Z104" s="410"/>
      <c r="AA104" s="410"/>
      <c r="AB104" s="410"/>
      <c r="AC104" s="410"/>
      <c r="AD104" s="410"/>
      <c r="AE104" s="410"/>
      <c r="AF104" s="410"/>
      <c r="AG104" s="410"/>
      <c r="AH104" s="410"/>
      <c r="AI104" s="410"/>
      <c r="AJ104" s="410"/>
      <c r="AK104" s="410"/>
      <c r="AL104" s="410"/>
      <c r="AM104" s="410"/>
      <c r="AN104" s="410"/>
      <c r="AO104" s="410"/>
      <c r="AP104" s="410"/>
      <c r="AQ104" s="410"/>
      <c r="AR104" s="410"/>
    </row>
    <row r="105" spans="21:44" ht="15.75" customHeight="1">
      <c r="U105" s="410"/>
      <c r="V105" s="410"/>
      <c r="W105" s="410"/>
      <c r="X105" s="410"/>
      <c r="Y105" s="410"/>
      <c r="Z105" s="410"/>
      <c r="AA105" s="410"/>
      <c r="AB105" s="410"/>
      <c r="AC105" s="410"/>
      <c r="AD105" s="410"/>
      <c r="AE105" s="410"/>
      <c r="AF105" s="410"/>
      <c r="AG105" s="410"/>
      <c r="AH105" s="410"/>
      <c r="AI105" s="410"/>
      <c r="AJ105" s="410"/>
      <c r="AK105" s="410"/>
      <c r="AL105" s="410"/>
      <c r="AM105" s="410"/>
      <c r="AN105" s="410"/>
      <c r="AO105" s="410"/>
      <c r="AP105" s="410"/>
      <c r="AQ105" s="410"/>
      <c r="AR105" s="410"/>
    </row>
    <row r="106" spans="21:44" ht="15.75" customHeight="1">
      <c r="U106" s="410"/>
      <c r="V106" s="410"/>
      <c r="W106" s="410"/>
      <c r="X106" s="410"/>
      <c r="Y106" s="410"/>
      <c r="Z106" s="410"/>
      <c r="AA106" s="410"/>
      <c r="AB106" s="410"/>
      <c r="AC106" s="410"/>
      <c r="AD106" s="410"/>
      <c r="AE106" s="410"/>
      <c r="AF106" s="410"/>
      <c r="AG106" s="410"/>
      <c r="AH106" s="410"/>
      <c r="AI106" s="410"/>
      <c r="AJ106" s="410"/>
      <c r="AK106" s="410"/>
      <c r="AL106" s="410"/>
      <c r="AM106" s="410"/>
      <c r="AN106" s="410"/>
      <c r="AO106" s="410"/>
      <c r="AP106" s="410"/>
      <c r="AQ106" s="410"/>
      <c r="AR106" s="410"/>
    </row>
    <row r="107" spans="21:44" ht="15.75" customHeight="1">
      <c r="U107" s="410"/>
      <c r="V107" s="410"/>
      <c r="W107" s="410"/>
      <c r="X107" s="410"/>
      <c r="Y107" s="410"/>
      <c r="Z107" s="410"/>
      <c r="AA107" s="410"/>
      <c r="AB107" s="410"/>
      <c r="AC107" s="410"/>
      <c r="AD107" s="410"/>
      <c r="AE107" s="410"/>
      <c r="AF107" s="410"/>
      <c r="AG107" s="410"/>
      <c r="AH107" s="410"/>
      <c r="AI107" s="410"/>
      <c r="AJ107" s="410"/>
      <c r="AK107" s="410"/>
      <c r="AL107" s="410"/>
      <c r="AM107" s="410"/>
      <c r="AN107" s="410"/>
      <c r="AO107" s="410"/>
      <c r="AP107" s="410"/>
      <c r="AQ107" s="410"/>
      <c r="AR107" s="410"/>
    </row>
    <row r="108" spans="21:44" ht="15.75" customHeight="1">
      <c r="U108" s="410"/>
      <c r="V108" s="410"/>
      <c r="W108" s="410"/>
      <c r="X108" s="410"/>
      <c r="Y108" s="410"/>
      <c r="Z108" s="410"/>
      <c r="AA108" s="410"/>
      <c r="AB108" s="410"/>
      <c r="AC108" s="410"/>
      <c r="AD108" s="410"/>
      <c r="AE108" s="410"/>
      <c r="AF108" s="410"/>
      <c r="AG108" s="410"/>
      <c r="AH108" s="410"/>
      <c r="AI108" s="410"/>
      <c r="AJ108" s="410"/>
      <c r="AK108" s="410"/>
      <c r="AL108" s="410"/>
      <c r="AM108" s="410"/>
      <c r="AN108" s="410"/>
      <c r="AO108" s="410"/>
      <c r="AP108" s="410"/>
      <c r="AQ108" s="410"/>
      <c r="AR108" s="410"/>
    </row>
    <row r="109" spans="21:44" ht="15.75" customHeight="1">
      <c r="U109" s="410"/>
      <c r="V109" s="410"/>
      <c r="W109" s="410"/>
      <c r="X109" s="410"/>
      <c r="Y109" s="410"/>
      <c r="Z109" s="410"/>
      <c r="AA109" s="410"/>
      <c r="AB109" s="410"/>
      <c r="AC109" s="410"/>
      <c r="AD109" s="410"/>
      <c r="AE109" s="410"/>
      <c r="AF109" s="410"/>
      <c r="AG109" s="410"/>
      <c r="AH109" s="410"/>
      <c r="AI109" s="410"/>
      <c r="AJ109" s="410"/>
      <c r="AK109" s="410"/>
      <c r="AL109" s="410"/>
      <c r="AM109" s="410"/>
      <c r="AN109" s="410"/>
      <c r="AO109" s="410"/>
      <c r="AP109" s="410"/>
      <c r="AQ109" s="410"/>
      <c r="AR109" s="410"/>
    </row>
    <row r="110" spans="21:44" ht="15.75" customHeight="1"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</row>
    <row r="111" spans="21:44" ht="15.75" customHeight="1"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</row>
    <row r="112" spans="21:44" ht="15.75" customHeight="1">
      <c r="U112" s="410"/>
      <c r="V112" s="410"/>
      <c r="W112" s="410"/>
      <c r="X112" s="410"/>
      <c r="Y112" s="410"/>
      <c r="Z112" s="410"/>
      <c r="AA112" s="410"/>
      <c r="AB112" s="410"/>
      <c r="AC112" s="410"/>
      <c r="AD112" s="410"/>
      <c r="AE112" s="410"/>
      <c r="AF112" s="410"/>
      <c r="AG112" s="410"/>
      <c r="AH112" s="410"/>
      <c r="AI112" s="410"/>
      <c r="AJ112" s="410"/>
      <c r="AK112" s="410"/>
      <c r="AL112" s="410"/>
      <c r="AM112" s="410"/>
      <c r="AN112" s="410"/>
      <c r="AO112" s="410"/>
      <c r="AP112" s="410"/>
      <c r="AQ112" s="410"/>
      <c r="AR112" s="410"/>
    </row>
    <row r="113" spans="21:44" ht="15.75" customHeight="1">
      <c r="U113" s="410"/>
      <c r="V113" s="410"/>
      <c r="W113" s="410"/>
      <c r="X113" s="410"/>
      <c r="Y113" s="410"/>
      <c r="Z113" s="410"/>
      <c r="AA113" s="410"/>
      <c r="AB113" s="410"/>
      <c r="AC113" s="410"/>
      <c r="AD113" s="410"/>
      <c r="AE113" s="410"/>
      <c r="AF113" s="410"/>
      <c r="AG113" s="410"/>
      <c r="AH113" s="410"/>
      <c r="AI113" s="410"/>
      <c r="AJ113" s="410"/>
      <c r="AK113" s="410"/>
      <c r="AL113" s="410"/>
      <c r="AM113" s="410"/>
      <c r="AN113" s="410"/>
      <c r="AO113" s="410"/>
      <c r="AP113" s="410"/>
      <c r="AQ113" s="410"/>
      <c r="AR113" s="410"/>
    </row>
    <row r="114" spans="21:44" ht="15.75" customHeight="1">
      <c r="U114" s="410"/>
      <c r="V114" s="410"/>
      <c r="W114" s="410"/>
      <c r="X114" s="410"/>
      <c r="Y114" s="410"/>
      <c r="Z114" s="410"/>
      <c r="AA114" s="410"/>
      <c r="AB114" s="410"/>
      <c r="AC114" s="410"/>
      <c r="AD114" s="410"/>
      <c r="AE114" s="410"/>
      <c r="AF114" s="410"/>
      <c r="AG114" s="410"/>
      <c r="AH114" s="410"/>
      <c r="AI114" s="410"/>
      <c r="AJ114" s="410"/>
      <c r="AK114" s="410"/>
      <c r="AL114" s="410"/>
      <c r="AM114" s="410"/>
      <c r="AN114" s="410"/>
      <c r="AO114" s="410"/>
      <c r="AP114" s="410"/>
      <c r="AQ114" s="410"/>
      <c r="AR114" s="410"/>
    </row>
    <row r="115" spans="21:44" ht="15.75" customHeight="1"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</row>
    <row r="116" spans="21:44" ht="15.75" customHeight="1">
      <c r="U116" s="410"/>
      <c r="V116" s="410"/>
      <c r="W116" s="410"/>
      <c r="X116" s="410"/>
      <c r="Y116" s="410"/>
      <c r="Z116" s="410"/>
      <c r="AA116" s="410"/>
      <c r="AB116" s="410"/>
      <c r="AC116" s="410"/>
      <c r="AD116" s="410"/>
      <c r="AE116" s="410"/>
      <c r="AF116" s="410"/>
      <c r="AG116" s="410"/>
      <c r="AH116" s="410"/>
      <c r="AI116" s="410"/>
      <c r="AJ116" s="410"/>
      <c r="AK116" s="410"/>
      <c r="AL116" s="410"/>
      <c r="AM116" s="410"/>
      <c r="AN116" s="410"/>
      <c r="AO116" s="410"/>
      <c r="AP116" s="410"/>
      <c r="AQ116" s="410"/>
      <c r="AR116" s="410"/>
    </row>
    <row r="117" spans="21:44" ht="15.75" customHeight="1">
      <c r="U117" s="410"/>
      <c r="V117" s="410"/>
      <c r="W117" s="410"/>
      <c r="X117" s="410"/>
      <c r="Y117" s="410"/>
      <c r="Z117" s="410"/>
      <c r="AA117" s="410"/>
      <c r="AB117" s="410"/>
      <c r="AC117" s="410"/>
      <c r="AD117" s="410"/>
      <c r="AE117" s="410"/>
      <c r="AF117" s="410"/>
      <c r="AG117" s="410"/>
      <c r="AH117" s="410"/>
      <c r="AI117" s="410"/>
      <c r="AJ117" s="410"/>
      <c r="AK117" s="410"/>
      <c r="AL117" s="410"/>
      <c r="AM117" s="410"/>
      <c r="AN117" s="410"/>
      <c r="AO117" s="410"/>
      <c r="AP117" s="410"/>
      <c r="AQ117" s="410"/>
      <c r="AR117" s="410"/>
    </row>
    <row r="118" spans="21:44" ht="15.75" customHeight="1">
      <c r="U118" s="410"/>
      <c r="V118" s="410"/>
      <c r="W118" s="410"/>
      <c r="X118" s="410"/>
      <c r="Y118" s="410"/>
      <c r="Z118" s="410"/>
      <c r="AA118" s="410"/>
      <c r="AB118" s="410"/>
      <c r="AC118" s="410"/>
      <c r="AD118" s="410"/>
      <c r="AE118" s="410"/>
      <c r="AF118" s="410"/>
      <c r="AG118" s="410"/>
      <c r="AH118" s="410"/>
      <c r="AI118" s="410"/>
      <c r="AJ118" s="410"/>
      <c r="AK118" s="410"/>
      <c r="AL118" s="410"/>
      <c r="AM118" s="410"/>
      <c r="AN118" s="410"/>
      <c r="AO118" s="410"/>
      <c r="AP118" s="410"/>
      <c r="AQ118" s="410"/>
      <c r="AR118" s="410"/>
    </row>
    <row r="119" spans="21:44" ht="15.75" customHeight="1">
      <c r="U119" s="410"/>
      <c r="V119" s="410"/>
      <c r="W119" s="410"/>
      <c r="X119" s="410"/>
      <c r="Y119" s="410"/>
      <c r="Z119" s="410"/>
      <c r="AA119" s="410"/>
      <c r="AB119" s="410"/>
      <c r="AC119" s="410"/>
      <c r="AD119" s="410"/>
      <c r="AE119" s="410"/>
      <c r="AF119" s="410"/>
      <c r="AG119" s="410"/>
      <c r="AH119" s="410"/>
      <c r="AI119" s="410"/>
      <c r="AJ119" s="410"/>
      <c r="AK119" s="410"/>
      <c r="AL119" s="410"/>
      <c r="AM119" s="410"/>
      <c r="AN119" s="410"/>
      <c r="AO119" s="410"/>
      <c r="AP119" s="410"/>
      <c r="AQ119" s="410"/>
      <c r="AR119" s="410"/>
    </row>
    <row r="120" spans="21:44" ht="15.75" customHeight="1">
      <c r="U120" s="410"/>
      <c r="V120" s="410"/>
      <c r="W120" s="410"/>
      <c r="X120" s="410"/>
      <c r="Y120" s="410"/>
      <c r="Z120" s="410"/>
      <c r="AA120" s="410"/>
      <c r="AB120" s="410"/>
      <c r="AC120" s="410"/>
      <c r="AD120" s="410"/>
      <c r="AE120" s="410"/>
      <c r="AF120" s="410"/>
      <c r="AG120" s="410"/>
      <c r="AH120" s="410"/>
      <c r="AI120" s="410"/>
      <c r="AJ120" s="410"/>
      <c r="AK120" s="410"/>
      <c r="AL120" s="410"/>
      <c r="AM120" s="410"/>
      <c r="AN120" s="410"/>
      <c r="AO120" s="410"/>
      <c r="AP120" s="410"/>
      <c r="AQ120" s="410"/>
      <c r="AR120" s="410"/>
    </row>
    <row r="121" spans="21:44" ht="15.75" customHeight="1">
      <c r="U121" s="410"/>
      <c r="V121" s="410"/>
      <c r="W121" s="410"/>
      <c r="X121" s="410"/>
      <c r="Y121" s="410"/>
      <c r="Z121" s="410"/>
      <c r="AA121" s="410"/>
      <c r="AB121" s="410"/>
      <c r="AC121" s="410"/>
      <c r="AD121" s="410"/>
      <c r="AE121" s="410"/>
      <c r="AF121" s="410"/>
      <c r="AG121" s="410"/>
      <c r="AH121" s="410"/>
      <c r="AI121" s="410"/>
      <c r="AJ121" s="410"/>
      <c r="AK121" s="410"/>
      <c r="AL121" s="410"/>
      <c r="AM121" s="410"/>
      <c r="AN121" s="410"/>
      <c r="AO121" s="410"/>
      <c r="AP121" s="410"/>
      <c r="AQ121" s="410"/>
      <c r="AR121" s="410"/>
    </row>
    <row r="122" spans="21:44" ht="15.75" customHeight="1">
      <c r="U122" s="410"/>
      <c r="V122" s="410"/>
      <c r="W122" s="410"/>
      <c r="X122" s="410"/>
      <c r="Y122" s="410"/>
      <c r="Z122" s="410"/>
      <c r="AA122" s="410"/>
      <c r="AB122" s="410"/>
      <c r="AC122" s="410"/>
      <c r="AD122" s="410"/>
      <c r="AE122" s="410"/>
      <c r="AF122" s="410"/>
      <c r="AG122" s="410"/>
      <c r="AH122" s="410"/>
      <c r="AI122" s="410"/>
      <c r="AJ122" s="410"/>
      <c r="AK122" s="410"/>
      <c r="AL122" s="410"/>
      <c r="AM122" s="410"/>
      <c r="AN122" s="410"/>
      <c r="AO122" s="410"/>
      <c r="AP122" s="410"/>
      <c r="AQ122" s="410"/>
      <c r="AR122" s="410"/>
    </row>
    <row r="123" spans="21:44" ht="15.75" customHeight="1">
      <c r="U123" s="410"/>
      <c r="V123" s="410"/>
      <c r="W123" s="410"/>
      <c r="X123" s="410"/>
      <c r="Y123" s="410"/>
      <c r="Z123" s="410"/>
      <c r="AA123" s="410"/>
      <c r="AB123" s="410"/>
      <c r="AC123" s="410"/>
      <c r="AD123" s="410"/>
      <c r="AE123" s="410"/>
      <c r="AF123" s="410"/>
      <c r="AG123" s="410"/>
      <c r="AH123" s="410"/>
      <c r="AI123" s="410"/>
      <c r="AJ123" s="410"/>
      <c r="AK123" s="410"/>
      <c r="AL123" s="410"/>
      <c r="AM123" s="410"/>
      <c r="AN123" s="410"/>
      <c r="AO123" s="410"/>
      <c r="AP123" s="410"/>
      <c r="AQ123" s="410"/>
      <c r="AR123" s="410"/>
    </row>
    <row r="124" spans="21:44" ht="15.75" customHeight="1">
      <c r="U124" s="410"/>
      <c r="V124" s="410"/>
      <c r="W124" s="410"/>
      <c r="X124" s="410"/>
      <c r="Y124" s="410"/>
      <c r="Z124" s="410"/>
      <c r="AA124" s="410"/>
      <c r="AB124" s="410"/>
      <c r="AC124" s="410"/>
      <c r="AD124" s="410"/>
      <c r="AE124" s="410"/>
      <c r="AF124" s="410"/>
      <c r="AG124" s="410"/>
      <c r="AH124" s="410"/>
      <c r="AI124" s="410"/>
      <c r="AJ124" s="410"/>
      <c r="AK124" s="410"/>
      <c r="AL124" s="410"/>
      <c r="AM124" s="410"/>
      <c r="AN124" s="410"/>
      <c r="AO124" s="410"/>
      <c r="AP124" s="410"/>
      <c r="AQ124" s="410"/>
      <c r="AR124" s="410"/>
    </row>
    <row r="125" spans="21:44" ht="15.75" customHeight="1">
      <c r="U125" s="410"/>
      <c r="V125" s="410"/>
      <c r="W125" s="410"/>
      <c r="X125" s="410"/>
      <c r="Y125" s="410"/>
      <c r="Z125" s="410"/>
      <c r="AA125" s="410"/>
      <c r="AB125" s="410"/>
      <c r="AC125" s="410"/>
      <c r="AD125" s="410"/>
      <c r="AE125" s="410"/>
      <c r="AF125" s="410"/>
      <c r="AG125" s="410"/>
      <c r="AH125" s="410"/>
      <c r="AI125" s="410"/>
      <c r="AJ125" s="410"/>
      <c r="AK125" s="410"/>
      <c r="AL125" s="410"/>
      <c r="AM125" s="410"/>
      <c r="AN125" s="410"/>
      <c r="AO125" s="410"/>
      <c r="AP125" s="410"/>
      <c r="AQ125" s="410"/>
      <c r="AR125" s="410"/>
    </row>
    <row r="126" spans="21:44" ht="15.75" customHeight="1">
      <c r="U126" s="410"/>
      <c r="V126" s="410"/>
      <c r="W126" s="410"/>
      <c r="X126" s="410"/>
      <c r="Y126" s="410"/>
      <c r="Z126" s="410"/>
      <c r="AA126" s="410"/>
      <c r="AB126" s="410"/>
      <c r="AC126" s="410"/>
      <c r="AD126" s="410"/>
      <c r="AE126" s="410"/>
      <c r="AF126" s="410"/>
      <c r="AG126" s="410"/>
      <c r="AH126" s="410"/>
      <c r="AI126" s="410"/>
      <c r="AJ126" s="410"/>
      <c r="AK126" s="410"/>
      <c r="AL126" s="410"/>
      <c r="AM126" s="410"/>
      <c r="AN126" s="410"/>
      <c r="AO126" s="410"/>
      <c r="AP126" s="410"/>
      <c r="AQ126" s="410"/>
      <c r="AR126" s="410"/>
    </row>
    <row r="127" spans="21:44" ht="15.75" customHeight="1">
      <c r="U127" s="410"/>
      <c r="V127" s="410"/>
      <c r="W127" s="410"/>
      <c r="X127" s="410"/>
      <c r="Y127" s="410"/>
      <c r="Z127" s="410"/>
      <c r="AA127" s="410"/>
      <c r="AB127" s="410"/>
      <c r="AC127" s="410"/>
      <c r="AD127" s="410"/>
      <c r="AE127" s="410"/>
      <c r="AF127" s="410"/>
      <c r="AG127" s="410"/>
      <c r="AH127" s="410"/>
      <c r="AI127" s="410"/>
      <c r="AJ127" s="410"/>
      <c r="AK127" s="410"/>
      <c r="AL127" s="410"/>
      <c r="AM127" s="410"/>
      <c r="AN127" s="410"/>
      <c r="AO127" s="410"/>
      <c r="AP127" s="410"/>
      <c r="AQ127" s="410"/>
      <c r="AR127" s="410"/>
    </row>
    <row r="128" spans="21:44" ht="15.75" customHeight="1">
      <c r="U128" s="410"/>
      <c r="V128" s="410"/>
      <c r="W128" s="410"/>
      <c r="X128" s="410"/>
      <c r="Y128" s="410"/>
      <c r="Z128" s="410"/>
      <c r="AA128" s="410"/>
      <c r="AB128" s="410"/>
      <c r="AC128" s="410"/>
      <c r="AD128" s="410"/>
      <c r="AE128" s="410"/>
      <c r="AF128" s="410"/>
      <c r="AG128" s="410"/>
      <c r="AH128" s="410"/>
      <c r="AI128" s="410"/>
      <c r="AJ128" s="410"/>
      <c r="AK128" s="410"/>
      <c r="AL128" s="410"/>
      <c r="AM128" s="410"/>
      <c r="AN128" s="410"/>
      <c r="AO128" s="410"/>
      <c r="AP128" s="410"/>
      <c r="AQ128" s="410"/>
      <c r="AR128" s="410"/>
    </row>
    <row r="129" spans="21:44" ht="15.75" customHeight="1">
      <c r="U129" s="410"/>
      <c r="V129" s="410"/>
      <c r="W129" s="410"/>
      <c r="X129" s="410"/>
      <c r="Y129" s="410"/>
      <c r="Z129" s="410"/>
      <c r="AA129" s="410"/>
      <c r="AB129" s="410"/>
      <c r="AC129" s="410"/>
      <c r="AD129" s="410"/>
      <c r="AE129" s="410"/>
      <c r="AF129" s="410"/>
      <c r="AG129" s="410"/>
      <c r="AH129" s="410"/>
      <c r="AI129" s="410"/>
      <c r="AJ129" s="410"/>
      <c r="AK129" s="410"/>
      <c r="AL129" s="410"/>
      <c r="AM129" s="410"/>
      <c r="AN129" s="410"/>
      <c r="AO129" s="410"/>
      <c r="AP129" s="410"/>
      <c r="AQ129" s="410"/>
      <c r="AR129" s="410"/>
    </row>
    <row r="130" spans="21:44" ht="15.75" customHeight="1">
      <c r="U130" s="410"/>
      <c r="V130" s="410"/>
      <c r="W130" s="410"/>
      <c r="X130" s="410"/>
      <c r="Y130" s="410"/>
      <c r="Z130" s="410"/>
      <c r="AA130" s="410"/>
      <c r="AB130" s="410"/>
      <c r="AC130" s="410"/>
      <c r="AD130" s="410"/>
      <c r="AE130" s="410"/>
      <c r="AF130" s="410"/>
      <c r="AG130" s="410"/>
      <c r="AH130" s="410"/>
      <c r="AI130" s="410"/>
      <c r="AJ130" s="410"/>
      <c r="AK130" s="410"/>
      <c r="AL130" s="410"/>
      <c r="AM130" s="410"/>
      <c r="AN130" s="410"/>
      <c r="AO130" s="410"/>
      <c r="AP130" s="410"/>
      <c r="AQ130" s="410"/>
      <c r="AR130" s="410"/>
    </row>
    <row r="131" spans="21:44" ht="15.75" customHeight="1">
      <c r="U131" s="410"/>
      <c r="V131" s="410"/>
      <c r="W131" s="410"/>
      <c r="X131" s="410"/>
      <c r="Y131" s="410"/>
      <c r="Z131" s="410"/>
      <c r="AA131" s="410"/>
      <c r="AB131" s="410"/>
      <c r="AC131" s="410"/>
      <c r="AD131" s="410"/>
      <c r="AE131" s="410"/>
      <c r="AF131" s="410"/>
      <c r="AG131" s="410"/>
      <c r="AH131" s="410"/>
      <c r="AI131" s="410"/>
      <c r="AJ131" s="410"/>
      <c r="AK131" s="410"/>
      <c r="AL131" s="410"/>
      <c r="AM131" s="410"/>
      <c r="AN131" s="410"/>
      <c r="AO131" s="410"/>
      <c r="AP131" s="410"/>
      <c r="AQ131" s="410"/>
      <c r="AR131" s="410"/>
    </row>
    <row r="132" spans="21:44" ht="15.75" customHeight="1">
      <c r="U132" s="410"/>
      <c r="V132" s="410"/>
      <c r="W132" s="410"/>
      <c r="X132" s="410"/>
      <c r="Y132" s="410"/>
      <c r="Z132" s="410"/>
      <c r="AA132" s="410"/>
      <c r="AB132" s="410"/>
      <c r="AC132" s="410"/>
      <c r="AD132" s="410"/>
      <c r="AE132" s="410"/>
      <c r="AF132" s="410"/>
      <c r="AG132" s="410"/>
      <c r="AH132" s="410"/>
      <c r="AI132" s="410"/>
      <c r="AJ132" s="410"/>
      <c r="AK132" s="410"/>
      <c r="AL132" s="410"/>
      <c r="AM132" s="410"/>
      <c r="AN132" s="410"/>
      <c r="AO132" s="410"/>
      <c r="AP132" s="410"/>
      <c r="AQ132" s="410"/>
      <c r="AR132" s="410"/>
    </row>
    <row r="133" spans="21:44" ht="15.75" customHeight="1">
      <c r="U133" s="410"/>
      <c r="V133" s="410"/>
      <c r="W133" s="410"/>
      <c r="X133" s="410"/>
      <c r="Y133" s="410"/>
      <c r="Z133" s="410"/>
      <c r="AA133" s="410"/>
      <c r="AB133" s="410"/>
      <c r="AC133" s="410"/>
      <c r="AD133" s="410"/>
      <c r="AE133" s="410"/>
      <c r="AF133" s="410"/>
      <c r="AG133" s="410"/>
      <c r="AH133" s="410"/>
      <c r="AI133" s="410"/>
      <c r="AJ133" s="410"/>
      <c r="AK133" s="410"/>
      <c r="AL133" s="410"/>
      <c r="AM133" s="410"/>
      <c r="AN133" s="410"/>
      <c r="AO133" s="410"/>
      <c r="AP133" s="410"/>
      <c r="AQ133" s="410"/>
      <c r="AR133" s="410"/>
    </row>
    <row r="134" spans="21:44" ht="15.75" customHeight="1">
      <c r="U134" s="410"/>
      <c r="V134" s="410"/>
      <c r="W134" s="410"/>
      <c r="X134" s="410"/>
      <c r="Y134" s="410"/>
      <c r="Z134" s="410"/>
      <c r="AA134" s="410"/>
      <c r="AB134" s="410"/>
      <c r="AC134" s="410"/>
      <c r="AD134" s="410"/>
      <c r="AE134" s="410"/>
      <c r="AF134" s="410"/>
      <c r="AG134" s="410"/>
      <c r="AH134" s="410"/>
      <c r="AI134" s="410"/>
      <c r="AJ134" s="410"/>
      <c r="AK134" s="410"/>
      <c r="AL134" s="410"/>
      <c r="AM134" s="410"/>
      <c r="AN134" s="410"/>
      <c r="AO134" s="410"/>
      <c r="AP134" s="410"/>
      <c r="AQ134" s="410"/>
      <c r="AR134" s="410"/>
    </row>
    <row r="135" spans="21:44" ht="15.75" customHeight="1">
      <c r="U135" s="410"/>
      <c r="V135" s="410"/>
      <c r="W135" s="410"/>
      <c r="X135" s="410"/>
      <c r="Y135" s="410"/>
      <c r="Z135" s="410"/>
      <c r="AA135" s="410"/>
      <c r="AB135" s="410"/>
      <c r="AC135" s="410"/>
      <c r="AD135" s="410"/>
      <c r="AE135" s="410"/>
      <c r="AF135" s="410"/>
      <c r="AG135" s="410"/>
      <c r="AH135" s="410"/>
      <c r="AI135" s="410"/>
      <c r="AJ135" s="410"/>
      <c r="AK135" s="410"/>
      <c r="AL135" s="410"/>
      <c r="AM135" s="410"/>
      <c r="AN135" s="410"/>
      <c r="AO135" s="410"/>
      <c r="AP135" s="410"/>
      <c r="AQ135" s="410"/>
      <c r="AR135" s="410"/>
    </row>
    <row r="136" spans="21:44" ht="15.75" customHeight="1">
      <c r="U136" s="410"/>
      <c r="V136" s="410"/>
      <c r="W136" s="410"/>
      <c r="X136" s="410"/>
      <c r="Y136" s="410"/>
      <c r="Z136" s="410"/>
      <c r="AA136" s="410"/>
      <c r="AB136" s="410"/>
      <c r="AC136" s="410"/>
      <c r="AD136" s="410"/>
      <c r="AE136" s="410"/>
      <c r="AF136" s="410"/>
      <c r="AG136" s="410"/>
      <c r="AH136" s="410"/>
      <c r="AI136" s="410"/>
      <c r="AJ136" s="410"/>
      <c r="AK136" s="410"/>
      <c r="AL136" s="410"/>
      <c r="AM136" s="410"/>
      <c r="AN136" s="410"/>
      <c r="AO136" s="410"/>
      <c r="AP136" s="410"/>
      <c r="AQ136" s="410"/>
      <c r="AR136" s="410"/>
    </row>
    <row r="137" spans="21:44" ht="15.75" customHeight="1">
      <c r="U137" s="410"/>
      <c r="V137" s="410"/>
      <c r="W137" s="410"/>
      <c r="X137" s="410"/>
      <c r="Y137" s="410"/>
      <c r="Z137" s="410"/>
      <c r="AA137" s="410"/>
      <c r="AB137" s="410"/>
      <c r="AC137" s="410"/>
      <c r="AD137" s="410"/>
      <c r="AE137" s="410"/>
      <c r="AF137" s="410"/>
      <c r="AG137" s="410"/>
      <c r="AH137" s="410"/>
      <c r="AI137" s="410"/>
      <c r="AJ137" s="410"/>
      <c r="AK137" s="410"/>
      <c r="AL137" s="410"/>
      <c r="AM137" s="410"/>
      <c r="AN137" s="410"/>
      <c r="AO137" s="410"/>
      <c r="AP137" s="410"/>
      <c r="AQ137" s="410"/>
      <c r="AR137" s="410"/>
    </row>
    <row r="138" spans="21:44" ht="15.75" customHeight="1">
      <c r="U138" s="410"/>
      <c r="V138" s="410"/>
      <c r="W138" s="410"/>
      <c r="X138" s="410"/>
      <c r="Y138" s="410"/>
      <c r="Z138" s="410"/>
      <c r="AA138" s="410"/>
      <c r="AB138" s="410"/>
      <c r="AC138" s="410"/>
      <c r="AD138" s="410"/>
      <c r="AE138" s="410"/>
      <c r="AF138" s="410"/>
      <c r="AG138" s="410"/>
      <c r="AH138" s="410"/>
      <c r="AI138" s="410"/>
      <c r="AJ138" s="410"/>
      <c r="AK138" s="410"/>
      <c r="AL138" s="410"/>
      <c r="AM138" s="410"/>
      <c r="AN138" s="410"/>
      <c r="AO138" s="410"/>
      <c r="AP138" s="410"/>
      <c r="AQ138" s="410"/>
      <c r="AR138" s="410"/>
    </row>
    <row r="139" spans="21:44" ht="15.75" customHeight="1">
      <c r="U139" s="410"/>
      <c r="V139" s="410"/>
      <c r="W139" s="410"/>
      <c r="X139" s="410"/>
      <c r="Y139" s="410"/>
      <c r="Z139" s="410"/>
      <c r="AA139" s="410"/>
      <c r="AB139" s="410"/>
      <c r="AC139" s="410"/>
      <c r="AD139" s="410"/>
      <c r="AE139" s="410"/>
      <c r="AF139" s="410"/>
      <c r="AG139" s="410"/>
      <c r="AH139" s="410"/>
      <c r="AI139" s="410"/>
      <c r="AJ139" s="410"/>
      <c r="AK139" s="410"/>
      <c r="AL139" s="410"/>
      <c r="AM139" s="410"/>
      <c r="AN139" s="410"/>
      <c r="AO139" s="410"/>
      <c r="AP139" s="410"/>
      <c r="AQ139" s="410"/>
      <c r="AR139" s="410"/>
    </row>
    <row r="140" spans="21:44" ht="15.75" customHeight="1">
      <c r="U140" s="410"/>
      <c r="V140" s="410"/>
      <c r="W140" s="410"/>
      <c r="X140" s="410"/>
      <c r="Y140" s="410"/>
      <c r="Z140" s="410"/>
      <c r="AA140" s="410"/>
      <c r="AB140" s="410"/>
      <c r="AC140" s="410"/>
      <c r="AD140" s="410"/>
      <c r="AE140" s="410"/>
      <c r="AF140" s="410"/>
      <c r="AG140" s="410"/>
      <c r="AH140" s="410"/>
      <c r="AI140" s="410"/>
      <c r="AJ140" s="410"/>
      <c r="AK140" s="410"/>
      <c r="AL140" s="410"/>
      <c r="AM140" s="410"/>
      <c r="AN140" s="410"/>
      <c r="AO140" s="410"/>
      <c r="AP140" s="410"/>
      <c r="AQ140" s="410"/>
      <c r="AR140" s="410"/>
    </row>
    <row r="141" spans="21:44" ht="15.75" customHeight="1">
      <c r="U141" s="410"/>
      <c r="V141" s="410"/>
      <c r="W141" s="410"/>
      <c r="X141" s="410"/>
      <c r="Y141" s="410"/>
      <c r="Z141" s="410"/>
      <c r="AA141" s="410"/>
      <c r="AB141" s="410"/>
      <c r="AC141" s="410"/>
      <c r="AD141" s="410"/>
      <c r="AE141" s="410"/>
      <c r="AF141" s="410"/>
      <c r="AG141" s="410"/>
      <c r="AH141" s="410"/>
      <c r="AI141" s="410"/>
      <c r="AJ141" s="410"/>
      <c r="AK141" s="410"/>
      <c r="AL141" s="410"/>
      <c r="AM141" s="410"/>
      <c r="AN141" s="410"/>
      <c r="AO141" s="410"/>
      <c r="AP141" s="410"/>
      <c r="AQ141" s="410"/>
      <c r="AR141" s="410"/>
    </row>
    <row r="142" spans="21:44" ht="15.75" customHeight="1">
      <c r="U142" s="410"/>
      <c r="V142" s="410"/>
      <c r="W142" s="410"/>
      <c r="X142" s="410"/>
    </row>
    <row r="143" spans="21:44" ht="15.75" customHeight="1">
      <c r="U143" s="410"/>
      <c r="V143" s="410"/>
      <c r="W143" s="410"/>
      <c r="X143" s="410"/>
    </row>
    <row r="144" spans="21:44" ht="15.75" customHeight="1">
      <c r="U144" s="410"/>
      <c r="V144" s="410"/>
      <c r="W144" s="410"/>
      <c r="X144" s="410"/>
    </row>
    <row r="145" spans="21:24" ht="15.75" customHeight="1">
      <c r="U145" s="410"/>
      <c r="V145" s="410"/>
      <c r="W145" s="410"/>
      <c r="X145" s="410"/>
    </row>
    <row r="146" spans="21:24" ht="15.75" customHeight="1">
      <c r="U146" s="410"/>
      <c r="V146" s="410"/>
      <c r="W146" s="410"/>
      <c r="X146" s="410"/>
    </row>
    <row r="147" spans="21:24" ht="15.75" customHeight="1">
      <c r="U147" s="410"/>
      <c r="V147" s="410"/>
      <c r="W147" s="410"/>
      <c r="X147" s="410"/>
    </row>
    <row r="148" spans="21:24" ht="15.75" customHeight="1">
      <c r="U148" s="410"/>
      <c r="V148" s="410"/>
      <c r="W148" s="410"/>
      <c r="X148" s="410"/>
    </row>
    <row r="149" spans="21:24" ht="15.75" customHeight="1">
      <c r="U149" s="410"/>
      <c r="V149" s="410"/>
      <c r="W149" s="410"/>
      <c r="X149" s="410"/>
    </row>
    <row r="150" spans="21:24" ht="15.75" customHeight="1">
      <c r="U150" s="410"/>
      <c r="V150" s="410"/>
      <c r="W150" s="410"/>
      <c r="X150" s="410"/>
    </row>
    <row r="151" spans="21:24" ht="15.75" customHeight="1">
      <c r="U151" s="410"/>
      <c r="V151" s="410"/>
      <c r="W151" s="410"/>
      <c r="X151" s="410"/>
    </row>
    <row r="152" spans="21:24" ht="15.75" customHeight="1">
      <c r="U152" s="410"/>
      <c r="V152" s="410"/>
      <c r="W152" s="410"/>
      <c r="X152" s="410"/>
    </row>
    <row r="153" spans="21:24" ht="15.75" customHeight="1">
      <c r="U153" s="410"/>
      <c r="V153" s="410"/>
      <c r="W153" s="410"/>
      <c r="X153" s="410"/>
    </row>
    <row r="154" spans="21:24" ht="15.75" customHeight="1">
      <c r="U154" s="410"/>
      <c r="V154" s="410"/>
      <c r="W154" s="410"/>
      <c r="X154" s="410"/>
    </row>
    <row r="155" spans="21:24" ht="15.75" customHeight="1">
      <c r="U155" s="410"/>
      <c r="V155" s="410"/>
      <c r="W155" s="410"/>
      <c r="X155" s="410"/>
    </row>
    <row r="156" spans="21:24" ht="15.75" customHeight="1">
      <c r="U156" s="410"/>
      <c r="V156" s="410"/>
      <c r="W156" s="410"/>
      <c r="X156" s="410"/>
    </row>
    <row r="157" spans="21:24" ht="15.75" customHeight="1">
      <c r="U157" s="410"/>
      <c r="V157" s="410"/>
      <c r="W157" s="410"/>
      <c r="X157" s="410"/>
    </row>
    <row r="158" spans="21:24" ht="15.75" customHeight="1">
      <c r="U158" s="410"/>
      <c r="V158" s="410"/>
      <c r="W158" s="410"/>
      <c r="X158" s="410"/>
    </row>
    <row r="159" spans="21:24" ht="15.75" customHeight="1">
      <c r="U159" s="410"/>
      <c r="V159" s="410"/>
      <c r="W159" s="410"/>
      <c r="X159" s="410"/>
    </row>
    <row r="160" spans="21:24" ht="15.75" customHeight="1">
      <c r="U160" s="410"/>
      <c r="V160" s="410"/>
      <c r="W160" s="410"/>
      <c r="X160" s="410"/>
    </row>
    <row r="161" spans="21:24" ht="15.75" customHeight="1">
      <c r="U161" s="410"/>
      <c r="V161" s="410"/>
      <c r="W161" s="410"/>
      <c r="X161" s="410"/>
    </row>
    <row r="162" spans="21:24" ht="15.75" customHeight="1">
      <c r="U162" s="410"/>
      <c r="V162" s="410"/>
      <c r="W162" s="410"/>
      <c r="X162" s="410"/>
    </row>
    <row r="163" spans="21:24" ht="15.75" customHeight="1">
      <c r="U163" s="410"/>
      <c r="V163" s="410"/>
      <c r="W163" s="410"/>
      <c r="X163" s="410"/>
    </row>
    <row r="164" spans="21:24" ht="15.75" customHeight="1">
      <c r="U164" s="410"/>
      <c r="V164" s="410"/>
      <c r="W164" s="410"/>
      <c r="X164" s="410"/>
    </row>
    <row r="165" spans="21:24" ht="15.75" customHeight="1">
      <c r="U165" s="410"/>
      <c r="V165" s="410"/>
      <c r="W165" s="410"/>
      <c r="X165" s="410"/>
    </row>
    <row r="166" spans="21:24" ht="15.75" customHeight="1">
      <c r="U166" s="410"/>
      <c r="V166" s="410"/>
      <c r="W166" s="410"/>
      <c r="X166" s="410"/>
    </row>
    <row r="167" spans="21:24" ht="15.75" customHeight="1">
      <c r="U167" s="410"/>
      <c r="V167" s="410"/>
      <c r="W167" s="410"/>
      <c r="X167" s="410"/>
    </row>
    <row r="168" spans="21:24" ht="15.75" customHeight="1">
      <c r="U168" s="410"/>
      <c r="V168" s="410"/>
      <c r="W168" s="410"/>
      <c r="X168" s="410"/>
    </row>
    <row r="169" spans="21:24" ht="15.75" customHeight="1">
      <c r="U169" s="410"/>
      <c r="V169" s="410"/>
      <c r="W169" s="410"/>
      <c r="X169" s="410"/>
    </row>
    <row r="170" spans="21:24" ht="15.75" customHeight="1">
      <c r="U170" s="410"/>
      <c r="V170" s="410"/>
      <c r="W170" s="410"/>
      <c r="X170" s="410"/>
    </row>
    <row r="171" spans="21:24" ht="15.75" customHeight="1">
      <c r="U171" s="410"/>
      <c r="V171" s="410"/>
      <c r="W171" s="410"/>
      <c r="X171" s="410"/>
    </row>
    <row r="172" spans="21:24" ht="15.75" customHeight="1">
      <c r="U172" s="410"/>
      <c r="V172" s="410"/>
      <c r="W172" s="410"/>
      <c r="X172" s="410"/>
    </row>
    <row r="173" spans="21:24" ht="15.75" customHeight="1">
      <c r="U173" s="410"/>
      <c r="V173" s="410"/>
      <c r="W173" s="410"/>
      <c r="X173" s="410"/>
    </row>
    <row r="174" spans="21:24" ht="15.75" customHeight="1">
      <c r="U174" s="410"/>
      <c r="V174" s="410"/>
      <c r="W174" s="410"/>
      <c r="X174" s="410"/>
    </row>
    <row r="175" spans="21:24" ht="15.75" customHeight="1">
      <c r="U175" s="410"/>
      <c r="V175" s="410"/>
      <c r="W175" s="410"/>
      <c r="X175" s="410"/>
    </row>
    <row r="176" spans="21:24" ht="15.75" customHeight="1">
      <c r="U176" s="410"/>
      <c r="V176" s="410"/>
      <c r="W176" s="410"/>
      <c r="X176" s="410"/>
    </row>
    <row r="177" spans="21:24" ht="15.75" customHeight="1">
      <c r="U177" s="410"/>
      <c r="V177" s="410"/>
      <c r="W177" s="410"/>
      <c r="X177" s="410"/>
    </row>
    <row r="178" spans="21:24" ht="15.75" customHeight="1">
      <c r="U178" s="410"/>
      <c r="V178" s="410"/>
      <c r="W178" s="410"/>
      <c r="X178" s="410"/>
    </row>
    <row r="179" spans="21:24" ht="15.75" customHeight="1">
      <c r="U179" s="410"/>
      <c r="V179" s="410"/>
      <c r="W179" s="410"/>
      <c r="X179" s="410"/>
    </row>
    <row r="180" spans="21:24" ht="15.75" customHeight="1">
      <c r="U180" s="410"/>
      <c r="V180" s="410"/>
      <c r="W180" s="410"/>
      <c r="X180" s="410"/>
    </row>
    <row r="181" spans="21:24" ht="15.75" customHeight="1">
      <c r="U181" s="410"/>
      <c r="V181" s="410"/>
      <c r="W181" s="410"/>
      <c r="X181" s="410"/>
    </row>
    <row r="182" spans="21:24" ht="15.75" customHeight="1">
      <c r="U182" s="410"/>
      <c r="V182" s="410"/>
      <c r="W182" s="410"/>
      <c r="X182" s="410"/>
    </row>
    <row r="183" spans="21:24" ht="15.75" customHeight="1">
      <c r="U183" s="410"/>
      <c r="V183" s="410"/>
      <c r="W183" s="410"/>
      <c r="X183" s="410"/>
    </row>
    <row r="184" spans="21:24" ht="15.75" customHeight="1">
      <c r="U184" s="410"/>
      <c r="V184" s="410"/>
      <c r="W184" s="410"/>
      <c r="X184" s="410"/>
    </row>
    <row r="185" spans="21:24" ht="15.75" customHeight="1">
      <c r="U185" s="410"/>
      <c r="V185" s="410"/>
      <c r="W185" s="410"/>
      <c r="X185" s="410"/>
    </row>
    <row r="186" spans="21:24" ht="15.75" customHeight="1">
      <c r="U186" s="410"/>
      <c r="V186" s="410"/>
      <c r="W186" s="410"/>
      <c r="X186" s="410"/>
    </row>
    <row r="187" spans="21:24" ht="15.75" customHeight="1">
      <c r="U187" s="410"/>
      <c r="V187" s="410"/>
      <c r="W187" s="410"/>
      <c r="X187" s="410"/>
    </row>
    <row r="188" spans="21:24" ht="15.75" customHeight="1">
      <c r="U188" s="410"/>
      <c r="V188" s="410"/>
      <c r="W188" s="410"/>
      <c r="X188" s="410"/>
    </row>
    <row r="189" spans="21:24" ht="15.75" customHeight="1">
      <c r="U189" s="410"/>
      <c r="V189" s="410"/>
      <c r="W189" s="410"/>
      <c r="X189" s="410"/>
    </row>
    <row r="190" spans="21:24" ht="15.75" customHeight="1">
      <c r="U190" s="410"/>
      <c r="V190" s="410"/>
      <c r="W190" s="410"/>
      <c r="X190" s="410"/>
    </row>
    <row r="191" spans="21:24" ht="15.75" customHeight="1">
      <c r="U191" s="410"/>
      <c r="V191" s="410"/>
      <c r="W191" s="410"/>
      <c r="X191" s="410"/>
    </row>
    <row r="192" spans="21:24" ht="15.75" customHeight="1">
      <c r="U192" s="410"/>
      <c r="V192" s="410"/>
      <c r="W192" s="410"/>
      <c r="X192" s="410"/>
    </row>
    <row r="193" spans="21:24" ht="15.75" customHeight="1">
      <c r="U193" s="410"/>
      <c r="V193" s="410"/>
      <c r="W193" s="410"/>
      <c r="X193" s="410"/>
    </row>
    <row r="194" spans="21:24" ht="15.75" customHeight="1">
      <c r="U194" s="410"/>
      <c r="V194" s="410"/>
      <c r="W194" s="410"/>
      <c r="X194" s="410"/>
    </row>
    <row r="195" spans="21:24" ht="15.75" customHeight="1">
      <c r="U195" s="410"/>
      <c r="V195" s="410"/>
      <c r="W195" s="410"/>
      <c r="X195" s="410"/>
    </row>
    <row r="196" spans="21:24" ht="15.75" customHeight="1">
      <c r="U196" s="410"/>
      <c r="V196" s="410"/>
      <c r="W196" s="410"/>
      <c r="X196" s="410"/>
    </row>
    <row r="197" spans="21:24" ht="15.75" customHeight="1">
      <c r="U197" s="410"/>
      <c r="V197" s="410"/>
      <c r="W197" s="410"/>
      <c r="X197" s="410"/>
    </row>
    <row r="198" spans="21:24" ht="15.75" customHeight="1">
      <c r="U198" s="410"/>
      <c r="V198" s="410"/>
      <c r="W198" s="410"/>
      <c r="X198" s="410"/>
    </row>
    <row r="199" spans="21:24" ht="15.75" customHeight="1">
      <c r="U199" s="410"/>
      <c r="V199" s="410"/>
      <c r="W199" s="410"/>
      <c r="X199" s="410"/>
    </row>
    <row r="200" spans="21:24" ht="15.75" customHeight="1">
      <c r="U200" s="410"/>
      <c r="V200" s="410"/>
      <c r="W200" s="410"/>
      <c r="X200" s="410"/>
    </row>
    <row r="201" spans="21:24" ht="15.75" customHeight="1">
      <c r="U201" s="410"/>
      <c r="V201" s="410"/>
      <c r="W201" s="410"/>
      <c r="X201" s="410"/>
    </row>
    <row r="202" spans="21:24" ht="15.75" customHeight="1">
      <c r="U202" s="410"/>
      <c r="V202" s="410"/>
      <c r="W202" s="410"/>
      <c r="X202" s="410"/>
    </row>
    <row r="203" spans="21:24" ht="15.75" customHeight="1">
      <c r="U203" s="410"/>
      <c r="V203" s="410"/>
      <c r="W203" s="410"/>
      <c r="X203" s="410"/>
    </row>
    <row r="204" spans="21:24" ht="15.75" customHeight="1">
      <c r="U204" s="410"/>
      <c r="V204" s="410"/>
      <c r="W204" s="410"/>
      <c r="X204" s="410"/>
    </row>
    <row r="205" spans="21:24" ht="15.75" customHeight="1">
      <c r="U205" s="410"/>
      <c r="V205" s="410"/>
      <c r="W205" s="410"/>
      <c r="X205" s="410"/>
    </row>
    <row r="206" spans="21:24" ht="15.75" customHeight="1">
      <c r="U206" s="410"/>
      <c r="V206" s="410"/>
      <c r="W206" s="410"/>
      <c r="X206" s="410"/>
    </row>
    <row r="207" spans="21:24" ht="15.75" customHeight="1">
      <c r="U207" s="410"/>
      <c r="V207" s="410"/>
      <c r="W207" s="410"/>
      <c r="X207" s="410"/>
    </row>
    <row r="208" spans="21:24" ht="15.75" customHeight="1">
      <c r="U208" s="410"/>
      <c r="V208" s="410"/>
      <c r="W208" s="410"/>
      <c r="X208" s="410"/>
    </row>
    <row r="209" spans="21:24" ht="15.75" customHeight="1">
      <c r="U209" s="410"/>
      <c r="V209" s="410"/>
      <c r="W209" s="410"/>
      <c r="X209" s="410"/>
    </row>
    <row r="210" spans="21:24" ht="15.75" customHeight="1">
      <c r="U210" s="410"/>
      <c r="V210" s="410"/>
      <c r="W210" s="410"/>
      <c r="X210" s="410"/>
    </row>
    <row r="211" spans="21:24" ht="15.75" customHeight="1">
      <c r="U211" s="410"/>
      <c r="V211" s="410"/>
      <c r="W211" s="410"/>
      <c r="X211" s="410"/>
    </row>
    <row r="212" spans="21:24" ht="15.75" customHeight="1">
      <c r="U212" s="410"/>
      <c r="V212" s="410"/>
      <c r="W212" s="410"/>
      <c r="X212" s="410"/>
    </row>
    <row r="213" spans="21:24" ht="15.75" customHeight="1">
      <c r="U213" s="410"/>
      <c r="V213" s="410"/>
      <c r="W213" s="410"/>
      <c r="X213" s="410"/>
    </row>
    <row r="214" spans="21:24" ht="15.75" customHeight="1">
      <c r="U214" s="410"/>
      <c r="V214" s="410"/>
      <c r="W214" s="410"/>
      <c r="X214" s="410"/>
    </row>
    <row r="215" spans="21:24" ht="15.75" customHeight="1">
      <c r="U215" s="410"/>
      <c r="V215" s="410"/>
      <c r="W215" s="410"/>
      <c r="X215" s="410"/>
    </row>
    <row r="216" spans="21:24" ht="15.75" customHeight="1">
      <c r="U216" s="410"/>
      <c r="V216" s="410"/>
      <c r="W216" s="410"/>
      <c r="X216" s="410"/>
    </row>
    <row r="217" spans="21:24" ht="15.75" customHeight="1">
      <c r="U217" s="410"/>
      <c r="V217" s="410"/>
      <c r="W217" s="410"/>
      <c r="X217" s="410"/>
    </row>
    <row r="218" spans="21:24" ht="15.75" customHeight="1"/>
    <row r="219" spans="21:24" ht="15.75" customHeight="1"/>
    <row r="220" spans="21:24" ht="15.75" customHeight="1"/>
    <row r="221" spans="21:24" ht="15.75" customHeight="1"/>
    <row r="222" spans="21:24" ht="15.75" customHeight="1"/>
    <row r="223" spans="21:24" ht="15.75" customHeight="1"/>
    <row r="224" spans="21: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45">
    <mergeCell ref="F13:G13"/>
    <mergeCell ref="F14:G14"/>
    <mergeCell ref="U7:W7"/>
    <mergeCell ref="U20:W20"/>
    <mergeCell ref="U33:W33"/>
    <mergeCell ref="D29:E29"/>
    <mergeCell ref="A23:G23"/>
    <mergeCell ref="B29:C29"/>
    <mergeCell ref="D26:E26"/>
    <mergeCell ref="M17:N17"/>
    <mergeCell ref="M8:N8"/>
    <mergeCell ref="F21:G21"/>
    <mergeCell ref="F22:G22"/>
    <mergeCell ref="F20:G20"/>
    <mergeCell ref="F26:G26"/>
    <mergeCell ref="F27:G27"/>
    <mergeCell ref="F17:G17"/>
    <mergeCell ref="D25:E25"/>
    <mergeCell ref="F25:G25"/>
    <mergeCell ref="D27:E27"/>
    <mergeCell ref="F24:G24"/>
    <mergeCell ref="M23:N23"/>
    <mergeCell ref="F3:I5"/>
    <mergeCell ref="I7:R7"/>
    <mergeCell ref="P8:Q8"/>
    <mergeCell ref="F8:G8"/>
    <mergeCell ref="M11:N11"/>
    <mergeCell ref="F12:G12"/>
    <mergeCell ref="F15:G15"/>
    <mergeCell ref="F16:G16"/>
    <mergeCell ref="A7:G7"/>
    <mergeCell ref="F9:G9"/>
    <mergeCell ref="F10:G10"/>
    <mergeCell ref="F11:G11"/>
    <mergeCell ref="M27:N27"/>
    <mergeCell ref="M28:N29"/>
    <mergeCell ref="B36:C36"/>
    <mergeCell ref="B37:C37"/>
    <mergeCell ref="B43:C43"/>
    <mergeCell ref="B44:C44"/>
    <mergeCell ref="B38:C38"/>
    <mergeCell ref="B39:C39"/>
    <mergeCell ref="B40:C40"/>
    <mergeCell ref="B41:C41"/>
    <mergeCell ref="B42:C42"/>
  </mergeCells>
  <phoneticPr fontId="126" type="noConversion"/>
  <conditionalFormatting sqref="A34:C35">
    <cfRule type="containsText" dxfId="5" priority="3" operator="containsText" text="Denegado">
      <formula>NOT(ISERROR(SEARCH("Denegado",A34)))</formula>
    </cfRule>
    <cfRule type="containsText" dxfId="4" priority="4" operator="containsText" text="Validado">
      <formula>NOT(ISERROR(SEARCH("Validado",A34)))</formula>
    </cfRule>
  </conditionalFormatting>
  <dataValidations count="8">
    <dataValidation type="list" allowBlank="1" showInputMessage="1" showErrorMessage="1" sqref="D5:E5" xr:uid="{65156BC9-1313-4C1D-89D4-94DA2B4469FD}">
      <formula1>$AA$2:$AA$4</formula1>
    </dataValidation>
    <dataValidation type="list" allowBlank="1" showInputMessage="1" showErrorMessage="1" sqref="J5:L5" xr:uid="{604FF5CE-7144-4619-A7E7-74AE81FDD320}">
      <formula1>$AC$2:$AC$3</formula1>
    </dataValidation>
    <dataValidation type="list" allowBlank="1" showInputMessage="1" showErrorMessage="1" sqref="O11 N18" xr:uid="{35E583A9-FCE9-4212-84FE-D30D1E46AF27}">
      <formula1>$AA$6:$AA$7</formula1>
    </dataValidation>
    <dataValidation type="list" allowBlank="1" showInputMessage="1" showErrorMessage="1" sqref="Q12" xr:uid="{F4860485-4958-4CA6-8484-59DA08B05A74}">
      <formula1>$AB$28:$AB$36</formula1>
    </dataValidation>
    <dataValidation type="list" allowBlank="1" showInputMessage="1" showErrorMessage="1" sqref="I30" xr:uid="{A3852C8A-DAC5-42B4-96B8-17D9C8192853}">
      <formula1>$B$37:$B$38</formula1>
    </dataValidation>
    <dataValidation type="list" allowBlank="1" showInputMessage="1" showErrorMessage="1" sqref="E16" xr:uid="{0DC9F7C7-9916-4A24-8114-824DC043A7B7}">
      <formula1>$U$34:$U$55</formula1>
    </dataValidation>
    <dataValidation type="list" allowBlank="1" showInputMessage="1" showErrorMessage="1" sqref="E9:E12" xr:uid="{565B5CB8-8D4E-4958-A9B9-508D8955A123}">
      <formula1>$U$8:$U$18</formula1>
    </dataValidation>
    <dataValidation type="list" allowBlank="1" showInputMessage="1" showErrorMessage="1" sqref="E13:E15" xr:uid="{E16CAACA-1575-4644-B2E8-8FD5D8520D88}">
      <formula1>$U$21:$U$31</formula1>
    </dataValidation>
  </dataValidations>
  <hyperlinks>
    <hyperlink ref="B36:C36" r:id="rId1" display="PTR" xr:uid="{4A6451D9-ECC4-4901-8B63-64CF41B2593D}"/>
    <hyperlink ref="B37:C37" r:id="rId2" display="IPR" xr:uid="{763F3DDB-7523-480C-85F9-F23EEA202A39}"/>
    <hyperlink ref="B38:C38" r:id="rId3" display="APS" xr:uid="{0C2904E0-033B-4C70-8414-2402258F6D16}"/>
    <hyperlink ref="B39:C39" r:id="rId4" display="SOLERA" xr:uid="{1382E0C2-C057-4152-A429-F1D0D5976357}"/>
    <hyperlink ref="B40:C40" r:id="rId5" display="HSS" xr:uid="{12877754-2698-45DF-B339-19AB3AA9D8AC}"/>
    <hyperlink ref="B41:C41" r:id="rId6" display="MONTEN" xr:uid="{64498C50-6BF9-41DC-A990-2AC35E0808EA}"/>
    <hyperlink ref="B42:C42" r:id="rId7" display="CANAL" xr:uid="{4936A40E-F349-49FF-9863-1B4F8F4FE570}"/>
    <hyperlink ref="B43:C43" r:id="rId8" display="ANTIDERRAPANTE" xr:uid="{4AB14F04-4B74-4188-9B9F-A84C22A1373B}"/>
    <hyperlink ref="B44:C44" r:id="rId9" display="LAMINA " xr:uid="{EC1A9144-88D2-459A-8F67-50AB3C75872E}"/>
  </hyperlinks>
  <pageMargins left="0.7" right="0.7" top="0.75" bottom="0.75" header="0" footer="0"/>
  <pageSetup orientation="landscape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13" name="Button 1">
              <controlPr defaultSize="0" print="0" autoFill="0" autoPict="0" macro="[1]!PisoLiso">
                <anchor moveWithCells="1" sizeWithCells="1">
                  <from>
                    <xdr:col>3</xdr:col>
                    <xdr:colOff>861060</xdr:colOff>
                    <xdr:row>35</xdr:row>
                    <xdr:rowOff>0</xdr:rowOff>
                  </from>
                  <to>
                    <xdr:col>5</xdr:col>
                    <xdr:colOff>228600</xdr:colOff>
                    <xdr:row>36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F8F1-412E-424C-A95F-CA04ECF7EA78}">
  <dimension ref="A1:LE57"/>
  <sheetViews>
    <sheetView zoomScaleNormal="100" workbookViewId="0">
      <selection activeCell="G10" sqref="G10:G28"/>
    </sheetView>
  </sheetViews>
  <sheetFormatPr baseColWidth="10" defaultColWidth="11.5546875" defaultRowHeight="14.4"/>
  <sheetData>
    <row r="1" spans="1:317">
      <c r="A1" s="330"/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0"/>
      <c r="Y1" s="330"/>
      <c r="Z1" s="330"/>
      <c r="AA1" s="330"/>
      <c r="AB1" s="330"/>
      <c r="AC1" s="330"/>
      <c r="AD1" s="330"/>
      <c r="AE1" s="330"/>
      <c r="AF1" s="330"/>
      <c r="AG1" s="330"/>
      <c r="AH1" s="330"/>
      <c r="AI1" s="330"/>
      <c r="AJ1" s="330"/>
      <c r="AK1" s="330"/>
      <c r="AL1" s="330"/>
      <c r="AM1" s="330"/>
      <c r="AN1" s="330"/>
      <c r="AO1" s="330"/>
      <c r="AP1" s="330"/>
      <c r="AQ1" s="330"/>
      <c r="AR1" s="330"/>
      <c r="AS1" s="330"/>
      <c r="AT1" s="330"/>
      <c r="AU1" s="330"/>
      <c r="AV1" s="330"/>
      <c r="AW1" s="330"/>
      <c r="AX1" s="330"/>
      <c r="AY1" s="330"/>
      <c r="AZ1" s="330"/>
      <c r="BA1" s="330"/>
      <c r="BB1" s="330"/>
      <c r="BC1" s="330"/>
      <c r="BD1" s="330"/>
      <c r="BE1" s="330"/>
      <c r="BF1" s="330"/>
      <c r="BG1" s="330"/>
      <c r="BH1" s="330"/>
      <c r="BI1" s="330"/>
      <c r="BJ1" s="330"/>
      <c r="BK1" s="330"/>
      <c r="BL1" s="330"/>
      <c r="BM1" s="330"/>
      <c r="BN1" s="330"/>
      <c r="BO1" s="330"/>
      <c r="BP1" s="330"/>
      <c r="BQ1" s="330"/>
      <c r="BR1" s="330"/>
      <c r="BS1" s="330"/>
      <c r="BT1" s="330"/>
      <c r="BU1" s="330"/>
      <c r="BV1" s="330"/>
      <c r="BW1" s="330"/>
      <c r="BX1" s="330"/>
      <c r="BY1" s="330"/>
      <c r="BZ1" s="330"/>
      <c r="CA1" s="330"/>
      <c r="CB1" s="330"/>
      <c r="CC1" s="330"/>
      <c r="CD1" s="330"/>
      <c r="CE1" s="330"/>
      <c r="CF1" s="330"/>
      <c r="CG1" s="330"/>
      <c r="CH1" s="330"/>
      <c r="CI1" s="330"/>
      <c r="CJ1" s="330"/>
      <c r="CK1" s="330"/>
      <c r="CL1" s="330"/>
      <c r="CM1" s="330"/>
      <c r="CN1" s="330"/>
      <c r="CO1" s="330"/>
      <c r="CP1" s="330"/>
      <c r="CQ1" s="330"/>
      <c r="CR1" s="330"/>
      <c r="CS1" s="330"/>
      <c r="CT1" s="330"/>
      <c r="CU1" s="330"/>
      <c r="CV1" s="330"/>
      <c r="CW1" s="330"/>
      <c r="CX1" s="330"/>
      <c r="CY1" s="330"/>
      <c r="CZ1" s="330"/>
      <c r="DA1" s="330"/>
      <c r="DB1" s="330"/>
      <c r="DC1" s="330"/>
      <c r="DD1" s="330"/>
      <c r="DE1" s="330"/>
      <c r="DF1" s="330"/>
      <c r="DG1" s="330"/>
      <c r="DH1" s="330"/>
      <c r="DI1" s="330"/>
      <c r="DJ1" s="330"/>
      <c r="DK1" s="330"/>
      <c r="DL1" s="330"/>
      <c r="DM1" s="330"/>
      <c r="DN1" s="330"/>
      <c r="DO1" s="330"/>
      <c r="DP1" s="330"/>
      <c r="DQ1" s="330"/>
      <c r="DR1" s="330"/>
      <c r="DS1" s="330"/>
      <c r="DT1" s="330"/>
      <c r="DU1" s="330"/>
      <c r="DV1" s="330"/>
      <c r="DW1" s="330"/>
      <c r="DX1" s="330"/>
      <c r="DY1" s="330"/>
      <c r="DZ1" s="330"/>
      <c r="EA1" s="330"/>
      <c r="EB1" s="330"/>
      <c r="EC1" s="330"/>
      <c r="ED1" s="330"/>
      <c r="EE1" s="330"/>
      <c r="EF1" s="330"/>
      <c r="EG1" s="330"/>
      <c r="EH1" s="330"/>
      <c r="EI1" s="330"/>
      <c r="EJ1" s="330"/>
      <c r="EK1" s="330"/>
      <c r="EL1" s="330"/>
      <c r="EM1" s="330"/>
      <c r="EN1" s="330"/>
      <c r="EO1" s="330"/>
      <c r="EP1" s="330"/>
      <c r="EQ1" s="330"/>
      <c r="ER1" s="330"/>
      <c r="ES1" s="330"/>
      <c r="ET1" s="330"/>
      <c r="EU1" s="330"/>
      <c r="EV1" s="330"/>
      <c r="EW1" s="330"/>
      <c r="EX1" s="330"/>
      <c r="EY1" s="330"/>
      <c r="EZ1" s="330"/>
      <c r="FA1" s="330"/>
      <c r="FB1" s="330"/>
      <c r="FC1" s="330"/>
      <c r="FD1" s="330"/>
      <c r="FE1" s="330"/>
      <c r="FF1" s="330"/>
      <c r="FG1" s="330"/>
      <c r="FH1" s="330"/>
      <c r="FI1" s="330"/>
      <c r="FJ1" s="330"/>
      <c r="FK1" s="330"/>
      <c r="FL1" s="330"/>
      <c r="FM1" s="330"/>
      <c r="FN1" s="330"/>
      <c r="FO1" s="330"/>
      <c r="FP1" s="330"/>
      <c r="FQ1" s="330"/>
      <c r="FR1" s="330"/>
      <c r="FS1" s="330"/>
      <c r="FT1" s="330"/>
      <c r="FU1" s="330"/>
      <c r="FV1" s="330"/>
      <c r="FW1" s="330"/>
      <c r="FX1" s="330"/>
      <c r="FY1" s="330"/>
      <c r="FZ1" s="330"/>
      <c r="GA1" s="330"/>
      <c r="GB1" s="330"/>
      <c r="GC1" s="330"/>
      <c r="GD1" s="330"/>
      <c r="GE1" s="330"/>
      <c r="GF1" s="330"/>
      <c r="GG1" s="330"/>
      <c r="GH1" s="330"/>
      <c r="GI1" s="330"/>
      <c r="GJ1" s="330"/>
      <c r="GK1" s="330"/>
      <c r="GL1" s="330"/>
      <c r="GM1" s="330"/>
      <c r="GN1" s="330"/>
      <c r="GO1" s="330"/>
      <c r="GP1" s="330"/>
      <c r="GQ1" s="330"/>
      <c r="GR1" s="330"/>
      <c r="GS1" s="330"/>
      <c r="GT1" s="330"/>
      <c r="GU1" s="330"/>
      <c r="GV1" s="330"/>
      <c r="GW1" s="330"/>
      <c r="GX1" s="330"/>
      <c r="GY1" s="330"/>
      <c r="GZ1" s="330"/>
      <c r="HA1" s="330"/>
      <c r="HB1" s="330"/>
      <c r="HC1" s="330"/>
      <c r="HD1" s="330"/>
      <c r="HE1" s="330"/>
      <c r="HF1" s="330"/>
      <c r="HG1" s="330"/>
      <c r="HH1" s="330"/>
      <c r="HI1" s="330"/>
      <c r="HJ1" s="330"/>
      <c r="HK1" s="330"/>
      <c r="HL1" s="330"/>
      <c r="HM1" s="330"/>
      <c r="HN1" s="330"/>
      <c r="HO1" s="330"/>
      <c r="HP1" s="330"/>
      <c r="HQ1" s="330"/>
      <c r="HR1" s="330"/>
      <c r="HS1" s="330"/>
      <c r="HT1" s="330"/>
      <c r="HU1" s="330"/>
      <c r="HV1" s="330"/>
      <c r="HW1" s="330"/>
      <c r="HX1" s="330"/>
      <c r="HY1" s="330"/>
      <c r="HZ1" s="330"/>
      <c r="IA1" s="330"/>
      <c r="IB1" s="330"/>
      <c r="IC1" s="330"/>
      <c r="ID1" s="330"/>
      <c r="IE1" s="330"/>
      <c r="IF1" s="330"/>
      <c r="IG1" s="330"/>
      <c r="IH1" s="330"/>
      <c r="II1" s="330"/>
      <c r="IJ1" s="330"/>
      <c r="IK1" s="330"/>
      <c r="IL1" s="330"/>
      <c r="IM1" s="330"/>
      <c r="IN1" s="330"/>
      <c r="IO1" s="330"/>
      <c r="IP1" s="330"/>
      <c r="IQ1" s="330"/>
      <c r="IR1" s="330"/>
      <c r="IS1" s="330"/>
      <c r="IT1" s="330"/>
      <c r="IU1" s="330"/>
      <c r="IV1" s="330"/>
      <c r="IW1" s="330"/>
      <c r="IX1" s="330"/>
      <c r="IY1" s="330"/>
      <c r="IZ1" s="330"/>
      <c r="JA1" s="330"/>
      <c r="JB1" s="330"/>
      <c r="JC1" s="330"/>
      <c r="JD1" s="330"/>
      <c r="JE1" s="330"/>
      <c r="JF1" s="330"/>
      <c r="JG1" s="330"/>
      <c r="JH1" s="330"/>
      <c r="JI1" s="330"/>
      <c r="JJ1" s="330"/>
      <c r="JK1" s="330"/>
      <c r="JL1" s="330"/>
      <c r="JM1" s="330"/>
      <c r="JN1" s="330"/>
      <c r="JO1" s="330"/>
      <c r="JP1" s="330"/>
      <c r="JQ1" s="330"/>
      <c r="JR1" s="330"/>
      <c r="JS1" s="330"/>
      <c r="JT1" s="330"/>
      <c r="JU1" s="330"/>
      <c r="JV1" s="330"/>
      <c r="JW1" s="330"/>
      <c r="JX1" s="330"/>
      <c r="JY1" s="330"/>
      <c r="JZ1" s="330"/>
      <c r="KA1" s="330"/>
      <c r="KB1" s="330"/>
      <c r="KC1" s="330"/>
      <c r="KD1" s="330"/>
      <c r="KE1" s="330"/>
      <c r="KF1" s="330"/>
      <c r="KG1" s="330"/>
      <c r="KH1" s="330"/>
      <c r="KI1" s="330"/>
      <c r="KJ1" s="330"/>
      <c r="KK1" s="330"/>
      <c r="KL1" s="330"/>
      <c r="KM1" s="330"/>
      <c r="KN1" s="330"/>
      <c r="KO1" s="330"/>
      <c r="KP1" s="330"/>
      <c r="KQ1" s="330"/>
      <c r="KR1" s="330"/>
      <c r="KS1" s="330"/>
      <c r="KT1" s="330"/>
      <c r="KU1" s="330"/>
      <c r="KV1" s="330"/>
      <c r="KW1" s="330"/>
      <c r="KX1" s="330"/>
      <c r="KY1" s="330"/>
      <c r="KZ1" s="330"/>
      <c r="LA1" s="330"/>
      <c r="LB1" s="330"/>
      <c r="LC1" s="330"/>
      <c r="LD1" s="330"/>
      <c r="LE1" s="330"/>
    </row>
    <row r="2" spans="1:317">
      <c r="A2" s="330"/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330"/>
      <c r="AD2" s="330"/>
      <c r="AE2" s="330"/>
      <c r="AF2" s="330"/>
      <c r="AG2" s="330"/>
      <c r="AH2" s="330"/>
      <c r="AI2" s="330"/>
      <c r="AJ2" s="330"/>
      <c r="AK2" s="330"/>
      <c r="AL2" s="330"/>
      <c r="AM2" s="330"/>
      <c r="AN2" s="330"/>
      <c r="AO2" s="330"/>
      <c r="AP2" s="330"/>
      <c r="AQ2" s="330"/>
      <c r="AR2" s="330"/>
      <c r="AS2" s="330"/>
      <c r="AT2" s="330"/>
      <c r="AU2" s="330"/>
      <c r="AV2" s="330"/>
      <c r="AW2" s="330"/>
      <c r="AX2" s="330"/>
      <c r="AY2" s="330"/>
      <c r="AZ2" s="330"/>
      <c r="BA2" s="330"/>
      <c r="BB2" s="330"/>
      <c r="BC2" s="330"/>
      <c r="BD2" s="330"/>
      <c r="BE2" s="330"/>
      <c r="BF2" s="330"/>
      <c r="BG2" s="330"/>
      <c r="BH2" s="330"/>
      <c r="BI2" s="330"/>
      <c r="BJ2" s="330"/>
      <c r="BK2" s="330"/>
      <c r="BL2" s="330"/>
      <c r="BM2" s="330"/>
      <c r="BN2" s="330"/>
      <c r="BO2" s="330"/>
      <c r="BP2" s="330"/>
      <c r="BQ2" s="330"/>
      <c r="BR2" s="330"/>
      <c r="BS2" s="330"/>
      <c r="BT2" s="330"/>
      <c r="BU2" s="330"/>
      <c r="BV2" s="330"/>
      <c r="BW2" s="330"/>
      <c r="BX2" s="330"/>
      <c r="BY2" s="330"/>
      <c r="BZ2" s="330"/>
      <c r="CA2" s="330"/>
      <c r="CB2" s="330"/>
      <c r="CC2" s="330"/>
      <c r="CD2" s="330"/>
      <c r="CE2" s="330"/>
      <c r="CF2" s="330"/>
      <c r="CG2" s="330"/>
      <c r="CH2" s="330"/>
      <c r="CI2" s="330"/>
      <c r="CJ2" s="330"/>
      <c r="CK2" s="330"/>
      <c r="CL2" s="330"/>
      <c r="CM2" s="330"/>
      <c r="CN2" s="330"/>
      <c r="CO2" s="330"/>
      <c r="CP2" s="330"/>
      <c r="CQ2" s="330"/>
      <c r="CR2" s="330"/>
      <c r="CS2" s="330"/>
      <c r="CT2" s="330"/>
      <c r="CU2" s="330"/>
      <c r="CV2" s="330"/>
      <c r="CW2" s="330"/>
      <c r="CX2" s="330"/>
      <c r="CY2" s="330"/>
      <c r="CZ2" s="330"/>
      <c r="DA2" s="330"/>
      <c r="DB2" s="330"/>
      <c r="DC2" s="330"/>
      <c r="DD2" s="330"/>
      <c r="DE2" s="330"/>
      <c r="DF2" s="330"/>
      <c r="DG2" s="330"/>
      <c r="DH2" s="330"/>
      <c r="DI2" s="330"/>
      <c r="DJ2" s="330"/>
      <c r="DK2" s="330"/>
      <c r="DL2" s="330"/>
      <c r="DM2" s="330"/>
      <c r="DN2" s="330"/>
      <c r="DO2" s="330"/>
      <c r="DP2" s="330"/>
      <c r="DQ2" s="330"/>
      <c r="DR2" s="330"/>
      <c r="DS2" s="330"/>
      <c r="DT2" s="330"/>
      <c r="DU2" s="330"/>
      <c r="DV2" s="330"/>
      <c r="DW2" s="330"/>
      <c r="DX2" s="330"/>
      <c r="DY2" s="330"/>
      <c r="DZ2" s="330"/>
      <c r="EA2" s="330"/>
      <c r="EB2" s="330"/>
      <c r="EC2" s="330"/>
      <c r="ED2" s="330"/>
      <c r="EE2" s="330"/>
      <c r="EF2" s="330"/>
      <c r="EG2" s="330"/>
      <c r="EH2" s="330"/>
      <c r="EI2" s="330"/>
      <c r="EJ2" s="330"/>
      <c r="EK2" s="330"/>
      <c r="EL2" s="330"/>
      <c r="EM2" s="330"/>
      <c r="EN2" s="330"/>
      <c r="EO2" s="330"/>
      <c r="EP2" s="330"/>
      <c r="EQ2" s="330"/>
      <c r="ER2" s="330"/>
      <c r="ES2" s="330"/>
      <c r="ET2" s="330"/>
      <c r="EU2" s="330"/>
      <c r="EV2" s="330"/>
      <c r="EW2" s="330"/>
      <c r="EX2" s="330"/>
      <c r="EY2" s="330"/>
      <c r="EZ2" s="330"/>
      <c r="FA2" s="330"/>
      <c r="FB2" s="330"/>
      <c r="FC2" s="330"/>
      <c r="FD2" s="330"/>
      <c r="FE2" s="330"/>
      <c r="FF2" s="330"/>
      <c r="FG2" s="330"/>
      <c r="FH2" s="330"/>
      <c r="FI2" s="330"/>
      <c r="FJ2" s="330"/>
      <c r="FK2" s="330"/>
      <c r="FL2" s="330"/>
      <c r="FM2" s="330"/>
      <c r="FN2" s="330"/>
      <c r="FO2" s="330"/>
      <c r="FP2" s="330"/>
      <c r="FQ2" s="330"/>
      <c r="FR2" s="330"/>
      <c r="FS2" s="330"/>
      <c r="FT2" s="330"/>
      <c r="FU2" s="330"/>
      <c r="FV2" s="330"/>
      <c r="FW2" s="330"/>
      <c r="FX2" s="330"/>
      <c r="FY2" s="330"/>
      <c r="FZ2" s="330"/>
      <c r="GA2" s="330"/>
      <c r="GB2" s="330"/>
      <c r="GC2" s="330"/>
      <c r="GD2" s="330"/>
      <c r="GE2" s="330"/>
      <c r="GF2" s="330"/>
      <c r="GG2" s="330"/>
      <c r="GH2" s="330"/>
      <c r="GI2" s="330"/>
      <c r="GJ2" s="330"/>
      <c r="GK2" s="330"/>
      <c r="GL2" s="330"/>
      <c r="GM2" s="330"/>
      <c r="GN2" s="330"/>
      <c r="GO2" s="330"/>
      <c r="GP2" s="330"/>
      <c r="GQ2" s="330"/>
      <c r="GR2" s="330"/>
      <c r="GS2" s="330"/>
      <c r="GT2" s="330"/>
      <c r="GU2" s="330"/>
      <c r="GV2" s="330"/>
      <c r="GW2" s="330"/>
      <c r="GX2" s="330"/>
      <c r="GY2" s="330"/>
      <c r="GZ2" s="330"/>
      <c r="HA2" s="330"/>
      <c r="HB2" s="330"/>
      <c r="HC2" s="330"/>
      <c r="HD2" s="330"/>
      <c r="HE2" s="330"/>
      <c r="HF2" s="330"/>
      <c r="HG2" s="330"/>
      <c r="HH2" s="330"/>
      <c r="HI2" s="330"/>
      <c r="HJ2" s="330"/>
      <c r="HK2" s="330"/>
      <c r="HL2" s="330"/>
      <c r="HM2" s="330"/>
      <c r="HN2" s="330"/>
      <c r="HO2" s="330"/>
      <c r="HP2" s="330"/>
      <c r="HQ2" s="330"/>
      <c r="HR2" s="330"/>
      <c r="HS2" s="330"/>
      <c r="HT2" s="330"/>
      <c r="HU2" s="330"/>
      <c r="HV2" s="330"/>
      <c r="HW2" s="330"/>
      <c r="HX2" s="330"/>
      <c r="HY2" s="330"/>
      <c r="HZ2" s="330"/>
      <c r="IA2" s="330"/>
      <c r="IB2" s="330"/>
      <c r="IC2" s="330"/>
      <c r="ID2" s="330"/>
      <c r="IE2" s="330"/>
      <c r="IF2" s="330"/>
      <c r="IG2" s="330"/>
      <c r="IH2" s="330"/>
      <c r="II2" s="330"/>
      <c r="IJ2" s="330"/>
      <c r="IK2" s="330"/>
      <c r="IL2" s="330"/>
      <c r="IM2" s="330"/>
      <c r="IN2" s="330"/>
      <c r="IO2" s="330"/>
      <c r="IP2" s="330"/>
      <c r="IQ2" s="330"/>
      <c r="IR2" s="330"/>
      <c r="IS2" s="330"/>
      <c r="IT2" s="330"/>
      <c r="IU2" s="330"/>
      <c r="IV2" s="330"/>
      <c r="IW2" s="330"/>
      <c r="IX2" s="330"/>
      <c r="IY2" s="330"/>
      <c r="IZ2" s="330"/>
      <c r="JA2" s="330"/>
      <c r="JB2" s="330"/>
      <c r="JC2" s="330"/>
      <c r="JD2" s="330"/>
      <c r="JE2" s="330"/>
      <c r="JF2" s="330"/>
      <c r="JG2" s="330"/>
      <c r="JH2" s="330"/>
      <c r="JI2" s="330"/>
      <c r="JJ2" s="330"/>
      <c r="JK2" s="330"/>
      <c r="JL2" s="330"/>
      <c r="JM2" s="330"/>
      <c r="JN2" s="330"/>
      <c r="JO2" s="330"/>
      <c r="JP2" s="330"/>
      <c r="JQ2" s="330"/>
      <c r="JR2" s="330"/>
      <c r="JS2" s="330"/>
      <c r="JT2" s="330"/>
      <c r="JU2" s="330"/>
      <c r="JV2" s="330"/>
      <c r="JW2" s="330"/>
      <c r="JX2" s="330"/>
      <c r="JY2" s="330"/>
      <c r="JZ2" s="330"/>
      <c r="KA2" s="330"/>
      <c r="KB2" s="330"/>
      <c r="KC2" s="330"/>
      <c r="KD2" s="330"/>
      <c r="KE2" s="330"/>
      <c r="KF2" s="330"/>
      <c r="KG2" s="330"/>
      <c r="KH2" s="330"/>
      <c r="KI2" s="330"/>
      <c r="KJ2" s="330"/>
      <c r="KK2" s="330"/>
      <c r="KL2" s="330"/>
      <c r="KM2" s="330"/>
      <c r="KN2" s="330"/>
      <c r="KO2" s="330"/>
      <c r="KP2" s="330"/>
      <c r="KQ2" s="330"/>
      <c r="KR2" s="330"/>
      <c r="KS2" s="330"/>
      <c r="KT2" s="330"/>
      <c r="KU2" s="330"/>
      <c r="KV2" s="330"/>
      <c r="KW2" s="330"/>
      <c r="KX2" s="330"/>
      <c r="KY2" s="330"/>
      <c r="KZ2" s="330"/>
      <c r="LA2" s="330"/>
      <c r="LB2" s="330"/>
      <c r="LC2" s="330"/>
      <c r="LD2" s="330"/>
      <c r="LE2" s="330"/>
    </row>
    <row r="3" spans="1:317">
      <c r="A3" s="330"/>
      <c r="B3" s="330"/>
      <c r="C3" s="330"/>
      <c r="D3" s="330"/>
      <c r="E3" s="330"/>
      <c r="F3" s="330"/>
      <c r="G3" s="330"/>
      <c r="H3" s="330"/>
      <c r="I3" s="330"/>
      <c r="J3" s="330"/>
      <c r="K3" s="330"/>
      <c r="L3" s="330"/>
      <c r="M3" s="330"/>
      <c r="N3" s="330"/>
      <c r="O3" s="330"/>
      <c r="P3" s="330"/>
      <c r="Q3" s="330"/>
      <c r="R3" s="330"/>
      <c r="S3" s="330"/>
      <c r="T3" s="330"/>
      <c r="U3" s="330"/>
      <c r="V3" s="330"/>
      <c r="W3" s="330"/>
      <c r="X3" s="330"/>
      <c r="Y3" s="330"/>
      <c r="Z3" s="330"/>
      <c r="AA3" s="330"/>
      <c r="AB3" s="330"/>
      <c r="AC3" s="330"/>
      <c r="AD3" s="330"/>
      <c r="AE3" s="330"/>
      <c r="AF3" s="330"/>
      <c r="AG3" s="330"/>
      <c r="AH3" s="330"/>
      <c r="AI3" s="330"/>
      <c r="AJ3" s="330"/>
      <c r="AK3" s="330"/>
      <c r="AL3" s="330"/>
      <c r="AM3" s="330"/>
      <c r="AN3" s="330"/>
      <c r="AO3" s="330"/>
      <c r="AP3" s="330"/>
      <c r="AQ3" s="330"/>
      <c r="AR3" s="330"/>
      <c r="AS3" s="330"/>
      <c r="AT3" s="330"/>
      <c r="AU3" s="330"/>
      <c r="AV3" s="330"/>
      <c r="AW3" s="330"/>
      <c r="AX3" s="330"/>
      <c r="AY3" s="330"/>
      <c r="AZ3" s="330"/>
      <c r="BA3" s="330"/>
      <c r="BB3" s="330"/>
      <c r="BC3" s="330"/>
      <c r="BD3" s="330"/>
      <c r="BE3" s="330"/>
      <c r="BF3" s="330"/>
      <c r="BG3" s="330"/>
      <c r="BH3" s="330"/>
      <c r="BI3" s="330"/>
      <c r="BJ3" s="330"/>
      <c r="BK3" s="330"/>
      <c r="BL3" s="330"/>
      <c r="BM3" s="330"/>
      <c r="BN3" s="330"/>
      <c r="BO3" s="330"/>
      <c r="BP3" s="330"/>
      <c r="BQ3" s="330"/>
      <c r="BR3" s="330"/>
      <c r="BS3" s="330"/>
      <c r="BT3" s="330"/>
      <c r="BU3" s="330"/>
      <c r="BV3" s="330"/>
      <c r="BW3" s="330"/>
      <c r="BX3" s="330"/>
      <c r="BY3" s="330"/>
      <c r="BZ3" s="330"/>
      <c r="CA3" s="330"/>
      <c r="CB3" s="330"/>
      <c r="CC3" s="330"/>
      <c r="CD3" s="330"/>
      <c r="CE3" s="330"/>
      <c r="CF3" s="330"/>
      <c r="CG3" s="330"/>
      <c r="CH3" s="330"/>
      <c r="CI3" s="330"/>
      <c r="CJ3" s="330"/>
      <c r="CK3" s="330"/>
      <c r="CL3" s="330"/>
      <c r="CM3" s="330"/>
      <c r="CN3" s="330"/>
      <c r="CO3" s="330"/>
      <c r="CP3" s="330"/>
      <c r="CQ3" s="330"/>
      <c r="CR3" s="330"/>
      <c r="CS3" s="330"/>
      <c r="CT3" s="330"/>
      <c r="CU3" s="330"/>
      <c r="CV3" s="330"/>
      <c r="CW3" s="330"/>
      <c r="CX3" s="330"/>
      <c r="CY3" s="330"/>
      <c r="CZ3" s="330"/>
      <c r="DA3" s="330"/>
      <c r="DB3" s="330"/>
      <c r="DC3" s="330"/>
      <c r="DD3" s="330"/>
      <c r="DE3" s="330"/>
      <c r="DF3" s="330"/>
      <c r="DG3" s="330"/>
      <c r="DH3" s="330"/>
      <c r="DI3" s="330"/>
      <c r="DJ3" s="330"/>
      <c r="DK3" s="330"/>
      <c r="DL3" s="330"/>
      <c r="DM3" s="330"/>
      <c r="DN3" s="330"/>
      <c r="DO3" s="330"/>
      <c r="DP3" s="330"/>
      <c r="DQ3" s="330"/>
      <c r="DR3" s="330"/>
      <c r="DS3" s="330"/>
      <c r="DT3" s="330"/>
      <c r="DU3" s="330"/>
      <c r="DV3" s="330"/>
      <c r="DW3" s="330"/>
      <c r="DX3" s="330"/>
      <c r="DY3" s="330"/>
      <c r="DZ3" s="330"/>
      <c r="EA3" s="330"/>
      <c r="EB3" s="330"/>
      <c r="EC3" s="330"/>
      <c r="ED3" s="330"/>
      <c r="EE3" s="330"/>
      <c r="EF3" s="330"/>
      <c r="EG3" s="330"/>
      <c r="EH3" s="330"/>
      <c r="EI3" s="330"/>
      <c r="EJ3" s="330"/>
      <c r="EK3" s="330"/>
      <c r="EL3" s="330"/>
      <c r="EM3" s="330"/>
      <c r="EN3" s="330"/>
      <c r="EO3" s="330"/>
      <c r="EP3" s="330"/>
      <c r="EQ3" s="330"/>
      <c r="ER3" s="330"/>
      <c r="ES3" s="330"/>
      <c r="ET3" s="330"/>
      <c r="EU3" s="330"/>
      <c r="EV3" s="330"/>
      <c r="EW3" s="330"/>
      <c r="EX3" s="330"/>
      <c r="EY3" s="330"/>
      <c r="EZ3" s="330"/>
      <c r="FA3" s="330"/>
      <c r="FB3" s="330"/>
      <c r="FC3" s="330"/>
      <c r="FD3" s="330"/>
      <c r="FE3" s="330"/>
      <c r="FF3" s="330"/>
      <c r="FG3" s="330"/>
      <c r="FH3" s="330"/>
      <c r="FI3" s="330"/>
      <c r="FJ3" s="330"/>
      <c r="FK3" s="330"/>
      <c r="FL3" s="330"/>
      <c r="FM3" s="330"/>
      <c r="FN3" s="330"/>
      <c r="FO3" s="330"/>
      <c r="FP3" s="330"/>
      <c r="FQ3" s="330"/>
      <c r="FR3" s="330"/>
      <c r="FS3" s="330"/>
      <c r="FT3" s="330"/>
      <c r="FU3" s="330"/>
      <c r="FV3" s="330"/>
      <c r="FW3" s="330"/>
      <c r="FX3" s="330"/>
      <c r="FY3" s="330"/>
      <c r="FZ3" s="330"/>
      <c r="GA3" s="330"/>
      <c r="GB3" s="330"/>
      <c r="GC3" s="330"/>
      <c r="GD3" s="330"/>
      <c r="GE3" s="330"/>
      <c r="GF3" s="330"/>
      <c r="GG3" s="330"/>
      <c r="GH3" s="330"/>
      <c r="GI3" s="330"/>
      <c r="GJ3" s="330"/>
      <c r="GK3" s="330"/>
      <c r="GL3" s="330"/>
      <c r="GM3" s="330"/>
      <c r="GN3" s="330"/>
      <c r="GO3" s="330"/>
      <c r="GP3" s="330"/>
      <c r="GQ3" s="330"/>
      <c r="GR3" s="330"/>
      <c r="GS3" s="330"/>
      <c r="GT3" s="330"/>
      <c r="GU3" s="330"/>
      <c r="GV3" s="330"/>
      <c r="GW3" s="330"/>
      <c r="GX3" s="330"/>
      <c r="GY3" s="330"/>
      <c r="GZ3" s="330"/>
      <c r="HA3" s="330"/>
      <c r="HB3" s="330"/>
      <c r="HC3" s="330"/>
      <c r="HD3" s="330"/>
      <c r="HE3" s="330"/>
      <c r="HF3" s="330"/>
      <c r="HG3" s="330"/>
      <c r="HH3" s="330"/>
      <c r="HI3" s="330"/>
      <c r="HJ3" s="330"/>
      <c r="HK3" s="330"/>
      <c r="HL3" s="330"/>
      <c r="HM3" s="330"/>
      <c r="HN3" s="330"/>
      <c r="HO3" s="330"/>
      <c r="HP3" s="330"/>
      <c r="HQ3" s="330"/>
      <c r="HR3" s="330"/>
      <c r="HS3" s="330"/>
      <c r="HT3" s="330"/>
      <c r="HU3" s="330"/>
      <c r="HV3" s="330"/>
      <c r="HW3" s="330"/>
      <c r="HX3" s="330"/>
      <c r="HY3" s="330"/>
      <c r="HZ3" s="330"/>
      <c r="IA3" s="330"/>
      <c r="IB3" s="330"/>
      <c r="IC3" s="330"/>
      <c r="ID3" s="330"/>
      <c r="IE3" s="330"/>
      <c r="IF3" s="330"/>
      <c r="IG3" s="330"/>
      <c r="IH3" s="330"/>
      <c r="II3" s="330"/>
      <c r="IJ3" s="330"/>
      <c r="IK3" s="330"/>
      <c r="IL3" s="330"/>
      <c r="IM3" s="330"/>
      <c r="IN3" s="330"/>
      <c r="IO3" s="330"/>
      <c r="IP3" s="330"/>
      <c r="IQ3" s="330"/>
      <c r="IR3" s="330"/>
      <c r="IS3" s="330"/>
      <c r="IT3" s="330"/>
      <c r="IU3" s="330"/>
      <c r="IV3" s="330"/>
      <c r="IW3" s="330"/>
      <c r="IX3" s="330"/>
      <c r="IY3" s="330"/>
      <c r="IZ3" s="330"/>
      <c r="JA3" s="330"/>
      <c r="JB3" s="330"/>
      <c r="JC3" s="330"/>
      <c r="JD3" s="330"/>
      <c r="JE3" s="330"/>
      <c r="JF3" s="330"/>
      <c r="JG3" s="330"/>
      <c r="JH3" s="330"/>
      <c r="JI3" s="330"/>
      <c r="JJ3" s="330"/>
      <c r="JK3" s="330"/>
      <c r="JL3" s="330"/>
      <c r="JM3" s="330"/>
      <c r="JN3" s="330"/>
      <c r="JO3" s="330"/>
      <c r="JP3" s="330"/>
      <c r="JQ3" s="330"/>
      <c r="JR3" s="330"/>
      <c r="JS3" s="330"/>
      <c r="JT3" s="330"/>
      <c r="JU3" s="330"/>
      <c r="JV3" s="330"/>
      <c r="JW3" s="330"/>
      <c r="JX3" s="330"/>
      <c r="JY3" s="330"/>
      <c r="JZ3" s="330"/>
      <c r="KA3" s="330"/>
      <c r="KB3" s="330"/>
      <c r="KC3" s="330"/>
      <c r="KD3" s="330"/>
      <c r="KE3" s="330"/>
      <c r="KF3" s="330"/>
      <c r="KG3" s="330"/>
      <c r="KH3" s="330"/>
      <c r="KI3" s="330"/>
      <c r="KJ3" s="330"/>
      <c r="KK3" s="330"/>
      <c r="KL3" s="330"/>
      <c r="KM3" s="330"/>
      <c r="KN3" s="330"/>
      <c r="KO3" s="330"/>
      <c r="KP3" s="330"/>
      <c r="KQ3" s="330"/>
      <c r="KR3" s="330"/>
      <c r="KS3" s="330"/>
      <c r="KT3" s="330"/>
      <c r="KU3" s="330"/>
      <c r="KV3" s="330"/>
      <c r="KW3" s="330"/>
      <c r="KX3" s="330"/>
      <c r="KY3" s="330"/>
      <c r="KZ3" s="330"/>
      <c r="LA3" s="330"/>
      <c r="LB3" s="330"/>
      <c r="LC3" s="330"/>
      <c r="LD3" s="330"/>
      <c r="LE3" s="330"/>
    </row>
    <row r="4" spans="1:317">
      <c r="A4" s="330"/>
      <c r="B4" s="330"/>
      <c r="C4" s="330"/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  <c r="CD4" s="330"/>
      <c r="CE4" s="330"/>
      <c r="CF4" s="330"/>
      <c r="CG4" s="330"/>
      <c r="CH4" s="330"/>
      <c r="CI4" s="330"/>
      <c r="CJ4" s="330"/>
      <c r="CK4" s="330"/>
      <c r="CL4" s="330"/>
      <c r="CM4" s="330"/>
      <c r="CN4" s="330"/>
      <c r="CO4" s="330"/>
      <c r="CP4" s="330"/>
      <c r="CQ4" s="330"/>
      <c r="CR4" s="330"/>
      <c r="CS4" s="330"/>
      <c r="CT4" s="330"/>
      <c r="CU4" s="330"/>
      <c r="CV4" s="330"/>
      <c r="CW4" s="330"/>
      <c r="CX4" s="330"/>
      <c r="CY4" s="330"/>
      <c r="CZ4" s="330"/>
      <c r="DA4" s="330"/>
      <c r="DB4" s="330"/>
      <c r="DC4" s="330"/>
      <c r="DD4" s="330"/>
      <c r="DE4" s="330"/>
      <c r="DF4" s="330"/>
      <c r="DG4" s="330"/>
      <c r="DH4" s="330"/>
      <c r="DI4" s="330"/>
      <c r="DJ4" s="330"/>
      <c r="DK4" s="330"/>
      <c r="DL4" s="330"/>
      <c r="DM4" s="330"/>
      <c r="DN4" s="330"/>
      <c r="DO4" s="330"/>
      <c r="DP4" s="330"/>
      <c r="DQ4" s="330"/>
      <c r="DR4" s="330"/>
      <c r="DS4" s="330"/>
      <c r="DT4" s="330"/>
      <c r="DU4" s="330"/>
      <c r="DV4" s="330"/>
      <c r="DW4" s="330"/>
      <c r="DX4" s="330"/>
      <c r="DY4" s="330"/>
      <c r="DZ4" s="330"/>
      <c r="EA4" s="330"/>
      <c r="EB4" s="330"/>
      <c r="EC4" s="330"/>
      <c r="ED4" s="330"/>
      <c r="EE4" s="330"/>
      <c r="EF4" s="330"/>
      <c r="EG4" s="330"/>
      <c r="EH4" s="330"/>
      <c r="EI4" s="330"/>
      <c r="EJ4" s="330"/>
      <c r="EK4" s="330"/>
      <c r="EL4" s="330"/>
      <c r="EM4" s="330"/>
      <c r="EN4" s="330"/>
      <c r="EO4" s="330"/>
      <c r="EP4" s="330"/>
      <c r="EQ4" s="330"/>
      <c r="ER4" s="330"/>
      <c r="ES4" s="330"/>
      <c r="ET4" s="330"/>
      <c r="EU4" s="330"/>
      <c r="EV4" s="330"/>
      <c r="EW4" s="330"/>
      <c r="EX4" s="330"/>
      <c r="EY4" s="330"/>
      <c r="EZ4" s="330"/>
      <c r="FA4" s="330"/>
      <c r="FB4" s="330"/>
      <c r="FC4" s="330"/>
      <c r="FD4" s="330"/>
      <c r="FE4" s="330"/>
      <c r="FF4" s="330"/>
      <c r="FG4" s="330"/>
      <c r="FH4" s="330"/>
      <c r="FI4" s="330"/>
      <c r="FJ4" s="330"/>
      <c r="FK4" s="330"/>
      <c r="FL4" s="330"/>
      <c r="FM4" s="330"/>
      <c r="FN4" s="330"/>
      <c r="FO4" s="330"/>
      <c r="FP4" s="330"/>
      <c r="FQ4" s="330"/>
      <c r="FR4" s="330"/>
      <c r="FS4" s="330"/>
      <c r="FT4" s="330"/>
      <c r="FU4" s="330"/>
      <c r="FV4" s="330"/>
      <c r="FW4" s="330"/>
      <c r="FX4" s="330"/>
      <c r="FY4" s="330"/>
      <c r="FZ4" s="330"/>
      <c r="GA4" s="330"/>
      <c r="GB4" s="330"/>
      <c r="GC4" s="330"/>
      <c r="GD4" s="330"/>
      <c r="GE4" s="330"/>
      <c r="GF4" s="330"/>
      <c r="GG4" s="330"/>
      <c r="GH4" s="330"/>
      <c r="GI4" s="330"/>
      <c r="GJ4" s="330"/>
      <c r="GK4" s="330"/>
      <c r="GL4" s="330"/>
      <c r="GM4" s="330"/>
      <c r="GN4" s="330"/>
      <c r="GO4" s="330"/>
      <c r="GP4" s="330"/>
      <c r="GQ4" s="330"/>
      <c r="GR4" s="330"/>
      <c r="GS4" s="330"/>
      <c r="GT4" s="330"/>
      <c r="GU4" s="330"/>
      <c r="GV4" s="330"/>
      <c r="GW4" s="330"/>
      <c r="GX4" s="330"/>
      <c r="GY4" s="330"/>
      <c r="GZ4" s="330"/>
      <c r="HA4" s="330"/>
      <c r="HB4" s="330"/>
      <c r="HC4" s="330"/>
      <c r="HD4" s="330"/>
      <c r="HE4" s="330"/>
      <c r="HF4" s="330"/>
      <c r="HG4" s="330"/>
      <c r="HH4" s="330"/>
      <c r="HI4" s="330"/>
      <c r="HJ4" s="330"/>
      <c r="HK4" s="330"/>
      <c r="HL4" s="330"/>
      <c r="HM4" s="330"/>
      <c r="HN4" s="330"/>
      <c r="HO4" s="330"/>
      <c r="HP4" s="330"/>
      <c r="HQ4" s="330"/>
      <c r="HR4" s="330"/>
      <c r="HS4" s="330"/>
      <c r="HT4" s="330"/>
      <c r="HU4" s="330"/>
      <c r="HV4" s="330"/>
      <c r="HW4" s="330"/>
      <c r="HX4" s="330"/>
      <c r="HY4" s="330"/>
      <c r="HZ4" s="330"/>
      <c r="IA4" s="330"/>
      <c r="IB4" s="330"/>
      <c r="IC4" s="330"/>
      <c r="ID4" s="330"/>
      <c r="IE4" s="330"/>
      <c r="IF4" s="330"/>
      <c r="IG4" s="330"/>
      <c r="IH4" s="330"/>
      <c r="II4" s="330"/>
      <c r="IJ4" s="330"/>
      <c r="IK4" s="330"/>
      <c r="IL4" s="330"/>
      <c r="IM4" s="330"/>
      <c r="IN4" s="330"/>
      <c r="IO4" s="330"/>
      <c r="IP4" s="330"/>
      <c r="IQ4" s="330"/>
      <c r="IR4" s="330"/>
      <c r="IS4" s="330"/>
      <c r="IT4" s="330"/>
      <c r="IU4" s="330"/>
      <c r="IV4" s="330"/>
      <c r="IW4" s="330"/>
      <c r="IX4" s="330"/>
      <c r="IY4" s="330"/>
      <c r="IZ4" s="330"/>
      <c r="JA4" s="330"/>
      <c r="JB4" s="330"/>
      <c r="JC4" s="330"/>
      <c r="JD4" s="330"/>
      <c r="JE4" s="330"/>
      <c r="JF4" s="330"/>
      <c r="JG4" s="330"/>
      <c r="JH4" s="330"/>
      <c r="JI4" s="330"/>
      <c r="JJ4" s="330"/>
      <c r="JK4" s="330"/>
      <c r="JL4" s="330"/>
      <c r="JM4" s="330"/>
      <c r="JN4" s="330"/>
      <c r="JO4" s="330"/>
      <c r="JP4" s="330"/>
      <c r="JQ4" s="330"/>
      <c r="JR4" s="330"/>
      <c r="JS4" s="330"/>
      <c r="JT4" s="330"/>
      <c r="JU4" s="330"/>
      <c r="JV4" s="330"/>
      <c r="JW4" s="330"/>
      <c r="JX4" s="330"/>
      <c r="JY4" s="330"/>
      <c r="JZ4" s="330"/>
      <c r="KA4" s="330"/>
      <c r="KB4" s="330"/>
      <c r="KC4" s="330"/>
      <c r="KD4" s="330"/>
      <c r="KE4" s="330"/>
      <c r="KF4" s="330"/>
      <c r="KG4" s="330"/>
      <c r="KH4" s="330"/>
      <c r="KI4" s="330"/>
      <c r="KJ4" s="330"/>
      <c r="KK4" s="330"/>
      <c r="KL4" s="330"/>
      <c r="KM4" s="330"/>
      <c r="KN4" s="330"/>
      <c r="KO4" s="330"/>
      <c r="KP4" s="330"/>
      <c r="KQ4" s="330"/>
      <c r="KR4" s="330"/>
      <c r="KS4" s="330"/>
      <c r="KT4" s="330"/>
      <c r="KU4" s="330"/>
      <c r="KV4" s="330"/>
      <c r="KW4" s="330"/>
      <c r="KX4" s="330"/>
      <c r="KY4" s="330"/>
      <c r="KZ4" s="330"/>
      <c r="LA4" s="330"/>
      <c r="LB4" s="330"/>
      <c r="LC4" s="330"/>
      <c r="LD4" s="330"/>
      <c r="LE4" s="330"/>
    </row>
    <row r="5" spans="1:317" ht="15" thickBot="1">
      <c r="A5" s="330"/>
      <c r="B5" s="330"/>
      <c r="C5" s="330"/>
      <c r="D5" s="330"/>
      <c r="E5" s="330"/>
      <c r="F5" s="330"/>
      <c r="G5" s="330"/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  <c r="U5" s="330"/>
      <c r="V5" s="330"/>
      <c r="W5" s="330"/>
      <c r="X5" s="330"/>
      <c r="Y5" s="330"/>
      <c r="Z5" s="330"/>
      <c r="AA5" s="330"/>
      <c r="AB5" s="330"/>
      <c r="AC5" s="330"/>
      <c r="AD5" s="330"/>
      <c r="AE5" s="330"/>
      <c r="AF5" s="330"/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0"/>
      <c r="AS5" s="330"/>
      <c r="AT5" s="330"/>
      <c r="AU5" s="330"/>
      <c r="AV5" s="330"/>
      <c r="AW5" s="330"/>
      <c r="AX5" s="330"/>
      <c r="AY5" s="330"/>
      <c r="AZ5" s="330"/>
      <c r="BA5" s="330"/>
      <c r="BB5" s="330"/>
      <c r="BC5" s="330"/>
      <c r="BD5" s="330"/>
      <c r="BE5" s="330"/>
      <c r="BF5" s="330"/>
      <c r="BG5" s="330"/>
      <c r="BH5" s="330"/>
      <c r="BI5" s="330"/>
      <c r="BJ5" s="330"/>
      <c r="BK5" s="330"/>
      <c r="BL5" s="330"/>
      <c r="BM5" s="330"/>
      <c r="BN5" s="330"/>
      <c r="BO5" s="330"/>
      <c r="BP5" s="330"/>
      <c r="BQ5" s="330"/>
      <c r="BR5" s="330"/>
      <c r="BS5" s="330"/>
      <c r="BT5" s="330"/>
      <c r="BU5" s="330"/>
      <c r="BV5" s="330"/>
      <c r="BW5" s="330"/>
      <c r="BX5" s="330"/>
      <c r="BY5" s="330"/>
      <c r="BZ5" s="330"/>
      <c r="CA5" s="330"/>
      <c r="CB5" s="330"/>
      <c r="CC5" s="330"/>
      <c r="CD5" s="330"/>
      <c r="CE5" s="330"/>
      <c r="CF5" s="330"/>
      <c r="CG5" s="330"/>
      <c r="CH5" s="330"/>
      <c r="CI5" s="330"/>
      <c r="CJ5" s="330"/>
      <c r="CK5" s="330"/>
      <c r="CL5" s="330"/>
      <c r="CM5" s="330"/>
      <c r="CN5" s="330"/>
      <c r="CO5" s="330"/>
      <c r="CP5" s="330"/>
      <c r="CQ5" s="330"/>
      <c r="CR5" s="330"/>
      <c r="CS5" s="330"/>
      <c r="CT5" s="330"/>
      <c r="CU5" s="330"/>
      <c r="CV5" s="330"/>
      <c r="CW5" s="330"/>
      <c r="CX5" s="330"/>
      <c r="CY5" s="330"/>
      <c r="CZ5" s="330"/>
      <c r="DA5" s="330"/>
      <c r="DB5" s="330"/>
      <c r="DC5" s="330"/>
      <c r="DD5" s="330"/>
      <c r="DE5" s="330"/>
      <c r="DF5" s="330"/>
      <c r="DG5" s="330"/>
      <c r="DH5" s="330"/>
      <c r="DI5" s="330"/>
      <c r="DJ5" s="330"/>
      <c r="DK5" s="330"/>
      <c r="DL5" s="330"/>
      <c r="DM5" s="330"/>
      <c r="DN5" s="330"/>
      <c r="DO5" s="330"/>
      <c r="DP5" s="330"/>
      <c r="DQ5" s="330"/>
      <c r="DR5" s="330"/>
      <c r="DS5" s="330"/>
      <c r="DT5" s="330"/>
      <c r="DU5" s="330"/>
      <c r="DV5" s="330"/>
      <c r="DW5" s="330"/>
      <c r="DX5" s="330"/>
      <c r="DY5" s="330"/>
      <c r="DZ5" s="330"/>
      <c r="EA5" s="330"/>
      <c r="EB5" s="330"/>
      <c r="EC5" s="330"/>
      <c r="ED5" s="330"/>
      <c r="EE5" s="330"/>
      <c r="EF5" s="330"/>
      <c r="EG5" s="330"/>
      <c r="EH5" s="330"/>
      <c r="EI5" s="330"/>
      <c r="EJ5" s="330"/>
      <c r="EK5" s="330"/>
      <c r="EL5" s="330"/>
      <c r="EM5" s="330"/>
      <c r="EN5" s="330"/>
      <c r="EO5" s="330"/>
      <c r="EP5" s="330"/>
      <c r="EQ5" s="330"/>
      <c r="ER5" s="330"/>
      <c r="ES5" s="330"/>
      <c r="ET5" s="330"/>
      <c r="EU5" s="330"/>
      <c r="EV5" s="330"/>
      <c r="EW5" s="330"/>
      <c r="EX5" s="330"/>
      <c r="EY5" s="330"/>
      <c r="EZ5" s="330"/>
      <c r="FA5" s="330"/>
      <c r="FB5" s="330"/>
      <c r="FC5" s="330"/>
      <c r="FD5" s="330"/>
      <c r="FE5" s="330"/>
      <c r="FF5" s="330"/>
      <c r="FG5" s="330"/>
      <c r="FH5" s="330"/>
      <c r="FI5" s="330"/>
      <c r="FJ5" s="330"/>
      <c r="FK5" s="330"/>
      <c r="FL5" s="330"/>
      <c r="FM5" s="330"/>
      <c r="FN5" s="330"/>
      <c r="FO5" s="330"/>
      <c r="FP5" s="330"/>
      <c r="FQ5" s="330"/>
      <c r="FR5" s="330"/>
      <c r="FS5" s="330"/>
      <c r="FT5" s="330"/>
      <c r="FU5" s="330"/>
      <c r="FV5" s="330"/>
      <c r="FW5" s="330"/>
      <c r="FX5" s="330"/>
      <c r="FY5" s="330"/>
      <c r="FZ5" s="330"/>
      <c r="GA5" s="330"/>
      <c r="GB5" s="330"/>
      <c r="GC5" s="330"/>
      <c r="GD5" s="330"/>
      <c r="GE5" s="330"/>
      <c r="GF5" s="330"/>
      <c r="GG5" s="330"/>
      <c r="GH5" s="330"/>
      <c r="GI5" s="330"/>
      <c r="GJ5" s="330"/>
      <c r="GK5" s="330"/>
      <c r="GL5" s="330"/>
      <c r="GM5" s="330"/>
      <c r="GN5" s="330"/>
      <c r="GO5" s="330"/>
      <c r="GP5" s="330"/>
      <c r="GQ5" s="330"/>
      <c r="GR5" s="330"/>
      <c r="GS5" s="330"/>
      <c r="GT5" s="330"/>
      <c r="GU5" s="330"/>
      <c r="GV5" s="330"/>
      <c r="GW5" s="330"/>
      <c r="GX5" s="330"/>
      <c r="GY5" s="330"/>
      <c r="GZ5" s="330"/>
      <c r="HA5" s="330"/>
      <c r="HB5" s="330"/>
      <c r="HC5" s="330"/>
      <c r="HD5" s="330"/>
      <c r="HE5" s="330"/>
      <c r="HF5" s="330"/>
      <c r="HG5" s="330"/>
      <c r="HH5" s="330"/>
      <c r="HI5" s="330"/>
      <c r="HJ5" s="330"/>
      <c r="HK5" s="330"/>
      <c r="HL5" s="330"/>
      <c r="HM5" s="330"/>
      <c r="HN5" s="330"/>
      <c r="HO5" s="330"/>
      <c r="HP5" s="330"/>
      <c r="HQ5" s="330"/>
      <c r="HR5" s="330"/>
      <c r="HS5" s="330"/>
      <c r="HT5" s="330"/>
      <c r="HU5" s="330"/>
      <c r="HV5" s="330"/>
      <c r="HW5" s="330"/>
      <c r="HX5" s="330"/>
      <c r="HY5" s="330"/>
      <c r="HZ5" s="330"/>
      <c r="IA5" s="330"/>
      <c r="IB5" s="330"/>
      <c r="IC5" s="330"/>
      <c r="ID5" s="330"/>
      <c r="IE5" s="330"/>
      <c r="IF5" s="330"/>
      <c r="IG5" s="330"/>
      <c r="IH5" s="330"/>
      <c r="II5" s="330"/>
      <c r="IJ5" s="330"/>
      <c r="IK5" s="330"/>
      <c r="IL5" s="330"/>
      <c r="IM5" s="330"/>
      <c r="IN5" s="330"/>
      <c r="IO5" s="330"/>
      <c r="IP5" s="330"/>
      <c r="IQ5" s="330"/>
      <c r="IR5" s="330"/>
      <c r="IS5" s="330"/>
      <c r="IT5" s="330"/>
      <c r="IU5" s="330"/>
      <c r="IV5" s="330"/>
      <c r="IW5" s="330"/>
      <c r="IX5" s="330"/>
      <c r="IY5" s="330"/>
      <c r="IZ5" s="330"/>
      <c r="JA5" s="330"/>
      <c r="JB5" s="330"/>
      <c r="JC5" s="330"/>
      <c r="JD5" s="330"/>
      <c r="JE5" s="330"/>
      <c r="JF5" s="330"/>
      <c r="JG5" s="330"/>
      <c r="JH5" s="330"/>
      <c r="JI5" s="330"/>
      <c r="JJ5" s="330"/>
      <c r="JK5" s="330"/>
      <c r="JL5" s="330"/>
      <c r="JM5" s="330"/>
      <c r="JN5" s="330"/>
      <c r="JO5" s="330"/>
      <c r="JP5" s="330"/>
      <c r="JQ5" s="330"/>
      <c r="JR5" s="330"/>
      <c r="JS5" s="330"/>
      <c r="JT5" s="330"/>
      <c r="JU5" s="330"/>
      <c r="JV5" s="330"/>
      <c r="JW5" s="330"/>
      <c r="JX5" s="330"/>
      <c r="JY5" s="330"/>
      <c r="JZ5" s="330"/>
      <c r="KA5" s="330"/>
      <c r="KB5" s="330"/>
      <c r="KC5" s="330"/>
      <c r="KD5" s="330"/>
      <c r="KE5" s="330"/>
      <c r="KF5" s="330"/>
      <c r="KG5" s="330"/>
      <c r="KH5" s="330"/>
      <c r="KI5" s="330"/>
      <c r="KJ5" s="330"/>
      <c r="KK5" s="330"/>
      <c r="KL5" s="330"/>
      <c r="KM5" s="330"/>
      <c r="KN5" s="330"/>
      <c r="KO5" s="330"/>
      <c r="KP5" s="330"/>
      <c r="KQ5" s="330"/>
      <c r="KR5" s="330"/>
      <c r="KS5" s="330"/>
      <c r="KT5" s="330"/>
      <c r="KU5" s="330"/>
      <c r="KV5" s="330"/>
      <c r="KW5" s="330"/>
      <c r="KX5" s="330"/>
      <c r="KY5" s="330"/>
      <c r="KZ5" s="330"/>
      <c r="LA5" s="330"/>
      <c r="LB5" s="330"/>
      <c r="LC5" s="330"/>
      <c r="LD5" s="330"/>
      <c r="LE5" s="330"/>
    </row>
    <row r="6" spans="1:317">
      <c r="A6" s="330"/>
      <c r="B6" s="330"/>
      <c r="C6" s="330"/>
      <c r="D6" s="330"/>
      <c r="E6" s="330"/>
      <c r="F6" s="869"/>
      <c r="G6" s="870"/>
      <c r="H6" s="870"/>
      <c r="I6" s="870"/>
      <c r="J6" s="870"/>
      <c r="K6" s="870"/>
      <c r="L6" s="870"/>
      <c r="M6" s="870"/>
      <c r="N6" s="870"/>
      <c r="O6" s="870"/>
      <c r="P6" s="870"/>
      <c r="Q6" s="871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0"/>
      <c r="AO6" s="330"/>
      <c r="AP6" s="330"/>
      <c r="AQ6" s="330"/>
      <c r="AR6" s="330"/>
      <c r="AS6" s="330"/>
      <c r="AT6" s="330"/>
      <c r="AU6" s="330"/>
      <c r="AV6" s="330"/>
      <c r="AW6" s="330"/>
      <c r="AX6" s="330"/>
      <c r="AY6" s="330"/>
      <c r="AZ6" s="330"/>
      <c r="BA6" s="330"/>
      <c r="BB6" s="330"/>
      <c r="BC6" s="330"/>
      <c r="BD6" s="330"/>
      <c r="BE6" s="330"/>
      <c r="BF6" s="330"/>
      <c r="BG6" s="330"/>
      <c r="BH6" s="330"/>
      <c r="BI6" s="330"/>
      <c r="BJ6" s="330"/>
      <c r="BK6" s="330"/>
      <c r="BL6" s="330"/>
      <c r="BM6" s="330"/>
      <c r="BN6" s="330"/>
      <c r="BO6" s="330"/>
      <c r="BP6" s="330"/>
      <c r="BQ6" s="330"/>
      <c r="BR6" s="330"/>
      <c r="BS6" s="330"/>
      <c r="BT6" s="330"/>
      <c r="BU6" s="330"/>
      <c r="BV6" s="330"/>
      <c r="BW6" s="330"/>
      <c r="BX6" s="330"/>
      <c r="BY6" s="330"/>
      <c r="BZ6" s="330"/>
      <c r="CA6" s="330"/>
      <c r="CB6" s="330"/>
      <c r="CC6" s="330"/>
      <c r="CD6" s="330"/>
      <c r="CE6" s="330"/>
      <c r="CF6" s="330"/>
      <c r="CG6" s="330"/>
      <c r="CH6" s="330"/>
      <c r="CI6" s="330"/>
      <c r="CJ6" s="330"/>
      <c r="CK6" s="330"/>
      <c r="CL6" s="330"/>
      <c r="CM6" s="330"/>
      <c r="CN6" s="330"/>
      <c r="CO6" s="330"/>
      <c r="CP6" s="330"/>
      <c r="CQ6" s="330"/>
      <c r="CR6" s="330"/>
      <c r="CS6" s="330"/>
      <c r="CT6" s="330"/>
      <c r="CU6" s="330"/>
      <c r="CV6" s="330"/>
      <c r="CW6" s="330"/>
      <c r="CX6" s="330"/>
      <c r="CY6" s="330"/>
      <c r="CZ6" s="330"/>
      <c r="DA6" s="330"/>
      <c r="DB6" s="330"/>
      <c r="DC6" s="330"/>
      <c r="DD6" s="330"/>
      <c r="DE6" s="330"/>
      <c r="DF6" s="330"/>
      <c r="DG6" s="330"/>
      <c r="DH6" s="330"/>
      <c r="DI6" s="330"/>
      <c r="DJ6" s="330"/>
      <c r="DK6" s="330"/>
      <c r="DL6" s="330"/>
      <c r="DM6" s="330"/>
      <c r="DN6" s="330"/>
      <c r="DO6" s="330"/>
      <c r="DP6" s="330"/>
      <c r="DQ6" s="330"/>
      <c r="DR6" s="330"/>
      <c r="DS6" s="330"/>
      <c r="DT6" s="330"/>
      <c r="DU6" s="330"/>
      <c r="DV6" s="330"/>
      <c r="DW6" s="330"/>
      <c r="DX6" s="330"/>
      <c r="DY6" s="330"/>
      <c r="DZ6" s="330"/>
      <c r="EA6" s="330"/>
      <c r="EB6" s="330"/>
      <c r="EC6" s="330"/>
      <c r="ED6" s="330"/>
      <c r="EE6" s="330"/>
      <c r="EF6" s="330"/>
      <c r="EG6" s="330"/>
      <c r="EH6" s="330"/>
      <c r="EI6" s="330"/>
      <c r="EJ6" s="330"/>
      <c r="EK6" s="330"/>
      <c r="EL6" s="330"/>
      <c r="EM6" s="330"/>
      <c r="EN6" s="330"/>
      <c r="EO6" s="330"/>
      <c r="EP6" s="330"/>
      <c r="EQ6" s="330"/>
      <c r="ER6" s="330"/>
      <c r="ES6" s="330"/>
      <c r="ET6" s="330"/>
      <c r="EU6" s="330"/>
      <c r="EV6" s="330"/>
      <c r="EW6" s="330"/>
      <c r="EX6" s="330"/>
      <c r="EY6" s="330"/>
      <c r="EZ6" s="330"/>
      <c r="FA6" s="330"/>
      <c r="FB6" s="330"/>
      <c r="FC6" s="330"/>
      <c r="FD6" s="330"/>
      <c r="FE6" s="330"/>
      <c r="FF6" s="330"/>
      <c r="FG6" s="330"/>
      <c r="FH6" s="330"/>
      <c r="FI6" s="330"/>
      <c r="FJ6" s="330"/>
      <c r="FK6" s="330"/>
      <c r="FL6" s="330"/>
      <c r="FM6" s="330"/>
      <c r="FN6" s="330"/>
      <c r="FO6" s="330"/>
      <c r="FP6" s="330"/>
      <c r="FQ6" s="330"/>
      <c r="FR6" s="330"/>
      <c r="FS6" s="330"/>
      <c r="FT6" s="330"/>
      <c r="FU6" s="330"/>
      <c r="FV6" s="330"/>
      <c r="FW6" s="330"/>
      <c r="FX6" s="330"/>
      <c r="FY6" s="330"/>
      <c r="FZ6" s="330"/>
      <c r="GA6" s="330"/>
      <c r="GB6" s="330"/>
      <c r="GC6" s="330"/>
      <c r="GD6" s="330"/>
      <c r="GE6" s="330"/>
      <c r="GF6" s="330"/>
      <c r="GG6" s="330"/>
      <c r="GH6" s="330"/>
      <c r="GI6" s="330"/>
      <c r="GJ6" s="330"/>
      <c r="GK6" s="330"/>
      <c r="GL6" s="330"/>
      <c r="GM6" s="330"/>
      <c r="GN6" s="330"/>
      <c r="GO6" s="330"/>
      <c r="GP6" s="330"/>
      <c r="GQ6" s="330"/>
      <c r="GR6" s="330"/>
      <c r="GS6" s="330"/>
      <c r="GT6" s="330"/>
      <c r="GU6" s="330"/>
      <c r="GV6" s="330"/>
      <c r="GW6" s="330"/>
      <c r="GX6" s="330"/>
      <c r="GY6" s="330"/>
      <c r="GZ6" s="330"/>
      <c r="HA6" s="330"/>
      <c r="HB6" s="330"/>
      <c r="HC6" s="330"/>
      <c r="HD6" s="330"/>
      <c r="HE6" s="330"/>
      <c r="HF6" s="330"/>
      <c r="HG6" s="330"/>
      <c r="HH6" s="330"/>
      <c r="HI6" s="330"/>
      <c r="HJ6" s="330"/>
      <c r="HK6" s="330"/>
      <c r="HL6" s="330"/>
      <c r="HM6" s="330"/>
      <c r="HN6" s="330"/>
      <c r="HO6" s="330"/>
      <c r="HP6" s="330"/>
      <c r="HQ6" s="330"/>
      <c r="HR6" s="330"/>
      <c r="HS6" s="330"/>
      <c r="HT6" s="330"/>
      <c r="HU6" s="330"/>
      <c r="HV6" s="330"/>
      <c r="HW6" s="330"/>
      <c r="HX6" s="330"/>
      <c r="HY6" s="330"/>
      <c r="HZ6" s="330"/>
      <c r="IA6" s="330"/>
      <c r="IB6" s="330"/>
      <c r="IC6" s="330"/>
      <c r="ID6" s="330"/>
      <c r="IE6" s="330"/>
      <c r="IF6" s="330"/>
      <c r="IG6" s="330"/>
      <c r="IH6" s="330"/>
      <c r="II6" s="330"/>
      <c r="IJ6" s="330"/>
      <c r="IK6" s="330"/>
      <c r="IL6" s="330"/>
      <c r="IM6" s="330"/>
      <c r="IN6" s="330"/>
      <c r="IO6" s="330"/>
      <c r="IP6" s="330"/>
      <c r="IQ6" s="330"/>
      <c r="IR6" s="330"/>
      <c r="IS6" s="330"/>
      <c r="IT6" s="330"/>
      <c r="IU6" s="330"/>
      <c r="IV6" s="330"/>
      <c r="IW6" s="330"/>
      <c r="IX6" s="330"/>
      <c r="IY6" s="330"/>
      <c r="IZ6" s="330"/>
      <c r="JA6" s="330"/>
      <c r="JB6" s="330"/>
      <c r="JC6" s="330"/>
      <c r="JD6" s="330"/>
      <c r="JE6" s="330"/>
      <c r="JF6" s="330"/>
      <c r="JG6" s="330"/>
      <c r="JH6" s="330"/>
      <c r="JI6" s="330"/>
      <c r="JJ6" s="330"/>
      <c r="JK6" s="330"/>
      <c r="JL6" s="330"/>
      <c r="JM6" s="330"/>
      <c r="JN6" s="330"/>
      <c r="JO6" s="330"/>
      <c r="JP6" s="330"/>
      <c r="JQ6" s="330"/>
      <c r="JR6" s="330"/>
      <c r="JS6" s="330"/>
      <c r="JT6" s="330"/>
      <c r="JU6" s="330"/>
      <c r="JV6" s="330"/>
      <c r="JW6" s="330"/>
      <c r="JX6" s="330"/>
      <c r="JY6" s="330"/>
      <c r="JZ6" s="330"/>
      <c r="KA6" s="330"/>
      <c r="KB6" s="330"/>
      <c r="KC6" s="330"/>
      <c r="KD6" s="330"/>
      <c r="KE6" s="330"/>
      <c r="KF6" s="330"/>
      <c r="KG6" s="330"/>
      <c r="KH6" s="330"/>
      <c r="KI6" s="330"/>
      <c r="KJ6" s="330"/>
      <c r="KK6" s="330"/>
      <c r="KL6" s="330"/>
      <c r="KM6" s="330"/>
      <c r="KN6" s="330"/>
      <c r="KO6" s="330"/>
      <c r="KP6" s="330"/>
      <c r="KQ6" s="330"/>
      <c r="KR6" s="330"/>
      <c r="KS6" s="330"/>
      <c r="KT6" s="330"/>
      <c r="KU6" s="330"/>
      <c r="KV6" s="330"/>
      <c r="KW6" s="330"/>
      <c r="KX6" s="330"/>
      <c r="KY6" s="330"/>
      <c r="KZ6" s="330"/>
      <c r="LA6" s="330"/>
      <c r="LB6" s="330"/>
      <c r="LC6" s="330"/>
      <c r="LD6" s="330"/>
      <c r="LE6" s="330"/>
    </row>
    <row r="7" spans="1:317">
      <c r="A7" s="330"/>
      <c r="B7" s="330"/>
      <c r="C7" s="330"/>
      <c r="D7" s="330"/>
      <c r="E7" s="330"/>
      <c r="F7" s="872"/>
      <c r="G7" s="868"/>
      <c r="H7" s="868"/>
      <c r="I7" s="868"/>
      <c r="J7" s="868"/>
      <c r="K7" s="868"/>
      <c r="L7" s="868"/>
      <c r="M7" s="868"/>
      <c r="N7" s="868"/>
      <c r="O7" s="868"/>
      <c r="P7" s="868"/>
      <c r="Q7" s="873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0"/>
      <c r="AO7" s="330"/>
      <c r="AP7" s="330"/>
      <c r="AQ7" s="330"/>
      <c r="AR7" s="330"/>
      <c r="AS7" s="330"/>
      <c r="AT7" s="330"/>
      <c r="AU7" s="330"/>
      <c r="AV7" s="330"/>
      <c r="AW7" s="330"/>
      <c r="AX7" s="330"/>
      <c r="AY7" s="330"/>
      <c r="AZ7" s="330"/>
      <c r="BA7" s="330"/>
      <c r="BB7" s="330"/>
      <c r="BC7" s="330"/>
      <c r="BD7" s="330"/>
      <c r="BE7" s="330"/>
      <c r="BF7" s="330"/>
      <c r="BG7" s="330"/>
      <c r="BH7" s="330"/>
      <c r="BI7" s="330"/>
      <c r="BJ7" s="330"/>
      <c r="BK7" s="330"/>
      <c r="BL7" s="330"/>
      <c r="BM7" s="330"/>
      <c r="BN7" s="330"/>
      <c r="BO7" s="330"/>
      <c r="BP7" s="330"/>
      <c r="BQ7" s="330"/>
      <c r="BR7" s="330"/>
      <c r="BS7" s="330"/>
      <c r="BT7" s="330"/>
      <c r="BU7" s="330"/>
      <c r="BV7" s="330"/>
      <c r="BW7" s="330"/>
      <c r="BX7" s="330"/>
      <c r="BY7" s="330"/>
      <c r="BZ7" s="330"/>
      <c r="CA7" s="330"/>
      <c r="CB7" s="330"/>
      <c r="CC7" s="330"/>
      <c r="CD7" s="330"/>
      <c r="CE7" s="330"/>
      <c r="CF7" s="330"/>
      <c r="CG7" s="330"/>
      <c r="CH7" s="330"/>
      <c r="CI7" s="330"/>
      <c r="CJ7" s="330"/>
      <c r="CK7" s="330"/>
      <c r="CL7" s="330"/>
      <c r="CM7" s="330"/>
      <c r="CN7" s="330"/>
      <c r="CO7" s="330"/>
      <c r="CP7" s="330"/>
      <c r="CQ7" s="330"/>
      <c r="CR7" s="330"/>
      <c r="CS7" s="330"/>
      <c r="CT7" s="330"/>
      <c r="CU7" s="330"/>
      <c r="CV7" s="330"/>
      <c r="CW7" s="330"/>
      <c r="CX7" s="330"/>
      <c r="CY7" s="330"/>
      <c r="CZ7" s="330"/>
      <c r="DA7" s="330"/>
      <c r="DB7" s="330"/>
      <c r="DC7" s="330"/>
      <c r="DD7" s="330"/>
      <c r="DE7" s="330"/>
      <c r="DF7" s="330"/>
      <c r="DG7" s="330"/>
      <c r="DH7" s="330"/>
      <c r="DI7" s="330"/>
      <c r="DJ7" s="330"/>
      <c r="DK7" s="330"/>
      <c r="DL7" s="330"/>
      <c r="DM7" s="330"/>
      <c r="DN7" s="330"/>
      <c r="DO7" s="330"/>
      <c r="DP7" s="330"/>
      <c r="DQ7" s="330"/>
      <c r="DR7" s="330"/>
      <c r="DS7" s="330"/>
      <c r="DT7" s="330"/>
      <c r="DU7" s="330"/>
      <c r="DV7" s="330"/>
      <c r="DW7" s="330"/>
      <c r="DX7" s="330"/>
      <c r="DY7" s="330"/>
      <c r="DZ7" s="330"/>
      <c r="EA7" s="330"/>
      <c r="EB7" s="330"/>
      <c r="EC7" s="330"/>
      <c r="ED7" s="330"/>
      <c r="EE7" s="330"/>
      <c r="EF7" s="330"/>
      <c r="EG7" s="330"/>
      <c r="EH7" s="330"/>
      <c r="EI7" s="330"/>
      <c r="EJ7" s="330"/>
      <c r="EK7" s="330"/>
      <c r="EL7" s="330"/>
      <c r="EM7" s="330"/>
      <c r="EN7" s="330"/>
      <c r="EO7" s="330"/>
      <c r="EP7" s="330"/>
      <c r="EQ7" s="330"/>
      <c r="ER7" s="330"/>
      <c r="ES7" s="330"/>
      <c r="ET7" s="330"/>
      <c r="EU7" s="330"/>
      <c r="EV7" s="330"/>
      <c r="EW7" s="330"/>
      <c r="EX7" s="330"/>
      <c r="EY7" s="330"/>
      <c r="EZ7" s="330"/>
      <c r="FA7" s="330"/>
      <c r="FB7" s="330"/>
      <c r="FC7" s="330"/>
      <c r="FD7" s="330"/>
      <c r="FE7" s="330"/>
      <c r="FF7" s="330"/>
      <c r="FG7" s="330"/>
      <c r="FH7" s="330"/>
      <c r="FI7" s="330"/>
      <c r="FJ7" s="330"/>
      <c r="FK7" s="330"/>
      <c r="FL7" s="330"/>
      <c r="FM7" s="330"/>
      <c r="FN7" s="330"/>
      <c r="FO7" s="330"/>
      <c r="FP7" s="330"/>
      <c r="FQ7" s="330"/>
      <c r="FR7" s="330"/>
      <c r="FS7" s="330"/>
      <c r="FT7" s="330"/>
      <c r="FU7" s="330"/>
      <c r="FV7" s="330"/>
      <c r="FW7" s="330"/>
      <c r="FX7" s="330"/>
      <c r="FY7" s="330"/>
      <c r="FZ7" s="330"/>
      <c r="GA7" s="330"/>
      <c r="GB7" s="330"/>
      <c r="GC7" s="330"/>
      <c r="GD7" s="330"/>
      <c r="GE7" s="330"/>
      <c r="GF7" s="330"/>
      <c r="GG7" s="330"/>
      <c r="GH7" s="330"/>
      <c r="GI7" s="330"/>
      <c r="GJ7" s="330"/>
      <c r="GK7" s="330"/>
      <c r="GL7" s="330"/>
      <c r="GM7" s="330"/>
      <c r="GN7" s="330"/>
      <c r="GO7" s="330"/>
      <c r="GP7" s="330"/>
      <c r="GQ7" s="330"/>
      <c r="GR7" s="330"/>
      <c r="GS7" s="330"/>
      <c r="GT7" s="330"/>
      <c r="GU7" s="330"/>
      <c r="GV7" s="330"/>
      <c r="GW7" s="330"/>
      <c r="GX7" s="330"/>
      <c r="GY7" s="330"/>
      <c r="GZ7" s="330"/>
      <c r="HA7" s="330"/>
      <c r="HB7" s="330"/>
      <c r="HC7" s="330"/>
      <c r="HD7" s="330"/>
      <c r="HE7" s="330"/>
      <c r="HF7" s="330"/>
      <c r="HG7" s="330"/>
      <c r="HH7" s="330"/>
      <c r="HI7" s="330"/>
      <c r="HJ7" s="330"/>
      <c r="HK7" s="330"/>
      <c r="HL7" s="330"/>
      <c r="HM7" s="330"/>
      <c r="HN7" s="330"/>
      <c r="HO7" s="330"/>
      <c r="HP7" s="330"/>
      <c r="HQ7" s="330"/>
      <c r="HR7" s="330"/>
      <c r="HS7" s="330"/>
      <c r="HT7" s="330"/>
      <c r="HU7" s="330"/>
      <c r="HV7" s="330"/>
      <c r="HW7" s="330"/>
      <c r="HX7" s="330"/>
      <c r="HY7" s="330"/>
      <c r="HZ7" s="330"/>
      <c r="IA7" s="330"/>
      <c r="IB7" s="330"/>
      <c r="IC7" s="330"/>
      <c r="ID7" s="330"/>
      <c r="IE7" s="330"/>
      <c r="IF7" s="330"/>
      <c r="IG7" s="330"/>
      <c r="IH7" s="330"/>
      <c r="II7" s="330"/>
      <c r="IJ7" s="330"/>
      <c r="IK7" s="330"/>
      <c r="IL7" s="330"/>
      <c r="IM7" s="330"/>
      <c r="IN7" s="330"/>
      <c r="IO7" s="330"/>
      <c r="IP7" s="330"/>
      <c r="IQ7" s="330"/>
      <c r="IR7" s="330"/>
      <c r="IS7" s="330"/>
      <c r="IT7" s="330"/>
      <c r="IU7" s="330"/>
      <c r="IV7" s="330"/>
      <c r="IW7" s="330"/>
      <c r="IX7" s="330"/>
      <c r="IY7" s="330"/>
      <c r="IZ7" s="330"/>
      <c r="JA7" s="330"/>
      <c r="JB7" s="330"/>
      <c r="JC7" s="330"/>
      <c r="JD7" s="330"/>
      <c r="JE7" s="330"/>
      <c r="JF7" s="330"/>
      <c r="JG7" s="330"/>
      <c r="JH7" s="330"/>
      <c r="JI7" s="330"/>
      <c r="JJ7" s="330"/>
      <c r="JK7" s="330"/>
      <c r="JL7" s="330"/>
      <c r="JM7" s="330"/>
      <c r="JN7" s="330"/>
      <c r="JO7" s="330"/>
      <c r="JP7" s="330"/>
      <c r="JQ7" s="330"/>
      <c r="JR7" s="330"/>
      <c r="JS7" s="330"/>
      <c r="JT7" s="330"/>
      <c r="JU7" s="330"/>
      <c r="JV7" s="330"/>
      <c r="JW7" s="330"/>
      <c r="JX7" s="330"/>
      <c r="JY7" s="330"/>
      <c r="JZ7" s="330"/>
      <c r="KA7" s="330"/>
      <c r="KB7" s="330"/>
      <c r="KC7" s="330"/>
      <c r="KD7" s="330"/>
      <c r="KE7" s="330"/>
      <c r="KF7" s="330"/>
      <c r="KG7" s="330"/>
      <c r="KH7" s="330"/>
      <c r="KI7" s="330"/>
      <c r="KJ7" s="330"/>
      <c r="KK7" s="330"/>
      <c r="KL7" s="330"/>
      <c r="KM7" s="330"/>
      <c r="KN7" s="330"/>
      <c r="KO7" s="330"/>
      <c r="KP7" s="330"/>
      <c r="KQ7" s="330"/>
      <c r="KR7" s="330"/>
      <c r="KS7" s="330"/>
      <c r="KT7" s="330"/>
      <c r="KU7" s="330"/>
      <c r="KV7" s="330"/>
      <c r="KW7" s="330"/>
      <c r="KX7" s="330"/>
      <c r="KY7" s="330"/>
      <c r="KZ7" s="330"/>
      <c r="LA7" s="330"/>
      <c r="LB7" s="330"/>
      <c r="LC7" s="330"/>
      <c r="LD7" s="330"/>
      <c r="LE7" s="330"/>
    </row>
    <row r="8" spans="1:317">
      <c r="A8" s="330"/>
      <c r="B8" s="330"/>
      <c r="C8" s="330"/>
      <c r="D8" s="330"/>
      <c r="E8" s="330"/>
      <c r="F8" s="872"/>
      <c r="G8" s="868"/>
      <c r="H8" s="868"/>
      <c r="I8" s="868"/>
      <c r="J8" s="868"/>
      <c r="K8" s="868"/>
      <c r="L8" s="868"/>
      <c r="M8" s="868"/>
      <c r="N8" s="868"/>
      <c r="O8" s="868"/>
      <c r="P8" s="868"/>
      <c r="Q8" s="873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0"/>
      <c r="AP8" s="330"/>
      <c r="AQ8" s="330"/>
      <c r="AR8" s="330"/>
      <c r="AS8" s="330"/>
      <c r="AT8" s="330"/>
      <c r="AU8" s="330"/>
      <c r="AV8" s="330"/>
      <c r="AW8" s="330"/>
      <c r="AX8" s="330"/>
      <c r="AY8" s="330"/>
      <c r="AZ8" s="330"/>
      <c r="BA8" s="330"/>
      <c r="BB8" s="330"/>
      <c r="BC8" s="330"/>
      <c r="BD8" s="330"/>
      <c r="BE8" s="330"/>
      <c r="BF8" s="330"/>
      <c r="BG8" s="330"/>
      <c r="BH8" s="330"/>
      <c r="BI8" s="330"/>
      <c r="BJ8" s="330"/>
      <c r="BK8" s="330"/>
      <c r="BL8" s="330"/>
      <c r="BM8" s="330"/>
      <c r="BN8" s="330"/>
      <c r="BO8" s="330"/>
      <c r="BP8" s="330"/>
      <c r="BQ8" s="330"/>
      <c r="BR8" s="330"/>
      <c r="BS8" s="330"/>
      <c r="BT8" s="330"/>
      <c r="BU8" s="330"/>
      <c r="BV8" s="330"/>
      <c r="BW8" s="330"/>
      <c r="BX8" s="330"/>
      <c r="BY8" s="330"/>
      <c r="BZ8" s="330"/>
      <c r="CA8" s="330"/>
      <c r="CB8" s="330"/>
      <c r="CC8" s="330"/>
      <c r="CD8" s="330"/>
      <c r="CE8" s="330"/>
      <c r="CF8" s="330"/>
      <c r="CG8" s="330"/>
      <c r="CH8" s="330"/>
      <c r="CI8" s="330"/>
      <c r="CJ8" s="330"/>
      <c r="CK8" s="330"/>
      <c r="CL8" s="330"/>
      <c r="CM8" s="330"/>
      <c r="CN8" s="330"/>
      <c r="CO8" s="330"/>
      <c r="CP8" s="330"/>
      <c r="CQ8" s="330"/>
      <c r="CR8" s="330"/>
      <c r="CS8" s="330"/>
      <c r="CT8" s="330"/>
      <c r="CU8" s="330"/>
      <c r="CV8" s="330"/>
      <c r="CW8" s="330"/>
      <c r="CX8" s="330"/>
      <c r="CY8" s="330"/>
      <c r="CZ8" s="330"/>
      <c r="DA8" s="330"/>
      <c r="DB8" s="330"/>
      <c r="DC8" s="330"/>
      <c r="DD8" s="330"/>
      <c r="DE8" s="330"/>
      <c r="DF8" s="330"/>
      <c r="DG8" s="330"/>
      <c r="DH8" s="330"/>
      <c r="DI8" s="330"/>
      <c r="DJ8" s="330"/>
      <c r="DK8" s="330"/>
      <c r="DL8" s="330"/>
      <c r="DM8" s="330"/>
      <c r="DN8" s="330"/>
      <c r="DO8" s="330"/>
      <c r="DP8" s="330"/>
      <c r="DQ8" s="330"/>
      <c r="DR8" s="330"/>
      <c r="DS8" s="330"/>
      <c r="DT8" s="330"/>
      <c r="DU8" s="330"/>
      <c r="DV8" s="330"/>
      <c r="DW8" s="330"/>
      <c r="DX8" s="330"/>
      <c r="DY8" s="330"/>
      <c r="DZ8" s="330"/>
      <c r="EA8" s="330"/>
      <c r="EB8" s="330"/>
      <c r="EC8" s="330"/>
      <c r="ED8" s="330"/>
      <c r="EE8" s="330"/>
      <c r="EF8" s="330"/>
      <c r="EG8" s="330"/>
      <c r="EH8" s="330"/>
      <c r="EI8" s="330"/>
      <c r="EJ8" s="330"/>
      <c r="EK8" s="330"/>
      <c r="EL8" s="330"/>
      <c r="EM8" s="330"/>
      <c r="EN8" s="330"/>
      <c r="EO8" s="330"/>
      <c r="EP8" s="330"/>
      <c r="EQ8" s="330"/>
      <c r="ER8" s="330"/>
      <c r="ES8" s="330"/>
      <c r="ET8" s="330"/>
      <c r="EU8" s="330"/>
      <c r="EV8" s="330"/>
      <c r="EW8" s="330"/>
      <c r="EX8" s="330"/>
      <c r="EY8" s="330"/>
      <c r="EZ8" s="330"/>
      <c r="FA8" s="330"/>
      <c r="FB8" s="330"/>
      <c r="FC8" s="330"/>
      <c r="FD8" s="330"/>
      <c r="FE8" s="330"/>
      <c r="FF8" s="330"/>
      <c r="FG8" s="330"/>
      <c r="FH8" s="330"/>
      <c r="FI8" s="330"/>
      <c r="FJ8" s="330"/>
      <c r="FK8" s="330"/>
      <c r="FL8" s="330"/>
      <c r="FM8" s="330"/>
      <c r="FN8" s="330"/>
      <c r="FO8" s="330"/>
      <c r="FP8" s="330"/>
      <c r="FQ8" s="330"/>
      <c r="FR8" s="330"/>
      <c r="FS8" s="330"/>
      <c r="FT8" s="330"/>
      <c r="FU8" s="330"/>
      <c r="FV8" s="330"/>
      <c r="FW8" s="330"/>
      <c r="FX8" s="330"/>
      <c r="FY8" s="330"/>
      <c r="FZ8" s="330"/>
      <c r="GA8" s="330"/>
      <c r="GB8" s="330"/>
      <c r="GC8" s="330"/>
      <c r="GD8" s="330"/>
      <c r="GE8" s="330"/>
      <c r="GF8" s="330"/>
      <c r="GG8" s="330"/>
      <c r="GH8" s="330"/>
      <c r="GI8" s="330"/>
      <c r="GJ8" s="330"/>
      <c r="GK8" s="330"/>
      <c r="GL8" s="330"/>
      <c r="GM8" s="330"/>
      <c r="GN8" s="330"/>
      <c r="GO8" s="330"/>
      <c r="GP8" s="330"/>
      <c r="GQ8" s="330"/>
      <c r="GR8" s="330"/>
      <c r="GS8" s="330"/>
      <c r="GT8" s="330"/>
      <c r="GU8" s="330"/>
      <c r="GV8" s="330"/>
      <c r="GW8" s="330"/>
      <c r="GX8" s="330"/>
      <c r="GY8" s="330"/>
      <c r="GZ8" s="330"/>
      <c r="HA8" s="330"/>
      <c r="HB8" s="330"/>
      <c r="HC8" s="330"/>
      <c r="HD8" s="330"/>
      <c r="HE8" s="330"/>
      <c r="HF8" s="330"/>
      <c r="HG8" s="330"/>
      <c r="HH8" s="330"/>
      <c r="HI8" s="330"/>
      <c r="HJ8" s="330"/>
      <c r="HK8" s="330"/>
      <c r="HL8" s="330"/>
      <c r="HM8" s="330"/>
      <c r="HN8" s="330"/>
      <c r="HO8" s="330"/>
      <c r="HP8" s="330"/>
      <c r="HQ8" s="330"/>
      <c r="HR8" s="330"/>
      <c r="HS8" s="330"/>
      <c r="HT8" s="330"/>
      <c r="HU8" s="330"/>
      <c r="HV8" s="330"/>
      <c r="HW8" s="330"/>
      <c r="HX8" s="330"/>
      <c r="HY8" s="330"/>
      <c r="HZ8" s="330"/>
      <c r="IA8" s="330"/>
      <c r="IB8" s="330"/>
      <c r="IC8" s="330"/>
      <c r="ID8" s="330"/>
      <c r="IE8" s="330"/>
      <c r="IF8" s="330"/>
      <c r="IG8" s="330"/>
      <c r="IH8" s="330"/>
      <c r="II8" s="330"/>
      <c r="IJ8" s="330"/>
      <c r="IK8" s="330"/>
      <c r="IL8" s="330"/>
      <c r="IM8" s="330"/>
      <c r="IN8" s="330"/>
      <c r="IO8" s="330"/>
      <c r="IP8" s="330"/>
      <c r="IQ8" s="330"/>
      <c r="IR8" s="330"/>
      <c r="IS8" s="330"/>
      <c r="IT8" s="330"/>
      <c r="IU8" s="330"/>
      <c r="IV8" s="330"/>
      <c r="IW8" s="330"/>
      <c r="IX8" s="330"/>
      <c r="IY8" s="330"/>
      <c r="IZ8" s="330"/>
      <c r="JA8" s="330"/>
      <c r="JB8" s="330"/>
      <c r="JC8" s="330"/>
      <c r="JD8" s="330"/>
      <c r="JE8" s="330"/>
      <c r="JF8" s="330"/>
      <c r="JG8" s="330"/>
      <c r="JH8" s="330"/>
      <c r="JI8" s="330"/>
      <c r="JJ8" s="330"/>
      <c r="JK8" s="330"/>
      <c r="JL8" s="330"/>
      <c r="JM8" s="330"/>
      <c r="JN8" s="330"/>
      <c r="JO8" s="330"/>
      <c r="JP8" s="330"/>
      <c r="JQ8" s="330"/>
      <c r="JR8" s="330"/>
      <c r="JS8" s="330"/>
      <c r="JT8" s="330"/>
      <c r="JU8" s="330"/>
      <c r="JV8" s="330"/>
      <c r="JW8" s="330"/>
      <c r="JX8" s="330"/>
      <c r="JY8" s="330"/>
      <c r="JZ8" s="330"/>
      <c r="KA8" s="330"/>
      <c r="KB8" s="330"/>
      <c r="KC8" s="330"/>
      <c r="KD8" s="330"/>
      <c r="KE8" s="330"/>
      <c r="KF8" s="330"/>
      <c r="KG8" s="330"/>
      <c r="KH8" s="330"/>
      <c r="KI8" s="330"/>
      <c r="KJ8" s="330"/>
      <c r="KK8" s="330"/>
      <c r="KL8" s="330"/>
      <c r="KM8" s="330"/>
      <c r="KN8" s="330"/>
      <c r="KO8" s="330"/>
      <c r="KP8" s="330"/>
      <c r="KQ8" s="330"/>
      <c r="KR8" s="330"/>
      <c r="KS8" s="330"/>
      <c r="KT8" s="330"/>
      <c r="KU8" s="330"/>
      <c r="KV8" s="330"/>
      <c r="KW8" s="330"/>
      <c r="KX8" s="330"/>
      <c r="KY8" s="330"/>
      <c r="KZ8" s="330"/>
      <c r="LA8" s="330"/>
      <c r="LB8" s="330"/>
      <c r="LC8" s="330"/>
      <c r="LD8" s="330"/>
      <c r="LE8" s="330"/>
    </row>
    <row r="9" spans="1:317">
      <c r="A9" s="330"/>
      <c r="B9" s="330"/>
      <c r="C9" s="330"/>
      <c r="D9" s="330"/>
      <c r="E9" s="330"/>
      <c r="F9" s="872"/>
      <c r="G9" s="868"/>
      <c r="H9" s="868"/>
      <c r="I9" s="868"/>
      <c r="J9" s="868"/>
      <c r="K9" s="868"/>
      <c r="L9" s="868"/>
      <c r="M9" s="868"/>
      <c r="N9" s="868"/>
      <c r="O9" s="868"/>
      <c r="P9" s="868"/>
      <c r="Q9" s="873"/>
      <c r="R9" s="330"/>
      <c r="S9" s="330"/>
      <c r="T9" s="330"/>
      <c r="U9" s="330"/>
      <c r="V9" s="330"/>
      <c r="W9" s="330"/>
      <c r="X9" s="330"/>
      <c r="Y9" s="330"/>
      <c r="Z9" s="330"/>
      <c r="AA9" s="330"/>
      <c r="AB9" s="330"/>
      <c r="AC9" s="330"/>
      <c r="AD9" s="330"/>
      <c r="AE9" s="330"/>
      <c r="AF9" s="330"/>
      <c r="AG9" s="330"/>
      <c r="AH9" s="330"/>
      <c r="AI9" s="330"/>
      <c r="AJ9" s="330"/>
      <c r="AK9" s="330"/>
      <c r="AL9" s="330"/>
      <c r="AM9" s="330"/>
      <c r="AN9" s="330"/>
      <c r="AO9" s="330"/>
      <c r="AP9" s="330"/>
      <c r="AQ9" s="330"/>
      <c r="AR9" s="330"/>
      <c r="AS9" s="330"/>
      <c r="AT9" s="330"/>
      <c r="AU9" s="330"/>
      <c r="AV9" s="330"/>
      <c r="AW9" s="330"/>
      <c r="AX9" s="330"/>
      <c r="AY9" s="330"/>
      <c r="AZ9" s="330"/>
      <c r="BA9" s="330"/>
      <c r="BB9" s="330"/>
      <c r="BC9" s="330"/>
      <c r="BD9" s="330"/>
      <c r="BE9" s="330"/>
      <c r="BF9" s="330"/>
      <c r="BG9" s="330"/>
      <c r="BH9" s="330"/>
      <c r="BI9" s="330"/>
      <c r="BJ9" s="330"/>
      <c r="BK9" s="330"/>
      <c r="BL9" s="330"/>
      <c r="BM9" s="330"/>
      <c r="BN9" s="330"/>
      <c r="BO9" s="330"/>
      <c r="BP9" s="330"/>
      <c r="BQ9" s="330"/>
      <c r="BR9" s="330"/>
      <c r="BS9" s="330"/>
      <c r="BT9" s="330"/>
      <c r="BU9" s="330"/>
      <c r="BV9" s="330"/>
      <c r="BW9" s="330"/>
      <c r="BX9" s="330"/>
      <c r="BY9" s="330"/>
      <c r="BZ9" s="330"/>
      <c r="CA9" s="330"/>
      <c r="CB9" s="330"/>
      <c r="CC9" s="330"/>
      <c r="CD9" s="330"/>
      <c r="CE9" s="330"/>
      <c r="CF9" s="330"/>
      <c r="CG9" s="330"/>
      <c r="CH9" s="330"/>
      <c r="CI9" s="330"/>
      <c r="CJ9" s="330"/>
      <c r="CK9" s="330"/>
      <c r="CL9" s="330"/>
      <c r="CM9" s="330"/>
      <c r="CN9" s="330"/>
      <c r="CO9" s="330"/>
      <c r="CP9" s="330"/>
      <c r="CQ9" s="330"/>
      <c r="CR9" s="330"/>
      <c r="CS9" s="330"/>
      <c r="CT9" s="330"/>
      <c r="CU9" s="330"/>
      <c r="CV9" s="330"/>
      <c r="CW9" s="330"/>
      <c r="CX9" s="330"/>
      <c r="CY9" s="330"/>
      <c r="CZ9" s="330"/>
      <c r="DA9" s="330"/>
      <c r="DB9" s="330"/>
      <c r="DC9" s="330"/>
      <c r="DD9" s="330"/>
      <c r="DE9" s="330"/>
      <c r="DF9" s="330"/>
      <c r="DG9" s="330"/>
      <c r="DH9" s="330"/>
      <c r="DI9" s="330"/>
      <c r="DJ9" s="330"/>
      <c r="DK9" s="330"/>
      <c r="DL9" s="330"/>
      <c r="DM9" s="330"/>
      <c r="DN9" s="330"/>
      <c r="DO9" s="330"/>
      <c r="DP9" s="330"/>
      <c r="DQ9" s="330"/>
      <c r="DR9" s="330"/>
      <c r="DS9" s="330"/>
      <c r="DT9" s="330"/>
      <c r="DU9" s="330"/>
      <c r="DV9" s="330"/>
      <c r="DW9" s="330"/>
      <c r="DX9" s="330"/>
      <c r="DY9" s="330"/>
      <c r="DZ9" s="330"/>
      <c r="EA9" s="330"/>
      <c r="EB9" s="330"/>
      <c r="EC9" s="330"/>
      <c r="ED9" s="330"/>
      <c r="EE9" s="330"/>
      <c r="EF9" s="330"/>
      <c r="EG9" s="330"/>
      <c r="EH9" s="330"/>
      <c r="EI9" s="330"/>
      <c r="EJ9" s="330"/>
      <c r="EK9" s="330"/>
      <c r="EL9" s="330"/>
      <c r="EM9" s="330"/>
      <c r="EN9" s="330"/>
      <c r="EO9" s="330"/>
      <c r="EP9" s="330"/>
      <c r="EQ9" s="330"/>
      <c r="ER9" s="330"/>
      <c r="ES9" s="330"/>
      <c r="ET9" s="330"/>
      <c r="EU9" s="330"/>
      <c r="EV9" s="330"/>
      <c r="EW9" s="330"/>
      <c r="EX9" s="330"/>
      <c r="EY9" s="330"/>
      <c r="EZ9" s="330"/>
      <c r="FA9" s="330"/>
      <c r="FB9" s="330"/>
      <c r="FC9" s="330"/>
      <c r="FD9" s="330"/>
      <c r="FE9" s="330"/>
      <c r="FF9" s="330"/>
      <c r="FG9" s="330"/>
      <c r="FH9" s="330"/>
      <c r="FI9" s="330"/>
      <c r="FJ9" s="330"/>
      <c r="FK9" s="330"/>
      <c r="FL9" s="330"/>
      <c r="FM9" s="330"/>
      <c r="FN9" s="330"/>
      <c r="FO9" s="330"/>
      <c r="FP9" s="330"/>
      <c r="FQ9" s="330"/>
      <c r="FR9" s="330"/>
      <c r="FS9" s="330"/>
      <c r="FT9" s="330"/>
      <c r="FU9" s="330"/>
      <c r="FV9" s="330"/>
      <c r="FW9" s="330"/>
      <c r="FX9" s="330"/>
      <c r="FY9" s="330"/>
      <c r="FZ9" s="330"/>
      <c r="GA9" s="330"/>
      <c r="GB9" s="330"/>
      <c r="GC9" s="330"/>
      <c r="GD9" s="330"/>
      <c r="GE9" s="330"/>
      <c r="GF9" s="330"/>
      <c r="GG9" s="330"/>
      <c r="GH9" s="330"/>
      <c r="GI9" s="330"/>
      <c r="GJ9" s="330"/>
      <c r="GK9" s="330"/>
      <c r="GL9" s="330"/>
      <c r="GM9" s="330"/>
      <c r="GN9" s="330"/>
      <c r="GO9" s="330"/>
      <c r="GP9" s="330"/>
      <c r="GQ9" s="330"/>
      <c r="GR9" s="330"/>
      <c r="GS9" s="330"/>
      <c r="GT9" s="330"/>
      <c r="GU9" s="330"/>
      <c r="GV9" s="330"/>
      <c r="GW9" s="330"/>
      <c r="GX9" s="330"/>
      <c r="GY9" s="330"/>
      <c r="GZ9" s="330"/>
      <c r="HA9" s="330"/>
      <c r="HB9" s="330"/>
      <c r="HC9" s="330"/>
      <c r="HD9" s="330"/>
      <c r="HE9" s="330"/>
      <c r="HF9" s="330"/>
      <c r="HG9" s="330"/>
      <c r="HH9" s="330"/>
      <c r="HI9" s="330"/>
      <c r="HJ9" s="330"/>
      <c r="HK9" s="330"/>
      <c r="HL9" s="330"/>
      <c r="HM9" s="330"/>
      <c r="HN9" s="330"/>
      <c r="HO9" s="330"/>
      <c r="HP9" s="330"/>
      <c r="HQ9" s="330"/>
      <c r="HR9" s="330"/>
      <c r="HS9" s="330"/>
      <c r="HT9" s="330"/>
      <c r="HU9" s="330"/>
      <c r="HV9" s="330"/>
      <c r="HW9" s="330"/>
      <c r="HX9" s="330"/>
      <c r="HY9" s="330"/>
      <c r="HZ9" s="330"/>
      <c r="IA9" s="330"/>
      <c r="IB9" s="330"/>
      <c r="IC9" s="330"/>
      <c r="ID9" s="330"/>
      <c r="IE9" s="330"/>
      <c r="IF9" s="330"/>
      <c r="IG9" s="330"/>
      <c r="IH9" s="330"/>
      <c r="II9" s="330"/>
      <c r="IJ9" s="330"/>
      <c r="IK9" s="330"/>
      <c r="IL9" s="330"/>
      <c r="IM9" s="330"/>
      <c r="IN9" s="330"/>
      <c r="IO9" s="330"/>
      <c r="IP9" s="330"/>
      <c r="IQ9" s="330"/>
      <c r="IR9" s="330"/>
      <c r="IS9" s="330"/>
      <c r="IT9" s="330"/>
      <c r="IU9" s="330"/>
      <c r="IV9" s="330"/>
      <c r="IW9" s="330"/>
      <c r="IX9" s="330"/>
      <c r="IY9" s="330"/>
      <c r="IZ9" s="330"/>
      <c r="JA9" s="330"/>
      <c r="JB9" s="330"/>
      <c r="JC9" s="330"/>
      <c r="JD9" s="330"/>
      <c r="JE9" s="330"/>
      <c r="JF9" s="330"/>
      <c r="JG9" s="330"/>
      <c r="JH9" s="330"/>
      <c r="JI9" s="330"/>
      <c r="JJ9" s="330"/>
      <c r="JK9" s="330"/>
      <c r="JL9" s="330"/>
      <c r="JM9" s="330"/>
      <c r="JN9" s="330"/>
      <c r="JO9" s="330"/>
      <c r="JP9" s="330"/>
      <c r="JQ9" s="330"/>
      <c r="JR9" s="330"/>
      <c r="JS9" s="330"/>
      <c r="JT9" s="330"/>
      <c r="JU9" s="330"/>
      <c r="JV9" s="330"/>
      <c r="JW9" s="330"/>
      <c r="JX9" s="330"/>
      <c r="JY9" s="330"/>
      <c r="JZ9" s="330"/>
      <c r="KA9" s="330"/>
      <c r="KB9" s="330"/>
      <c r="KC9" s="330"/>
      <c r="KD9" s="330"/>
      <c r="KE9" s="330"/>
      <c r="KF9" s="330"/>
      <c r="KG9" s="330"/>
      <c r="KH9" s="330"/>
      <c r="KI9" s="330"/>
      <c r="KJ9" s="330"/>
      <c r="KK9" s="330"/>
      <c r="KL9" s="330"/>
      <c r="KM9" s="330"/>
      <c r="KN9" s="330"/>
      <c r="KO9" s="330"/>
      <c r="KP9" s="330"/>
      <c r="KQ9" s="330"/>
      <c r="KR9" s="330"/>
      <c r="KS9" s="330"/>
      <c r="KT9" s="330"/>
      <c r="KU9" s="330"/>
      <c r="KV9" s="330"/>
      <c r="KW9" s="330"/>
      <c r="KX9" s="330"/>
      <c r="KY9" s="330"/>
      <c r="KZ9" s="330"/>
      <c r="LA9" s="330"/>
      <c r="LB9" s="330"/>
      <c r="LC9" s="330"/>
      <c r="LD9" s="330"/>
      <c r="LE9" s="330"/>
    </row>
    <row r="10" spans="1:317">
      <c r="A10" s="330"/>
      <c r="B10" s="330"/>
      <c r="C10" s="330"/>
      <c r="D10" s="330"/>
      <c r="E10" s="330"/>
      <c r="F10" s="872"/>
      <c r="G10" s="868"/>
      <c r="H10" s="868"/>
      <c r="I10" s="868"/>
      <c r="J10" s="868"/>
      <c r="K10" s="868"/>
      <c r="L10" s="868"/>
      <c r="M10" s="868"/>
      <c r="N10" s="868"/>
      <c r="O10" s="868"/>
      <c r="P10" s="868"/>
      <c r="Q10" s="873"/>
      <c r="R10" s="330"/>
      <c r="S10" s="330"/>
      <c r="T10" s="330"/>
      <c r="U10" s="330"/>
      <c r="V10" s="330"/>
      <c r="W10" s="330"/>
      <c r="X10" s="330"/>
      <c r="Y10" s="330"/>
      <c r="Z10" s="330"/>
      <c r="AA10" s="330"/>
      <c r="AB10" s="330"/>
      <c r="AC10" s="330"/>
      <c r="AD10" s="330"/>
      <c r="AE10" s="330"/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0"/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0"/>
      <c r="BI10" s="330"/>
      <c r="BJ10" s="330"/>
      <c r="BK10" s="330"/>
      <c r="BL10" s="330"/>
      <c r="BM10" s="330"/>
      <c r="BN10" s="330"/>
      <c r="BO10" s="330"/>
      <c r="BP10" s="330"/>
      <c r="BQ10" s="330"/>
      <c r="BR10" s="330"/>
      <c r="BS10" s="330"/>
      <c r="BT10" s="330"/>
      <c r="BU10" s="330"/>
      <c r="BV10" s="330"/>
      <c r="BW10" s="330"/>
      <c r="BX10" s="330"/>
      <c r="BY10" s="330"/>
      <c r="BZ10" s="330"/>
      <c r="CA10" s="330"/>
      <c r="CB10" s="330"/>
      <c r="CC10" s="330"/>
      <c r="CD10" s="330"/>
      <c r="CE10" s="330"/>
      <c r="CF10" s="330"/>
      <c r="CG10" s="330"/>
      <c r="CH10" s="330"/>
      <c r="CI10" s="330"/>
      <c r="CJ10" s="330"/>
      <c r="CK10" s="330"/>
      <c r="CL10" s="330"/>
      <c r="CM10" s="330"/>
      <c r="CN10" s="330"/>
      <c r="CO10" s="330"/>
      <c r="CP10" s="330"/>
      <c r="CQ10" s="330"/>
      <c r="CR10" s="330"/>
      <c r="CS10" s="330"/>
      <c r="CT10" s="330"/>
      <c r="CU10" s="330"/>
      <c r="CV10" s="330"/>
      <c r="CW10" s="330"/>
      <c r="CX10" s="330"/>
      <c r="CY10" s="330"/>
      <c r="CZ10" s="330"/>
      <c r="DA10" s="330"/>
      <c r="DB10" s="330"/>
      <c r="DC10" s="330"/>
      <c r="DD10" s="330"/>
      <c r="DE10" s="330"/>
      <c r="DF10" s="330"/>
      <c r="DG10" s="330"/>
      <c r="DH10" s="330"/>
      <c r="DI10" s="330"/>
      <c r="DJ10" s="330"/>
      <c r="DK10" s="330"/>
      <c r="DL10" s="330"/>
      <c r="DM10" s="330"/>
      <c r="DN10" s="330"/>
      <c r="DO10" s="330"/>
      <c r="DP10" s="330"/>
      <c r="DQ10" s="330"/>
      <c r="DR10" s="330"/>
      <c r="DS10" s="330"/>
      <c r="DT10" s="330"/>
      <c r="DU10" s="330"/>
      <c r="DV10" s="330"/>
      <c r="DW10" s="330"/>
      <c r="DX10" s="330"/>
      <c r="DY10" s="330"/>
      <c r="DZ10" s="330"/>
      <c r="EA10" s="330"/>
      <c r="EB10" s="330"/>
      <c r="EC10" s="330"/>
      <c r="ED10" s="330"/>
      <c r="EE10" s="330"/>
      <c r="EF10" s="330"/>
      <c r="EG10" s="330"/>
      <c r="EH10" s="330"/>
      <c r="EI10" s="330"/>
      <c r="EJ10" s="330"/>
      <c r="EK10" s="330"/>
      <c r="EL10" s="330"/>
      <c r="EM10" s="330"/>
      <c r="EN10" s="330"/>
      <c r="EO10" s="330"/>
      <c r="EP10" s="330"/>
      <c r="EQ10" s="330"/>
      <c r="ER10" s="330"/>
      <c r="ES10" s="330"/>
      <c r="ET10" s="330"/>
      <c r="EU10" s="330"/>
      <c r="EV10" s="330"/>
      <c r="EW10" s="330"/>
      <c r="EX10" s="330"/>
      <c r="EY10" s="330"/>
      <c r="EZ10" s="330"/>
      <c r="FA10" s="330"/>
      <c r="FB10" s="330"/>
      <c r="FC10" s="330"/>
      <c r="FD10" s="330"/>
      <c r="FE10" s="330"/>
      <c r="FF10" s="330"/>
      <c r="FG10" s="330"/>
      <c r="FH10" s="330"/>
      <c r="FI10" s="330"/>
      <c r="FJ10" s="330"/>
      <c r="FK10" s="330"/>
      <c r="FL10" s="330"/>
      <c r="FM10" s="330"/>
      <c r="FN10" s="330"/>
      <c r="FO10" s="330"/>
      <c r="FP10" s="330"/>
      <c r="FQ10" s="330"/>
      <c r="FR10" s="330"/>
      <c r="FS10" s="330"/>
      <c r="FT10" s="330"/>
      <c r="FU10" s="330"/>
      <c r="FV10" s="330"/>
      <c r="FW10" s="330"/>
      <c r="FX10" s="330"/>
      <c r="FY10" s="330"/>
      <c r="FZ10" s="330"/>
      <c r="GA10" s="330"/>
      <c r="GB10" s="330"/>
      <c r="GC10" s="330"/>
      <c r="GD10" s="330"/>
      <c r="GE10" s="330"/>
      <c r="GF10" s="330"/>
      <c r="GG10" s="330"/>
      <c r="GH10" s="330"/>
      <c r="GI10" s="330"/>
      <c r="GJ10" s="330"/>
      <c r="GK10" s="330"/>
      <c r="GL10" s="330"/>
      <c r="GM10" s="330"/>
      <c r="GN10" s="330"/>
      <c r="GO10" s="330"/>
      <c r="GP10" s="330"/>
      <c r="GQ10" s="330"/>
      <c r="GR10" s="330"/>
      <c r="GS10" s="330"/>
      <c r="GT10" s="330"/>
      <c r="GU10" s="330"/>
      <c r="GV10" s="330"/>
      <c r="GW10" s="330"/>
      <c r="GX10" s="330"/>
      <c r="GY10" s="330"/>
      <c r="GZ10" s="330"/>
      <c r="HA10" s="330"/>
      <c r="HB10" s="330"/>
      <c r="HC10" s="330"/>
      <c r="HD10" s="330"/>
      <c r="HE10" s="330"/>
      <c r="HF10" s="330"/>
      <c r="HG10" s="330"/>
      <c r="HH10" s="330"/>
      <c r="HI10" s="330"/>
      <c r="HJ10" s="330"/>
      <c r="HK10" s="330"/>
      <c r="HL10" s="330"/>
      <c r="HM10" s="330"/>
      <c r="HN10" s="330"/>
      <c r="HO10" s="330"/>
      <c r="HP10" s="330"/>
      <c r="HQ10" s="330"/>
      <c r="HR10" s="330"/>
      <c r="HS10" s="330"/>
      <c r="HT10" s="330"/>
      <c r="HU10" s="330"/>
      <c r="HV10" s="330"/>
      <c r="HW10" s="330"/>
      <c r="HX10" s="330"/>
      <c r="HY10" s="330"/>
      <c r="HZ10" s="330"/>
      <c r="IA10" s="330"/>
      <c r="IB10" s="330"/>
      <c r="IC10" s="330"/>
      <c r="ID10" s="330"/>
      <c r="IE10" s="330"/>
      <c r="IF10" s="330"/>
      <c r="IG10" s="330"/>
      <c r="IH10" s="330"/>
      <c r="II10" s="330"/>
      <c r="IJ10" s="330"/>
      <c r="IK10" s="330"/>
      <c r="IL10" s="330"/>
      <c r="IM10" s="330"/>
      <c r="IN10" s="330"/>
      <c r="IO10" s="330"/>
      <c r="IP10" s="330"/>
      <c r="IQ10" s="330"/>
      <c r="IR10" s="330"/>
      <c r="IS10" s="330"/>
      <c r="IT10" s="330"/>
      <c r="IU10" s="330"/>
      <c r="IV10" s="330"/>
      <c r="IW10" s="330"/>
      <c r="IX10" s="330"/>
      <c r="IY10" s="330"/>
      <c r="IZ10" s="330"/>
      <c r="JA10" s="330"/>
      <c r="JB10" s="330"/>
      <c r="JC10" s="330"/>
      <c r="JD10" s="330"/>
      <c r="JE10" s="330"/>
      <c r="JF10" s="330"/>
      <c r="JG10" s="330"/>
      <c r="JH10" s="330"/>
      <c r="JI10" s="330"/>
      <c r="JJ10" s="330"/>
      <c r="JK10" s="330"/>
      <c r="JL10" s="330"/>
      <c r="JM10" s="330"/>
      <c r="JN10" s="330"/>
      <c r="JO10" s="330"/>
      <c r="JP10" s="330"/>
      <c r="JQ10" s="330"/>
      <c r="JR10" s="330"/>
      <c r="JS10" s="330"/>
      <c r="JT10" s="330"/>
      <c r="JU10" s="330"/>
      <c r="JV10" s="330"/>
      <c r="JW10" s="330"/>
      <c r="JX10" s="330"/>
      <c r="JY10" s="330"/>
      <c r="JZ10" s="330"/>
      <c r="KA10" s="330"/>
      <c r="KB10" s="330"/>
      <c r="KC10" s="330"/>
      <c r="KD10" s="330"/>
      <c r="KE10" s="330"/>
      <c r="KF10" s="330"/>
      <c r="KG10" s="330"/>
      <c r="KH10" s="330"/>
      <c r="KI10" s="330"/>
      <c r="KJ10" s="330"/>
      <c r="KK10" s="330"/>
      <c r="KL10" s="330"/>
      <c r="KM10" s="330"/>
      <c r="KN10" s="330"/>
      <c r="KO10" s="330"/>
      <c r="KP10" s="330"/>
      <c r="KQ10" s="330"/>
      <c r="KR10" s="330"/>
      <c r="KS10" s="330"/>
      <c r="KT10" s="330"/>
      <c r="KU10" s="330"/>
      <c r="KV10" s="330"/>
      <c r="KW10" s="330"/>
      <c r="KX10" s="330"/>
      <c r="KY10" s="330"/>
      <c r="KZ10" s="330"/>
      <c r="LA10" s="330"/>
      <c r="LB10" s="330"/>
      <c r="LC10" s="330"/>
      <c r="LD10" s="330"/>
      <c r="LE10" s="330"/>
    </row>
    <row r="11" spans="1:317">
      <c r="A11" s="330"/>
      <c r="B11" s="330"/>
      <c r="C11" s="330"/>
      <c r="D11" s="330"/>
      <c r="E11" s="330"/>
      <c r="F11" s="872"/>
      <c r="G11" s="868"/>
      <c r="H11" s="868"/>
      <c r="I11" s="868"/>
      <c r="J11" s="868"/>
      <c r="K11" s="868"/>
      <c r="L11" s="868"/>
      <c r="M11" s="868"/>
      <c r="N11" s="868"/>
      <c r="O11" s="868"/>
      <c r="P11" s="868"/>
      <c r="Q11" s="873"/>
      <c r="R11" s="330"/>
      <c r="S11" s="330"/>
      <c r="T11" s="330"/>
      <c r="U11" s="330"/>
      <c r="V11" s="330"/>
      <c r="W11" s="330"/>
      <c r="X11" s="330"/>
      <c r="Y11" s="330"/>
      <c r="Z11" s="330"/>
      <c r="AA11" s="330"/>
      <c r="AB11" s="330"/>
      <c r="AC11" s="330"/>
      <c r="AD11" s="330"/>
      <c r="AE11" s="330"/>
      <c r="AF11" s="330"/>
      <c r="AG11" s="330"/>
      <c r="AH11" s="330"/>
      <c r="AI11" s="330"/>
      <c r="AJ11" s="330"/>
      <c r="AK11" s="330"/>
      <c r="AL11" s="330"/>
      <c r="AM11" s="330"/>
      <c r="AN11" s="330"/>
      <c r="AO11" s="330"/>
      <c r="AP11" s="330"/>
      <c r="AQ11" s="330"/>
      <c r="AR11" s="330"/>
      <c r="AS11" s="330"/>
      <c r="AT11" s="330"/>
      <c r="AU11" s="330"/>
      <c r="AV11" s="330"/>
      <c r="AW11" s="330"/>
      <c r="AX11" s="330"/>
      <c r="AY11" s="330"/>
      <c r="AZ11" s="330"/>
      <c r="BA11" s="330"/>
      <c r="BB11" s="330"/>
      <c r="BC11" s="330"/>
      <c r="BD11" s="330"/>
      <c r="BE11" s="330"/>
      <c r="BF11" s="330"/>
      <c r="BG11" s="330"/>
      <c r="BH11" s="330"/>
      <c r="BI11" s="330"/>
      <c r="BJ11" s="330"/>
      <c r="BK11" s="330"/>
      <c r="BL11" s="330"/>
      <c r="BM11" s="330"/>
      <c r="BN11" s="330"/>
      <c r="BO11" s="330"/>
      <c r="BP11" s="330"/>
      <c r="BQ11" s="330"/>
      <c r="BR11" s="330"/>
      <c r="BS11" s="330"/>
      <c r="BT11" s="330"/>
      <c r="BU11" s="330"/>
      <c r="BV11" s="330"/>
      <c r="BW11" s="330"/>
      <c r="BX11" s="330"/>
      <c r="BY11" s="330"/>
      <c r="BZ11" s="330"/>
      <c r="CA11" s="330"/>
      <c r="CB11" s="330"/>
      <c r="CC11" s="330"/>
      <c r="CD11" s="330"/>
      <c r="CE11" s="330"/>
      <c r="CF11" s="330"/>
      <c r="CG11" s="330"/>
      <c r="CH11" s="330"/>
      <c r="CI11" s="330"/>
      <c r="CJ11" s="330"/>
      <c r="CK11" s="330"/>
      <c r="CL11" s="330"/>
      <c r="CM11" s="330"/>
      <c r="CN11" s="330"/>
      <c r="CO11" s="330"/>
      <c r="CP11" s="330"/>
      <c r="CQ11" s="330"/>
      <c r="CR11" s="330"/>
      <c r="CS11" s="330"/>
      <c r="CT11" s="330"/>
      <c r="CU11" s="330"/>
      <c r="CV11" s="330"/>
      <c r="CW11" s="330"/>
      <c r="CX11" s="330"/>
      <c r="CY11" s="330"/>
      <c r="CZ11" s="330"/>
      <c r="DA11" s="330"/>
      <c r="DB11" s="330"/>
      <c r="DC11" s="330"/>
      <c r="DD11" s="330"/>
      <c r="DE11" s="330"/>
      <c r="DF11" s="330"/>
      <c r="DG11" s="330"/>
      <c r="DH11" s="330"/>
      <c r="DI11" s="330"/>
      <c r="DJ11" s="330"/>
      <c r="DK11" s="330"/>
      <c r="DL11" s="330"/>
      <c r="DM11" s="330"/>
      <c r="DN11" s="330"/>
      <c r="DO11" s="330"/>
      <c r="DP11" s="330"/>
      <c r="DQ11" s="330"/>
      <c r="DR11" s="330"/>
      <c r="DS11" s="330"/>
      <c r="DT11" s="330"/>
      <c r="DU11" s="330"/>
      <c r="DV11" s="330"/>
      <c r="DW11" s="330"/>
      <c r="DX11" s="330"/>
      <c r="DY11" s="330"/>
      <c r="DZ11" s="330"/>
      <c r="EA11" s="330"/>
      <c r="EB11" s="330"/>
      <c r="EC11" s="330"/>
      <c r="ED11" s="330"/>
      <c r="EE11" s="330"/>
      <c r="EF11" s="330"/>
      <c r="EG11" s="330"/>
      <c r="EH11" s="330"/>
      <c r="EI11" s="330"/>
      <c r="EJ11" s="330"/>
      <c r="EK11" s="330"/>
      <c r="EL11" s="330"/>
      <c r="EM11" s="330"/>
      <c r="EN11" s="330"/>
      <c r="EO11" s="330"/>
      <c r="EP11" s="330"/>
      <c r="EQ11" s="330"/>
      <c r="ER11" s="330"/>
      <c r="ES11" s="330"/>
      <c r="ET11" s="330"/>
      <c r="EU11" s="330"/>
      <c r="EV11" s="330"/>
      <c r="EW11" s="330"/>
      <c r="EX11" s="330"/>
      <c r="EY11" s="330"/>
      <c r="EZ11" s="330"/>
      <c r="FA11" s="330"/>
      <c r="FB11" s="330"/>
      <c r="FC11" s="330"/>
      <c r="FD11" s="330"/>
      <c r="FE11" s="330"/>
      <c r="FF11" s="330"/>
      <c r="FG11" s="330"/>
      <c r="FH11" s="330"/>
      <c r="FI11" s="330"/>
      <c r="FJ11" s="330"/>
      <c r="FK11" s="330"/>
      <c r="FL11" s="330"/>
      <c r="FM11" s="330"/>
      <c r="FN11" s="330"/>
      <c r="FO11" s="330"/>
      <c r="FP11" s="330"/>
      <c r="FQ11" s="330"/>
      <c r="FR11" s="330"/>
      <c r="FS11" s="330"/>
      <c r="FT11" s="330"/>
      <c r="FU11" s="330"/>
      <c r="FV11" s="330"/>
      <c r="FW11" s="330"/>
      <c r="FX11" s="330"/>
      <c r="FY11" s="330"/>
      <c r="FZ11" s="330"/>
      <c r="GA11" s="330"/>
      <c r="GB11" s="330"/>
      <c r="GC11" s="330"/>
      <c r="GD11" s="330"/>
      <c r="GE11" s="330"/>
      <c r="GF11" s="330"/>
      <c r="GG11" s="330"/>
      <c r="GH11" s="330"/>
      <c r="GI11" s="330"/>
      <c r="GJ11" s="330"/>
      <c r="GK11" s="330"/>
      <c r="GL11" s="330"/>
      <c r="GM11" s="330"/>
      <c r="GN11" s="330"/>
      <c r="GO11" s="330"/>
      <c r="GP11" s="330"/>
      <c r="GQ11" s="330"/>
      <c r="GR11" s="330"/>
      <c r="GS11" s="330"/>
      <c r="GT11" s="330"/>
      <c r="GU11" s="330"/>
      <c r="GV11" s="330"/>
      <c r="GW11" s="330"/>
      <c r="GX11" s="330"/>
      <c r="GY11" s="330"/>
      <c r="GZ11" s="330"/>
      <c r="HA11" s="330"/>
      <c r="HB11" s="330"/>
      <c r="HC11" s="330"/>
      <c r="HD11" s="330"/>
      <c r="HE11" s="330"/>
      <c r="HF11" s="330"/>
      <c r="HG11" s="330"/>
      <c r="HH11" s="330"/>
      <c r="HI11" s="330"/>
      <c r="HJ11" s="330"/>
      <c r="HK11" s="330"/>
      <c r="HL11" s="330"/>
      <c r="HM11" s="330"/>
      <c r="HN11" s="330"/>
      <c r="HO11" s="330"/>
      <c r="HP11" s="330"/>
      <c r="HQ11" s="330"/>
      <c r="HR11" s="330"/>
      <c r="HS11" s="330"/>
      <c r="HT11" s="330"/>
      <c r="HU11" s="330"/>
      <c r="HV11" s="330"/>
      <c r="HW11" s="330"/>
      <c r="HX11" s="330"/>
      <c r="HY11" s="330"/>
      <c r="HZ11" s="330"/>
      <c r="IA11" s="330"/>
      <c r="IB11" s="330"/>
      <c r="IC11" s="330"/>
      <c r="ID11" s="330"/>
      <c r="IE11" s="330"/>
      <c r="IF11" s="330"/>
      <c r="IG11" s="330"/>
      <c r="IH11" s="330"/>
      <c r="II11" s="330"/>
      <c r="IJ11" s="330"/>
      <c r="IK11" s="330"/>
      <c r="IL11" s="330"/>
      <c r="IM11" s="330"/>
      <c r="IN11" s="330"/>
      <c r="IO11" s="330"/>
      <c r="IP11" s="330"/>
      <c r="IQ11" s="330"/>
      <c r="IR11" s="330"/>
      <c r="IS11" s="330"/>
      <c r="IT11" s="330"/>
      <c r="IU11" s="330"/>
      <c r="IV11" s="330"/>
      <c r="IW11" s="330"/>
      <c r="IX11" s="330"/>
      <c r="IY11" s="330"/>
      <c r="IZ11" s="330"/>
      <c r="JA11" s="330"/>
      <c r="JB11" s="330"/>
      <c r="JC11" s="330"/>
      <c r="JD11" s="330"/>
      <c r="JE11" s="330"/>
      <c r="JF11" s="330"/>
      <c r="JG11" s="330"/>
      <c r="JH11" s="330"/>
      <c r="JI11" s="330"/>
      <c r="JJ11" s="330"/>
      <c r="JK11" s="330"/>
      <c r="JL11" s="330"/>
      <c r="JM11" s="330"/>
      <c r="JN11" s="330"/>
      <c r="JO11" s="330"/>
      <c r="JP11" s="330"/>
      <c r="JQ11" s="330"/>
      <c r="JR11" s="330"/>
      <c r="JS11" s="330"/>
      <c r="JT11" s="330"/>
      <c r="JU11" s="330"/>
      <c r="JV11" s="330"/>
      <c r="JW11" s="330"/>
      <c r="JX11" s="330"/>
      <c r="JY11" s="330"/>
      <c r="JZ11" s="330"/>
      <c r="KA11" s="330"/>
      <c r="KB11" s="330"/>
      <c r="KC11" s="330"/>
      <c r="KD11" s="330"/>
      <c r="KE11" s="330"/>
      <c r="KF11" s="330"/>
      <c r="KG11" s="330"/>
      <c r="KH11" s="330"/>
      <c r="KI11" s="330"/>
      <c r="KJ11" s="330"/>
      <c r="KK11" s="330"/>
      <c r="KL11" s="330"/>
      <c r="KM11" s="330"/>
      <c r="KN11" s="330"/>
      <c r="KO11" s="330"/>
      <c r="KP11" s="330"/>
      <c r="KQ11" s="330"/>
      <c r="KR11" s="330"/>
      <c r="KS11" s="330"/>
      <c r="KT11" s="330"/>
      <c r="KU11" s="330"/>
      <c r="KV11" s="330"/>
      <c r="KW11" s="330"/>
      <c r="KX11" s="330"/>
      <c r="KY11" s="330"/>
      <c r="KZ11" s="330"/>
      <c r="LA11" s="330"/>
      <c r="LB11" s="330"/>
      <c r="LC11" s="330"/>
      <c r="LD11" s="330"/>
      <c r="LE11" s="330"/>
    </row>
    <row r="12" spans="1:317">
      <c r="A12" s="330"/>
      <c r="B12" s="330"/>
      <c r="C12" s="330"/>
      <c r="D12" s="330"/>
      <c r="E12" s="330"/>
      <c r="F12" s="872"/>
      <c r="G12" s="868"/>
      <c r="H12" s="868"/>
      <c r="I12" s="868"/>
      <c r="J12" s="868"/>
      <c r="K12" s="868"/>
      <c r="L12" s="868"/>
      <c r="M12" s="868"/>
      <c r="N12" s="868"/>
      <c r="O12" s="868"/>
      <c r="P12" s="868"/>
      <c r="Q12" s="873"/>
      <c r="R12" s="330"/>
      <c r="S12" s="330"/>
      <c r="T12" s="330"/>
      <c r="U12" s="330"/>
      <c r="V12" s="330"/>
      <c r="W12" s="330"/>
      <c r="X12" s="330"/>
      <c r="Y12" s="330"/>
      <c r="Z12" s="330"/>
      <c r="AA12" s="330"/>
      <c r="AB12" s="330"/>
      <c r="AC12" s="330"/>
      <c r="AD12" s="330"/>
      <c r="AE12" s="330"/>
      <c r="AF12" s="330"/>
      <c r="AG12" s="330"/>
      <c r="AH12" s="330"/>
      <c r="AI12" s="330"/>
      <c r="AJ12" s="330"/>
      <c r="AK12" s="330"/>
      <c r="AL12" s="330"/>
      <c r="AM12" s="330"/>
      <c r="AN12" s="330"/>
      <c r="AO12" s="330"/>
      <c r="AP12" s="330"/>
      <c r="AQ12" s="330"/>
      <c r="AR12" s="330"/>
      <c r="AS12" s="330"/>
      <c r="AT12" s="330"/>
      <c r="AU12" s="330"/>
      <c r="AV12" s="330"/>
      <c r="AW12" s="330"/>
      <c r="AX12" s="330"/>
      <c r="AY12" s="330"/>
      <c r="AZ12" s="330"/>
      <c r="BA12" s="330"/>
      <c r="BB12" s="330"/>
      <c r="BC12" s="330"/>
      <c r="BD12" s="330"/>
      <c r="BE12" s="330"/>
      <c r="BF12" s="330"/>
      <c r="BG12" s="330"/>
      <c r="BH12" s="330"/>
      <c r="BI12" s="330"/>
      <c r="BJ12" s="330"/>
      <c r="BK12" s="330"/>
      <c r="BL12" s="330"/>
      <c r="BM12" s="330"/>
      <c r="BN12" s="330"/>
      <c r="BO12" s="330"/>
      <c r="BP12" s="330"/>
      <c r="BQ12" s="330"/>
      <c r="BR12" s="330"/>
      <c r="BS12" s="330"/>
      <c r="BT12" s="330"/>
      <c r="BU12" s="330"/>
      <c r="BV12" s="330"/>
      <c r="BW12" s="330"/>
      <c r="BX12" s="330"/>
      <c r="BY12" s="330"/>
      <c r="BZ12" s="330"/>
      <c r="CA12" s="330"/>
      <c r="CB12" s="330"/>
      <c r="CC12" s="330"/>
      <c r="CD12" s="330"/>
      <c r="CE12" s="330"/>
      <c r="CF12" s="330"/>
      <c r="CG12" s="330"/>
      <c r="CH12" s="330"/>
      <c r="CI12" s="330"/>
      <c r="CJ12" s="330"/>
      <c r="CK12" s="330"/>
      <c r="CL12" s="330"/>
      <c r="CM12" s="330"/>
      <c r="CN12" s="330"/>
      <c r="CO12" s="330"/>
      <c r="CP12" s="330"/>
      <c r="CQ12" s="330"/>
      <c r="CR12" s="330"/>
      <c r="CS12" s="330"/>
      <c r="CT12" s="330"/>
      <c r="CU12" s="330"/>
      <c r="CV12" s="330"/>
      <c r="CW12" s="330"/>
      <c r="CX12" s="330"/>
      <c r="CY12" s="330"/>
      <c r="CZ12" s="330"/>
      <c r="DA12" s="330"/>
      <c r="DB12" s="330"/>
      <c r="DC12" s="330"/>
      <c r="DD12" s="330"/>
      <c r="DE12" s="330"/>
      <c r="DF12" s="330"/>
      <c r="DG12" s="330"/>
      <c r="DH12" s="330"/>
      <c r="DI12" s="330"/>
      <c r="DJ12" s="330"/>
      <c r="DK12" s="330"/>
      <c r="DL12" s="330"/>
      <c r="DM12" s="330"/>
      <c r="DN12" s="330"/>
      <c r="DO12" s="330"/>
      <c r="DP12" s="330"/>
      <c r="DQ12" s="330"/>
      <c r="DR12" s="330"/>
      <c r="DS12" s="330"/>
      <c r="DT12" s="330"/>
      <c r="DU12" s="330"/>
      <c r="DV12" s="330"/>
      <c r="DW12" s="330"/>
      <c r="DX12" s="330"/>
      <c r="DY12" s="330"/>
      <c r="DZ12" s="330"/>
      <c r="EA12" s="330"/>
      <c r="EB12" s="330"/>
      <c r="EC12" s="330"/>
      <c r="ED12" s="330"/>
      <c r="EE12" s="330"/>
      <c r="EF12" s="330"/>
      <c r="EG12" s="330"/>
      <c r="EH12" s="330"/>
      <c r="EI12" s="330"/>
      <c r="EJ12" s="330"/>
      <c r="EK12" s="330"/>
      <c r="EL12" s="330"/>
      <c r="EM12" s="330"/>
      <c r="EN12" s="330"/>
      <c r="EO12" s="330"/>
      <c r="EP12" s="330"/>
      <c r="EQ12" s="330"/>
      <c r="ER12" s="330"/>
      <c r="ES12" s="330"/>
      <c r="ET12" s="330"/>
      <c r="EU12" s="330"/>
      <c r="EV12" s="330"/>
      <c r="EW12" s="330"/>
      <c r="EX12" s="330"/>
      <c r="EY12" s="330"/>
      <c r="EZ12" s="330"/>
      <c r="FA12" s="330"/>
      <c r="FB12" s="330"/>
      <c r="FC12" s="330"/>
      <c r="FD12" s="330"/>
      <c r="FE12" s="330"/>
      <c r="FF12" s="330"/>
      <c r="FG12" s="330"/>
      <c r="FH12" s="330"/>
      <c r="FI12" s="330"/>
      <c r="FJ12" s="330"/>
      <c r="FK12" s="330"/>
      <c r="FL12" s="330"/>
      <c r="FM12" s="330"/>
      <c r="FN12" s="330"/>
      <c r="FO12" s="330"/>
      <c r="FP12" s="330"/>
      <c r="FQ12" s="330"/>
      <c r="FR12" s="330"/>
      <c r="FS12" s="330"/>
      <c r="FT12" s="330"/>
      <c r="FU12" s="330"/>
      <c r="FV12" s="330"/>
      <c r="FW12" s="330"/>
      <c r="FX12" s="330"/>
      <c r="FY12" s="330"/>
      <c r="FZ12" s="330"/>
      <c r="GA12" s="330"/>
      <c r="GB12" s="330"/>
      <c r="GC12" s="330"/>
      <c r="GD12" s="330"/>
      <c r="GE12" s="330"/>
      <c r="GF12" s="330"/>
      <c r="GG12" s="330"/>
      <c r="GH12" s="330"/>
      <c r="GI12" s="330"/>
      <c r="GJ12" s="330"/>
      <c r="GK12" s="330"/>
      <c r="GL12" s="330"/>
      <c r="GM12" s="330"/>
      <c r="GN12" s="330"/>
      <c r="GO12" s="330"/>
      <c r="GP12" s="330"/>
      <c r="GQ12" s="330"/>
      <c r="GR12" s="330"/>
      <c r="GS12" s="330"/>
      <c r="GT12" s="330"/>
      <c r="GU12" s="330"/>
      <c r="GV12" s="330"/>
      <c r="GW12" s="330"/>
      <c r="GX12" s="330"/>
      <c r="GY12" s="330"/>
      <c r="GZ12" s="330"/>
      <c r="HA12" s="330"/>
      <c r="HB12" s="330"/>
      <c r="HC12" s="330"/>
      <c r="HD12" s="330"/>
      <c r="HE12" s="330"/>
      <c r="HF12" s="330"/>
      <c r="HG12" s="330"/>
      <c r="HH12" s="330"/>
      <c r="HI12" s="330"/>
      <c r="HJ12" s="330"/>
      <c r="HK12" s="330"/>
      <c r="HL12" s="330"/>
      <c r="HM12" s="330"/>
      <c r="HN12" s="330"/>
      <c r="HO12" s="330"/>
      <c r="HP12" s="330"/>
      <c r="HQ12" s="330"/>
      <c r="HR12" s="330"/>
      <c r="HS12" s="330"/>
      <c r="HT12" s="330"/>
      <c r="HU12" s="330"/>
      <c r="HV12" s="330"/>
      <c r="HW12" s="330"/>
      <c r="HX12" s="330"/>
      <c r="HY12" s="330"/>
      <c r="HZ12" s="330"/>
      <c r="IA12" s="330"/>
      <c r="IB12" s="330"/>
      <c r="IC12" s="330"/>
      <c r="ID12" s="330"/>
      <c r="IE12" s="330"/>
      <c r="IF12" s="330"/>
      <c r="IG12" s="330"/>
      <c r="IH12" s="330"/>
      <c r="II12" s="330"/>
      <c r="IJ12" s="330"/>
      <c r="IK12" s="330"/>
      <c r="IL12" s="330"/>
      <c r="IM12" s="330"/>
      <c r="IN12" s="330"/>
      <c r="IO12" s="330"/>
      <c r="IP12" s="330"/>
      <c r="IQ12" s="330"/>
      <c r="IR12" s="330"/>
      <c r="IS12" s="330"/>
      <c r="IT12" s="330"/>
      <c r="IU12" s="330"/>
      <c r="IV12" s="330"/>
      <c r="IW12" s="330"/>
      <c r="IX12" s="330"/>
      <c r="IY12" s="330"/>
      <c r="IZ12" s="330"/>
      <c r="JA12" s="330"/>
      <c r="JB12" s="330"/>
      <c r="JC12" s="330"/>
      <c r="JD12" s="330"/>
      <c r="JE12" s="330"/>
      <c r="JF12" s="330"/>
      <c r="JG12" s="330"/>
      <c r="JH12" s="330"/>
      <c r="JI12" s="330"/>
      <c r="JJ12" s="330"/>
      <c r="JK12" s="330"/>
      <c r="JL12" s="330"/>
      <c r="JM12" s="330"/>
      <c r="JN12" s="330"/>
      <c r="JO12" s="330"/>
      <c r="JP12" s="330"/>
      <c r="JQ12" s="330"/>
      <c r="JR12" s="330"/>
      <c r="JS12" s="330"/>
      <c r="JT12" s="330"/>
      <c r="JU12" s="330"/>
      <c r="JV12" s="330"/>
      <c r="JW12" s="330"/>
      <c r="JX12" s="330"/>
      <c r="JY12" s="330"/>
      <c r="JZ12" s="330"/>
      <c r="KA12" s="330"/>
      <c r="KB12" s="330"/>
      <c r="KC12" s="330"/>
      <c r="KD12" s="330"/>
      <c r="KE12" s="330"/>
      <c r="KF12" s="330"/>
      <c r="KG12" s="330"/>
      <c r="KH12" s="330"/>
      <c r="KI12" s="330"/>
      <c r="KJ12" s="330"/>
      <c r="KK12" s="330"/>
      <c r="KL12" s="330"/>
      <c r="KM12" s="330"/>
      <c r="KN12" s="330"/>
      <c r="KO12" s="330"/>
      <c r="KP12" s="330"/>
      <c r="KQ12" s="330"/>
      <c r="KR12" s="330"/>
      <c r="KS12" s="330"/>
      <c r="KT12" s="330"/>
      <c r="KU12" s="330"/>
      <c r="KV12" s="330"/>
      <c r="KW12" s="330"/>
      <c r="KX12" s="330"/>
      <c r="KY12" s="330"/>
      <c r="KZ12" s="330"/>
      <c r="LA12" s="330"/>
      <c r="LB12" s="330"/>
      <c r="LC12" s="330"/>
      <c r="LD12" s="330"/>
      <c r="LE12" s="330"/>
    </row>
    <row r="13" spans="1:317">
      <c r="A13" s="330"/>
      <c r="B13" s="330"/>
      <c r="C13" s="330"/>
      <c r="D13" s="330"/>
      <c r="E13" s="330"/>
      <c r="F13" s="872"/>
      <c r="G13" s="868"/>
      <c r="H13" s="868"/>
      <c r="I13" s="868"/>
      <c r="J13" s="868"/>
      <c r="K13" s="868"/>
      <c r="L13" s="868"/>
      <c r="M13" s="868"/>
      <c r="N13" s="868"/>
      <c r="O13" s="868"/>
      <c r="P13" s="868"/>
      <c r="Q13" s="873"/>
      <c r="R13" s="330"/>
      <c r="S13" s="330"/>
      <c r="T13" s="330"/>
      <c r="U13" s="330"/>
      <c r="V13" s="330"/>
      <c r="W13" s="330"/>
      <c r="X13" s="330"/>
      <c r="Y13" s="330"/>
      <c r="Z13" s="330"/>
      <c r="AA13" s="330"/>
      <c r="AB13" s="330"/>
      <c r="AC13" s="330"/>
      <c r="AD13" s="330"/>
      <c r="AE13" s="330"/>
      <c r="AF13" s="330"/>
      <c r="AG13" s="330"/>
      <c r="AH13" s="330"/>
      <c r="AI13" s="330"/>
      <c r="AJ13" s="330"/>
      <c r="AK13" s="330"/>
      <c r="AL13" s="330"/>
      <c r="AM13" s="330"/>
      <c r="AN13" s="330"/>
      <c r="AO13" s="330"/>
      <c r="AP13" s="330"/>
      <c r="AQ13" s="330"/>
      <c r="AR13" s="330"/>
      <c r="AS13" s="330"/>
      <c r="AT13" s="330"/>
      <c r="AU13" s="330"/>
      <c r="AV13" s="330"/>
      <c r="AW13" s="330"/>
      <c r="AX13" s="330"/>
      <c r="AY13" s="330"/>
      <c r="AZ13" s="330"/>
      <c r="BA13" s="330"/>
      <c r="BB13" s="330"/>
      <c r="BC13" s="330"/>
      <c r="BD13" s="330"/>
      <c r="BE13" s="330"/>
      <c r="BF13" s="330"/>
      <c r="BG13" s="330"/>
      <c r="BH13" s="330"/>
      <c r="BI13" s="330"/>
      <c r="BJ13" s="330"/>
      <c r="BK13" s="330"/>
      <c r="BL13" s="330"/>
      <c r="BM13" s="330"/>
      <c r="BN13" s="330"/>
      <c r="BO13" s="330"/>
      <c r="BP13" s="330"/>
      <c r="BQ13" s="330"/>
      <c r="BR13" s="330"/>
      <c r="BS13" s="330"/>
      <c r="BT13" s="330"/>
      <c r="BU13" s="330"/>
      <c r="BV13" s="330"/>
      <c r="BW13" s="330"/>
      <c r="BX13" s="330"/>
      <c r="BY13" s="330"/>
      <c r="BZ13" s="330"/>
      <c r="CA13" s="330"/>
      <c r="CB13" s="330"/>
      <c r="CC13" s="330"/>
      <c r="CD13" s="330"/>
      <c r="CE13" s="330"/>
      <c r="CF13" s="330"/>
      <c r="CG13" s="330"/>
      <c r="CH13" s="330"/>
      <c r="CI13" s="330"/>
      <c r="CJ13" s="330"/>
      <c r="CK13" s="330"/>
      <c r="CL13" s="330"/>
      <c r="CM13" s="330"/>
      <c r="CN13" s="330"/>
      <c r="CO13" s="330"/>
      <c r="CP13" s="330"/>
      <c r="CQ13" s="330"/>
      <c r="CR13" s="330"/>
      <c r="CS13" s="330"/>
      <c r="CT13" s="330"/>
      <c r="CU13" s="330"/>
      <c r="CV13" s="330"/>
      <c r="CW13" s="330"/>
      <c r="CX13" s="330"/>
      <c r="CY13" s="330"/>
      <c r="CZ13" s="330"/>
      <c r="DA13" s="330"/>
      <c r="DB13" s="330"/>
      <c r="DC13" s="330"/>
      <c r="DD13" s="330"/>
      <c r="DE13" s="330"/>
      <c r="DF13" s="330"/>
      <c r="DG13" s="330"/>
      <c r="DH13" s="330"/>
      <c r="DI13" s="330"/>
      <c r="DJ13" s="330"/>
      <c r="DK13" s="330"/>
      <c r="DL13" s="330"/>
      <c r="DM13" s="330"/>
      <c r="DN13" s="330"/>
      <c r="DO13" s="330"/>
      <c r="DP13" s="330"/>
      <c r="DQ13" s="330"/>
      <c r="DR13" s="330"/>
      <c r="DS13" s="330"/>
      <c r="DT13" s="330"/>
      <c r="DU13" s="330"/>
      <c r="DV13" s="330"/>
      <c r="DW13" s="330"/>
      <c r="DX13" s="330"/>
      <c r="DY13" s="330"/>
      <c r="DZ13" s="330"/>
      <c r="EA13" s="330"/>
      <c r="EB13" s="330"/>
      <c r="EC13" s="330"/>
      <c r="ED13" s="330"/>
      <c r="EE13" s="330"/>
      <c r="EF13" s="330"/>
      <c r="EG13" s="330"/>
      <c r="EH13" s="330"/>
      <c r="EI13" s="330"/>
      <c r="EJ13" s="330"/>
      <c r="EK13" s="330"/>
      <c r="EL13" s="330"/>
      <c r="EM13" s="330"/>
      <c r="EN13" s="330"/>
      <c r="EO13" s="330"/>
      <c r="EP13" s="330"/>
      <c r="EQ13" s="330"/>
      <c r="ER13" s="330"/>
      <c r="ES13" s="330"/>
      <c r="ET13" s="330"/>
      <c r="EU13" s="330"/>
      <c r="EV13" s="330"/>
      <c r="EW13" s="330"/>
      <c r="EX13" s="330"/>
      <c r="EY13" s="330"/>
      <c r="EZ13" s="330"/>
      <c r="FA13" s="330"/>
      <c r="FB13" s="330"/>
      <c r="FC13" s="330"/>
      <c r="FD13" s="330"/>
      <c r="FE13" s="330"/>
      <c r="FF13" s="330"/>
      <c r="FG13" s="330"/>
      <c r="FH13" s="330"/>
      <c r="FI13" s="330"/>
      <c r="FJ13" s="330"/>
      <c r="FK13" s="330"/>
      <c r="FL13" s="330"/>
      <c r="FM13" s="330"/>
      <c r="FN13" s="330"/>
      <c r="FO13" s="330"/>
      <c r="FP13" s="330"/>
      <c r="FQ13" s="330"/>
      <c r="FR13" s="330"/>
      <c r="FS13" s="330"/>
      <c r="FT13" s="330"/>
      <c r="FU13" s="330"/>
      <c r="FV13" s="330"/>
      <c r="FW13" s="330"/>
      <c r="FX13" s="330"/>
      <c r="FY13" s="330"/>
      <c r="FZ13" s="330"/>
      <c r="GA13" s="330"/>
      <c r="GB13" s="330"/>
      <c r="GC13" s="330"/>
      <c r="GD13" s="330"/>
      <c r="GE13" s="330"/>
      <c r="GF13" s="330"/>
      <c r="GG13" s="330"/>
      <c r="GH13" s="330"/>
      <c r="GI13" s="330"/>
      <c r="GJ13" s="330"/>
      <c r="GK13" s="330"/>
      <c r="GL13" s="330"/>
      <c r="GM13" s="330"/>
      <c r="GN13" s="330"/>
      <c r="GO13" s="330"/>
      <c r="GP13" s="330"/>
      <c r="GQ13" s="330"/>
      <c r="GR13" s="330"/>
      <c r="GS13" s="330"/>
      <c r="GT13" s="330"/>
      <c r="GU13" s="330"/>
      <c r="GV13" s="330"/>
      <c r="GW13" s="330"/>
      <c r="GX13" s="330"/>
      <c r="GY13" s="330"/>
      <c r="GZ13" s="330"/>
      <c r="HA13" s="330"/>
      <c r="HB13" s="330"/>
      <c r="HC13" s="330"/>
      <c r="HD13" s="330"/>
      <c r="HE13" s="330"/>
      <c r="HF13" s="330"/>
      <c r="HG13" s="330"/>
      <c r="HH13" s="330"/>
      <c r="HI13" s="330"/>
      <c r="HJ13" s="330"/>
      <c r="HK13" s="330"/>
      <c r="HL13" s="330"/>
      <c r="HM13" s="330"/>
      <c r="HN13" s="330"/>
      <c r="HO13" s="330"/>
      <c r="HP13" s="330"/>
      <c r="HQ13" s="330"/>
      <c r="HR13" s="330"/>
      <c r="HS13" s="330"/>
      <c r="HT13" s="330"/>
      <c r="HU13" s="330"/>
      <c r="HV13" s="330"/>
      <c r="HW13" s="330"/>
      <c r="HX13" s="330"/>
      <c r="HY13" s="330"/>
      <c r="HZ13" s="330"/>
      <c r="IA13" s="330"/>
      <c r="IB13" s="330"/>
      <c r="IC13" s="330"/>
      <c r="ID13" s="330"/>
      <c r="IE13" s="330"/>
      <c r="IF13" s="330"/>
      <c r="IG13" s="330"/>
      <c r="IH13" s="330"/>
      <c r="II13" s="330"/>
      <c r="IJ13" s="330"/>
      <c r="IK13" s="330"/>
      <c r="IL13" s="330"/>
      <c r="IM13" s="330"/>
      <c r="IN13" s="330"/>
      <c r="IO13" s="330"/>
      <c r="IP13" s="330"/>
      <c r="IQ13" s="330"/>
      <c r="IR13" s="330"/>
      <c r="IS13" s="330"/>
      <c r="IT13" s="330"/>
      <c r="IU13" s="330"/>
      <c r="IV13" s="330"/>
      <c r="IW13" s="330"/>
      <c r="IX13" s="330"/>
      <c r="IY13" s="330"/>
      <c r="IZ13" s="330"/>
      <c r="JA13" s="330"/>
      <c r="JB13" s="330"/>
      <c r="JC13" s="330"/>
      <c r="JD13" s="330"/>
      <c r="JE13" s="330"/>
      <c r="JF13" s="330"/>
      <c r="JG13" s="330"/>
      <c r="JH13" s="330"/>
      <c r="JI13" s="330"/>
      <c r="JJ13" s="330"/>
      <c r="JK13" s="330"/>
      <c r="JL13" s="330"/>
      <c r="JM13" s="330"/>
      <c r="JN13" s="330"/>
      <c r="JO13" s="330"/>
      <c r="JP13" s="330"/>
      <c r="JQ13" s="330"/>
      <c r="JR13" s="330"/>
      <c r="JS13" s="330"/>
      <c r="JT13" s="330"/>
      <c r="JU13" s="330"/>
      <c r="JV13" s="330"/>
      <c r="JW13" s="330"/>
      <c r="JX13" s="330"/>
      <c r="JY13" s="330"/>
      <c r="JZ13" s="330"/>
      <c r="KA13" s="330"/>
      <c r="KB13" s="330"/>
      <c r="KC13" s="330"/>
      <c r="KD13" s="330"/>
      <c r="KE13" s="330"/>
      <c r="KF13" s="330"/>
      <c r="KG13" s="330"/>
      <c r="KH13" s="330"/>
      <c r="KI13" s="330"/>
      <c r="KJ13" s="330"/>
      <c r="KK13" s="330"/>
      <c r="KL13" s="330"/>
      <c r="KM13" s="330"/>
      <c r="KN13" s="330"/>
      <c r="KO13" s="330"/>
      <c r="KP13" s="330"/>
      <c r="KQ13" s="330"/>
      <c r="KR13" s="330"/>
      <c r="KS13" s="330"/>
      <c r="KT13" s="330"/>
      <c r="KU13" s="330"/>
      <c r="KV13" s="330"/>
      <c r="KW13" s="330"/>
      <c r="KX13" s="330"/>
      <c r="KY13" s="330"/>
      <c r="KZ13" s="330"/>
      <c r="LA13" s="330"/>
      <c r="LB13" s="330"/>
      <c r="LC13" s="330"/>
      <c r="LD13" s="330"/>
      <c r="LE13" s="330"/>
    </row>
    <row r="14" spans="1:317">
      <c r="A14" s="330"/>
      <c r="B14" s="330"/>
      <c r="C14" s="330"/>
      <c r="D14" s="330"/>
      <c r="E14" s="330"/>
      <c r="F14" s="872"/>
      <c r="G14" s="868"/>
      <c r="H14" s="868"/>
      <c r="I14" s="868"/>
      <c r="J14" s="868"/>
      <c r="K14" s="868"/>
      <c r="L14" s="868"/>
      <c r="M14" s="868"/>
      <c r="N14" s="868"/>
      <c r="O14" s="868"/>
      <c r="P14" s="868"/>
      <c r="Q14" s="873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0"/>
      <c r="AT14" s="330"/>
      <c r="AU14" s="330"/>
      <c r="AV14" s="330"/>
      <c r="AW14" s="330"/>
      <c r="AX14" s="330"/>
      <c r="AY14" s="330"/>
      <c r="AZ14" s="330"/>
      <c r="BA14" s="330"/>
      <c r="BB14" s="330"/>
      <c r="BC14" s="330"/>
      <c r="BD14" s="330"/>
      <c r="BE14" s="330"/>
      <c r="BF14" s="330"/>
      <c r="BG14" s="330"/>
      <c r="BH14" s="330"/>
      <c r="BI14" s="330"/>
      <c r="BJ14" s="330"/>
      <c r="BK14" s="330"/>
      <c r="BL14" s="330"/>
      <c r="BM14" s="330"/>
      <c r="BN14" s="330"/>
      <c r="BO14" s="330"/>
      <c r="BP14" s="330"/>
      <c r="BQ14" s="330"/>
      <c r="BR14" s="330"/>
      <c r="BS14" s="330"/>
      <c r="BT14" s="330"/>
      <c r="BU14" s="330"/>
      <c r="BV14" s="330"/>
      <c r="BW14" s="330"/>
      <c r="BX14" s="330"/>
      <c r="BY14" s="330"/>
      <c r="BZ14" s="330"/>
      <c r="CA14" s="330"/>
      <c r="CB14" s="330"/>
      <c r="CC14" s="330"/>
      <c r="CD14" s="330"/>
      <c r="CE14" s="330"/>
      <c r="CF14" s="330"/>
      <c r="CG14" s="330"/>
      <c r="CH14" s="330"/>
      <c r="CI14" s="330"/>
      <c r="CJ14" s="330"/>
      <c r="CK14" s="330"/>
      <c r="CL14" s="330"/>
      <c r="CM14" s="330"/>
      <c r="CN14" s="330"/>
      <c r="CO14" s="330"/>
      <c r="CP14" s="330"/>
      <c r="CQ14" s="330"/>
      <c r="CR14" s="330"/>
      <c r="CS14" s="330"/>
      <c r="CT14" s="330"/>
      <c r="CU14" s="330"/>
      <c r="CV14" s="330"/>
      <c r="CW14" s="330"/>
      <c r="CX14" s="330"/>
      <c r="CY14" s="330"/>
      <c r="CZ14" s="330"/>
      <c r="DA14" s="330"/>
      <c r="DB14" s="330"/>
      <c r="DC14" s="330"/>
      <c r="DD14" s="330"/>
      <c r="DE14" s="330"/>
      <c r="DF14" s="330"/>
      <c r="DG14" s="330"/>
      <c r="DH14" s="330"/>
      <c r="DI14" s="330"/>
      <c r="DJ14" s="330"/>
      <c r="DK14" s="330"/>
      <c r="DL14" s="330"/>
      <c r="DM14" s="330"/>
      <c r="DN14" s="330"/>
      <c r="DO14" s="330"/>
      <c r="DP14" s="330"/>
      <c r="DQ14" s="330"/>
      <c r="DR14" s="330"/>
      <c r="DS14" s="330"/>
      <c r="DT14" s="330"/>
      <c r="DU14" s="330"/>
      <c r="DV14" s="330"/>
      <c r="DW14" s="330"/>
      <c r="DX14" s="330"/>
      <c r="DY14" s="330"/>
      <c r="DZ14" s="330"/>
      <c r="EA14" s="330"/>
      <c r="EB14" s="330"/>
      <c r="EC14" s="330"/>
      <c r="ED14" s="330"/>
      <c r="EE14" s="330"/>
      <c r="EF14" s="330"/>
      <c r="EG14" s="330"/>
      <c r="EH14" s="330"/>
      <c r="EI14" s="330"/>
      <c r="EJ14" s="330"/>
      <c r="EK14" s="330"/>
      <c r="EL14" s="330"/>
      <c r="EM14" s="330"/>
      <c r="EN14" s="330"/>
      <c r="EO14" s="330"/>
      <c r="EP14" s="330"/>
      <c r="EQ14" s="330"/>
      <c r="ER14" s="330"/>
      <c r="ES14" s="330"/>
      <c r="ET14" s="330"/>
      <c r="EU14" s="330"/>
      <c r="EV14" s="330"/>
      <c r="EW14" s="330"/>
      <c r="EX14" s="330"/>
      <c r="EY14" s="330"/>
      <c r="EZ14" s="330"/>
      <c r="FA14" s="330"/>
      <c r="FB14" s="330"/>
      <c r="FC14" s="330"/>
      <c r="FD14" s="330"/>
      <c r="FE14" s="330"/>
      <c r="FF14" s="330"/>
      <c r="FG14" s="330"/>
      <c r="FH14" s="330"/>
      <c r="FI14" s="330"/>
      <c r="FJ14" s="330"/>
      <c r="FK14" s="330"/>
      <c r="FL14" s="330"/>
      <c r="FM14" s="330"/>
      <c r="FN14" s="330"/>
      <c r="FO14" s="330"/>
      <c r="FP14" s="330"/>
      <c r="FQ14" s="330"/>
      <c r="FR14" s="330"/>
      <c r="FS14" s="330"/>
      <c r="FT14" s="330"/>
      <c r="FU14" s="330"/>
      <c r="FV14" s="330"/>
      <c r="FW14" s="330"/>
      <c r="FX14" s="330"/>
      <c r="FY14" s="330"/>
      <c r="FZ14" s="330"/>
      <c r="GA14" s="330"/>
      <c r="GB14" s="330"/>
      <c r="GC14" s="330"/>
      <c r="GD14" s="330"/>
      <c r="GE14" s="330"/>
      <c r="GF14" s="330"/>
      <c r="GG14" s="330"/>
      <c r="GH14" s="330"/>
      <c r="GI14" s="330"/>
      <c r="GJ14" s="330"/>
      <c r="GK14" s="330"/>
      <c r="GL14" s="330"/>
      <c r="GM14" s="330"/>
      <c r="GN14" s="330"/>
      <c r="GO14" s="330"/>
      <c r="GP14" s="330"/>
      <c r="GQ14" s="330"/>
      <c r="GR14" s="330"/>
      <c r="GS14" s="330"/>
      <c r="GT14" s="330"/>
      <c r="GU14" s="330"/>
      <c r="GV14" s="330"/>
      <c r="GW14" s="330"/>
      <c r="GX14" s="330"/>
      <c r="GY14" s="330"/>
      <c r="GZ14" s="330"/>
      <c r="HA14" s="330"/>
      <c r="HB14" s="330"/>
      <c r="HC14" s="330"/>
      <c r="HD14" s="330"/>
      <c r="HE14" s="330"/>
      <c r="HF14" s="330"/>
      <c r="HG14" s="330"/>
      <c r="HH14" s="330"/>
      <c r="HI14" s="330"/>
      <c r="HJ14" s="330"/>
      <c r="HK14" s="330"/>
      <c r="HL14" s="330"/>
      <c r="HM14" s="330"/>
      <c r="HN14" s="330"/>
      <c r="HO14" s="330"/>
      <c r="HP14" s="330"/>
      <c r="HQ14" s="330"/>
      <c r="HR14" s="330"/>
      <c r="HS14" s="330"/>
      <c r="HT14" s="330"/>
      <c r="HU14" s="330"/>
      <c r="HV14" s="330"/>
      <c r="HW14" s="330"/>
      <c r="HX14" s="330"/>
      <c r="HY14" s="330"/>
      <c r="HZ14" s="330"/>
      <c r="IA14" s="330"/>
      <c r="IB14" s="330"/>
      <c r="IC14" s="330"/>
      <c r="ID14" s="330"/>
      <c r="IE14" s="330"/>
      <c r="IF14" s="330"/>
      <c r="IG14" s="330"/>
      <c r="IH14" s="330"/>
      <c r="II14" s="330"/>
      <c r="IJ14" s="330"/>
      <c r="IK14" s="330"/>
      <c r="IL14" s="330"/>
      <c r="IM14" s="330"/>
      <c r="IN14" s="330"/>
      <c r="IO14" s="330"/>
      <c r="IP14" s="330"/>
      <c r="IQ14" s="330"/>
      <c r="IR14" s="330"/>
      <c r="IS14" s="330"/>
      <c r="IT14" s="330"/>
      <c r="IU14" s="330"/>
      <c r="IV14" s="330"/>
      <c r="IW14" s="330"/>
      <c r="IX14" s="330"/>
      <c r="IY14" s="330"/>
      <c r="IZ14" s="330"/>
      <c r="JA14" s="330"/>
      <c r="JB14" s="330"/>
      <c r="JC14" s="330"/>
      <c r="JD14" s="330"/>
      <c r="JE14" s="330"/>
      <c r="JF14" s="330"/>
      <c r="JG14" s="330"/>
      <c r="JH14" s="330"/>
      <c r="JI14" s="330"/>
      <c r="JJ14" s="330"/>
      <c r="JK14" s="330"/>
      <c r="JL14" s="330"/>
      <c r="JM14" s="330"/>
      <c r="JN14" s="330"/>
      <c r="JO14" s="330"/>
      <c r="JP14" s="330"/>
      <c r="JQ14" s="330"/>
      <c r="JR14" s="330"/>
      <c r="JS14" s="330"/>
      <c r="JT14" s="330"/>
      <c r="JU14" s="330"/>
      <c r="JV14" s="330"/>
      <c r="JW14" s="330"/>
      <c r="JX14" s="330"/>
      <c r="JY14" s="330"/>
      <c r="JZ14" s="330"/>
      <c r="KA14" s="330"/>
      <c r="KB14" s="330"/>
      <c r="KC14" s="330"/>
      <c r="KD14" s="330"/>
      <c r="KE14" s="330"/>
      <c r="KF14" s="330"/>
      <c r="KG14" s="330"/>
      <c r="KH14" s="330"/>
      <c r="KI14" s="330"/>
      <c r="KJ14" s="330"/>
      <c r="KK14" s="330"/>
      <c r="KL14" s="330"/>
      <c r="KM14" s="330"/>
      <c r="KN14" s="330"/>
      <c r="KO14" s="330"/>
      <c r="KP14" s="330"/>
      <c r="KQ14" s="330"/>
      <c r="KR14" s="330"/>
      <c r="KS14" s="330"/>
      <c r="KT14" s="330"/>
      <c r="KU14" s="330"/>
      <c r="KV14" s="330"/>
      <c r="KW14" s="330"/>
      <c r="KX14" s="330"/>
      <c r="KY14" s="330"/>
      <c r="KZ14" s="330"/>
      <c r="LA14" s="330"/>
      <c r="LB14" s="330"/>
      <c r="LC14" s="330"/>
      <c r="LD14" s="330"/>
      <c r="LE14" s="330"/>
    </row>
    <row r="15" spans="1:317">
      <c r="A15" s="330"/>
      <c r="B15" s="330"/>
      <c r="C15" s="330"/>
      <c r="D15" s="330"/>
      <c r="E15" s="330"/>
      <c r="F15" s="872"/>
      <c r="G15" s="868"/>
      <c r="H15" s="868"/>
      <c r="I15" s="868"/>
      <c r="J15" s="868"/>
      <c r="K15" s="868"/>
      <c r="L15" s="868"/>
      <c r="M15" s="868"/>
      <c r="N15" s="868"/>
      <c r="O15" s="868"/>
      <c r="P15" s="868"/>
      <c r="Q15" s="873"/>
      <c r="R15" s="330"/>
      <c r="S15" s="330"/>
      <c r="T15" s="330"/>
      <c r="U15" s="330"/>
      <c r="V15" s="330"/>
      <c r="W15" s="330"/>
      <c r="X15" s="330"/>
      <c r="Y15" s="330"/>
      <c r="Z15" s="330"/>
      <c r="AA15" s="330"/>
      <c r="AB15" s="330"/>
      <c r="AC15" s="330"/>
      <c r="AD15" s="330"/>
      <c r="AE15" s="330"/>
      <c r="AF15" s="330"/>
      <c r="AG15" s="330"/>
      <c r="AH15" s="330"/>
      <c r="AI15" s="330"/>
      <c r="AJ15" s="330"/>
      <c r="AK15" s="330"/>
      <c r="AL15" s="330"/>
      <c r="AM15" s="330"/>
      <c r="AN15" s="330"/>
      <c r="AO15" s="330"/>
      <c r="AP15" s="330"/>
      <c r="AQ15" s="330"/>
      <c r="AR15" s="330"/>
      <c r="AS15" s="330"/>
      <c r="AT15" s="330"/>
      <c r="AU15" s="330"/>
      <c r="AV15" s="330"/>
      <c r="AW15" s="330"/>
      <c r="AX15" s="330"/>
      <c r="AY15" s="330"/>
      <c r="AZ15" s="330"/>
      <c r="BA15" s="330"/>
      <c r="BB15" s="330"/>
      <c r="BC15" s="330"/>
      <c r="BD15" s="330"/>
      <c r="BE15" s="330"/>
      <c r="BF15" s="330"/>
      <c r="BG15" s="330"/>
      <c r="BH15" s="330"/>
      <c r="BI15" s="330"/>
      <c r="BJ15" s="330"/>
      <c r="BK15" s="330"/>
      <c r="BL15" s="330"/>
      <c r="BM15" s="330"/>
      <c r="BN15" s="330"/>
      <c r="BO15" s="330"/>
      <c r="BP15" s="330"/>
      <c r="BQ15" s="330"/>
      <c r="BR15" s="330"/>
      <c r="BS15" s="330"/>
      <c r="BT15" s="330"/>
      <c r="BU15" s="330"/>
      <c r="BV15" s="330"/>
      <c r="BW15" s="330"/>
      <c r="BX15" s="330"/>
      <c r="BY15" s="330"/>
      <c r="BZ15" s="330"/>
      <c r="CA15" s="330"/>
      <c r="CB15" s="330"/>
      <c r="CC15" s="330"/>
      <c r="CD15" s="330"/>
      <c r="CE15" s="330"/>
      <c r="CF15" s="330"/>
      <c r="CG15" s="330"/>
      <c r="CH15" s="330"/>
      <c r="CI15" s="330"/>
      <c r="CJ15" s="330"/>
      <c r="CK15" s="330"/>
      <c r="CL15" s="330"/>
      <c r="CM15" s="330"/>
      <c r="CN15" s="330"/>
      <c r="CO15" s="330"/>
      <c r="CP15" s="330"/>
      <c r="CQ15" s="330"/>
      <c r="CR15" s="330"/>
      <c r="CS15" s="330"/>
      <c r="CT15" s="330"/>
      <c r="CU15" s="330"/>
      <c r="CV15" s="330"/>
      <c r="CW15" s="330"/>
      <c r="CX15" s="330"/>
      <c r="CY15" s="330"/>
      <c r="CZ15" s="330"/>
      <c r="DA15" s="330"/>
      <c r="DB15" s="330"/>
      <c r="DC15" s="330"/>
      <c r="DD15" s="330"/>
      <c r="DE15" s="330"/>
      <c r="DF15" s="330"/>
      <c r="DG15" s="330"/>
      <c r="DH15" s="330"/>
      <c r="DI15" s="330"/>
      <c r="DJ15" s="330"/>
      <c r="DK15" s="330"/>
      <c r="DL15" s="330"/>
      <c r="DM15" s="330"/>
      <c r="DN15" s="330"/>
      <c r="DO15" s="330"/>
      <c r="DP15" s="330"/>
      <c r="DQ15" s="330"/>
      <c r="DR15" s="330"/>
      <c r="DS15" s="330"/>
      <c r="DT15" s="330"/>
      <c r="DU15" s="330"/>
      <c r="DV15" s="330"/>
      <c r="DW15" s="330"/>
      <c r="DX15" s="330"/>
      <c r="DY15" s="330"/>
      <c r="DZ15" s="330"/>
      <c r="EA15" s="330"/>
      <c r="EB15" s="330"/>
      <c r="EC15" s="330"/>
      <c r="ED15" s="330"/>
      <c r="EE15" s="330"/>
      <c r="EF15" s="330"/>
      <c r="EG15" s="330"/>
      <c r="EH15" s="330"/>
      <c r="EI15" s="330"/>
      <c r="EJ15" s="330"/>
      <c r="EK15" s="330"/>
      <c r="EL15" s="330"/>
      <c r="EM15" s="330"/>
      <c r="EN15" s="330"/>
      <c r="EO15" s="330"/>
      <c r="EP15" s="330"/>
      <c r="EQ15" s="330"/>
      <c r="ER15" s="330"/>
      <c r="ES15" s="330"/>
      <c r="ET15" s="330"/>
      <c r="EU15" s="330"/>
      <c r="EV15" s="330"/>
      <c r="EW15" s="330"/>
      <c r="EX15" s="330"/>
      <c r="EY15" s="330"/>
      <c r="EZ15" s="330"/>
      <c r="FA15" s="330"/>
      <c r="FB15" s="330"/>
      <c r="FC15" s="330"/>
      <c r="FD15" s="330"/>
      <c r="FE15" s="330"/>
      <c r="FF15" s="330"/>
      <c r="FG15" s="330"/>
      <c r="FH15" s="330"/>
      <c r="FI15" s="330"/>
      <c r="FJ15" s="330"/>
      <c r="FK15" s="330"/>
      <c r="FL15" s="330"/>
      <c r="FM15" s="330"/>
      <c r="FN15" s="330"/>
      <c r="FO15" s="330"/>
      <c r="FP15" s="330"/>
      <c r="FQ15" s="330"/>
      <c r="FR15" s="330"/>
      <c r="FS15" s="330"/>
      <c r="FT15" s="330"/>
      <c r="FU15" s="330"/>
      <c r="FV15" s="330"/>
      <c r="FW15" s="330"/>
      <c r="FX15" s="330"/>
      <c r="FY15" s="330"/>
      <c r="FZ15" s="330"/>
      <c r="GA15" s="330"/>
      <c r="GB15" s="330"/>
      <c r="GC15" s="330"/>
      <c r="GD15" s="330"/>
      <c r="GE15" s="330"/>
      <c r="GF15" s="330"/>
      <c r="GG15" s="330"/>
      <c r="GH15" s="330"/>
      <c r="GI15" s="330"/>
      <c r="GJ15" s="330"/>
      <c r="GK15" s="330"/>
      <c r="GL15" s="330"/>
      <c r="GM15" s="330"/>
      <c r="GN15" s="330"/>
      <c r="GO15" s="330"/>
      <c r="GP15" s="330"/>
      <c r="GQ15" s="330"/>
      <c r="GR15" s="330"/>
      <c r="GS15" s="330"/>
      <c r="GT15" s="330"/>
      <c r="GU15" s="330"/>
      <c r="GV15" s="330"/>
      <c r="GW15" s="330"/>
      <c r="GX15" s="330"/>
      <c r="GY15" s="330"/>
      <c r="GZ15" s="330"/>
      <c r="HA15" s="330"/>
      <c r="HB15" s="330"/>
      <c r="HC15" s="330"/>
      <c r="HD15" s="330"/>
      <c r="HE15" s="330"/>
      <c r="HF15" s="330"/>
      <c r="HG15" s="330"/>
      <c r="HH15" s="330"/>
      <c r="HI15" s="330"/>
      <c r="HJ15" s="330"/>
      <c r="HK15" s="330"/>
      <c r="HL15" s="330"/>
      <c r="HM15" s="330"/>
      <c r="HN15" s="330"/>
      <c r="HO15" s="330"/>
      <c r="HP15" s="330"/>
      <c r="HQ15" s="330"/>
      <c r="HR15" s="330"/>
      <c r="HS15" s="330"/>
      <c r="HT15" s="330"/>
      <c r="HU15" s="330"/>
      <c r="HV15" s="330"/>
      <c r="HW15" s="330"/>
      <c r="HX15" s="330"/>
      <c r="HY15" s="330"/>
      <c r="HZ15" s="330"/>
      <c r="IA15" s="330"/>
      <c r="IB15" s="330"/>
      <c r="IC15" s="330"/>
      <c r="ID15" s="330"/>
      <c r="IE15" s="330"/>
      <c r="IF15" s="330"/>
      <c r="IG15" s="330"/>
      <c r="IH15" s="330"/>
      <c r="II15" s="330"/>
      <c r="IJ15" s="330"/>
      <c r="IK15" s="330"/>
      <c r="IL15" s="330"/>
      <c r="IM15" s="330"/>
      <c r="IN15" s="330"/>
      <c r="IO15" s="330"/>
      <c r="IP15" s="330"/>
      <c r="IQ15" s="330"/>
      <c r="IR15" s="330"/>
      <c r="IS15" s="330"/>
      <c r="IT15" s="330"/>
      <c r="IU15" s="330"/>
      <c r="IV15" s="330"/>
      <c r="IW15" s="330"/>
      <c r="IX15" s="330"/>
      <c r="IY15" s="330"/>
      <c r="IZ15" s="330"/>
      <c r="JA15" s="330"/>
      <c r="JB15" s="330"/>
      <c r="JC15" s="330"/>
      <c r="JD15" s="330"/>
      <c r="JE15" s="330"/>
      <c r="JF15" s="330"/>
      <c r="JG15" s="330"/>
      <c r="JH15" s="330"/>
      <c r="JI15" s="330"/>
      <c r="JJ15" s="330"/>
      <c r="JK15" s="330"/>
      <c r="JL15" s="330"/>
      <c r="JM15" s="330"/>
      <c r="JN15" s="330"/>
      <c r="JO15" s="330"/>
      <c r="JP15" s="330"/>
      <c r="JQ15" s="330"/>
      <c r="JR15" s="330"/>
      <c r="JS15" s="330"/>
      <c r="JT15" s="330"/>
      <c r="JU15" s="330"/>
      <c r="JV15" s="330"/>
      <c r="JW15" s="330"/>
      <c r="JX15" s="330"/>
      <c r="JY15" s="330"/>
      <c r="JZ15" s="330"/>
      <c r="KA15" s="330"/>
      <c r="KB15" s="330"/>
      <c r="KC15" s="330"/>
      <c r="KD15" s="330"/>
      <c r="KE15" s="330"/>
      <c r="KF15" s="330"/>
      <c r="KG15" s="330"/>
      <c r="KH15" s="330"/>
      <c r="KI15" s="330"/>
      <c r="KJ15" s="330"/>
      <c r="KK15" s="330"/>
      <c r="KL15" s="330"/>
      <c r="KM15" s="330"/>
      <c r="KN15" s="330"/>
      <c r="KO15" s="330"/>
      <c r="KP15" s="330"/>
      <c r="KQ15" s="330"/>
      <c r="KR15" s="330"/>
      <c r="KS15" s="330"/>
      <c r="KT15" s="330"/>
      <c r="KU15" s="330"/>
      <c r="KV15" s="330"/>
      <c r="KW15" s="330"/>
      <c r="KX15" s="330"/>
      <c r="KY15" s="330"/>
      <c r="KZ15" s="330"/>
      <c r="LA15" s="330"/>
      <c r="LB15" s="330"/>
      <c r="LC15" s="330"/>
      <c r="LD15" s="330"/>
      <c r="LE15" s="330"/>
    </row>
    <row r="16" spans="1:317">
      <c r="A16" s="330"/>
      <c r="B16" s="330"/>
      <c r="C16" s="330"/>
      <c r="D16" s="330"/>
      <c r="E16" s="330"/>
      <c r="F16" s="872"/>
      <c r="G16" s="868"/>
      <c r="H16" s="868"/>
      <c r="I16" s="868"/>
      <c r="J16" s="868"/>
      <c r="K16" s="868"/>
      <c r="L16" s="868"/>
      <c r="M16" s="868"/>
      <c r="N16" s="868"/>
      <c r="O16" s="868"/>
      <c r="P16" s="868"/>
      <c r="Q16" s="873"/>
      <c r="R16" s="330"/>
      <c r="S16" s="330"/>
      <c r="T16" s="330"/>
      <c r="U16" s="330"/>
      <c r="V16" s="330"/>
      <c r="W16" s="330"/>
      <c r="X16" s="330"/>
      <c r="Y16" s="330"/>
      <c r="Z16" s="330"/>
      <c r="AA16" s="330"/>
      <c r="AB16" s="330"/>
      <c r="AC16" s="330"/>
      <c r="AD16" s="330"/>
      <c r="AE16" s="330"/>
      <c r="AF16" s="330"/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  <c r="AZ16" s="330"/>
      <c r="BA16" s="330"/>
      <c r="BB16" s="330"/>
      <c r="BC16" s="330"/>
      <c r="BD16" s="330"/>
      <c r="BE16" s="330"/>
      <c r="BF16" s="330"/>
      <c r="BG16" s="330"/>
      <c r="BH16" s="330"/>
      <c r="BI16" s="330"/>
      <c r="BJ16" s="330"/>
      <c r="BK16" s="330"/>
      <c r="BL16" s="330"/>
      <c r="BM16" s="330"/>
      <c r="BN16" s="330"/>
      <c r="BO16" s="330"/>
      <c r="BP16" s="330"/>
      <c r="BQ16" s="330"/>
      <c r="BR16" s="330"/>
      <c r="BS16" s="330"/>
      <c r="BT16" s="330"/>
      <c r="BU16" s="330"/>
      <c r="BV16" s="330"/>
      <c r="BW16" s="330"/>
      <c r="BX16" s="330"/>
      <c r="BY16" s="330"/>
      <c r="BZ16" s="330"/>
      <c r="CA16" s="330"/>
      <c r="CB16" s="330"/>
      <c r="CC16" s="330"/>
      <c r="CD16" s="330"/>
      <c r="CE16" s="330"/>
      <c r="CF16" s="330"/>
      <c r="CG16" s="330"/>
      <c r="CH16" s="330"/>
      <c r="CI16" s="330"/>
      <c r="CJ16" s="330"/>
      <c r="CK16" s="330"/>
      <c r="CL16" s="330"/>
      <c r="CM16" s="330"/>
      <c r="CN16" s="330"/>
      <c r="CO16" s="330"/>
      <c r="CP16" s="330"/>
      <c r="CQ16" s="330"/>
      <c r="CR16" s="330"/>
      <c r="CS16" s="330"/>
      <c r="CT16" s="330"/>
      <c r="CU16" s="330"/>
      <c r="CV16" s="330"/>
      <c r="CW16" s="330"/>
      <c r="CX16" s="330"/>
      <c r="CY16" s="330"/>
      <c r="CZ16" s="330"/>
      <c r="DA16" s="330"/>
      <c r="DB16" s="330"/>
      <c r="DC16" s="330"/>
      <c r="DD16" s="330"/>
      <c r="DE16" s="330"/>
      <c r="DF16" s="330"/>
      <c r="DG16" s="330"/>
      <c r="DH16" s="330"/>
      <c r="DI16" s="330"/>
      <c r="DJ16" s="330"/>
      <c r="DK16" s="330"/>
      <c r="DL16" s="330"/>
      <c r="DM16" s="330"/>
      <c r="DN16" s="330"/>
      <c r="DO16" s="330"/>
      <c r="DP16" s="330"/>
      <c r="DQ16" s="330"/>
      <c r="DR16" s="330"/>
      <c r="DS16" s="330"/>
      <c r="DT16" s="330"/>
      <c r="DU16" s="330"/>
      <c r="DV16" s="330"/>
      <c r="DW16" s="330"/>
      <c r="DX16" s="330"/>
      <c r="DY16" s="330"/>
      <c r="DZ16" s="330"/>
      <c r="EA16" s="330"/>
      <c r="EB16" s="330"/>
      <c r="EC16" s="330"/>
      <c r="ED16" s="330"/>
      <c r="EE16" s="330"/>
      <c r="EF16" s="330"/>
      <c r="EG16" s="330"/>
      <c r="EH16" s="330"/>
      <c r="EI16" s="330"/>
      <c r="EJ16" s="330"/>
      <c r="EK16" s="330"/>
      <c r="EL16" s="330"/>
      <c r="EM16" s="330"/>
      <c r="EN16" s="330"/>
      <c r="EO16" s="330"/>
      <c r="EP16" s="330"/>
      <c r="EQ16" s="330"/>
      <c r="ER16" s="330"/>
      <c r="ES16" s="330"/>
      <c r="ET16" s="330"/>
      <c r="EU16" s="330"/>
      <c r="EV16" s="330"/>
      <c r="EW16" s="330"/>
      <c r="EX16" s="330"/>
      <c r="EY16" s="330"/>
      <c r="EZ16" s="330"/>
      <c r="FA16" s="330"/>
      <c r="FB16" s="330"/>
      <c r="FC16" s="330"/>
      <c r="FD16" s="330"/>
      <c r="FE16" s="330"/>
      <c r="FF16" s="330"/>
      <c r="FG16" s="330"/>
      <c r="FH16" s="330"/>
      <c r="FI16" s="330"/>
      <c r="FJ16" s="330"/>
      <c r="FK16" s="330"/>
      <c r="FL16" s="330"/>
      <c r="FM16" s="330"/>
      <c r="FN16" s="330"/>
      <c r="FO16" s="330"/>
      <c r="FP16" s="330"/>
      <c r="FQ16" s="330"/>
      <c r="FR16" s="330"/>
      <c r="FS16" s="330"/>
      <c r="FT16" s="330"/>
      <c r="FU16" s="330"/>
      <c r="FV16" s="330"/>
      <c r="FW16" s="330"/>
      <c r="FX16" s="330"/>
      <c r="FY16" s="330"/>
      <c r="FZ16" s="330"/>
      <c r="GA16" s="330"/>
      <c r="GB16" s="330"/>
      <c r="GC16" s="330"/>
      <c r="GD16" s="330"/>
      <c r="GE16" s="330"/>
      <c r="GF16" s="330"/>
      <c r="GG16" s="330"/>
      <c r="GH16" s="330"/>
      <c r="GI16" s="330"/>
      <c r="GJ16" s="330"/>
      <c r="GK16" s="330"/>
      <c r="GL16" s="330"/>
      <c r="GM16" s="330"/>
      <c r="GN16" s="330"/>
      <c r="GO16" s="330"/>
      <c r="GP16" s="330"/>
      <c r="GQ16" s="330"/>
      <c r="GR16" s="330"/>
      <c r="GS16" s="330"/>
      <c r="GT16" s="330"/>
      <c r="GU16" s="330"/>
      <c r="GV16" s="330"/>
      <c r="GW16" s="330"/>
      <c r="GX16" s="330"/>
      <c r="GY16" s="330"/>
      <c r="GZ16" s="330"/>
      <c r="HA16" s="330"/>
      <c r="HB16" s="330"/>
      <c r="HC16" s="330"/>
      <c r="HD16" s="330"/>
      <c r="HE16" s="330"/>
      <c r="HF16" s="330"/>
      <c r="HG16" s="330"/>
      <c r="HH16" s="330"/>
      <c r="HI16" s="330"/>
      <c r="HJ16" s="330"/>
      <c r="HK16" s="330"/>
      <c r="HL16" s="330"/>
      <c r="HM16" s="330"/>
      <c r="HN16" s="330"/>
      <c r="HO16" s="330"/>
      <c r="HP16" s="330"/>
      <c r="HQ16" s="330"/>
      <c r="HR16" s="330"/>
      <c r="HS16" s="330"/>
      <c r="HT16" s="330"/>
      <c r="HU16" s="330"/>
      <c r="HV16" s="330"/>
      <c r="HW16" s="330"/>
      <c r="HX16" s="330"/>
      <c r="HY16" s="330"/>
      <c r="HZ16" s="330"/>
      <c r="IA16" s="330"/>
      <c r="IB16" s="330"/>
      <c r="IC16" s="330"/>
      <c r="ID16" s="330"/>
      <c r="IE16" s="330"/>
      <c r="IF16" s="330"/>
      <c r="IG16" s="330"/>
      <c r="IH16" s="330"/>
      <c r="II16" s="330"/>
      <c r="IJ16" s="330"/>
      <c r="IK16" s="330"/>
      <c r="IL16" s="330"/>
      <c r="IM16" s="330"/>
      <c r="IN16" s="330"/>
      <c r="IO16" s="330"/>
      <c r="IP16" s="330"/>
      <c r="IQ16" s="330"/>
      <c r="IR16" s="330"/>
      <c r="IS16" s="330"/>
      <c r="IT16" s="330"/>
      <c r="IU16" s="330"/>
      <c r="IV16" s="330"/>
      <c r="IW16" s="330"/>
      <c r="IX16" s="330"/>
      <c r="IY16" s="330"/>
      <c r="IZ16" s="330"/>
      <c r="JA16" s="330"/>
      <c r="JB16" s="330"/>
      <c r="JC16" s="330"/>
      <c r="JD16" s="330"/>
      <c r="JE16" s="330"/>
      <c r="JF16" s="330"/>
      <c r="JG16" s="330"/>
      <c r="JH16" s="330"/>
      <c r="JI16" s="330"/>
      <c r="JJ16" s="330"/>
      <c r="JK16" s="330"/>
      <c r="JL16" s="330"/>
      <c r="JM16" s="330"/>
      <c r="JN16" s="330"/>
      <c r="JO16" s="330"/>
      <c r="JP16" s="330"/>
      <c r="JQ16" s="330"/>
      <c r="JR16" s="330"/>
      <c r="JS16" s="330"/>
      <c r="JT16" s="330"/>
      <c r="JU16" s="330"/>
      <c r="JV16" s="330"/>
      <c r="JW16" s="330"/>
      <c r="JX16" s="330"/>
      <c r="JY16" s="330"/>
      <c r="JZ16" s="330"/>
      <c r="KA16" s="330"/>
      <c r="KB16" s="330"/>
      <c r="KC16" s="330"/>
      <c r="KD16" s="330"/>
      <c r="KE16" s="330"/>
      <c r="KF16" s="330"/>
      <c r="KG16" s="330"/>
      <c r="KH16" s="330"/>
      <c r="KI16" s="330"/>
      <c r="KJ16" s="330"/>
      <c r="KK16" s="330"/>
      <c r="KL16" s="330"/>
      <c r="KM16" s="330"/>
      <c r="KN16" s="330"/>
      <c r="KO16" s="330"/>
      <c r="KP16" s="330"/>
      <c r="KQ16" s="330"/>
      <c r="KR16" s="330"/>
      <c r="KS16" s="330"/>
      <c r="KT16" s="330"/>
      <c r="KU16" s="330"/>
      <c r="KV16" s="330"/>
      <c r="KW16" s="330"/>
      <c r="KX16" s="330"/>
      <c r="KY16" s="330"/>
      <c r="KZ16" s="330"/>
      <c r="LA16" s="330"/>
      <c r="LB16" s="330"/>
      <c r="LC16" s="330"/>
      <c r="LD16" s="330"/>
      <c r="LE16" s="330"/>
    </row>
    <row r="17" spans="1:317">
      <c r="A17" s="330"/>
      <c r="B17" s="330"/>
      <c r="C17" s="330"/>
      <c r="D17" s="330"/>
      <c r="E17" s="330"/>
      <c r="F17" s="872"/>
      <c r="G17" s="868"/>
      <c r="H17" s="868"/>
      <c r="I17" s="868"/>
      <c r="J17" s="868"/>
      <c r="K17" s="868"/>
      <c r="L17" s="868"/>
      <c r="M17" s="868"/>
      <c r="N17" s="868"/>
      <c r="O17" s="868"/>
      <c r="P17" s="868"/>
      <c r="Q17" s="873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0"/>
      <c r="AC17" s="330"/>
      <c r="AD17" s="330"/>
      <c r="AE17" s="330"/>
      <c r="AF17" s="330"/>
      <c r="AG17" s="330"/>
      <c r="AH17" s="330"/>
      <c r="AI17" s="330"/>
      <c r="AJ17" s="330"/>
      <c r="AK17" s="330"/>
      <c r="AL17" s="330"/>
      <c r="AM17" s="330"/>
      <c r="AN17" s="330"/>
      <c r="AO17" s="330"/>
      <c r="AP17" s="330"/>
      <c r="AQ17" s="330"/>
      <c r="AR17" s="330"/>
      <c r="AS17" s="330"/>
      <c r="AT17" s="330"/>
      <c r="AU17" s="330"/>
      <c r="AV17" s="330"/>
      <c r="AW17" s="330"/>
      <c r="AX17" s="330"/>
      <c r="AY17" s="330"/>
      <c r="AZ17" s="330"/>
      <c r="BA17" s="330"/>
      <c r="BB17" s="330"/>
      <c r="BC17" s="330"/>
      <c r="BD17" s="330"/>
      <c r="BE17" s="330"/>
      <c r="BF17" s="330"/>
      <c r="BG17" s="330"/>
      <c r="BH17" s="330"/>
      <c r="BI17" s="330"/>
      <c r="BJ17" s="330"/>
      <c r="BK17" s="330"/>
      <c r="BL17" s="330"/>
      <c r="BM17" s="330"/>
      <c r="BN17" s="330"/>
      <c r="BO17" s="330"/>
      <c r="BP17" s="330"/>
      <c r="BQ17" s="330"/>
      <c r="BR17" s="330"/>
      <c r="BS17" s="330"/>
      <c r="BT17" s="330"/>
      <c r="BU17" s="330"/>
      <c r="BV17" s="330"/>
      <c r="BW17" s="330"/>
      <c r="BX17" s="330"/>
      <c r="BY17" s="330"/>
      <c r="BZ17" s="330"/>
      <c r="CA17" s="330"/>
      <c r="CB17" s="330"/>
      <c r="CC17" s="330"/>
      <c r="CD17" s="330"/>
      <c r="CE17" s="330"/>
      <c r="CF17" s="330"/>
      <c r="CG17" s="330"/>
      <c r="CH17" s="330"/>
      <c r="CI17" s="330"/>
      <c r="CJ17" s="330"/>
      <c r="CK17" s="330"/>
      <c r="CL17" s="330"/>
      <c r="CM17" s="330"/>
      <c r="CN17" s="330"/>
      <c r="CO17" s="330"/>
      <c r="CP17" s="330"/>
      <c r="CQ17" s="330"/>
      <c r="CR17" s="330"/>
      <c r="CS17" s="330"/>
      <c r="CT17" s="330"/>
      <c r="CU17" s="330"/>
      <c r="CV17" s="330"/>
      <c r="CW17" s="330"/>
      <c r="CX17" s="330"/>
      <c r="CY17" s="330"/>
      <c r="CZ17" s="330"/>
      <c r="DA17" s="330"/>
      <c r="DB17" s="330"/>
      <c r="DC17" s="330"/>
      <c r="DD17" s="330"/>
      <c r="DE17" s="330"/>
      <c r="DF17" s="330"/>
      <c r="DG17" s="330"/>
      <c r="DH17" s="330"/>
      <c r="DI17" s="330"/>
      <c r="DJ17" s="330"/>
      <c r="DK17" s="330"/>
      <c r="DL17" s="330"/>
      <c r="DM17" s="330"/>
      <c r="DN17" s="330"/>
      <c r="DO17" s="330"/>
      <c r="DP17" s="330"/>
      <c r="DQ17" s="330"/>
      <c r="DR17" s="330"/>
      <c r="DS17" s="330"/>
      <c r="DT17" s="330"/>
      <c r="DU17" s="330"/>
      <c r="DV17" s="330"/>
      <c r="DW17" s="330"/>
      <c r="DX17" s="330"/>
      <c r="DY17" s="330"/>
      <c r="DZ17" s="330"/>
      <c r="EA17" s="330"/>
      <c r="EB17" s="330"/>
      <c r="EC17" s="330"/>
      <c r="ED17" s="330"/>
      <c r="EE17" s="330"/>
      <c r="EF17" s="330"/>
      <c r="EG17" s="330"/>
      <c r="EH17" s="330"/>
      <c r="EI17" s="330"/>
      <c r="EJ17" s="330"/>
      <c r="EK17" s="330"/>
      <c r="EL17" s="330"/>
      <c r="EM17" s="330"/>
      <c r="EN17" s="330"/>
      <c r="EO17" s="330"/>
      <c r="EP17" s="330"/>
      <c r="EQ17" s="330"/>
      <c r="ER17" s="330"/>
      <c r="ES17" s="330"/>
      <c r="ET17" s="330"/>
      <c r="EU17" s="330"/>
      <c r="EV17" s="330"/>
      <c r="EW17" s="330"/>
      <c r="EX17" s="330"/>
      <c r="EY17" s="330"/>
      <c r="EZ17" s="330"/>
      <c r="FA17" s="330"/>
      <c r="FB17" s="330"/>
      <c r="FC17" s="330"/>
      <c r="FD17" s="330"/>
      <c r="FE17" s="330"/>
      <c r="FF17" s="330"/>
      <c r="FG17" s="330"/>
      <c r="FH17" s="330"/>
      <c r="FI17" s="330"/>
      <c r="FJ17" s="330"/>
      <c r="FK17" s="330"/>
      <c r="FL17" s="330"/>
      <c r="FM17" s="330"/>
      <c r="FN17" s="330"/>
      <c r="FO17" s="330"/>
      <c r="FP17" s="330"/>
      <c r="FQ17" s="330"/>
      <c r="FR17" s="330"/>
      <c r="FS17" s="330"/>
      <c r="FT17" s="330"/>
      <c r="FU17" s="330"/>
      <c r="FV17" s="330"/>
      <c r="FW17" s="330"/>
      <c r="FX17" s="330"/>
      <c r="FY17" s="330"/>
      <c r="FZ17" s="330"/>
      <c r="GA17" s="330"/>
      <c r="GB17" s="330"/>
      <c r="GC17" s="330"/>
      <c r="GD17" s="330"/>
      <c r="GE17" s="330"/>
      <c r="GF17" s="330"/>
      <c r="GG17" s="330"/>
      <c r="GH17" s="330"/>
      <c r="GI17" s="330"/>
      <c r="GJ17" s="330"/>
      <c r="GK17" s="330"/>
      <c r="GL17" s="330"/>
      <c r="GM17" s="330"/>
      <c r="GN17" s="330"/>
      <c r="GO17" s="330"/>
      <c r="GP17" s="330"/>
      <c r="GQ17" s="330"/>
      <c r="GR17" s="330"/>
      <c r="GS17" s="330"/>
      <c r="GT17" s="330"/>
      <c r="GU17" s="330"/>
      <c r="GV17" s="330"/>
      <c r="GW17" s="330"/>
      <c r="GX17" s="330"/>
      <c r="GY17" s="330"/>
      <c r="GZ17" s="330"/>
      <c r="HA17" s="330"/>
      <c r="HB17" s="330"/>
      <c r="HC17" s="330"/>
      <c r="HD17" s="330"/>
      <c r="HE17" s="330"/>
      <c r="HF17" s="330"/>
      <c r="HG17" s="330"/>
      <c r="HH17" s="330"/>
      <c r="HI17" s="330"/>
      <c r="HJ17" s="330"/>
      <c r="HK17" s="330"/>
      <c r="HL17" s="330"/>
      <c r="HM17" s="330"/>
      <c r="HN17" s="330"/>
      <c r="HO17" s="330"/>
      <c r="HP17" s="330"/>
      <c r="HQ17" s="330"/>
      <c r="HR17" s="330"/>
      <c r="HS17" s="330"/>
      <c r="HT17" s="330"/>
      <c r="HU17" s="330"/>
      <c r="HV17" s="330"/>
      <c r="HW17" s="330"/>
      <c r="HX17" s="330"/>
      <c r="HY17" s="330"/>
      <c r="HZ17" s="330"/>
      <c r="IA17" s="330"/>
      <c r="IB17" s="330"/>
      <c r="IC17" s="330"/>
      <c r="ID17" s="330"/>
      <c r="IE17" s="330"/>
      <c r="IF17" s="330"/>
      <c r="IG17" s="330"/>
      <c r="IH17" s="330"/>
      <c r="II17" s="330"/>
      <c r="IJ17" s="330"/>
      <c r="IK17" s="330"/>
      <c r="IL17" s="330"/>
      <c r="IM17" s="330"/>
      <c r="IN17" s="330"/>
      <c r="IO17" s="330"/>
      <c r="IP17" s="330"/>
      <c r="IQ17" s="330"/>
      <c r="IR17" s="330"/>
      <c r="IS17" s="330"/>
      <c r="IT17" s="330"/>
      <c r="IU17" s="330"/>
      <c r="IV17" s="330"/>
      <c r="IW17" s="330"/>
      <c r="IX17" s="330"/>
      <c r="IY17" s="330"/>
      <c r="IZ17" s="330"/>
      <c r="JA17" s="330"/>
      <c r="JB17" s="330"/>
      <c r="JC17" s="330"/>
      <c r="JD17" s="330"/>
      <c r="JE17" s="330"/>
      <c r="JF17" s="330"/>
      <c r="JG17" s="330"/>
      <c r="JH17" s="330"/>
      <c r="JI17" s="330"/>
      <c r="JJ17" s="330"/>
      <c r="JK17" s="330"/>
      <c r="JL17" s="330"/>
      <c r="JM17" s="330"/>
      <c r="JN17" s="330"/>
      <c r="JO17" s="330"/>
      <c r="JP17" s="330"/>
      <c r="JQ17" s="330"/>
      <c r="JR17" s="330"/>
      <c r="JS17" s="330"/>
      <c r="JT17" s="330"/>
      <c r="JU17" s="330"/>
      <c r="JV17" s="330"/>
      <c r="JW17" s="330"/>
      <c r="JX17" s="330"/>
      <c r="JY17" s="330"/>
      <c r="JZ17" s="330"/>
      <c r="KA17" s="330"/>
      <c r="KB17" s="330"/>
      <c r="KC17" s="330"/>
      <c r="KD17" s="330"/>
      <c r="KE17" s="330"/>
      <c r="KF17" s="330"/>
      <c r="KG17" s="330"/>
      <c r="KH17" s="330"/>
      <c r="KI17" s="330"/>
      <c r="KJ17" s="330"/>
      <c r="KK17" s="330"/>
      <c r="KL17" s="330"/>
      <c r="KM17" s="330"/>
      <c r="KN17" s="330"/>
      <c r="KO17" s="330"/>
      <c r="KP17" s="330"/>
      <c r="KQ17" s="330"/>
      <c r="KR17" s="330"/>
      <c r="KS17" s="330"/>
      <c r="KT17" s="330"/>
      <c r="KU17" s="330"/>
      <c r="KV17" s="330"/>
      <c r="KW17" s="330"/>
      <c r="KX17" s="330"/>
      <c r="KY17" s="330"/>
      <c r="KZ17" s="330"/>
      <c r="LA17" s="330"/>
      <c r="LB17" s="330"/>
      <c r="LC17" s="330"/>
      <c r="LD17" s="330"/>
      <c r="LE17" s="330"/>
    </row>
    <row r="18" spans="1:317">
      <c r="A18" s="330"/>
      <c r="B18" s="330"/>
      <c r="C18" s="330"/>
      <c r="D18" s="330"/>
      <c r="E18" s="330"/>
      <c r="F18" s="872"/>
      <c r="G18" s="868"/>
      <c r="H18" s="868"/>
      <c r="I18" s="868"/>
      <c r="J18" s="868"/>
      <c r="K18" s="868"/>
      <c r="L18" s="868"/>
      <c r="M18" s="868"/>
      <c r="N18" s="868"/>
      <c r="O18" s="868"/>
      <c r="P18" s="868"/>
      <c r="Q18" s="873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0"/>
      <c r="AF18" s="330"/>
      <c r="AG18" s="330"/>
      <c r="AH18" s="330"/>
      <c r="AI18" s="330"/>
      <c r="AJ18" s="330"/>
      <c r="AK18" s="330"/>
      <c r="AL18" s="330"/>
      <c r="AM18" s="330"/>
      <c r="AN18" s="330"/>
      <c r="AO18" s="330"/>
      <c r="AP18" s="330"/>
      <c r="AQ18" s="330"/>
      <c r="AR18" s="330"/>
      <c r="AS18" s="330"/>
      <c r="AT18" s="330"/>
      <c r="AU18" s="330"/>
      <c r="AV18" s="330"/>
      <c r="AW18" s="330"/>
      <c r="AX18" s="330"/>
      <c r="AY18" s="330"/>
      <c r="AZ18" s="330"/>
      <c r="BA18" s="330"/>
      <c r="BB18" s="330"/>
      <c r="BC18" s="330"/>
      <c r="BD18" s="330"/>
      <c r="BE18" s="330"/>
      <c r="BF18" s="330"/>
      <c r="BG18" s="330"/>
      <c r="BH18" s="330"/>
      <c r="BI18" s="330"/>
      <c r="BJ18" s="330"/>
      <c r="BK18" s="330"/>
      <c r="BL18" s="330"/>
      <c r="BM18" s="330"/>
      <c r="BN18" s="330"/>
      <c r="BO18" s="330"/>
      <c r="BP18" s="330"/>
      <c r="BQ18" s="330"/>
      <c r="BR18" s="330"/>
      <c r="BS18" s="330"/>
      <c r="BT18" s="330"/>
      <c r="BU18" s="330"/>
      <c r="BV18" s="330"/>
      <c r="BW18" s="330"/>
      <c r="BX18" s="330"/>
      <c r="BY18" s="330"/>
      <c r="BZ18" s="330"/>
      <c r="CA18" s="330"/>
      <c r="CB18" s="330"/>
      <c r="CC18" s="330"/>
      <c r="CD18" s="330"/>
      <c r="CE18" s="330"/>
      <c r="CF18" s="330"/>
      <c r="CG18" s="330"/>
      <c r="CH18" s="330"/>
      <c r="CI18" s="330"/>
      <c r="CJ18" s="330"/>
      <c r="CK18" s="330"/>
      <c r="CL18" s="330"/>
      <c r="CM18" s="330"/>
      <c r="CN18" s="330"/>
      <c r="CO18" s="330"/>
      <c r="CP18" s="330"/>
      <c r="CQ18" s="330"/>
      <c r="CR18" s="330"/>
      <c r="CS18" s="330"/>
      <c r="CT18" s="330"/>
      <c r="CU18" s="330"/>
      <c r="CV18" s="330"/>
      <c r="CW18" s="330"/>
      <c r="CX18" s="330"/>
      <c r="CY18" s="330"/>
      <c r="CZ18" s="330"/>
      <c r="DA18" s="330"/>
      <c r="DB18" s="330"/>
      <c r="DC18" s="330"/>
      <c r="DD18" s="330"/>
      <c r="DE18" s="330"/>
      <c r="DF18" s="330"/>
      <c r="DG18" s="330"/>
      <c r="DH18" s="330"/>
      <c r="DI18" s="330"/>
      <c r="DJ18" s="330"/>
      <c r="DK18" s="330"/>
      <c r="DL18" s="330"/>
      <c r="DM18" s="330"/>
      <c r="DN18" s="330"/>
      <c r="DO18" s="330"/>
      <c r="DP18" s="330"/>
      <c r="DQ18" s="330"/>
      <c r="DR18" s="330"/>
      <c r="DS18" s="330"/>
      <c r="DT18" s="330"/>
      <c r="DU18" s="330"/>
      <c r="DV18" s="330"/>
      <c r="DW18" s="330"/>
      <c r="DX18" s="330"/>
      <c r="DY18" s="330"/>
      <c r="DZ18" s="330"/>
      <c r="EA18" s="330"/>
      <c r="EB18" s="330"/>
      <c r="EC18" s="330"/>
      <c r="ED18" s="330"/>
      <c r="EE18" s="330"/>
      <c r="EF18" s="330"/>
      <c r="EG18" s="330"/>
      <c r="EH18" s="330"/>
      <c r="EI18" s="330"/>
      <c r="EJ18" s="330"/>
      <c r="EK18" s="330"/>
      <c r="EL18" s="330"/>
      <c r="EM18" s="330"/>
      <c r="EN18" s="330"/>
      <c r="EO18" s="330"/>
      <c r="EP18" s="330"/>
      <c r="EQ18" s="330"/>
      <c r="ER18" s="330"/>
      <c r="ES18" s="330"/>
      <c r="ET18" s="330"/>
      <c r="EU18" s="330"/>
      <c r="EV18" s="330"/>
      <c r="EW18" s="330"/>
      <c r="EX18" s="330"/>
      <c r="EY18" s="330"/>
      <c r="EZ18" s="330"/>
      <c r="FA18" s="330"/>
      <c r="FB18" s="330"/>
      <c r="FC18" s="330"/>
      <c r="FD18" s="330"/>
      <c r="FE18" s="330"/>
      <c r="FF18" s="330"/>
      <c r="FG18" s="330"/>
      <c r="FH18" s="330"/>
      <c r="FI18" s="330"/>
      <c r="FJ18" s="330"/>
      <c r="FK18" s="330"/>
      <c r="FL18" s="330"/>
      <c r="FM18" s="330"/>
      <c r="FN18" s="330"/>
      <c r="FO18" s="330"/>
      <c r="FP18" s="330"/>
      <c r="FQ18" s="330"/>
      <c r="FR18" s="330"/>
      <c r="FS18" s="330"/>
      <c r="FT18" s="330"/>
      <c r="FU18" s="330"/>
      <c r="FV18" s="330"/>
      <c r="FW18" s="330"/>
      <c r="FX18" s="330"/>
      <c r="FY18" s="330"/>
      <c r="FZ18" s="330"/>
      <c r="GA18" s="330"/>
      <c r="GB18" s="330"/>
      <c r="GC18" s="330"/>
      <c r="GD18" s="330"/>
      <c r="GE18" s="330"/>
      <c r="GF18" s="330"/>
      <c r="GG18" s="330"/>
      <c r="GH18" s="330"/>
      <c r="GI18" s="330"/>
      <c r="GJ18" s="330"/>
      <c r="GK18" s="330"/>
      <c r="GL18" s="330"/>
      <c r="GM18" s="330"/>
      <c r="GN18" s="330"/>
      <c r="GO18" s="330"/>
      <c r="GP18" s="330"/>
      <c r="GQ18" s="330"/>
      <c r="GR18" s="330"/>
      <c r="GS18" s="330"/>
      <c r="GT18" s="330"/>
      <c r="GU18" s="330"/>
      <c r="GV18" s="330"/>
      <c r="GW18" s="330"/>
      <c r="GX18" s="330"/>
      <c r="GY18" s="330"/>
      <c r="GZ18" s="330"/>
      <c r="HA18" s="330"/>
      <c r="HB18" s="330"/>
      <c r="HC18" s="330"/>
      <c r="HD18" s="330"/>
      <c r="HE18" s="330"/>
      <c r="HF18" s="330"/>
      <c r="HG18" s="330"/>
      <c r="HH18" s="330"/>
      <c r="HI18" s="330"/>
      <c r="HJ18" s="330"/>
      <c r="HK18" s="330"/>
      <c r="HL18" s="330"/>
      <c r="HM18" s="330"/>
      <c r="HN18" s="330"/>
      <c r="HO18" s="330"/>
      <c r="HP18" s="330"/>
      <c r="HQ18" s="330"/>
      <c r="HR18" s="330"/>
      <c r="HS18" s="330"/>
      <c r="HT18" s="330"/>
      <c r="HU18" s="330"/>
      <c r="HV18" s="330"/>
      <c r="HW18" s="330"/>
      <c r="HX18" s="330"/>
      <c r="HY18" s="330"/>
      <c r="HZ18" s="330"/>
      <c r="IA18" s="330"/>
      <c r="IB18" s="330"/>
      <c r="IC18" s="330"/>
      <c r="ID18" s="330"/>
      <c r="IE18" s="330"/>
      <c r="IF18" s="330"/>
      <c r="IG18" s="330"/>
      <c r="IH18" s="330"/>
      <c r="II18" s="330"/>
      <c r="IJ18" s="330"/>
      <c r="IK18" s="330"/>
      <c r="IL18" s="330"/>
      <c r="IM18" s="330"/>
      <c r="IN18" s="330"/>
      <c r="IO18" s="330"/>
      <c r="IP18" s="330"/>
      <c r="IQ18" s="330"/>
      <c r="IR18" s="330"/>
      <c r="IS18" s="330"/>
      <c r="IT18" s="330"/>
      <c r="IU18" s="330"/>
      <c r="IV18" s="330"/>
      <c r="IW18" s="330"/>
      <c r="IX18" s="330"/>
      <c r="IY18" s="330"/>
      <c r="IZ18" s="330"/>
      <c r="JA18" s="330"/>
      <c r="JB18" s="330"/>
      <c r="JC18" s="330"/>
      <c r="JD18" s="330"/>
      <c r="JE18" s="330"/>
      <c r="JF18" s="330"/>
      <c r="JG18" s="330"/>
      <c r="JH18" s="330"/>
      <c r="JI18" s="330"/>
      <c r="JJ18" s="330"/>
      <c r="JK18" s="330"/>
      <c r="JL18" s="330"/>
      <c r="JM18" s="330"/>
      <c r="JN18" s="330"/>
      <c r="JO18" s="330"/>
      <c r="JP18" s="330"/>
      <c r="JQ18" s="330"/>
      <c r="JR18" s="330"/>
      <c r="JS18" s="330"/>
      <c r="JT18" s="330"/>
      <c r="JU18" s="330"/>
      <c r="JV18" s="330"/>
      <c r="JW18" s="330"/>
      <c r="JX18" s="330"/>
      <c r="JY18" s="330"/>
      <c r="JZ18" s="330"/>
      <c r="KA18" s="330"/>
      <c r="KB18" s="330"/>
      <c r="KC18" s="330"/>
      <c r="KD18" s="330"/>
      <c r="KE18" s="330"/>
      <c r="KF18" s="330"/>
      <c r="KG18" s="330"/>
      <c r="KH18" s="330"/>
      <c r="KI18" s="330"/>
      <c r="KJ18" s="330"/>
      <c r="KK18" s="330"/>
      <c r="KL18" s="330"/>
      <c r="KM18" s="330"/>
      <c r="KN18" s="330"/>
      <c r="KO18" s="330"/>
      <c r="KP18" s="330"/>
      <c r="KQ18" s="330"/>
      <c r="KR18" s="330"/>
      <c r="KS18" s="330"/>
      <c r="KT18" s="330"/>
      <c r="KU18" s="330"/>
      <c r="KV18" s="330"/>
      <c r="KW18" s="330"/>
      <c r="KX18" s="330"/>
      <c r="KY18" s="330"/>
      <c r="KZ18" s="330"/>
      <c r="LA18" s="330"/>
      <c r="LB18" s="330"/>
      <c r="LC18" s="330"/>
      <c r="LD18" s="330"/>
      <c r="LE18" s="330"/>
    </row>
    <row r="19" spans="1:317">
      <c r="A19" s="330"/>
      <c r="B19" s="330"/>
      <c r="C19" s="330"/>
      <c r="D19" s="330"/>
      <c r="E19" s="330"/>
      <c r="F19" s="872"/>
      <c r="G19" s="868"/>
      <c r="H19" s="868"/>
      <c r="I19" s="868"/>
      <c r="J19" s="868"/>
      <c r="K19" s="868"/>
      <c r="L19" s="868"/>
      <c r="M19" s="868"/>
      <c r="N19" s="868"/>
      <c r="O19" s="868"/>
      <c r="P19" s="868"/>
      <c r="Q19" s="873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0"/>
      <c r="AV19" s="330"/>
      <c r="AW19" s="330"/>
      <c r="AX19" s="330"/>
      <c r="AY19" s="330"/>
      <c r="AZ19" s="330"/>
      <c r="BA19" s="330"/>
      <c r="BB19" s="330"/>
      <c r="BC19" s="330"/>
      <c r="BD19" s="330"/>
      <c r="BE19" s="330"/>
      <c r="BF19" s="330"/>
      <c r="BG19" s="330"/>
      <c r="BH19" s="330"/>
      <c r="BI19" s="330"/>
      <c r="BJ19" s="330"/>
      <c r="BK19" s="330"/>
      <c r="BL19" s="330"/>
      <c r="BM19" s="330"/>
      <c r="BN19" s="330"/>
      <c r="BO19" s="330"/>
      <c r="BP19" s="330"/>
      <c r="BQ19" s="330"/>
      <c r="BR19" s="330"/>
      <c r="BS19" s="330"/>
      <c r="BT19" s="330"/>
      <c r="BU19" s="330"/>
      <c r="BV19" s="330"/>
      <c r="BW19" s="330"/>
      <c r="BX19" s="330"/>
      <c r="BY19" s="330"/>
      <c r="BZ19" s="330"/>
      <c r="CA19" s="330"/>
      <c r="CB19" s="330"/>
      <c r="CC19" s="330"/>
      <c r="CD19" s="330"/>
      <c r="CE19" s="330"/>
      <c r="CF19" s="330"/>
      <c r="CG19" s="330"/>
      <c r="CH19" s="330"/>
      <c r="CI19" s="330"/>
      <c r="CJ19" s="330"/>
      <c r="CK19" s="330"/>
      <c r="CL19" s="330"/>
      <c r="CM19" s="330"/>
      <c r="CN19" s="330"/>
      <c r="CO19" s="330"/>
      <c r="CP19" s="330"/>
      <c r="CQ19" s="330"/>
      <c r="CR19" s="330"/>
      <c r="CS19" s="330"/>
      <c r="CT19" s="330"/>
      <c r="CU19" s="330"/>
      <c r="CV19" s="330"/>
      <c r="CW19" s="330"/>
      <c r="CX19" s="330"/>
      <c r="CY19" s="330"/>
      <c r="CZ19" s="330"/>
      <c r="DA19" s="330"/>
      <c r="DB19" s="330"/>
      <c r="DC19" s="330"/>
      <c r="DD19" s="330"/>
      <c r="DE19" s="330"/>
      <c r="DF19" s="330"/>
      <c r="DG19" s="330"/>
      <c r="DH19" s="330"/>
      <c r="DI19" s="330"/>
      <c r="DJ19" s="330"/>
      <c r="DK19" s="330"/>
      <c r="DL19" s="330"/>
      <c r="DM19" s="330"/>
      <c r="DN19" s="330"/>
      <c r="DO19" s="330"/>
      <c r="DP19" s="330"/>
      <c r="DQ19" s="330"/>
      <c r="DR19" s="330"/>
      <c r="DS19" s="330"/>
      <c r="DT19" s="330"/>
      <c r="DU19" s="330"/>
      <c r="DV19" s="330"/>
      <c r="DW19" s="330"/>
      <c r="DX19" s="330"/>
      <c r="DY19" s="330"/>
      <c r="DZ19" s="330"/>
      <c r="EA19" s="330"/>
      <c r="EB19" s="330"/>
      <c r="EC19" s="330"/>
      <c r="ED19" s="330"/>
      <c r="EE19" s="330"/>
      <c r="EF19" s="330"/>
      <c r="EG19" s="330"/>
      <c r="EH19" s="330"/>
      <c r="EI19" s="330"/>
      <c r="EJ19" s="330"/>
      <c r="EK19" s="330"/>
      <c r="EL19" s="330"/>
      <c r="EM19" s="330"/>
      <c r="EN19" s="330"/>
      <c r="EO19" s="330"/>
      <c r="EP19" s="330"/>
      <c r="EQ19" s="330"/>
      <c r="ER19" s="330"/>
      <c r="ES19" s="330"/>
      <c r="ET19" s="330"/>
      <c r="EU19" s="330"/>
      <c r="EV19" s="330"/>
      <c r="EW19" s="330"/>
      <c r="EX19" s="330"/>
      <c r="EY19" s="330"/>
      <c r="EZ19" s="330"/>
      <c r="FA19" s="330"/>
      <c r="FB19" s="330"/>
      <c r="FC19" s="330"/>
      <c r="FD19" s="330"/>
      <c r="FE19" s="330"/>
      <c r="FF19" s="330"/>
      <c r="FG19" s="330"/>
      <c r="FH19" s="330"/>
      <c r="FI19" s="330"/>
      <c r="FJ19" s="330"/>
      <c r="FK19" s="330"/>
      <c r="FL19" s="330"/>
      <c r="FM19" s="330"/>
      <c r="FN19" s="330"/>
      <c r="FO19" s="330"/>
      <c r="FP19" s="330"/>
      <c r="FQ19" s="330"/>
      <c r="FR19" s="330"/>
      <c r="FS19" s="330"/>
      <c r="FT19" s="330"/>
      <c r="FU19" s="330"/>
      <c r="FV19" s="330"/>
      <c r="FW19" s="330"/>
      <c r="FX19" s="330"/>
      <c r="FY19" s="330"/>
      <c r="FZ19" s="330"/>
      <c r="GA19" s="330"/>
      <c r="GB19" s="330"/>
      <c r="GC19" s="330"/>
      <c r="GD19" s="330"/>
      <c r="GE19" s="330"/>
      <c r="GF19" s="330"/>
      <c r="GG19" s="330"/>
      <c r="GH19" s="330"/>
      <c r="GI19" s="330"/>
      <c r="GJ19" s="330"/>
      <c r="GK19" s="330"/>
      <c r="GL19" s="330"/>
      <c r="GM19" s="330"/>
      <c r="GN19" s="330"/>
      <c r="GO19" s="330"/>
      <c r="GP19" s="330"/>
      <c r="GQ19" s="330"/>
      <c r="GR19" s="330"/>
      <c r="GS19" s="330"/>
      <c r="GT19" s="330"/>
      <c r="GU19" s="330"/>
      <c r="GV19" s="330"/>
      <c r="GW19" s="330"/>
      <c r="GX19" s="330"/>
      <c r="GY19" s="330"/>
      <c r="GZ19" s="330"/>
      <c r="HA19" s="330"/>
      <c r="HB19" s="330"/>
      <c r="HC19" s="330"/>
      <c r="HD19" s="330"/>
      <c r="HE19" s="330"/>
      <c r="HF19" s="330"/>
      <c r="HG19" s="330"/>
      <c r="HH19" s="330"/>
      <c r="HI19" s="330"/>
      <c r="HJ19" s="330"/>
      <c r="HK19" s="330"/>
      <c r="HL19" s="330"/>
      <c r="HM19" s="330"/>
      <c r="HN19" s="330"/>
      <c r="HO19" s="330"/>
      <c r="HP19" s="330"/>
      <c r="HQ19" s="330"/>
      <c r="HR19" s="330"/>
      <c r="HS19" s="330"/>
      <c r="HT19" s="330"/>
      <c r="HU19" s="330"/>
      <c r="HV19" s="330"/>
      <c r="HW19" s="330"/>
      <c r="HX19" s="330"/>
      <c r="HY19" s="330"/>
      <c r="HZ19" s="330"/>
      <c r="IA19" s="330"/>
      <c r="IB19" s="330"/>
      <c r="IC19" s="330"/>
      <c r="ID19" s="330"/>
      <c r="IE19" s="330"/>
      <c r="IF19" s="330"/>
      <c r="IG19" s="330"/>
      <c r="IH19" s="330"/>
      <c r="II19" s="330"/>
      <c r="IJ19" s="330"/>
      <c r="IK19" s="330"/>
      <c r="IL19" s="330"/>
      <c r="IM19" s="330"/>
      <c r="IN19" s="330"/>
      <c r="IO19" s="330"/>
      <c r="IP19" s="330"/>
      <c r="IQ19" s="330"/>
      <c r="IR19" s="330"/>
      <c r="IS19" s="330"/>
      <c r="IT19" s="330"/>
      <c r="IU19" s="330"/>
      <c r="IV19" s="330"/>
      <c r="IW19" s="330"/>
      <c r="IX19" s="330"/>
      <c r="IY19" s="330"/>
      <c r="IZ19" s="330"/>
      <c r="JA19" s="330"/>
      <c r="JB19" s="330"/>
      <c r="JC19" s="330"/>
      <c r="JD19" s="330"/>
      <c r="JE19" s="330"/>
      <c r="JF19" s="330"/>
      <c r="JG19" s="330"/>
      <c r="JH19" s="330"/>
      <c r="JI19" s="330"/>
      <c r="JJ19" s="330"/>
      <c r="JK19" s="330"/>
      <c r="JL19" s="330"/>
      <c r="JM19" s="330"/>
      <c r="JN19" s="330"/>
      <c r="JO19" s="330"/>
      <c r="JP19" s="330"/>
      <c r="JQ19" s="330"/>
      <c r="JR19" s="330"/>
      <c r="JS19" s="330"/>
      <c r="JT19" s="330"/>
      <c r="JU19" s="330"/>
      <c r="JV19" s="330"/>
      <c r="JW19" s="330"/>
      <c r="JX19" s="330"/>
      <c r="JY19" s="330"/>
      <c r="JZ19" s="330"/>
      <c r="KA19" s="330"/>
      <c r="KB19" s="330"/>
      <c r="KC19" s="330"/>
      <c r="KD19" s="330"/>
      <c r="KE19" s="330"/>
      <c r="KF19" s="330"/>
      <c r="KG19" s="330"/>
      <c r="KH19" s="330"/>
      <c r="KI19" s="330"/>
      <c r="KJ19" s="330"/>
      <c r="KK19" s="330"/>
      <c r="KL19" s="330"/>
      <c r="KM19" s="330"/>
      <c r="KN19" s="330"/>
      <c r="KO19" s="330"/>
      <c r="KP19" s="330"/>
      <c r="KQ19" s="330"/>
      <c r="KR19" s="330"/>
      <c r="KS19" s="330"/>
      <c r="KT19" s="330"/>
      <c r="KU19" s="330"/>
      <c r="KV19" s="330"/>
      <c r="KW19" s="330"/>
      <c r="KX19" s="330"/>
      <c r="KY19" s="330"/>
      <c r="KZ19" s="330"/>
      <c r="LA19" s="330"/>
      <c r="LB19" s="330"/>
      <c r="LC19" s="330"/>
      <c r="LD19" s="330"/>
      <c r="LE19" s="330"/>
    </row>
    <row r="20" spans="1:317">
      <c r="A20" s="330"/>
      <c r="B20" s="330"/>
      <c r="C20" s="330"/>
      <c r="D20" s="330"/>
      <c r="E20" s="330"/>
      <c r="F20" s="872"/>
      <c r="G20" s="868"/>
      <c r="H20" s="868"/>
      <c r="I20" s="868"/>
      <c r="J20" s="868"/>
      <c r="K20" s="868"/>
      <c r="L20" s="868"/>
      <c r="M20" s="868"/>
      <c r="N20" s="868"/>
      <c r="O20" s="868"/>
      <c r="P20" s="868"/>
      <c r="Q20" s="873"/>
      <c r="R20" s="330"/>
      <c r="S20" s="330"/>
      <c r="T20" s="330"/>
      <c r="U20" s="330"/>
      <c r="V20" s="330"/>
      <c r="W20" s="330"/>
      <c r="X20" s="330"/>
      <c r="Y20" s="330"/>
      <c r="Z20" s="330"/>
      <c r="AA20" s="330"/>
      <c r="AB20" s="330"/>
      <c r="AC20" s="330"/>
      <c r="AD20" s="330"/>
      <c r="AE20" s="330"/>
      <c r="AF20" s="330"/>
      <c r="AG20" s="330"/>
      <c r="AH20" s="330"/>
      <c r="AI20" s="330"/>
      <c r="AJ20" s="330"/>
      <c r="AK20" s="330"/>
      <c r="AL20" s="330"/>
      <c r="AM20" s="330"/>
      <c r="AN20" s="330"/>
      <c r="AO20" s="330"/>
      <c r="AP20" s="330"/>
      <c r="AQ20" s="330"/>
      <c r="AR20" s="330"/>
      <c r="AS20" s="330"/>
      <c r="AT20" s="330"/>
      <c r="AU20" s="330"/>
      <c r="AV20" s="330"/>
      <c r="AW20" s="330"/>
      <c r="AX20" s="330"/>
      <c r="AY20" s="330"/>
      <c r="AZ20" s="330"/>
      <c r="BA20" s="330"/>
      <c r="BB20" s="330"/>
      <c r="BC20" s="330"/>
      <c r="BD20" s="330"/>
      <c r="BE20" s="330"/>
      <c r="BF20" s="330"/>
      <c r="BG20" s="330"/>
      <c r="BH20" s="330"/>
      <c r="BI20" s="330"/>
      <c r="BJ20" s="330"/>
      <c r="BK20" s="330"/>
      <c r="BL20" s="330"/>
      <c r="BM20" s="330"/>
      <c r="BN20" s="330"/>
      <c r="BO20" s="330"/>
      <c r="BP20" s="330"/>
      <c r="BQ20" s="330"/>
      <c r="BR20" s="330"/>
      <c r="BS20" s="330"/>
      <c r="BT20" s="330"/>
      <c r="BU20" s="330"/>
      <c r="BV20" s="330"/>
      <c r="BW20" s="330"/>
      <c r="BX20" s="330"/>
      <c r="BY20" s="330"/>
      <c r="BZ20" s="330"/>
      <c r="CA20" s="330"/>
      <c r="CB20" s="330"/>
      <c r="CC20" s="330"/>
      <c r="CD20" s="330"/>
      <c r="CE20" s="330"/>
      <c r="CF20" s="330"/>
      <c r="CG20" s="330"/>
      <c r="CH20" s="330"/>
      <c r="CI20" s="330"/>
      <c r="CJ20" s="330"/>
      <c r="CK20" s="330"/>
      <c r="CL20" s="330"/>
      <c r="CM20" s="330"/>
      <c r="CN20" s="330"/>
      <c r="CO20" s="330"/>
      <c r="CP20" s="330"/>
      <c r="CQ20" s="330"/>
      <c r="CR20" s="330"/>
      <c r="CS20" s="330"/>
      <c r="CT20" s="330"/>
      <c r="CU20" s="330"/>
      <c r="CV20" s="330"/>
      <c r="CW20" s="330"/>
      <c r="CX20" s="330"/>
      <c r="CY20" s="330"/>
      <c r="CZ20" s="330"/>
      <c r="DA20" s="330"/>
      <c r="DB20" s="330"/>
      <c r="DC20" s="330"/>
      <c r="DD20" s="330"/>
      <c r="DE20" s="330"/>
      <c r="DF20" s="330"/>
      <c r="DG20" s="330"/>
      <c r="DH20" s="330"/>
      <c r="DI20" s="330"/>
      <c r="DJ20" s="330"/>
      <c r="DK20" s="330"/>
      <c r="DL20" s="330"/>
      <c r="DM20" s="330"/>
      <c r="DN20" s="330"/>
      <c r="DO20" s="330"/>
      <c r="DP20" s="330"/>
      <c r="DQ20" s="330"/>
      <c r="DR20" s="330"/>
      <c r="DS20" s="330"/>
      <c r="DT20" s="330"/>
      <c r="DU20" s="330"/>
      <c r="DV20" s="330"/>
      <c r="DW20" s="330"/>
      <c r="DX20" s="330"/>
      <c r="DY20" s="330"/>
      <c r="DZ20" s="330"/>
      <c r="EA20" s="330"/>
      <c r="EB20" s="330"/>
      <c r="EC20" s="330"/>
      <c r="ED20" s="330"/>
      <c r="EE20" s="330"/>
      <c r="EF20" s="330"/>
      <c r="EG20" s="330"/>
      <c r="EH20" s="330"/>
      <c r="EI20" s="330"/>
      <c r="EJ20" s="330"/>
      <c r="EK20" s="330"/>
      <c r="EL20" s="330"/>
      <c r="EM20" s="330"/>
      <c r="EN20" s="330"/>
      <c r="EO20" s="330"/>
      <c r="EP20" s="330"/>
      <c r="EQ20" s="330"/>
      <c r="ER20" s="330"/>
      <c r="ES20" s="330"/>
      <c r="ET20" s="330"/>
      <c r="EU20" s="330"/>
      <c r="EV20" s="330"/>
      <c r="EW20" s="330"/>
      <c r="EX20" s="330"/>
      <c r="EY20" s="330"/>
      <c r="EZ20" s="330"/>
      <c r="FA20" s="330"/>
      <c r="FB20" s="330"/>
      <c r="FC20" s="330"/>
      <c r="FD20" s="330"/>
      <c r="FE20" s="330"/>
      <c r="FF20" s="330"/>
      <c r="FG20" s="330"/>
      <c r="FH20" s="330"/>
      <c r="FI20" s="330"/>
      <c r="FJ20" s="330"/>
      <c r="FK20" s="330"/>
      <c r="FL20" s="330"/>
      <c r="FM20" s="330"/>
      <c r="FN20" s="330"/>
      <c r="FO20" s="330"/>
      <c r="FP20" s="330"/>
      <c r="FQ20" s="330"/>
      <c r="FR20" s="330"/>
      <c r="FS20" s="330"/>
      <c r="FT20" s="330"/>
      <c r="FU20" s="330"/>
      <c r="FV20" s="330"/>
      <c r="FW20" s="330"/>
      <c r="FX20" s="330"/>
      <c r="FY20" s="330"/>
      <c r="FZ20" s="330"/>
      <c r="GA20" s="330"/>
      <c r="GB20" s="330"/>
      <c r="GC20" s="330"/>
      <c r="GD20" s="330"/>
      <c r="GE20" s="330"/>
      <c r="GF20" s="330"/>
      <c r="GG20" s="330"/>
      <c r="GH20" s="330"/>
      <c r="GI20" s="330"/>
      <c r="GJ20" s="330"/>
      <c r="GK20" s="330"/>
      <c r="GL20" s="330"/>
      <c r="GM20" s="330"/>
      <c r="GN20" s="330"/>
      <c r="GO20" s="330"/>
      <c r="GP20" s="330"/>
      <c r="GQ20" s="330"/>
      <c r="GR20" s="330"/>
      <c r="GS20" s="330"/>
      <c r="GT20" s="330"/>
      <c r="GU20" s="330"/>
      <c r="GV20" s="330"/>
      <c r="GW20" s="330"/>
      <c r="GX20" s="330"/>
      <c r="GY20" s="330"/>
      <c r="GZ20" s="330"/>
      <c r="HA20" s="330"/>
      <c r="HB20" s="330"/>
      <c r="HC20" s="330"/>
      <c r="HD20" s="330"/>
      <c r="HE20" s="330"/>
      <c r="HF20" s="330"/>
      <c r="HG20" s="330"/>
      <c r="HH20" s="330"/>
      <c r="HI20" s="330"/>
      <c r="HJ20" s="330"/>
      <c r="HK20" s="330"/>
      <c r="HL20" s="330"/>
      <c r="HM20" s="330"/>
      <c r="HN20" s="330"/>
      <c r="HO20" s="330"/>
      <c r="HP20" s="330"/>
      <c r="HQ20" s="330"/>
      <c r="HR20" s="330"/>
      <c r="HS20" s="330"/>
      <c r="HT20" s="330"/>
      <c r="HU20" s="330"/>
      <c r="HV20" s="330"/>
      <c r="HW20" s="330"/>
      <c r="HX20" s="330"/>
      <c r="HY20" s="330"/>
      <c r="HZ20" s="330"/>
      <c r="IA20" s="330"/>
      <c r="IB20" s="330"/>
      <c r="IC20" s="330"/>
      <c r="ID20" s="330"/>
      <c r="IE20" s="330"/>
      <c r="IF20" s="330"/>
      <c r="IG20" s="330"/>
      <c r="IH20" s="330"/>
      <c r="II20" s="330"/>
      <c r="IJ20" s="330"/>
      <c r="IK20" s="330"/>
      <c r="IL20" s="330"/>
      <c r="IM20" s="330"/>
      <c r="IN20" s="330"/>
      <c r="IO20" s="330"/>
      <c r="IP20" s="330"/>
      <c r="IQ20" s="330"/>
      <c r="IR20" s="330"/>
      <c r="IS20" s="330"/>
      <c r="IT20" s="330"/>
      <c r="IU20" s="330"/>
      <c r="IV20" s="330"/>
      <c r="IW20" s="330"/>
      <c r="IX20" s="330"/>
      <c r="IY20" s="330"/>
      <c r="IZ20" s="330"/>
      <c r="JA20" s="330"/>
      <c r="JB20" s="330"/>
      <c r="JC20" s="330"/>
      <c r="JD20" s="330"/>
      <c r="JE20" s="330"/>
      <c r="JF20" s="330"/>
      <c r="JG20" s="330"/>
      <c r="JH20" s="330"/>
      <c r="JI20" s="330"/>
      <c r="JJ20" s="330"/>
      <c r="JK20" s="330"/>
      <c r="JL20" s="330"/>
      <c r="JM20" s="330"/>
      <c r="JN20" s="330"/>
      <c r="JO20" s="330"/>
      <c r="JP20" s="330"/>
      <c r="JQ20" s="330"/>
      <c r="JR20" s="330"/>
      <c r="JS20" s="330"/>
      <c r="JT20" s="330"/>
      <c r="JU20" s="330"/>
      <c r="JV20" s="330"/>
      <c r="JW20" s="330"/>
      <c r="JX20" s="330"/>
      <c r="JY20" s="330"/>
      <c r="JZ20" s="330"/>
      <c r="KA20" s="330"/>
      <c r="KB20" s="330"/>
      <c r="KC20" s="330"/>
      <c r="KD20" s="330"/>
      <c r="KE20" s="330"/>
      <c r="KF20" s="330"/>
      <c r="KG20" s="330"/>
      <c r="KH20" s="330"/>
      <c r="KI20" s="330"/>
      <c r="KJ20" s="330"/>
      <c r="KK20" s="330"/>
      <c r="KL20" s="330"/>
      <c r="KM20" s="330"/>
      <c r="KN20" s="330"/>
      <c r="KO20" s="330"/>
      <c r="KP20" s="330"/>
      <c r="KQ20" s="330"/>
      <c r="KR20" s="330"/>
      <c r="KS20" s="330"/>
      <c r="KT20" s="330"/>
      <c r="KU20" s="330"/>
      <c r="KV20" s="330"/>
      <c r="KW20" s="330"/>
      <c r="KX20" s="330"/>
      <c r="KY20" s="330"/>
      <c r="KZ20" s="330"/>
      <c r="LA20" s="330"/>
      <c r="LB20" s="330"/>
      <c r="LC20" s="330"/>
      <c r="LD20" s="330"/>
      <c r="LE20" s="330"/>
    </row>
    <row r="21" spans="1:317">
      <c r="A21" s="330"/>
      <c r="B21" s="330"/>
      <c r="C21" s="330"/>
      <c r="D21" s="330"/>
      <c r="E21" s="330"/>
      <c r="F21" s="872"/>
      <c r="G21" s="868"/>
      <c r="H21" s="868"/>
      <c r="I21" s="868"/>
      <c r="J21" s="868"/>
      <c r="K21" s="868"/>
      <c r="L21" s="868"/>
      <c r="M21" s="868"/>
      <c r="N21" s="868"/>
      <c r="O21" s="868"/>
      <c r="P21" s="868"/>
      <c r="Q21" s="873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0"/>
      <c r="BC21" s="330"/>
      <c r="BD21" s="330"/>
      <c r="BE21" s="330"/>
      <c r="BF21" s="330"/>
      <c r="BG21" s="330"/>
      <c r="BH21" s="330"/>
      <c r="BI21" s="330"/>
      <c r="BJ21" s="330"/>
      <c r="BK21" s="330"/>
      <c r="BL21" s="330"/>
      <c r="BM21" s="330"/>
      <c r="BN21" s="330"/>
      <c r="BO21" s="330"/>
      <c r="BP21" s="330"/>
      <c r="BQ21" s="330"/>
      <c r="BR21" s="330"/>
      <c r="BS21" s="330"/>
      <c r="BT21" s="330"/>
      <c r="BU21" s="330"/>
      <c r="BV21" s="330"/>
      <c r="BW21" s="330"/>
      <c r="BX21" s="330"/>
      <c r="BY21" s="330"/>
      <c r="BZ21" s="330"/>
      <c r="CA21" s="330"/>
      <c r="CB21" s="330"/>
      <c r="CC21" s="330"/>
      <c r="CD21" s="330"/>
      <c r="CE21" s="330"/>
      <c r="CF21" s="330"/>
      <c r="CG21" s="330"/>
      <c r="CH21" s="330"/>
      <c r="CI21" s="330"/>
      <c r="CJ21" s="330"/>
      <c r="CK21" s="330"/>
      <c r="CL21" s="330"/>
      <c r="CM21" s="330"/>
      <c r="CN21" s="330"/>
      <c r="CO21" s="330"/>
      <c r="CP21" s="330"/>
      <c r="CQ21" s="330"/>
      <c r="CR21" s="330"/>
      <c r="CS21" s="330"/>
      <c r="CT21" s="330"/>
      <c r="CU21" s="330"/>
      <c r="CV21" s="330"/>
      <c r="CW21" s="330"/>
      <c r="CX21" s="330"/>
      <c r="CY21" s="330"/>
      <c r="CZ21" s="330"/>
      <c r="DA21" s="330"/>
      <c r="DB21" s="330"/>
      <c r="DC21" s="330"/>
      <c r="DD21" s="330"/>
      <c r="DE21" s="330"/>
      <c r="DF21" s="330"/>
      <c r="DG21" s="330"/>
      <c r="DH21" s="330"/>
      <c r="DI21" s="330"/>
      <c r="DJ21" s="330"/>
      <c r="DK21" s="330"/>
      <c r="DL21" s="330"/>
      <c r="DM21" s="330"/>
      <c r="DN21" s="330"/>
      <c r="DO21" s="330"/>
      <c r="DP21" s="330"/>
      <c r="DQ21" s="330"/>
      <c r="DR21" s="330"/>
      <c r="DS21" s="330"/>
      <c r="DT21" s="330"/>
      <c r="DU21" s="330"/>
      <c r="DV21" s="330"/>
      <c r="DW21" s="330"/>
      <c r="DX21" s="330"/>
      <c r="DY21" s="330"/>
      <c r="DZ21" s="330"/>
      <c r="EA21" s="330"/>
      <c r="EB21" s="330"/>
      <c r="EC21" s="330"/>
      <c r="ED21" s="330"/>
      <c r="EE21" s="330"/>
      <c r="EF21" s="330"/>
      <c r="EG21" s="330"/>
      <c r="EH21" s="330"/>
      <c r="EI21" s="330"/>
      <c r="EJ21" s="330"/>
      <c r="EK21" s="330"/>
      <c r="EL21" s="330"/>
      <c r="EM21" s="330"/>
      <c r="EN21" s="330"/>
      <c r="EO21" s="330"/>
      <c r="EP21" s="330"/>
      <c r="EQ21" s="330"/>
      <c r="ER21" s="330"/>
      <c r="ES21" s="330"/>
      <c r="ET21" s="330"/>
      <c r="EU21" s="330"/>
      <c r="EV21" s="330"/>
      <c r="EW21" s="330"/>
      <c r="EX21" s="330"/>
      <c r="EY21" s="330"/>
      <c r="EZ21" s="330"/>
      <c r="FA21" s="330"/>
      <c r="FB21" s="330"/>
      <c r="FC21" s="330"/>
      <c r="FD21" s="330"/>
      <c r="FE21" s="330"/>
      <c r="FF21" s="330"/>
      <c r="FG21" s="330"/>
      <c r="FH21" s="330"/>
      <c r="FI21" s="330"/>
      <c r="FJ21" s="330"/>
      <c r="FK21" s="330"/>
      <c r="FL21" s="330"/>
      <c r="FM21" s="330"/>
      <c r="FN21" s="330"/>
      <c r="FO21" s="330"/>
      <c r="FP21" s="330"/>
      <c r="FQ21" s="330"/>
      <c r="FR21" s="330"/>
      <c r="FS21" s="330"/>
      <c r="FT21" s="330"/>
      <c r="FU21" s="330"/>
      <c r="FV21" s="330"/>
      <c r="FW21" s="330"/>
      <c r="FX21" s="330"/>
      <c r="FY21" s="330"/>
      <c r="FZ21" s="330"/>
      <c r="GA21" s="330"/>
      <c r="GB21" s="330"/>
      <c r="GC21" s="330"/>
      <c r="GD21" s="330"/>
      <c r="GE21" s="330"/>
      <c r="GF21" s="330"/>
      <c r="GG21" s="330"/>
      <c r="GH21" s="330"/>
      <c r="GI21" s="330"/>
      <c r="GJ21" s="330"/>
      <c r="GK21" s="330"/>
      <c r="GL21" s="330"/>
      <c r="GM21" s="330"/>
      <c r="GN21" s="330"/>
      <c r="GO21" s="330"/>
      <c r="GP21" s="330"/>
      <c r="GQ21" s="330"/>
      <c r="GR21" s="330"/>
      <c r="GS21" s="330"/>
      <c r="GT21" s="330"/>
      <c r="GU21" s="330"/>
      <c r="GV21" s="330"/>
      <c r="GW21" s="330"/>
      <c r="GX21" s="330"/>
      <c r="GY21" s="330"/>
      <c r="GZ21" s="330"/>
      <c r="HA21" s="330"/>
      <c r="HB21" s="330"/>
      <c r="HC21" s="330"/>
      <c r="HD21" s="330"/>
      <c r="HE21" s="330"/>
      <c r="HF21" s="330"/>
      <c r="HG21" s="330"/>
      <c r="HH21" s="330"/>
      <c r="HI21" s="330"/>
      <c r="HJ21" s="330"/>
      <c r="HK21" s="330"/>
      <c r="HL21" s="330"/>
      <c r="HM21" s="330"/>
      <c r="HN21" s="330"/>
      <c r="HO21" s="330"/>
      <c r="HP21" s="330"/>
      <c r="HQ21" s="330"/>
      <c r="HR21" s="330"/>
      <c r="HS21" s="330"/>
      <c r="HT21" s="330"/>
      <c r="HU21" s="330"/>
      <c r="HV21" s="330"/>
      <c r="HW21" s="330"/>
      <c r="HX21" s="330"/>
      <c r="HY21" s="330"/>
      <c r="HZ21" s="330"/>
      <c r="IA21" s="330"/>
      <c r="IB21" s="330"/>
      <c r="IC21" s="330"/>
      <c r="ID21" s="330"/>
      <c r="IE21" s="330"/>
      <c r="IF21" s="330"/>
      <c r="IG21" s="330"/>
      <c r="IH21" s="330"/>
      <c r="II21" s="330"/>
      <c r="IJ21" s="330"/>
      <c r="IK21" s="330"/>
      <c r="IL21" s="330"/>
      <c r="IM21" s="330"/>
      <c r="IN21" s="330"/>
      <c r="IO21" s="330"/>
      <c r="IP21" s="330"/>
      <c r="IQ21" s="330"/>
      <c r="IR21" s="330"/>
      <c r="IS21" s="330"/>
      <c r="IT21" s="330"/>
      <c r="IU21" s="330"/>
      <c r="IV21" s="330"/>
      <c r="IW21" s="330"/>
      <c r="IX21" s="330"/>
      <c r="IY21" s="330"/>
      <c r="IZ21" s="330"/>
      <c r="JA21" s="330"/>
      <c r="JB21" s="330"/>
      <c r="JC21" s="330"/>
      <c r="JD21" s="330"/>
      <c r="JE21" s="330"/>
      <c r="JF21" s="330"/>
      <c r="JG21" s="330"/>
      <c r="JH21" s="330"/>
      <c r="JI21" s="330"/>
      <c r="JJ21" s="330"/>
      <c r="JK21" s="330"/>
      <c r="JL21" s="330"/>
      <c r="JM21" s="330"/>
      <c r="JN21" s="330"/>
      <c r="JO21" s="330"/>
      <c r="JP21" s="330"/>
      <c r="JQ21" s="330"/>
      <c r="JR21" s="330"/>
      <c r="JS21" s="330"/>
      <c r="JT21" s="330"/>
      <c r="JU21" s="330"/>
      <c r="JV21" s="330"/>
      <c r="JW21" s="330"/>
      <c r="JX21" s="330"/>
      <c r="JY21" s="330"/>
      <c r="JZ21" s="330"/>
      <c r="KA21" s="330"/>
      <c r="KB21" s="330"/>
      <c r="KC21" s="330"/>
      <c r="KD21" s="330"/>
      <c r="KE21" s="330"/>
      <c r="KF21" s="330"/>
      <c r="KG21" s="330"/>
      <c r="KH21" s="330"/>
      <c r="KI21" s="330"/>
      <c r="KJ21" s="330"/>
      <c r="KK21" s="330"/>
      <c r="KL21" s="330"/>
      <c r="KM21" s="330"/>
      <c r="KN21" s="330"/>
      <c r="KO21" s="330"/>
      <c r="KP21" s="330"/>
      <c r="KQ21" s="330"/>
      <c r="KR21" s="330"/>
      <c r="KS21" s="330"/>
      <c r="KT21" s="330"/>
      <c r="KU21" s="330"/>
      <c r="KV21" s="330"/>
      <c r="KW21" s="330"/>
      <c r="KX21" s="330"/>
      <c r="KY21" s="330"/>
      <c r="KZ21" s="330"/>
      <c r="LA21" s="330"/>
      <c r="LB21" s="330"/>
      <c r="LC21" s="330"/>
      <c r="LD21" s="330"/>
      <c r="LE21" s="330"/>
    </row>
    <row r="22" spans="1:317">
      <c r="A22" s="330"/>
      <c r="B22" s="330"/>
      <c r="C22" s="330"/>
      <c r="D22" s="330"/>
      <c r="E22" s="330"/>
      <c r="F22" s="872"/>
      <c r="G22" s="868"/>
      <c r="H22" s="868"/>
      <c r="I22" s="868"/>
      <c r="J22" s="868"/>
      <c r="K22" s="868"/>
      <c r="L22" s="868"/>
      <c r="M22" s="868"/>
      <c r="N22" s="868"/>
      <c r="O22" s="868"/>
      <c r="P22" s="868"/>
      <c r="Q22" s="873"/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  <c r="IW22" s="330"/>
      <c r="IX22" s="330"/>
      <c r="IY22" s="330"/>
      <c r="IZ22" s="330"/>
      <c r="JA22" s="330"/>
      <c r="JB22" s="330"/>
      <c r="JC22" s="330"/>
      <c r="JD22" s="330"/>
      <c r="JE22" s="330"/>
      <c r="JF22" s="330"/>
      <c r="JG22" s="330"/>
      <c r="JH22" s="330"/>
      <c r="JI22" s="330"/>
      <c r="JJ22" s="330"/>
      <c r="JK22" s="330"/>
      <c r="JL22" s="330"/>
      <c r="JM22" s="330"/>
      <c r="JN22" s="330"/>
      <c r="JO22" s="330"/>
      <c r="JP22" s="330"/>
      <c r="JQ22" s="330"/>
      <c r="JR22" s="330"/>
      <c r="JS22" s="330"/>
      <c r="JT22" s="330"/>
      <c r="JU22" s="330"/>
      <c r="JV22" s="330"/>
      <c r="JW22" s="330"/>
      <c r="JX22" s="330"/>
      <c r="JY22" s="330"/>
      <c r="JZ22" s="330"/>
      <c r="KA22" s="330"/>
      <c r="KB22" s="330"/>
      <c r="KC22" s="330"/>
      <c r="KD22" s="330"/>
      <c r="KE22" s="330"/>
      <c r="KF22" s="330"/>
      <c r="KG22" s="330"/>
      <c r="KH22" s="330"/>
      <c r="KI22" s="330"/>
      <c r="KJ22" s="330"/>
      <c r="KK22" s="330"/>
      <c r="KL22" s="330"/>
      <c r="KM22" s="330"/>
      <c r="KN22" s="330"/>
      <c r="KO22" s="330"/>
      <c r="KP22" s="330"/>
      <c r="KQ22" s="330"/>
      <c r="KR22" s="330"/>
      <c r="KS22" s="330"/>
      <c r="KT22" s="330"/>
      <c r="KU22" s="330"/>
      <c r="KV22" s="330"/>
      <c r="KW22" s="330"/>
      <c r="KX22" s="330"/>
      <c r="KY22" s="330"/>
      <c r="KZ22" s="330"/>
      <c r="LA22" s="330"/>
      <c r="LB22" s="330"/>
      <c r="LC22" s="330"/>
      <c r="LD22" s="330"/>
      <c r="LE22" s="330"/>
    </row>
    <row r="23" spans="1:317">
      <c r="A23" s="330"/>
      <c r="B23" s="330"/>
      <c r="C23" s="330"/>
      <c r="D23" s="330"/>
      <c r="E23" s="330"/>
      <c r="F23" s="872"/>
      <c r="G23" s="868"/>
      <c r="H23" s="868"/>
      <c r="I23" s="868"/>
      <c r="J23" s="868"/>
      <c r="K23" s="868"/>
      <c r="L23" s="868"/>
      <c r="M23" s="868"/>
      <c r="N23" s="868"/>
      <c r="O23" s="868"/>
      <c r="P23" s="868"/>
      <c r="Q23" s="873"/>
      <c r="R23" s="330"/>
      <c r="S23" s="330"/>
      <c r="T23" s="330"/>
      <c r="U23" s="330"/>
      <c r="V23" s="330"/>
      <c r="W23" s="330"/>
      <c r="X23" s="330"/>
      <c r="Y23" s="330"/>
      <c r="Z23" s="330"/>
      <c r="AA23" s="330"/>
      <c r="AB23" s="330"/>
      <c r="AC23" s="330"/>
      <c r="AD23" s="330"/>
      <c r="AE23" s="330"/>
      <c r="AF23" s="330"/>
      <c r="AG23" s="330"/>
      <c r="AH23" s="330"/>
      <c r="AI23" s="330"/>
      <c r="AJ23" s="330"/>
      <c r="AK23" s="330"/>
      <c r="AL23" s="330"/>
      <c r="AM23" s="330"/>
      <c r="AN23" s="330"/>
      <c r="AO23" s="330"/>
      <c r="AP23" s="330"/>
      <c r="AQ23" s="330"/>
      <c r="AR23" s="330"/>
      <c r="AS23" s="330"/>
      <c r="AT23" s="330"/>
      <c r="AU23" s="330"/>
      <c r="AV23" s="330"/>
      <c r="AW23" s="330"/>
      <c r="AX23" s="330"/>
      <c r="AY23" s="330"/>
      <c r="AZ23" s="330"/>
      <c r="BA23" s="330"/>
      <c r="BB23" s="330"/>
      <c r="BC23" s="330"/>
      <c r="BD23" s="330"/>
      <c r="BE23" s="330"/>
      <c r="BF23" s="330"/>
      <c r="BG23" s="330"/>
      <c r="BH23" s="330"/>
      <c r="BI23" s="330"/>
      <c r="BJ23" s="330"/>
      <c r="BK23" s="330"/>
      <c r="BL23" s="330"/>
      <c r="BM23" s="330"/>
      <c r="BN23" s="330"/>
      <c r="BO23" s="330"/>
      <c r="BP23" s="330"/>
      <c r="BQ23" s="330"/>
      <c r="BR23" s="330"/>
      <c r="BS23" s="330"/>
      <c r="BT23" s="330"/>
      <c r="BU23" s="330"/>
      <c r="BV23" s="330"/>
      <c r="BW23" s="330"/>
      <c r="BX23" s="330"/>
      <c r="BY23" s="330"/>
      <c r="BZ23" s="330"/>
      <c r="CA23" s="330"/>
      <c r="CB23" s="330"/>
      <c r="CC23" s="330"/>
      <c r="CD23" s="330"/>
      <c r="CE23" s="330"/>
      <c r="CF23" s="330"/>
      <c r="CG23" s="330"/>
      <c r="CH23" s="330"/>
      <c r="CI23" s="330"/>
      <c r="CJ23" s="330"/>
      <c r="CK23" s="330"/>
      <c r="CL23" s="330"/>
      <c r="CM23" s="330"/>
      <c r="CN23" s="330"/>
      <c r="CO23" s="330"/>
      <c r="CP23" s="330"/>
      <c r="CQ23" s="330"/>
      <c r="CR23" s="330"/>
      <c r="CS23" s="330"/>
      <c r="CT23" s="330"/>
      <c r="CU23" s="330"/>
      <c r="CV23" s="330"/>
      <c r="CW23" s="330"/>
      <c r="CX23" s="330"/>
      <c r="CY23" s="330"/>
      <c r="CZ23" s="330"/>
      <c r="DA23" s="330"/>
      <c r="DB23" s="330"/>
      <c r="DC23" s="330"/>
      <c r="DD23" s="330"/>
      <c r="DE23" s="330"/>
      <c r="DF23" s="330"/>
      <c r="DG23" s="330"/>
      <c r="DH23" s="330"/>
      <c r="DI23" s="330"/>
      <c r="DJ23" s="330"/>
      <c r="DK23" s="330"/>
      <c r="DL23" s="330"/>
      <c r="DM23" s="330"/>
      <c r="DN23" s="330"/>
      <c r="DO23" s="330"/>
      <c r="DP23" s="330"/>
      <c r="DQ23" s="330"/>
      <c r="DR23" s="330"/>
      <c r="DS23" s="330"/>
      <c r="DT23" s="330"/>
      <c r="DU23" s="330"/>
      <c r="DV23" s="330"/>
      <c r="DW23" s="330"/>
      <c r="DX23" s="330"/>
      <c r="DY23" s="330"/>
      <c r="DZ23" s="330"/>
      <c r="EA23" s="330"/>
      <c r="EB23" s="330"/>
      <c r="EC23" s="330"/>
      <c r="ED23" s="330"/>
      <c r="EE23" s="330"/>
      <c r="EF23" s="330"/>
      <c r="EG23" s="330"/>
      <c r="EH23" s="330"/>
      <c r="EI23" s="330"/>
      <c r="EJ23" s="330"/>
      <c r="EK23" s="330"/>
      <c r="EL23" s="330"/>
      <c r="EM23" s="330"/>
      <c r="EN23" s="330"/>
      <c r="EO23" s="330"/>
      <c r="EP23" s="330"/>
      <c r="EQ23" s="330"/>
      <c r="ER23" s="330"/>
      <c r="ES23" s="330"/>
      <c r="ET23" s="330"/>
      <c r="EU23" s="330"/>
      <c r="EV23" s="330"/>
      <c r="EW23" s="330"/>
      <c r="EX23" s="330"/>
      <c r="EY23" s="330"/>
      <c r="EZ23" s="330"/>
      <c r="FA23" s="330"/>
      <c r="FB23" s="330"/>
      <c r="FC23" s="330"/>
      <c r="FD23" s="330"/>
      <c r="FE23" s="330"/>
      <c r="FF23" s="330"/>
      <c r="FG23" s="330"/>
      <c r="FH23" s="330"/>
      <c r="FI23" s="330"/>
      <c r="FJ23" s="330"/>
      <c r="FK23" s="330"/>
      <c r="FL23" s="330"/>
      <c r="FM23" s="330"/>
      <c r="FN23" s="330"/>
      <c r="FO23" s="330"/>
      <c r="FP23" s="330"/>
      <c r="FQ23" s="330"/>
      <c r="FR23" s="330"/>
      <c r="FS23" s="330"/>
      <c r="FT23" s="330"/>
      <c r="FU23" s="330"/>
      <c r="FV23" s="330"/>
      <c r="FW23" s="330"/>
      <c r="FX23" s="330"/>
      <c r="FY23" s="330"/>
      <c r="FZ23" s="330"/>
      <c r="GA23" s="330"/>
      <c r="GB23" s="330"/>
      <c r="GC23" s="330"/>
      <c r="GD23" s="330"/>
      <c r="GE23" s="330"/>
      <c r="GF23" s="330"/>
      <c r="GG23" s="330"/>
      <c r="GH23" s="330"/>
      <c r="GI23" s="330"/>
      <c r="GJ23" s="330"/>
      <c r="GK23" s="330"/>
      <c r="GL23" s="330"/>
      <c r="GM23" s="330"/>
      <c r="GN23" s="330"/>
      <c r="GO23" s="330"/>
      <c r="GP23" s="330"/>
      <c r="GQ23" s="330"/>
      <c r="GR23" s="330"/>
      <c r="GS23" s="330"/>
      <c r="GT23" s="330"/>
      <c r="GU23" s="330"/>
      <c r="GV23" s="330"/>
      <c r="GW23" s="330"/>
      <c r="GX23" s="330"/>
      <c r="GY23" s="330"/>
      <c r="GZ23" s="330"/>
      <c r="HA23" s="330"/>
      <c r="HB23" s="330"/>
      <c r="HC23" s="330"/>
      <c r="HD23" s="330"/>
      <c r="HE23" s="330"/>
      <c r="HF23" s="330"/>
      <c r="HG23" s="330"/>
      <c r="HH23" s="330"/>
      <c r="HI23" s="330"/>
      <c r="HJ23" s="330"/>
      <c r="HK23" s="330"/>
      <c r="HL23" s="330"/>
      <c r="HM23" s="330"/>
      <c r="HN23" s="330"/>
      <c r="HO23" s="330"/>
      <c r="HP23" s="330"/>
      <c r="HQ23" s="330"/>
      <c r="HR23" s="330"/>
      <c r="HS23" s="330"/>
      <c r="HT23" s="330"/>
      <c r="HU23" s="330"/>
      <c r="HV23" s="330"/>
      <c r="HW23" s="330"/>
      <c r="HX23" s="330"/>
      <c r="HY23" s="330"/>
      <c r="HZ23" s="330"/>
      <c r="IA23" s="330"/>
      <c r="IB23" s="330"/>
      <c r="IC23" s="330"/>
      <c r="ID23" s="330"/>
      <c r="IE23" s="330"/>
      <c r="IF23" s="330"/>
      <c r="IG23" s="330"/>
      <c r="IH23" s="330"/>
      <c r="II23" s="330"/>
      <c r="IJ23" s="330"/>
      <c r="IK23" s="330"/>
      <c r="IL23" s="330"/>
      <c r="IM23" s="330"/>
      <c r="IN23" s="330"/>
      <c r="IO23" s="330"/>
      <c r="IP23" s="330"/>
      <c r="IQ23" s="330"/>
      <c r="IR23" s="330"/>
      <c r="IS23" s="330"/>
      <c r="IT23" s="330"/>
      <c r="IU23" s="330"/>
      <c r="IV23" s="330"/>
      <c r="IW23" s="330"/>
      <c r="IX23" s="330"/>
      <c r="IY23" s="330"/>
      <c r="IZ23" s="330"/>
      <c r="JA23" s="330"/>
      <c r="JB23" s="330"/>
      <c r="JC23" s="330"/>
      <c r="JD23" s="330"/>
      <c r="JE23" s="330"/>
      <c r="JF23" s="330"/>
      <c r="JG23" s="330"/>
      <c r="JH23" s="330"/>
      <c r="JI23" s="330"/>
      <c r="JJ23" s="330"/>
      <c r="JK23" s="330"/>
      <c r="JL23" s="330"/>
      <c r="JM23" s="330"/>
      <c r="JN23" s="330"/>
      <c r="JO23" s="330"/>
      <c r="JP23" s="330"/>
      <c r="JQ23" s="330"/>
      <c r="JR23" s="330"/>
      <c r="JS23" s="330"/>
      <c r="JT23" s="330"/>
      <c r="JU23" s="330"/>
      <c r="JV23" s="330"/>
      <c r="JW23" s="330"/>
      <c r="JX23" s="330"/>
      <c r="JY23" s="330"/>
      <c r="JZ23" s="330"/>
      <c r="KA23" s="330"/>
      <c r="KB23" s="330"/>
      <c r="KC23" s="330"/>
      <c r="KD23" s="330"/>
      <c r="KE23" s="330"/>
      <c r="KF23" s="330"/>
      <c r="KG23" s="330"/>
      <c r="KH23" s="330"/>
      <c r="KI23" s="330"/>
      <c r="KJ23" s="330"/>
      <c r="KK23" s="330"/>
      <c r="KL23" s="330"/>
      <c r="KM23" s="330"/>
      <c r="KN23" s="330"/>
      <c r="KO23" s="330"/>
      <c r="KP23" s="330"/>
      <c r="KQ23" s="330"/>
      <c r="KR23" s="330"/>
      <c r="KS23" s="330"/>
      <c r="KT23" s="330"/>
      <c r="KU23" s="330"/>
      <c r="KV23" s="330"/>
      <c r="KW23" s="330"/>
      <c r="KX23" s="330"/>
      <c r="KY23" s="330"/>
      <c r="KZ23" s="330"/>
      <c r="LA23" s="330"/>
      <c r="LB23" s="330"/>
      <c r="LC23" s="330"/>
      <c r="LD23" s="330"/>
      <c r="LE23" s="330"/>
    </row>
    <row r="24" spans="1:317">
      <c r="A24" s="330"/>
      <c r="B24" s="330"/>
      <c r="C24" s="330"/>
      <c r="D24" s="330"/>
      <c r="E24" s="330"/>
      <c r="F24" s="872"/>
      <c r="G24" s="868"/>
      <c r="H24" s="868"/>
      <c r="I24" s="868"/>
      <c r="J24" s="868"/>
      <c r="K24" s="868"/>
      <c r="L24" s="868"/>
      <c r="M24" s="868"/>
      <c r="N24" s="868"/>
      <c r="O24" s="868"/>
      <c r="P24" s="868"/>
      <c r="Q24" s="873"/>
      <c r="R24" s="330"/>
      <c r="S24" s="330"/>
      <c r="T24" s="330"/>
      <c r="U24" s="330"/>
      <c r="V24" s="330"/>
      <c r="W24" s="330"/>
      <c r="X24" s="330"/>
      <c r="Y24" s="330"/>
      <c r="Z24" s="330"/>
      <c r="AA24" s="330"/>
      <c r="AB24" s="330"/>
      <c r="AC24" s="330"/>
      <c r="AD24" s="330"/>
      <c r="AE24" s="330"/>
      <c r="AF24" s="330"/>
      <c r="AG24" s="330"/>
      <c r="AH24" s="330"/>
      <c r="AI24" s="330"/>
      <c r="AJ24" s="330"/>
      <c r="AK24" s="330"/>
      <c r="AL24" s="330"/>
      <c r="AM24" s="330"/>
      <c r="AN24" s="330"/>
      <c r="AO24" s="330"/>
      <c r="AP24" s="330"/>
      <c r="AQ24" s="330"/>
      <c r="AR24" s="330"/>
      <c r="AS24" s="330"/>
      <c r="AT24" s="330"/>
      <c r="AU24" s="330"/>
      <c r="AV24" s="330"/>
      <c r="AW24" s="330"/>
      <c r="AX24" s="330"/>
      <c r="AY24" s="330"/>
      <c r="AZ24" s="330"/>
      <c r="BA24" s="330"/>
      <c r="BB24" s="330"/>
      <c r="BC24" s="330"/>
      <c r="BD24" s="330"/>
      <c r="BE24" s="330"/>
      <c r="BF24" s="330"/>
      <c r="BG24" s="330"/>
      <c r="BH24" s="330"/>
      <c r="BI24" s="330"/>
      <c r="BJ24" s="330"/>
      <c r="BK24" s="330"/>
      <c r="BL24" s="330"/>
      <c r="BM24" s="330"/>
      <c r="BN24" s="330"/>
      <c r="BO24" s="330"/>
      <c r="BP24" s="330"/>
      <c r="BQ24" s="330"/>
      <c r="BR24" s="330"/>
      <c r="BS24" s="330"/>
      <c r="BT24" s="330"/>
      <c r="BU24" s="330"/>
      <c r="BV24" s="330"/>
      <c r="BW24" s="330"/>
      <c r="BX24" s="330"/>
      <c r="BY24" s="330"/>
      <c r="BZ24" s="330"/>
      <c r="CA24" s="330"/>
      <c r="CB24" s="330"/>
      <c r="CC24" s="330"/>
      <c r="CD24" s="330"/>
      <c r="CE24" s="330"/>
      <c r="CF24" s="330"/>
      <c r="CG24" s="330"/>
      <c r="CH24" s="330"/>
      <c r="CI24" s="330"/>
      <c r="CJ24" s="330"/>
      <c r="CK24" s="330"/>
      <c r="CL24" s="330"/>
      <c r="CM24" s="330"/>
      <c r="CN24" s="330"/>
      <c r="CO24" s="330"/>
      <c r="CP24" s="330"/>
      <c r="CQ24" s="330"/>
      <c r="CR24" s="330"/>
      <c r="CS24" s="330"/>
      <c r="CT24" s="330"/>
      <c r="CU24" s="330"/>
      <c r="CV24" s="330"/>
      <c r="CW24" s="330"/>
      <c r="CX24" s="330"/>
      <c r="CY24" s="330"/>
      <c r="CZ24" s="330"/>
      <c r="DA24" s="330"/>
      <c r="DB24" s="330"/>
      <c r="DC24" s="330"/>
      <c r="DD24" s="330"/>
      <c r="DE24" s="330"/>
      <c r="DF24" s="330"/>
      <c r="DG24" s="330"/>
      <c r="DH24" s="330"/>
      <c r="DI24" s="330"/>
      <c r="DJ24" s="330"/>
      <c r="DK24" s="330"/>
      <c r="DL24" s="330"/>
      <c r="DM24" s="330"/>
      <c r="DN24" s="330"/>
      <c r="DO24" s="330"/>
      <c r="DP24" s="330"/>
      <c r="DQ24" s="330"/>
      <c r="DR24" s="330"/>
      <c r="DS24" s="330"/>
      <c r="DT24" s="330"/>
      <c r="DU24" s="330"/>
      <c r="DV24" s="330"/>
      <c r="DW24" s="330"/>
      <c r="DX24" s="330"/>
      <c r="DY24" s="330"/>
      <c r="DZ24" s="330"/>
      <c r="EA24" s="330"/>
      <c r="EB24" s="330"/>
      <c r="EC24" s="330"/>
      <c r="ED24" s="330"/>
      <c r="EE24" s="330"/>
      <c r="EF24" s="330"/>
      <c r="EG24" s="330"/>
      <c r="EH24" s="330"/>
      <c r="EI24" s="330"/>
      <c r="EJ24" s="330"/>
      <c r="EK24" s="330"/>
      <c r="EL24" s="330"/>
      <c r="EM24" s="330"/>
      <c r="EN24" s="330"/>
      <c r="EO24" s="330"/>
      <c r="EP24" s="330"/>
      <c r="EQ24" s="330"/>
      <c r="ER24" s="330"/>
      <c r="ES24" s="330"/>
      <c r="ET24" s="330"/>
      <c r="EU24" s="330"/>
      <c r="EV24" s="330"/>
      <c r="EW24" s="330"/>
      <c r="EX24" s="330"/>
      <c r="EY24" s="330"/>
      <c r="EZ24" s="330"/>
      <c r="FA24" s="330"/>
      <c r="FB24" s="330"/>
      <c r="FC24" s="330"/>
      <c r="FD24" s="330"/>
      <c r="FE24" s="330"/>
      <c r="FF24" s="330"/>
      <c r="FG24" s="330"/>
      <c r="FH24" s="330"/>
      <c r="FI24" s="330"/>
      <c r="FJ24" s="330"/>
      <c r="FK24" s="330"/>
      <c r="FL24" s="330"/>
      <c r="FM24" s="330"/>
      <c r="FN24" s="330"/>
      <c r="FO24" s="330"/>
      <c r="FP24" s="330"/>
      <c r="FQ24" s="330"/>
      <c r="FR24" s="330"/>
      <c r="FS24" s="330"/>
      <c r="FT24" s="330"/>
      <c r="FU24" s="330"/>
      <c r="FV24" s="330"/>
      <c r="FW24" s="330"/>
      <c r="FX24" s="330"/>
      <c r="FY24" s="330"/>
      <c r="FZ24" s="330"/>
      <c r="GA24" s="330"/>
      <c r="GB24" s="330"/>
      <c r="GC24" s="330"/>
      <c r="GD24" s="330"/>
      <c r="GE24" s="330"/>
      <c r="GF24" s="330"/>
      <c r="GG24" s="330"/>
      <c r="GH24" s="330"/>
      <c r="GI24" s="330"/>
      <c r="GJ24" s="330"/>
      <c r="GK24" s="330"/>
      <c r="GL24" s="330"/>
      <c r="GM24" s="330"/>
      <c r="GN24" s="330"/>
      <c r="GO24" s="330"/>
      <c r="GP24" s="330"/>
      <c r="GQ24" s="330"/>
      <c r="GR24" s="330"/>
      <c r="GS24" s="330"/>
      <c r="GT24" s="330"/>
      <c r="GU24" s="330"/>
      <c r="GV24" s="330"/>
      <c r="GW24" s="330"/>
      <c r="GX24" s="330"/>
      <c r="GY24" s="330"/>
      <c r="GZ24" s="330"/>
      <c r="HA24" s="330"/>
      <c r="HB24" s="330"/>
      <c r="HC24" s="330"/>
      <c r="HD24" s="330"/>
      <c r="HE24" s="330"/>
      <c r="HF24" s="330"/>
      <c r="HG24" s="330"/>
      <c r="HH24" s="330"/>
      <c r="HI24" s="330"/>
      <c r="HJ24" s="330"/>
      <c r="HK24" s="330"/>
      <c r="HL24" s="330"/>
      <c r="HM24" s="330"/>
      <c r="HN24" s="330"/>
      <c r="HO24" s="330"/>
      <c r="HP24" s="330"/>
      <c r="HQ24" s="330"/>
      <c r="HR24" s="330"/>
      <c r="HS24" s="330"/>
      <c r="HT24" s="330"/>
      <c r="HU24" s="330"/>
      <c r="HV24" s="330"/>
      <c r="HW24" s="330"/>
      <c r="HX24" s="330"/>
      <c r="HY24" s="330"/>
      <c r="HZ24" s="330"/>
      <c r="IA24" s="330"/>
      <c r="IB24" s="330"/>
      <c r="IC24" s="330"/>
      <c r="ID24" s="330"/>
      <c r="IE24" s="330"/>
      <c r="IF24" s="330"/>
      <c r="IG24" s="330"/>
      <c r="IH24" s="330"/>
      <c r="II24" s="330"/>
      <c r="IJ24" s="330"/>
      <c r="IK24" s="330"/>
      <c r="IL24" s="330"/>
      <c r="IM24" s="330"/>
      <c r="IN24" s="330"/>
      <c r="IO24" s="330"/>
      <c r="IP24" s="330"/>
      <c r="IQ24" s="330"/>
      <c r="IR24" s="330"/>
      <c r="IS24" s="330"/>
      <c r="IT24" s="330"/>
      <c r="IU24" s="330"/>
      <c r="IV24" s="330"/>
      <c r="IW24" s="330"/>
      <c r="IX24" s="330"/>
      <c r="IY24" s="330"/>
      <c r="IZ24" s="330"/>
      <c r="JA24" s="330"/>
      <c r="JB24" s="330"/>
      <c r="JC24" s="330"/>
      <c r="JD24" s="330"/>
      <c r="JE24" s="330"/>
      <c r="JF24" s="330"/>
      <c r="JG24" s="330"/>
      <c r="JH24" s="330"/>
      <c r="JI24" s="330"/>
      <c r="JJ24" s="330"/>
      <c r="JK24" s="330"/>
      <c r="JL24" s="330"/>
      <c r="JM24" s="330"/>
      <c r="JN24" s="330"/>
      <c r="JO24" s="330"/>
      <c r="JP24" s="330"/>
      <c r="JQ24" s="330"/>
      <c r="JR24" s="330"/>
      <c r="JS24" s="330"/>
      <c r="JT24" s="330"/>
      <c r="JU24" s="330"/>
      <c r="JV24" s="330"/>
      <c r="JW24" s="330"/>
      <c r="JX24" s="330"/>
      <c r="JY24" s="330"/>
      <c r="JZ24" s="330"/>
      <c r="KA24" s="330"/>
      <c r="KB24" s="330"/>
      <c r="KC24" s="330"/>
      <c r="KD24" s="330"/>
      <c r="KE24" s="330"/>
      <c r="KF24" s="330"/>
      <c r="KG24" s="330"/>
      <c r="KH24" s="330"/>
      <c r="KI24" s="330"/>
      <c r="KJ24" s="330"/>
      <c r="KK24" s="330"/>
      <c r="KL24" s="330"/>
      <c r="KM24" s="330"/>
      <c r="KN24" s="330"/>
      <c r="KO24" s="330"/>
      <c r="KP24" s="330"/>
      <c r="KQ24" s="330"/>
      <c r="KR24" s="330"/>
      <c r="KS24" s="330"/>
      <c r="KT24" s="330"/>
      <c r="KU24" s="330"/>
      <c r="KV24" s="330"/>
      <c r="KW24" s="330"/>
      <c r="KX24" s="330"/>
      <c r="KY24" s="330"/>
      <c r="KZ24" s="330"/>
      <c r="LA24" s="330"/>
      <c r="LB24" s="330"/>
      <c r="LC24" s="330"/>
      <c r="LD24" s="330"/>
      <c r="LE24" s="330"/>
    </row>
    <row r="25" spans="1:317">
      <c r="A25" s="330"/>
      <c r="B25" s="330"/>
      <c r="C25" s="330"/>
      <c r="D25" s="330"/>
      <c r="E25" s="330"/>
      <c r="F25" s="872"/>
      <c r="G25" s="868"/>
      <c r="H25" s="868"/>
      <c r="I25" s="868"/>
      <c r="J25" s="868"/>
      <c r="K25" s="868"/>
      <c r="L25" s="868"/>
      <c r="M25" s="868"/>
      <c r="N25" s="868"/>
      <c r="O25" s="868"/>
      <c r="P25" s="868"/>
      <c r="Q25" s="873"/>
      <c r="R25" s="330"/>
      <c r="S25" s="330"/>
      <c r="T25" s="330"/>
      <c r="U25" s="330"/>
      <c r="V25" s="330"/>
      <c r="W25" s="330"/>
      <c r="X25" s="330"/>
      <c r="Y25" s="330"/>
      <c r="Z25" s="330"/>
      <c r="AA25" s="330"/>
      <c r="AB25" s="330"/>
      <c r="AC25" s="330"/>
      <c r="AD25" s="330"/>
      <c r="AE25" s="330"/>
      <c r="AF25" s="330"/>
      <c r="AG25" s="330"/>
      <c r="AH25" s="330"/>
      <c r="AI25" s="330"/>
      <c r="AJ25" s="330"/>
      <c r="AK25" s="330"/>
      <c r="AL25" s="330"/>
      <c r="AM25" s="330"/>
      <c r="AN25" s="330"/>
      <c r="AO25" s="330"/>
      <c r="AP25" s="330"/>
      <c r="AQ25" s="330"/>
      <c r="AR25" s="330"/>
      <c r="AS25" s="330"/>
      <c r="AT25" s="330"/>
      <c r="AU25" s="330"/>
      <c r="AV25" s="330"/>
      <c r="AW25" s="330"/>
      <c r="AX25" s="330"/>
      <c r="AY25" s="330"/>
      <c r="AZ25" s="330"/>
      <c r="BA25" s="330"/>
      <c r="BB25" s="330"/>
      <c r="BC25" s="330"/>
      <c r="BD25" s="330"/>
      <c r="BE25" s="330"/>
      <c r="BF25" s="330"/>
      <c r="BG25" s="330"/>
      <c r="BH25" s="330"/>
      <c r="BI25" s="330"/>
      <c r="BJ25" s="330"/>
      <c r="BK25" s="330"/>
      <c r="BL25" s="330"/>
      <c r="BM25" s="330"/>
      <c r="BN25" s="330"/>
      <c r="BO25" s="330"/>
      <c r="BP25" s="330"/>
      <c r="BQ25" s="330"/>
      <c r="BR25" s="330"/>
      <c r="BS25" s="330"/>
      <c r="BT25" s="330"/>
      <c r="BU25" s="330"/>
      <c r="BV25" s="330"/>
      <c r="BW25" s="330"/>
      <c r="BX25" s="330"/>
      <c r="BY25" s="330"/>
      <c r="BZ25" s="330"/>
      <c r="CA25" s="330"/>
      <c r="CB25" s="330"/>
      <c r="CC25" s="330"/>
      <c r="CD25" s="330"/>
      <c r="CE25" s="330"/>
      <c r="CF25" s="330"/>
      <c r="CG25" s="330"/>
      <c r="CH25" s="330"/>
      <c r="CI25" s="330"/>
      <c r="CJ25" s="330"/>
      <c r="CK25" s="330"/>
      <c r="CL25" s="330"/>
      <c r="CM25" s="330"/>
      <c r="CN25" s="330"/>
      <c r="CO25" s="330"/>
      <c r="CP25" s="330"/>
      <c r="CQ25" s="330"/>
      <c r="CR25" s="330"/>
      <c r="CS25" s="330"/>
      <c r="CT25" s="330"/>
      <c r="CU25" s="330"/>
      <c r="CV25" s="330"/>
      <c r="CW25" s="330"/>
      <c r="CX25" s="330"/>
      <c r="CY25" s="330"/>
      <c r="CZ25" s="330"/>
      <c r="DA25" s="330"/>
      <c r="DB25" s="330"/>
      <c r="DC25" s="330"/>
      <c r="DD25" s="330"/>
      <c r="DE25" s="330"/>
      <c r="DF25" s="330"/>
      <c r="DG25" s="330"/>
      <c r="DH25" s="330"/>
      <c r="DI25" s="330"/>
      <c r="DJ25" s="330"/>
      <c r="DK25" s="330"/>
      <c r="DL25" s="330"/>
      <c r="DM25" s="330"/>
      <c r="DN25" s="330"/>
      <c r="DO25" s="330"/>
      <c r="DP25" s="330"/>
      <c r="DQ25" s="330"/>
      <c r="DR25" s="330"/>
      <c r="DS25" s="330"/>
      <c r="DT25" s="330"/>
      <c r="DU25" s="330"/>
      <c r="DV25" s="330"/>
      <c r="DW25" s="330"/>
      <c r="DX25" s="330"/>
      <c r="DY25" s="330"/>
      <c r="DZ25" s="330"/>
      <c r="EA25" s="330"/>
      <c r="EB25" s="330"/>
      <c r="EC25" s="330"/>
      <c r="ED25" s="330"/>
      <c r="EE25" s="330"/>
      <c r="EF25" s="330"/>
      <c r="EG25" s="330"/>
      <c r="EH25" s="330"/>
      <c r="EI25" s="330"/>
      <c r="EJ25" s="330"/>
      <c r="EK25" s="330"/>
      <c r="EL25" s="330"/>
      <c r="EM25" s="330"/>
      <c r="EN25" s="330"/>
      <c r="EO25" s="330"/>
      <c r="EP25" s="330"/>
      <c r="EQ25" s="330"/>
      <c r="ER25" s="330"/>
      <c r="ES25" s="330"/>
      <c r="ET25" s="330"/>
      <c r="EU25" s="330"/>
      <c r="EV25" s="330"/>
      <c r="EW25" s="330"/>
      <c r="EX25" s="330"/>
      <c r="EY25" s="330"/>
      <c r="EZ25" s="330"/>
      <c r="FA25" s="330"/>
      <c r="FB25" s="330"/>
      <c r="FC25" s="330"/>
      <c r="FD25" s="330"/>
      <c r="FE25" s="330"/>
      <c r="FF25" s="330"/>
      <c r="FG25" s="330"/>
      <c r="FH25" s="330"/>
      <c r="FI25" s="330"/>
      <c r="FJ25" s="330"/>
      <c r="FK25" s="330"/>
      <c r="FL25" s="330"/>
      <c r="FM25" s="330"/>
      <c r="FN25" s="330"/>
      <c r="FO25" s="330"/>
      <c r="FP25" s="330"/>
      <c r="FQ25" s="330"/>
      <c r="FR25" s="330"/>
      <c r="FS25" s="330"/>
      <c r="FT25" s="330"/>
      <c r="FU25" s="330"/>
      <c r="FV25" s="330"/>
      <c r="FW25" s="330"/>
      <c r="FX25" s="330"/>
      <c r="FY25" s="330"/>
      <c r="FZ25" s="330"/>
      <c r="GA25" s="330"/>
      <c r="GB25" s="330"/>
      <c r="GC25" s="330"/>
      <c r="GD25" s="330"/>
      <c r="GE25" s="330"/>
      <c r="GF25" s="330"/>
      <c r="GG25" s="330"/>
      <c r="GH25" s="330"/>
      <c r="GI25" s="330"/>
      <c r="GJ25" s="330"/>
      <c r="GK25" s="330"/>
      <c r="GL25" s="330"/>
      <c r="GM25" s="330"/>
      <c r="GN25" s="330"/>
      <c r="GO25" s="330"/>
      <c r="GP25" s="330"/>
      <c r="GQ25" s="330"/>
      <c r="GR25" s="330"/>
      <c r="GS25" s="330"/>
      <c r="GT25" s="330"/>
      <c r="GU25" s="330"/>
      <c r="GV25" s="330"/>
      <c r="GW25" s="330"/>
      <c r="GX25" s="330"/>
      <c r="GY25" s="330"/>
      <c r="GZ25" s="330"/>
      <c r="HA25" s="330"/>
      <c r="HB25" s="330"/>
      <c r="HC25" s="330"/>
      <c r="HD25" s="330"/>
      <c r="HE25" s="330"/>
      <c r="HF25" s="330"/>
      <c r="HG25" s="330"/>
      <c r="HH25" s="330"/>
      <c r="HI25" s="330"/>
      <c r="HJ25" s="330"/>
      <c r="HK25" s="330"/>
      <c r="HL25" s="330"/>
      <c r="HM25" s="330"/>
      <c r="HN25" s="330"/>
      <c r="HO25" s="330"/>
      <c r="HP25" s="330"/>
      <c r="HQ25" s="330"/>
      <c r="HR25" s="330"/>
      <c r="HS25" s="330"/>
      <c r="HT25" s="330"/>
      <c r="HU25" s="330"/>
      <c r="HV25" s="330"/>
      <c r="HW25" s="330"/>
      <c r="HX25" s="330"/>
      <c r="HY25" s="330"/>
      <c r="HZ25" s="330"/>
      <c r="IA25" s="330"/>
      <c r="IB25" s="330"/>
      <c r="IC25" s="330"/>
      <c r="ID25" s="330"/>
      <c r="IE25" s="330"/>
      <c r="IF25" s="330"/>
      <c r="IG25" s="330"/>
      <c r="IH25" s="330"/>
      <c r="II25" s="330"/>
      <c r="IJ25" s="330"/>
      <c r="IK25" s="330"/>
      <c r="IL25" s="330"/>
      <c r="IM25" s="330"/>
      <c r="IN25" s="330"/>
      <c r="IO25" s="330"/>
      <c r="IP25" s="330"/>
      <c r="IQ25" s="330"/>
      <c r="IR25" s="330"/>
      <c r="IS25" s="330"/>
      <c r="IT25" s="330"/>
      <c r="IU25" s="330"/>
      <c r="IV25" s="330"/>
      <c r="IW25" s="330"/>
      <c r="IX25" s="330"/>
      <c r="IY25" s="330"/>
      <c r="IZ25" s="330"/>
      <c r="JA25" s="330"/>
      <c r="JB25" s="330"/>
      <c r="JC25" s="330"/>
      <c r="JD25" s="330"/>
      <c r="JE25" s="330"/>
      <c r="JF25" s="330"/>
      <c r="JG25" s="330"/>
      <c r="JH25" s="330"/>
      <c r="JI25" s="330"/>
      <c r="JJ25" s="330"/>
      <c r="JK25" s="330"/>
      <c r="JL25" s="330"/>
      <c r="JM25" s="330"/>
      <c r="JN25" s="330"/>
      <c r="JO25" s="330"/>
      <c r="JP25" s="330"/>
      <c r="JQ25" s="330"/>
      <c r="JR25" s="330"/>
      <c r="JS25" s="330"/>
      <c r="JT25" s="330"/>
      <c r="JU25" s="330"/>
      <c r="JV25" s="330"/>
      <c r="JW25" s="330"/>
      <c r="JX25" s="330"/>
      <c r="JY25" s="330"/>
      <c r="JZ25" s="330"/>
      <c r="KA25" s="330"/>
      <c r="KB25" s="330"/>
      <c r="KC25" s="330"/>
      <c r="KD25" s="330"/>
      <c r="KE25" s="330"/>
      <c r="KF25" s="330"/>
      <c r="KG25" s="330"/>
      <c r="KH25" s="330"/>
      <c r="KI25" s="330"/>
      <c r="KJ25" s="330"/>
      <c r="KK25" s="330"/>
      <c r="KL25" s="330"/>
      <c r="KM25" s="330"/>
      <c r="KN25" s="330"/>
      <c r="KO25" s="330"/>
      <c r="KP25" s="330"/>
      <c r="KQ25" s="330"/>
      <c r="KR25" s="330"/>
      <c r="KS25" s="330"/>
      <c r="KT25" s="330"/>
      <c r="KU25" s="330"/>
      <c r="KV25" s="330"/>
      <c r="KW25" s="330"/>
      <c r="KX25" s="330"/>
      <c r="KY25" s="330"/>
      <c r="KZ25" s="330"/>
      <c r="LA25" s="330"/>
      <c r="LB25" s="330"/>
      <c r="LC25" s="330"/>
      <c r="LD25" s="330"/>
      <c r="LE25" s="330"/>
    </row>
    <row r="26" spans="1:317">
      <c r="A26" s="330"/>
      <c r="B26" s="330"/>
      <c r="C26" s="330"/>
      <c r="D26" s="330"/>
      <c r="E26" s="330"/>
      <c r="F26" s="872"/>
      <c r="G26" s="868"/>
      <c r="H26" s="868"/>
      <c r="I26" s="868"/>
      <c r="J26" s="868"/>
      <c r="K26" s="868"/>
      <c r="L26" s="868"/>
      <c r="M26" s="868"/>
      <c r="N26" s="868"/>
      <c r="O26" s="868"/>
      <c r="P26" s="868"/>
      <c r="Q26" s="873"/>
      <c r="R26" s="330"/>
      <c r="S26" s="330"/>
      <c r="T26" s="330"/>
      <c r="U26" s="330"/>
      <c r="V26" s="330"/>
      <c r="W26" s="330"/>
      <c r="X26" s="330"/>
      <c r="Y26" s="330"/>
      <c r="Z26" s="330"/>
      <c r="AA26" s="330"/>
      <c r="AB26" s="330"/>
      <c r="AC26" s="330"/>
      <c r="AD26" s="330"/>
      <c r="AE26" s="330"/>
      <c r="AF26" s="330"/>
      <c r="AG26" s="330"/>
      <c r="AH26" s="330"/>
      <c r="AI26" s="330"/>
      <c r="AJ26" s="330"/>
      <c r="AK26" s="330"/>
      <c r="AL26" s="330"/>
      <c r="AM26" s="330"/>
      <c r="AN26" s="330"/>
      <c r="AO26" s="330"/>
      <c r="AP26" s="330"/>
      <c r="AQ26" s="330"/>
      <c r="AR26" s="330"/>
      <c r="AS26" s="330"/>
      <c r="AT26" s="330"/>
      <c r="AU26" s="330"/>
      <c r="AV26" s="330"/>
      <c r="AW26" s="330"/>
      <c r="AX26" s="330"/>
      <c r="AY26" s="330"/>
      <c r="AZ26" s="330"/>
      <c r="BA26" s="330"/>
      <c r="BB26" s="330"/>
      <c r="BC26" s="330"/>
      <c r="BD26" s="330"/>
      <c r="BE26" s="330"/>
      <c r="BF26" s="330"/>
      <c r="BG26" s="330"/>
      <c r="BH26" s="330"/>
      <c r="BI26" s="330"/>
      <c r="BJ26" s="330"/>
      <c r="BK26" s="330"/>
      <c r="BL26" s="330"/>
      <c r="BM26" s="330"/>
      <c r="BN26" s="330"/>
      <c r="BO26" s="330"/>
      <c r="BP26" s="330"/>
      <c r="BQ26" s="330"/>
      <c r="BR26" s="330"/>
      <c r="BS26" s="330"/>
      <c r="BT26" s="330"/>
      <c r="BU26" s="330"/>
      <c r="BV26" s="330"/>
      <c r="BW26" s="330"/>
      <c r="BX26" s="330"/>
      <c r="BY26" s="330"/>
      <c r="BZ26" s="330"/>
      <c r="CA26" s="330"/>
      <c r="CB26" s="330"/>
      <c r="CC26" s="330"/>
      <c r="CD26" s="330"/>
      <c r="CE26" s="330"/>
      <c r="CF26" s="330"/>
      <c r="CG26" s="330"/>
      <c r="CH26" s="330"/>
      <c r="CI26" s="330"/>
      <c r="CJ26" s="330"/>
      <c r="CK26" s="330"/>
      <c r="CL26" s="330"/>
      <c r="CM26" s="330"/>
      <c r="CN26" s="330"/>
      <c r="CO26" s="330"/>
      <c r="CP26" s="330"/>
      <c r="CQ26" s="330"/>
      <c r="CR26" s="330"/>
      <c r="CS26" s="330"/>
      <c r="CT26" s="330"/>
      <c r="CU26" s="330"/>
      <c r="CV26" s="330"/>
      <c r="CW26" s="330"/>
      <c r="CX26" s="330"/>
      <c r="CY26" s="330"/>
      <c r="CZ26" s="330"/>
      <c r="DA26" s="330"/>
      <c r="DB26" s="330"/>
      <c r="DC26" s="330"/>
      <c r="DD26" s="330"/>
      <c r="DE26" s="330"/>
      <c r="DF26" s="330"/>
      <c r="DG26" s="330"/>
      <c r="DH26" s="330"/>
      <c r="DI26" s="330"/>
      <c r="DJ26" s="330"/>
      <c r="DK26" s="330"/>
      <c r="DL26" s="330"/>
      <c r="DM26" s="330"/>
      <c r="DN26" s="330"/>
      <c r="DO26" s="330"/>
      <c r="DP26" s="330"/>
      <c r="DQ26" s="330"/>
      <c r="DR26" s="330"/>
      <c r="DS26" s="330"/>
      <c r="DT26" s="330"/>
      <c r="DU26" s="330"/>
      <c r="DV26" s="330"/>
      <c r="DW26" s="330"/>
      <c r="DX26" s="330"/>
      <c r="DY26" s="330"/>
      <c r="DZ26" s="330"/>
      <c r="EA26" s="330"/>
      <c r="EB26" s="330"/>
      <c r="EC26" s="330"/>
      <c r="ED26" s="330"/>
      <c r="EE26" s="330"/>
      <c r="EF26" s="330"/>
      <c r="EG26" s="330"/>
      <c r="EH26" s="330"/>
      <c r="EI26" s="330"/>
      <c r="EJ26" s="330"/>
      <c r="EK26" s="330"/>
      <c r="EL26" s="330"/>
      <c r="EM26" s="330"/>
      <c r="EN26" s="330"/>
      <c r="EO26" s="330"/>
      <c r="EP26" s="330"/>
      <c r="EQ26" s="330"/>
      <c r="ER26" s="330"/>
      <c r="ES26" s="330"/>
      <c r="ET26" s="330"/>
      <c r="EU26" s="330"/>
      <c r="EV26" s="330"/>
      <c r="EW26" s="330"/>
      <c r="EX26" s="330"/>
      <c r="EY26" s="330"/>
      <c r="EZ26" s="330"/>
      <c r="FA26" s="330"/>
      <c r="FB26" s="330"/>
      <c r="FC26" s="330"/>
      <c r="FD26" s="330"/>
      <c r="FE26" s="330"/>
      <c r="FF26" s="330"/>
      <c r="FG26" s="330"/>
      <c r="FH26" s="330"/>
      <c r="FI26" s="330"/>
      <c r="FJ26" s="330"/>
      <c r="FK26" s="330"/>
      <c r="FL26" s="330"/>
      <c r="FM26" s="330"/>
      <c r="FN26" s="330"/>
      <c r="FO26" s="330"/>
      <c r="FP26" s="330"/>
      <c r="FQ26" s="330"/>
      <c r="FR26" s="330"/>
      <c r="FS26" s="330"/>
      <c r="FT26" s="330"/>
      <c r="FU26" s="330"/>
      <c r="FV26" s="330"/>
      <c r="FW26" s="330"/>
      <c r="FX26" s="330"/>
      <c r="FY26" s="330"/>
      <c r="FZ26" s="330"/>
      <c r="GA26" s="330"/>
      <c r="GB26" s="330"/>
      <c r="GC26" s="330"/>
      <c r="GD26" s="330"/>
      <c r="GE26" s="330"/>
      <c r="GF26" s="330"/>
      <c r="GG26" s="330"/>
      <c r="GH26" s="330"/>
      <c r="GI26" s="330"/>
      <c r="GJ26" s="330"/>
      <c r="GK26" s="330"/>
      <c r="GL26" s="330"/>
      <c r="GM26" s="330"/>
      <c r="GN26" s="330"/>
      <c r="GO26" s="330"/>
      <c r="GP26" s="330"/>
      <c r="GQ26" s="330"/>
      <c r="GR26" s="330"/>
      <c r="GS26" s="330"/>
      <c r="GT26" s="330"/>
      <c r="GU26" s="330"/>
      <c r="GV26" s="330"/>
      <c r="GW26" s="330"/>
      <c r="GX26" s="330"/>
      <c r="GY26" s="330"/>
      <c r="GZ26" s="330"/>
      <c r="HA26" s="330"/>
      <c r="HB26" s="330"/>
      <c r="HC26" s="330"/>
      <c r="HD26" s="330"/>
      <c r="HE26" s="330"/>
      <c r="HF26" s="330"/>
      <c r="HG26" s="330"/>
      <c r="HH26" s="330"/>
      <c r="HI26" s="330"/>
      <c r="HJ26" s="330"/>
      <c r="HK26" s="330"/>
      <c r="HL26" s="330"/>
      <c r="HM26" s="330"/>
      <c r="HN26" s="330"/>
      <c r="HO26" s="330"/>
      <c r="HP26" s="330"/>
      <c r="HQ26" s="330"/>
      <c r="HR26" s="330"/>
      <c r="HS26" s="330"/>
      <c r="HT26" s="330"/>
      <c r="HU26" s="330"/>
      <c r="HV26" s="330"/>
      <c r="HW26" s="330"/>
      <c r="HX26" s="330"/>
      <c r="HY26" s="330"/>
      <c r="HZ26" s="330"/>
      <c r="IA26" s="330"/>
      <c r="IB26" s="330"/>
      <c r="IC26" s="330"/>
      <c r="ID26" s="330"/>
      <c r="IE26" s="330"/>
      <c r="IF26" s="330"/>
      <c r="IG26" s="330"/>
      <c r="IH26" s="330"/>
      <c r="II26" s="330"/>
      <c r="IJ26" s="330"/>
      <c r="IK26" s="330"/>
      <c r="IL26" s="330"/>
      <c r="IM26" s="330"/>
      <c r="IN26" s="330"/>
      <c r="IO26" s="330"/>
      <c r="IP26" s="330"/>
      <c r="IQ26" s="330"/>
      <c r="IR26" s="330"/>
      <c r="IS26" s="330"/>
      <c r="IT26" s="330"/>
      <c r="IU26" s="330"/>
      <c r="IV26" s="330"/>
      <c r="IW26" s="330"/>
      <c r="IX26" s="330"/>
      <c r="IY26" s="330"/>
      <c r="IZ26" s="330"/>
      <c r="JA26" s="330"/>
      <c r="JB26" s="330"/>
      <c r="JC26" s="330"/>
      <c r="JD26" s="330"/>
      <c r="JE26" s="330"/>
      <c r="JF26" s="330"/>
      <c r="JG26" s="330"/>
      <c r="JH26" s="330"/>
      <c r="JI26" s="330"/>
      <c r="JJ26" s="330"/>
      <c r="JK26" s="330"/>
      <c r="JL26" s="330"/>
      <c r="JM26" s="330"/>
      <c r="JN26" s="330"/>
      <c r="JO26" s="330"/>
      <c r="JP26" s="330"/>
      <c r="JQ26" s="330"/>
      <c r="JR26" s="330"/>
      <c r="JS26" s="330"/>
      <c r="JT26" s="330"/>
      <c r="JU26" s="330"/>
      <c r="JV26" s="330"/>
      <c r="JW26" s="330"/>
      <c r="JX26" s="330"/>
      <c r="JY26" s="330"/>
      <c r="JZ26" s="330"/>
      <c r="KA26" s="330"/>
      <c r="KB26" s="330"/>
      <c r="KC26" s="330"/>
      <c r="KD26" s="330"/>
      <c r="KE26" s="330"/>
      <c r="KF26" s="330"/>
      <c r="KG26" s="330"/>
      <c r="KH26" s="330"/>
      <c r="KI26" s="330"/>
      <c r="KJ26" s="330"/>
      <c r="KK26" s="330"/>
      <c r="KL26" s="330"/>
      <c r="KM26" s="330"/>
      <c r="KN26" s="330"/>
      <c r="KO26" s="330"/>
      <c r="KP26" s="330"/>
      <c r="KQ26" s="330"/>
      <c r="KR26" s="330"/>
      <c r="KS26" s="330"/>
      <c r="KT26" s="330"/>
      <c r="KU26" s="330"/>
      <c r="KV26" s="330"/>
      <c r="KW26" s="330"/>
      <c r="KX26" s="330"/>
      <c r="KY26" s="330"/>
      <c r="KZ26" s="330"/>
      <c r="LA26" s="330"/>
      <c r="LB26" s="330"/>
      <c r="LC26" s="330"/>
      <c r="LD26" s="330"/>
      <c r="LE26" s="330"/>
    </row>
    <row r="27" spans="1:317">
      <c r="A27" s="330"/>
      <c r="B27" s="330"/>
      <c r="C27" s="330"/>
      <c r="D27" s="330"/>
      <c r="E27" s="330"/>
      <c r="F27" s="872"/>
      <c r="G27" s="868"/>
      <c r="H27" s="868"/>
      <c r="I27" s="868"/>
      <c r="J27" s="868"/>
      <c r="K27" s="868"/>
      <c r="L27" s="868"/>
      <c r="M27" s="868"/>
      <c r="N27" s="868"/>
      <c r="O27" s="868"/>
      <c r="P27" s="868"/>
      <c r="Q27" s="873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0"/>
      <c r="AV27" s="330"/>
      <c r="AW27" s="330"/>
      <c r="AX27" s="330"/>
      <c r="AY27" s="330"/>
      <c r="AZ27" s="330"/>
      <c r="BA27" s="330"/>
      <c r="BB27" s="330"/>
      <c r="BC27" s="330"/>
      <c r="BD27" s="330"/>
      <c r="BE27" s="330"/>
      <c r="BF27" s="330"/>
      <c r="BG27" s="330"/>
      <c r="BH27" s="330"/>
      <c r="BI27" s="330"/>
      <c r="BJ27" s="330"/>
      <c r="BK27" s="330"/>
      <c r="BL27" s="330"/>
      <c r="BM27" s="330"/>
      <c r="BN27" s="330"/>
      <c r="BO27" s="330"/>
      <c r="BP27" s="330"/>
      <c r="BQ27" s="330"/>
      <c r="BR27" s="330"/>
      <c r="BS27" s="330"/>
      <c r="BT27" s="330"/>
      <c r="BU27" s="330"/>
      <c r="BV27" s="330"/>
      <c r="BW27" s="330"/>
      <c r="BX27" s="330"/>
      <c r="BY27" s="330"/>
      <c r="BZ27" s="330"/>
      <c r="CA27" s="330"/>
      <c r="CB27" s="330"/>
      <c r="CC27" s="330"/>
      <c r="CD27" s="330"/>
      <c r="CE27" s="330"/>
      <c r="CF27" s="330"/>
      <c r="CG27" s="330"/>
      <c r="CH27" s="330"/>
      <c r="CI27" s="330"/>
      <c r="CJ27" s="330"/>
      <c r="CK27" s="330"/>
      <c r="CL27" s="330"/>
      <c r="CM27" s="330"/>
      <c r="CN27" s="330"/>
      <c r="CO27" s="330"/>
      <c r="CP27" s="330"/>
      <c r="CQ27" s="330"/>
      <c r="CR27" s="330"/>
      <c r="CS27" s="330"/>
      <c r="CT27" s="330"/>
      <c r="CU27" s="330"/>
      <c r="CV27" s="330"/>
      <c r="CW27" s="330"/>
      <c r="CX27" s="330"/>
      <c r="CY27" s="330"/>
      <c r="CZ27" s="330"/>
      <c r="DA27" s="330"/>
      <c r="DB27" s="330"/>
      <c r="DC27" s="330"/>
      <c r="DD27" s="330"/>
      <c r="DE27" s="330"/>
      <c r="DF27" s="330"/>
      <c r="DG27" s="330"/>
      <c r="DH27" s="330"/>
      <c r="DI27" s="330"/>
      <c r="DJ27" s="330"/>
      <c r="DK27" s="330"/>
      <c r="DL27" s="330"/>
      <c r="DM27" s="330"/>
      <c r="DN27" s="330"/>
      <c r="DO27" s="330"/>
      <c r="DP27" s="330"/>
      <c r="DQ27" s="330"/>
      <c r="DR27" s="330"/>
      <c r="DS27" s="330"/>
      <c r="DT27" s="330"/>
      <c r="DU27" s="330"/>
      <c r="DV27" s="330"/>
      <c r="DW27" s="330"/>
      <c r="DX27" s="330"/>
      <c r="DY27" s="330"/>
      <c r="DZ27" s="330"/>
      <c r="EA27" s="330"/>
      <c r="EB27" s="330"/>
      <c r="EC27" s="330"/>
      <c r="ED27" s="330"/>
      <c r="EE27" s="330"/>
      <c r="EF27" s="330"/>
      <c r="EG27" s="330"/>
      <c r="EH27" s="330"/>
      <c r="EI27" s="330"/>
      <c r="EJ27" s="330"/>
      <c r="EK27" s="330"/>
      <c r="EL27" s="330"/>
      <c r="EM27" s="330"/>
      <c r="EN27" s="330"/>
      <c r="EO27" s="330"/>
      <c r="EP27" s="330"/>
      <c r="EQ27" s="330"/>
      <c r="ER27" s="330"/>
      <c r="ES27" s="330"/>
      <c r="ET27" s="330"/>
      <c r="EU27" s="330"/>
      <c r="EV27" s="330"/>
      <c r="EW27" s="330"/>
      <c r="EX27" s="330"/>
      <c r="EY27" s="330"/>
      <c r="EZ27" s="330"/>
      <c r="FA27" s="330"/>
      <c r="FB27" s="330"/>
      <c r="FC27" s="330"/>
      <c r="FD27" s="330"/>
      <c r="FE27" s="330"/>
      <c r="FF27" s="330"/>
      <c r="FG27" s="330"/>
      <c r="FH27" s="330"/>
      <c r="FI27" s="330"/>
      <c r="FJ27" s="330"/>
      <c r="FK27" s="330"/>
      <c r="FL27" s="330"/>
      <c r="FM27" s="330"/>
      <c r="FN27" s="330"/>
      <c r="FO27" s="330"/>
      <c r="FP27" s="330"/>
      <c r="FQ27" s="330"/>
      <c r="FR27" s="330"/>
      <c r="FS27" s="330"/>
      <c r="FT27" s="330"/>
      <c r="FU27" s="330"/>
      <c r="FV27" s="330"/>
      <c r="FW27" s="330"/>
      <c r="FX27" s="330"/>
      <c r="FY27" s="330"/>
      <c r="FZ27" s="330"/>
      <c r="GA27" s="330"/>
      <c r="GB27" s="330"/>
      <c r="GC27" s="330"/>
      <c r="GD27" s="330"/>
      <c r="GE27" s="330"/>
      <c r="GF27" s="330"/>
      <c r="GG27" s="330"/>
      <c r="GH27" s="330"/>
      <c r="GI27" s="330"/>
      <c r="GJ27" s="330"/>
      <c r="GK27" s="330"/>
      <c r="GL27" s="330"/>
      <c r="GM27" s="330"/>
      <c r="GN27" s="330"/>
      <c r="GO27" s="330"/>
      <c r="GP27" s="330"/>
      <c r="GQ27" s="330"/>
      <c r="GR27" s="330"/>
      <c r="GS27" s="330"/>
      <c r="GT27" s="330"/>
      <c r="GU27" s="330"/>
      <c r="GV27" s="330"/>
      <c r="GW27" s="330"/>
      <c r="GX27" s="330"/>
      <c r="GY27" s="330"/>
      <c r="GZ27" s="330"/>
      <c r="HA27" s="330"/>
      <c r="HB27" s="330"/>
      <c r="HC27" s="330"/>
      <c r="HD27" s="330"/>
      <c r="HE27" s="330"/>
      <c r="HF27" s="330"/>
      <c r="HG27" s="330"/>
      <c r="HH27" s="330"/>
      <c r="HI27" s="330"/>
      <c r="HJ27" s="330"/>
      <c r="HK27" s="330"/>
      <c r="HL27" s="330"/>
      <c r="HM27" s="330"/>
      <c r="HN27" s="330"/>
      <c r="HO27" s="330"/>
      <c r="HP27" s="330"/>
      <c r="HQ27" s="330"/>
      <c r="HR27" s="330"/>
      <c r="HS27" s="330"/>
      <c r="HT27" s="330"/>
      <c r="HU27" s="330"/>
      <c r="HV27" s="330"/>
      <c r="HW27" s="330"/>
      <c r="HX27" s="330"/>
      <c r="HY27" s="330"/>
      <c r="HZ27" s="330"/>
      <c r="IA27" s="330"/>
      <c r="IB27" s="330"/>
      <c r="IC27" s="330"/>
      <c r="ID27" s="330"/>
      <c r="IE27" s="330"/>
      <c r="IF27" s="330"/>
      <c r="IG27" s="330"/>
      <c r="IH27" s="330"/>
      <c r="II27" s="330"/>
      <c r="IJ27" s="330"/>
      <c r="IK27" s="330"/>
      <c r="IL27" s="330"/>
      <c r="IM27" s="330"/>
      <c r="IN27" s="330"/>
      <c r="IO27" s="330"/>
      <c r="IP27" s="330"/>
      <c r="IQ27" s="330"/>
      <c r="IR27" s="330"/>
      <c r="IS27" s="330"/>
      <c r="IT27" s="330"/>
      <c r="IU27" s="330"/>
      <c r="IV27" s="330"/>
      <c r="IW27" s="330"/>
      <c r="IX27" s="330"/>
      <c r="IY27" s="330"/>
      <c r="IZ27" s="330"/>
      <c r="JA27" s="330"/>
      <c r="JB27" s="330"/>
      <c r="JC27" s="330"/>
      <c r="JD27" s="330"/>
      <c r="JE27" s="330"/>
      <c r="JF27" s="330"/>
      <c r="JG27" s="330"/>
      <c r="JH27" s="330"/>
      <c r="JI27" s="330"/>
      <c r="JJ27" s="330"/>
      <c r="JK27" s="330"/>
      <c r="JL27" s="330"/>
      <c r="JM27" s="330"/>
      <c r="JN27" s="330"/>
      <c r="JO27" s="330"/>
      <c r="JP27" s="330"/>
      <c r="JQ27" s="330"/>
      <c r="JR27" s="330"/>
      <c r="JS27" s="330"/>
      <c r="JT27" s="330"/>
      <c r="JU27" s="330"/>
      <c r="JV27" s="330"/>
      <c r="JW27" s="330"/>
      <c r="JX27" s="330"/>
      <c r="JY27" s="330"/>
      <c r="JZ27" s="330"/>
      <c r="KA27" s="330"/>
      <c r="KB27" s="330"/>
      <c r="KC27" s="330"/>
      <c r="KD27" s="330"/>
      <c r="KE27" s="330"/>
      <c r="KF27" s="330"/>
      <c r="KG27" s="330"/>
      <c r="KH27" s="330"/>
      <c r="KI27" s="330"/>
      <c r="KJ27" s="330"/>
      <c r="KK27" s="330"/>
      <c r="KL27" s="330"/>
      <c r="KM27" s="330"/>
      <c r="KN27" s="330"/>
      <c r="KO27" s="330"/>
      <c r="KP27" s="330"/>
      <c r="KQ27" s="330"/>
      <c r="KR27" s="330"/>
      <c r="KS27" s="330"/>
      <c r="KT27" s="330"/>
      <c r="KU27" s="330"/>
      <c r="KV27" s="330"/>
      <c r="KW27" s="330"/>
      <c r="KX27" s="330"/>
      <c r="KY27" s="330"/>
      <c r="KZ27" s="330"/>
      <c r="LA27" s="330"/>
      <c r="LB27" s="330"/>
      <c r="LC27" s="330"/>
      <c r="LD27" s="330"/>
      <c r="LE27" s="330"/>
    </row>
    <row r="28" spans="1:317" ht="15" thickBot="1">
      <c r="A28" s="330"/>
      <c r="B28" s="330"/>
      <c r="C28" s="330"/>
      <c r="D28" s="330"/>
      <c r="E28" s="330"/>
      <c r="F28" s="872"/>
      <c r="G28" s="868"/>
      <c r="H28" s="868"/>
      <c r="I28" s="868"/>
      <c r="J28" s="868"/>
      <c r="K28" s="868"/>
      <c r="L28" s="868"/>
      <c r="M28" s="868"/>
      <c r="N28" s="868"/>
      <c r="O28" s="868"/>
      <c r="P28" s="868"/>
      <c r="Q28" s="873"/>
      <c r="R28" s="330"/>
      <c r="S28" s="330"/>
      <c r="T28" s="330"/>
      <c r="U28" s="330"/>
      <c r="V28" s="330"/>
      <c r="W28" s="330"/>
      <c r="X28" s="330"/>
      <c r="Y28" s="330"/>
      <c r="Z28" s="330"/>
      <c r="AA28" s="330"/>
      <c r="AB28" s="330"/>
      <c r="AC28" s="330"/>
      <c r="AD28" s="330"/>
      <c r="AE28" s="330"/>
      <c r="AF28" s="330"/>
      <c r="AG28" s="330"/>
      <c r="AH28" s="330"/>
      <c r="AI28" s="330"/>
      <c r="AJ28" s="330"/>
      <c r="AK28" s="330"/>
      <c r="AL28" s="330"/>
      <c r="AM28" s="330"/>
      <c r="AN28" s="330"/>
      <c r="AO28" s="330"/>
      <c r="AP28" s="330"/>
      <c r="AQ28" s="330"/>
      <c r="AR28" s="330"/>
      <c r="AS28" s="330"/>
      <c r="AT28" s="330"/>
      <c r="AU28" s="330"/>
      <c r="AV28" s="330"/>
      <c r="AW28" s="330"/>
      <c r="AX28" s="330"/>
      <c r="AY28" s="330"/>
      <c r="AZ28" s="330"/>
      <c r="BA28" s="330"/>
      <c r="BB28" s="330"/>
      <c r="BC28" s="330"/>
      <c r="BD28" s="330"/>
      <c r="BE28" s="330"/>
      <c r="BF28" s="330"/>
      <c r="BG28" s="330"/>
      <c r="BH28" s="330"/>
      <c r="BI28" s="330"/>
      <c r="BJ28" s="330"/>
      <c r="BK28" s="330"/>
      <c r="BL28" s="330"/>
      <c r="BM28" s="330"/>
      <c r="BN28" s="330"/>
      <c r="BO28" s="330"/>
      <c r="BP28" s="330"/>
      <c r="BQ28" s="330"/>
      <c r="BR28" s="330"/>
      <c r="BS28" s="330"/>
      <c r="BT28" s="330"/>
      <c r="BU28" s="330"/>
      <c r="BV28" s="330"/>
      <c r="BW28" s="330"/>
      <c r="BX28" s="330"/>
      <c r="BY28" s="330"/>
      <c r="BZ28" s="330"/>
      <c r="CA28" s="330"/>
      <c r="CB28" s="330"/>
      <c r="CC28" s="330"/>
      <c r="CD28" s="330"/>
      <c r="CE28" s="330"/>
      <c r="CF28" s="330"/>
      <c r="CG28" s="330"/>
      <c r="CH28" s="330"/>
      <c r="CI28" s="330"/>
      <c r="CJ28" s="330"/>
      <c r="CK28" s="330"/>
      <c r="CL28" s="330"/>
      <c r="CM28" s="330"/>
      <c r="CN28" s="330"/>
      <c r="CO28" s="330"/>
      <c r="CP28" s="330"/>
      <c r="CQ28" s="330"/>
      <c r="CR28" s="330"/>
      <c r="CS28" s="330"/>
      <c r="CT28" s="330"/>
      <c r="CU28" s="330"/>
      <c r="CV28" s="330"/>
      <c r="CW28" s="330"/>
      <c r="CX28" s="330"/>
      <c r="CY28" s="330"/>
      <c r="CZ28" s="330"/>
      <c r="DA28" s="330"/>
      <c r="DB28" s="330"/>
      <c r="DC28" s="330"/>
      <c r="DD28" s="330"/>
      <c r="DE28" s="330"/>
      <c r="DF28" s="330"/>
      <c r="DG28" s="330"/>
      <c r="DH28" s="330"/>
      <c r="DI28" s="330"/>
      <c r="DJ28" s="330"/>
      <c r="DK28" s="330"/>
      <c r="DL28" s="330"/>
      <c r="DM28" s="330"/>
      <c r="DN28" s="330"/>
      <c r="DO28" s="330"/>
      <c r="DP28" s="330"/>
      <c r="DQ28" s="330"/>
      <c r="DR28" s="330"/>
      <c r="DS28" s="330"/>
      <c r="DT28" s="330"/>
      <c r="DU28" s="330"/>
      <c r="DV28" s="330"/>
      <c r="DW28" s="330"/>
      <c r="DX28" s="330"/>
      <c r="DY28" s="330"/>
      <c r="DZ28" s="330"/>
      <c r="EA28" s="330"/>
      <c r="EB28" s="330"/>
      <c r="EC28" s="330"/>
      <c r="ED28" s="330"/>
      <c r="EE28" s="330"/>
      <c r="EF28" s="330"/>
      <c r="EG28" s="330"/>
      <c r="EH28" s="330"/>
      <c r="EI28" s="330"/>
      <c r="EJ28" s="330"/>
      <c r="EK28" s="330"/>
      <c r="EL28" s="330"/>
      <c r="EM28" s="330"/>
      <c r="EN28" s="330"/>
      <c r="EO28" s="330"/>
      <c r="EP28" s="330"/>
      <c r="EQ28" s="330"/>
      <c r="ER28" s="330"/>
      <c r="ES28" s="330"/>
      <c r="ET28" s="330"/>
      <c r="EU28" s="330"/>
      <c r="EV28" s="330"/>
      <c r="EW28" s="330"/>
      <c r="EX28" s="330"/>
      <c r="EY28" s="330"/>
      <c r="EZ28" s="330"/>
      <c r="FA28" s="330"/>
      <c r="FB28" s="330"/>
      <c r="FC28" s="330"/>
      <c r="FD28" s="330"/>
      <c r="FE28" s="330"/>
      <c r="FF28" s="330"/>
      <c r="FG28" s="330"/>
      <c r="FH28" s="330"/>
      <c r="FI28" s="330"/>
      <c r="FJ28" s="330"/>
      <c r="FK28" s="330"/>
      <c r="FL28" s="330"/>
      <c r="FM28" s="330"/>
      <c r="FN28" s="330"/>
      <c r="FO28" s="330"/>
      <c r="FP28" s="330"/>
      <c r="FQ28" s="330"/>
      <c r="FR28" s="330"/>
      <c r="FS28" s="330"/>
      <c r="FT28" s="330"/>
      <c r="FU28" s="330"/>
      <c r="FV28" s="330"/>
      <c r="FW28" s="330"/>
      <c r="FX28" s="330"/>
      <c r="FY28" s="330"/>
      <c r="FZ28" s="330"/>
      <c r="GA28" s="330"/>
      <c r="GB28" s="330"/>
      <c r="GC28" s="330"/>
      <c r="GD28" s="330"/>
      <c r="GE28" s="330"/>
      <c r="GF28" s="330"/>
      <c r="GG28" s="330"/>
      <c r="GH28" s="330"/>
      <c r="GI28" s="330"/>
      <c r="GJ28" s="330"/>
      <c r="GK28" s="330"/>
      <c r="GL28" s="330"/>
      <c r="GM28" s="330"/>
      <c r="GN28" s="330"/>
      <c r="GO28" s="330"/>
      <c r="GP28" s="330"/>
      <c r="GQ28" s="330"/>
      <c r="GR28" s="330"/>
      <c r="GS28" s="330"/>
      <c r="GT28" s="330"/>
      <c r="GU28" s="330"/>
      <c r="GV28" s="330"/>
      <c r="GW28" s="330"/>
      <c r="GX28" s="330"/>
      <c r="GY28" s="330"/>
      <c r="GZ28" s="330"/>
      <c r="HA28" s="330"/>
      <c r="HB28" s="330"/>
      <c r="HC28" s="330"/>
      <c r="HD28" s="330"/>
      <c r="HE28" s="330"/>
      <c r="HF28" s="330"/>
      <c r="HG28" s="330"/>
      <c r="HH28" s="330"/>
      <c r="HI28" s="330"/>
      <c r="HJ28" s="330"/>
      <c r="HK28" s="330"/>
      <c r="HL28" s="330"/>
      <c r="HM28" s="330"/>
      <c r="HN28" s="330"/>
      <c r="HO28" s="330"/>
      <c r="HP28" s="330"/>
      <c r="HQ28" s="330"/>
      <c r="HR28" s="330"/>
      <c r="HS28" s="330"/>
      <c r="HT28" s="330"/>
      <c r="HU28" s="330"/>
      <c r="HV28" s="330"/>
      <c r="HW28" s="330"/>
      <c r="HX28" s="330"/>
      <c r="HY28" s="330"/>
      <c r="HZ28" s="330"/>
      <c r="IA28" s="330"/>
      <c r="IB28" s="330"/>
      <c r="IC28" s="330"/>
      <c r="ID28" s="330"/>
      <c r="IE28" s="330"/>
      <c r="IF28" s="330"/>
      <c r="IG28" s="330"/>
      <c r="IH28" s="330"/>
      <c r="II28" s="330"/>
      <c r="IJ28" s="330"/>
      <c r="IK28" s="330"/>
      <c r="IL28" s="330"/>
      <c r="IM28" s="330"/>
      <c r="IN28" s="330"/>
      <c r="IO28" s="330"/>
      <c r="IP28" s="330"/>
      <c r="IQ28" s="330"/>
      <c r="IR28" s="330"/>
      <c r="IS28" s="330"/>
      <c r="IT28" s="330"/>
      <c r="IU28" s="330"/>
      <c r="IV28" s="330"/>
      <c r="IW28" s="330"/>
      <c r="IX28" s="330"/>
      <c r="IY28" s="330"/>
      <c r="IZ28" s="330"/>
      <c r="JA28" s="330"/>
      <c r="JB28" s="330"/>
      <c r="JC28" s="330"/>
      <c r="JD28" s="330"/>
      <c r="JE28" s="330"/>
      <c r="JF28" s="330"/>
      <c r="JG28" s="330"/>
      <c r="JH28" s="330"/>
      <c r="JI28" s="330"/>
      <c r="JJ28" s="330"/>
      <c r="JK28" s="330"/>
      <c r="JL28" s="330"/>
      <c r="JM28" s="330"/>
      <c r="JN28" s="330"/>
      <c r="JO28" s="330"/>
      <c r="JP28" s="330"/>
      <c r="JQ28" s="330"/>
      <c r="JR28" s="330"/>
      <c r="JS28" s="330"/>
      <c r="JT28" s="330"/>
      <c r="JU28" s="330"/>
      <c r="JV28" s="330"/>
      <c r="JW28" s="330"/>
      <c r="JX28" s="330"/>
      <c r="JY28" s="330"/>
      <c r="JZ28" s="330"/>
      <c r="KA28" s="330"/>
      <c r="KB28" s="330"/>
      <c r="KC28" s="330"/>
      <c r="KD28" s="330"/>
      <c r="KE28" s="330"/>
      <c r="KF28" s="330"/>
      <c r="KG28" s="330"/>
      <c r="KH28" s="330"/>
      <c r="KI28" s="330"/>
      <c r="KJ28" s="330"/>
      <c r="KK28" s="330"/>
      <c r="KL28" s="330"/>
      <c r="KM28" s="330"/>
      <c r="KN28" s="330"/>
      <c r="KO28" s="330"/>
      <c r="KP28" s="330"/>
      <c r="KQ28" s="330"/>
      <c r="KR28" s="330"/>
      <c r="KS28" s="330"/>
      <c r="KT28" s="330"/>
      <c r="KU28" s="330"/>
      <c r="KV28" s="330"/>
      <c r="KW28" s="330"/>
      <c r="KX28" s="330"/>
      <c r="KY28" s="330"/>
      <c r="KZ28" s="330"/>
      <c r="LA28" s="330"/>
      <c r="LB28" s="330"/>
      <c r="LC28" s="330"/>
      <c r="LD28" s="330"/>
      <c r="LE28" s="330"/>
    </row>
    <row r="29" spans="1:317">
      <c r="A29" s="330"/>
      <c r="B29" s="330"/>
      <c r="C29" s="330"/>
      <c r="D29" s="330"/>
      <c r="E29" s="330"/>
      <c r="F29" s="869"/>
      <c r="G29" s="870"/>
      <c r="H29" s="1096" t="s">
        <v>1152</v>
      </c>
      <c r="I29" s="1097"/>
      <c r="J29" s="1097"/>
      <c r="K29" s="1097"/>
      <c r="L29" s="1097"/>
      <c r="M29" s="1097"/>
      <c r="N29" s="877" t="s">
        <v>1153</v>
      </c>
      <c r="O29" s="870"/>
      <c r="P29" s="870"/>
      <c r="Q29" s="871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0"/>
      <c r="AV29" s="330"/>
      <c r="AW29" s="330"/>
      <c r="AX29" s="330"/>
      <c r="AY29" s="330"/>
      <c r="AZ29" s="330"/>
      <c r="BA29" s="330"/>
      <c r="BB29" s="330"/>
      <c r="BC29" s="330"/>
      <c r="BD29" s="330"/>
      <c r="BE29" s="330"/>
      <c r="BF29" s="330"/>
      <c r="BG29" s="330"/>
      <c r="BH29" s="330"/>
      <c r="BI29" s="330"/>
      <c r="BJ29" s="330"/>
      <c r="BK29" s="330"/>
      <c r="BL29" s="330"/>
      <c r="BM29" s="330"/>
      <c r="BN29" s="330"/>
      <c r="BO29" s="330"/>
      <c r="BP29" s="330"/>
      <c r="BQ29" s="330"/>
      <c r="BR29" s="330"/>
      <c r="BS29" s="330"/>
      <c r="BT29" s="330"/>
      <c r="BU29" s="330"/>
      <c r="BV29" s="330"/>
      <c r="BW29" s="330"/>
      <c r="BX29" s="330"/>
      <c r="BY29" s="330"/>
      <c r="BZ29" s="330"/>
      <c r="CA29" s="330"/>
      <c r="CB29" s="330"/>
      <c r="CC29" s="330"/>
      <c r="CD29" s="330"/>
      <c r="CE29" s="330"/>
      <c r="CF29" s="330"/>
      <c r="CG29" s="330"/>
      <c r="CH29" s="330"/>
      <c r="CI29" s="330"/>
      <c r="CJ29" s="330"/>
      <c r="CK29" s="330"/>
      <c r="CL29" s="330"/>
      <c r="CM29" s="330"/>
      <c r="CN29" s="330"/>
      <c r="CO29" s="330"/>
      <c r="CP29" s="330"/>
      <c r="CQ29" s="330"/>
      <c r="CR29" s="330"/>
      <c r="CS29" s="330"/>
      <c r="CT29" s="330"/>
      <c r="CU29" s="330"/>
      <c r="CV29" s="330"/>
      <c r="CW29" s="330"/>
      <c r="CX29" s="330"/>
      <c r="CY29" s="330"/>
      <c r="CZ29" s="330"/>
      <c r="DA29" s="330"/>
      <c r="DB29" s="330"/>
      <c r="DC29" s="330"/>
      <c r="DD29" s="330"/>
      <c r="DE29" s="330"/>
      <c r="DF29" s="330"/>
      <c r="DG29" s="330"/>
      <c r="DH29" s="330"/>
      <c r="DI29" s="330"/>
      <c r="DJ29" s="330"/>
      <c r="DK29" s="330"/>
      <c r="DL29" s="330"/>
      <c r="DM29" s="330"/>
      <c r="DN29" s="330"/>
      <c r="DO29" s="330"/>
      <c r="DP29" s="330"/>
      <c r="DQ29" s="330"/>
      <c r="DR29" s="330"/>
      <c r="DS29" s="330"/>
      <c r="DT29" s="330"/>
      <c r="DU29" s="330"/>
      <c r="DV29" s="330"/>
      <c r="DW29" s="330"/>
      <c r="DX29" s="330"/>
      <c r="DY29" s="330"/>
      <c r="DZ29" s="330"/>
      <c r="EA29" s="330"/>
      <c r="EB29" s="330"/>
      <c r="EC29" s="330"/>
      <c r="ED29" s="330"/>
      <c r="EE29" s="330"/>
      <c r="EF29" s="330"/>
      <c r="EG29" s="330"/>
      <c r="EH29" s="330"/>
      <c r="EI29" s="330"/>
      <c r="EJ29" s="330"/>
      <c r="EK29" s="330"/>
      <c r="EL29" s="330"/>
      <c r="EM29" s="330"/>
      <c r="EN29" s="330"/>
      <c r="EO29" s="330"/>
      <c r="EP29" s="330"/>
      <c r="EQ29" s="330"/>
      <c r="ER29" s="330"/>
      <c r="ES29" s="330"/>
      <c r="ET29" s="330"/>
      <c r="EU29" s="330"/>
      <c r="EV29" s="330"/>
      <c r="EW29" s="330"/>
      <c r="EX29" s="330"/>
      <c r="EY29" s="330"/>
      <c r="EZ29" s="330"/>
      <c r="FA29" s="330"/>
      <c r="FB29" s="330"/>
      <c r="FC29" s="330"/>
      <c r="FD29" s="330"/>
      <c r="FE29" s="330"/>
      <c r="FF29" s="330"/>
      <c r="FG29" s="330"/>
      <c r="FH29" s="330"/>
      <c r="FI29" s="330"/>
      <c r="FJ29" s="330"/>
      <c r="FK29" s="330"/>
      <c r="FL29" s="330"/>
      <c r="FM29" s="330"/>
      <c r="FN29" s="330"/>
      <c r="FO29" s="330"/>
      <c r="FP29" s="330"/>
      <c r="FQ29" s="330"/>
      <c r="FR29" s="330"/>
      <c r="FS29" s="330"/>
      <c r="FT29" s="330"/>
      <c r="FU29" s="330"/>
      <c r="FV29" s="330"/>
      <c r="FW29" s="330"/>
      <c r="FX29" s="330"/>
      <c r="FY29" s="330"/>
      <c r="FZ29" s="330"/>
      <c r="GA29" s="330"/>
      <c r="GB29" s="330"/>
      <c r="GC29" s="330"/>
      <c r="GD29" s="330"/>
      <c r="GE29" s="330"/>
      <c r="GF29" s="330"/>
      <c r="GG29" s="330"/>
      <c r="GH29" s="330"/>
      <c r="GI29" s="330"/>
      <c r="GJ29" s="330"/>
      <c r="GK29" s="330"/>
      <c r="GL29" s="330"/>
      <c r="GM29" s="330"/>
      <c r="GN29" s="330"/>
      <c r="GO29" s="330"/>
      <c r="GP29" s="330"/>
      <c r="GQ29" s="330"/>
      <c r="GR29" s="330"/>
      <c r="GS29" s="330"/>
      <c r="GT29" s="330"/>
      <c r="GU29" s="330"/>
      <c r="GV29" s="330"/>
      <c r="GW29" s="330"/>
      <c r="GX29" s="330"/>
      <c r="GY29" s="330"/>
      <c r="GZ29" s="330"/>
      <c r="HA29" s="330"/>
      <c r="HB29" s="330"/>
      <c r="HC29" s="330"/>
      <c r="HD29" s="330"/>
      <c r="HE29" s="330"/>
      <c r="HF29" s="330"/>
      <c r="HG29" s="330"/>
      <c r="HH29" s="330"/>
      <c r="HI29" s="330"/>
      <c r="HJ29" s="330"/>
      <c r="HK29" s="330"/>
      <c r="HL29" s="330"/>
      <c r="HM29" s="330"/>
      <c r="HN29" s="330"/>
      <c r="HO29" s="330"/>
      <c r="HP29" s="330"/>
      <c r="HQ29" s="330"/>
      <c r="HR29" s="330"/>
      <c r="HS29" s="330"/>
      <c r="HT29" s="330"/>
      <c r="HU29" s="330"/>
      <c r="HV29" s="330"/>
      <c r="HW29" s="330"/>
      <c r="HX29" s="330"/>
      <c r="HY29" s="330"/>
      <c r="HZ29" s="330"/>
      <c r="IA29" s="330"/>
      <c r="IB29" s="330"/>
      <c r="IC29" s="330"/>
      <c r="ID29" s="330"/>
      <c r="IE29" s="330"/>
      <c r="IF29" s="330"/>
      <c r="IG29" s="330"/>
      <c r="IH29" s="330"/>
      <c r="II29" s="330"/>
      <c r="IJ29" s="330"/>
      <c r="IK29" s="330"/>
      <c r="IL29" s="330"/>
      <c r="IM29" s="330"/>
      <c r="IN29" s="330"/>
      <c r="IO29" s="330"/>
      <c r="IP29" s="330"/>
      <c r="IQ29" s="330"/>
      <c r="IR29" s="330"/>
      <c r="IS29" s="330"/>
      <c r="IT29" s="330"/>
      <c r="IU29" s="330"/>
      <c r="IV29" s="330"/>
      <c r="IW29" s="330"/>
      <c r="IX29" s="330"/>
      <c r="IY29" s="330"/>
      <c r="IZ29" s="330"/>
      <c r="JA29" s="330"/>
      <c r="JB29" s="330"/>
      <c r="JC29" s="330"/>
      <c r="JD29" s="330"/>
      <c r="JE29" s="330"/>
      <c r="JF29" s="330"/>
      <c r="JG29" s="330"/>
      <c r="JH29" s="330"/>
      <c r="JI29" s="330"/>
      <c r="JJ29" s="330"/>
      <c r="JK29" s="330"/>
      <c r="JL29" s="330"/>
      <c r="JM29" s="330"/>
      <c r="JN29" s="330"/>
      <c r="JO29" s="330"/>
      <c r="JP29" s="330"/>
      <c r="JQ29" s="330"/>
      <c r="JR29" s="330"/>
      <c r="JS29" s="330"/>
      <c r="JT29" s="330"/>
      <c r="JU29" s="330"/>
      <c r="JV29" s="330"/>
      <c r="JW29" s="330"/>
      <c r="JX29" s="330"/>
      <c r="JY29" s="330"/>
      <c r="JZ29" s="330"/>
      <c r="KA29" s="330"/>
      <c r="KB29" s="330"/>
      <c r="KC29" s="330"/>
      <c r="KD29" s="330"/>
      <c r="KE29" s="330"/>
      <c r="KF29" s="330"/>
      <c r="KG29" s="330"/>
      <c r="KH29" s="330"/>
      <c r="KI29" s="330"/>
      <c r="KJ29" s="330"/>
      <c r="KK29" s="330"/>
      <c r="KL29" s="330"/>
      <c r="KM29" s="330"/>
      <c r="KN29" s="330"/>
      <c r="KO29" s="330"/>
      <c r="KP29" s="330"/>
      <c r="KQ29" s="330"/>
      <c r="KR29" s="330"/>
      <c r="KS29" s="330"/>
      <c r="KT29" s="330"/>
      <c r="KU29" s="330"/>
      <c r="KV29" s="330"/>
      <c r="KW29" s="330"/>
      <c r="KX29" s="330"/>
      <c r="KY29" s="330"/>
      <c r="KZ29" s="330"/>
      <c r="LA29" s="330"/>
      <c r="LB29" s="330"/>
      <c r="LC29" s="330"/>
      <c r="LD29" s="330"/>
      <c r="LE29" s="330"/>
    </row>
    <row r="30" spans="1:317">
      <c r="A30" s="330"/>
      <c r="B30" s="330"/>
      <c r="C30" s="330"/>
      <c r="D30" s="330"/>
      <c r="E30" s="330"/>
      <c r="F30" s="872"/>
      <c r="G30" s="868"/>
      <c r="H30" s="1098"/>
      <c r="I30" s="1098"/>
      <c r="J30" s="1098"/>
      <c r="K30" s="1098"/>
      <c r="L30" s="1098"/>
      <c r="M30" s="1098"/>
      <c r="N30" s="878" t="s">
        <v>1154</v>
      </c>
      <c r="O30" s="881">
        <f>+'Calculador Selectivo'!B5</f>
        <v>1016</v>
      </c>
      <c r="P30" s="880" t="s">
        <v>1156</v>
      </c>
      <c r="Q30" s="883">
        <f>+'Calculador Selectivo'!B8</f>
        <v>150</v>
      </c>
      <c r="R30" s="330"/>
      <c r="S30" s="330"/>
      <c r="T30" s="330"/>
      <c r="U30" s="330"/>
      <c r="V30" s="330"/>
      <c r="W30" s="330"/>
      <c r="X30" s="330"/>
      <c r="Y30" s="330"/>
      <c r="Z30" s="330"/>
      <c r="AA30" s="330"/>
      <c r="AB30" s="330"/>
      <c r="AC30" s="330"/>
      <c r="AD30" s="330"/>
      <c r="AE30" s="330"/>
      <c r="AF30" s="330"/>
      <c r="AG30" s="330"/>
      <c r="AH30" s="330"/>
      <c r="AI30" s="330"/>
      <c r="AJ30" s="330"/>
      <c r="AK30" s="330"/>
      <c r="AL30" s="330"/>
      <c r="AM30" s="330"/>
      <c r="AN30" s="330"/>
      <c r="AO30" s="330"/>
      <c r="AP30" s="330"/>
      <c r="AQ30" s="330"/>
      <c r="AR30" s="330"/>
      <c r="AS30" s="330"/>
      <c r="AT30" s="330"/>
      <c r="AU30" s="330"/>
      <c r="AV30" s="330"/>
      <c r="AW30" s="330"/>
      <c r="AX30" s="330"/>
      <c r="AY30" s="330"/>
      <c r="AZ30" s="330"/>
      <c r="BA30" s="330"/>
      <c r="BB30" s="330"/>
      <c r="BC30" s="330"/>
      <c r="BD30" s="330"/>
      <c r="BE30" s="330"/>
      <c r="BF30" s="330"/>
      <c r="BG30" s="330"/>
      <c r="BH30" s="330"/>
      <c r="BI30" s="330"/>
      <c r="BJ30" s="330"/>
      <c r="BK30" s="330"/>
      <c r="BL30" s="330"/>
      <c r="BM30" s="330"/>
      <c r="BN30" s="330"/>
      <c r="BO30" s="330"/>
      <c r="BP30" s="330"/>
      <c r="BQ30" s="330"/>
      <c r="BR30" s="330"/>
      <c r="BS30" s="330"/>
      <c r="BT30" s="330"/>
      <c r="BU30" s="330"/>
      <c r="BV30" s="330"/>
      <c r="BW30" s="330"/>
      <c r="BX30" s="330"/>
      <c r="BY30" s="330"/>
      <c r="BZ30" s="330"/>
      <c r="CA30" s="330"/>
      <c r="CB30" s="330"/>
      <c r="CC30" s="330"/>
      <c r="CD30" s="330"/>
      <c r="CE30" s="330"/>
      <c r="CF30" s="330"/>
      <c r="CG30" s="330"/>
      <c r="CH30" s="330"/>
      <c r="CI30" s="330"/>
      <c r="CJ30" s="330"/>
      <c r="CK30" s="330"/>
      <c r="CL30" s="330"/>
      <c r="CM30" s="330"/>
      <c r="CN30" s="330"/>
      <c r="CO30" s="330"/>
      <c r="CP30" s="330"/>
      <c r="CQ30" s="330"/>
      <c r="CR30" s="330"/>
      <c r="CS30" s="330"/>
      <c r="CT30" s="330"/>
      <c r="CU30" s="330"/>
      <c r="CV30" s="330"/>
      <c r="CW30" s="330"/>
      <c r="CX30" s="330"/>
      <c r="CY30" s="330"/>
      <c r="CZ30" s="330"/>
      <c r="DA30" s="330"/>
      <c r="DB30" s="330"/>
      <c r="DC30" s="330"/>
      <c r="DD30" s="330"/>
      <c r="DE30" s="330"/>
      <c r="DF30" s="330"/>
      <c r="DG30" s="330"/>
      <c r="DH30" s="330"/>
      <c r="DI30" s="330"/>
      <c r="DJ30" s="330"/>
      <c r="DK30" s="330"/>
      <c r="DL30" s="330"/>
      <c r="DM30" s="330"/>
      <c r="DN30" s="330"/>
      <c r="DO30" s="330"/>
      <c r="DP30" s="330"/>
      <c r="DQ30" s="330"/>
      <c r="DR30" s="330"/>
      <c r="DS30" s="330"/>
      <c r="DT30" s="330"/>
      <c r="DU30" s="330"/>
      <c r="DV30" s="330"/>
      <c r="DW30" s="330"/>
      <c r="DX30" s="330"/>
      <c r="DY30" s="330"/>
      <c r="DZ30" s="330"/>
      <c r="EA30" s="330"/>
      <c r="EB30" s="330"/>
      <c r="EC30" s="330"/>
      <c r="ED30" s="330"/>
      <c r="EE30" s="330"/>
      <c r="EF30" s="330"/>
      <c r="EG30" s="330"/>
      <c r="EH30" s="330"/>
      <c r="EI30" s="330"/>
      <c r="EJ30" s="330"/>
      <c r="EK30" s="330"/>
      <c r="EL30" s="330"/>
      <c r="EM30" s="330"/>
      <c r="EN30" s="330"/>
      <c r="EO30" s="330"/>
      <c r="EP30" s="330"/>
      <c r="EQ30" s="330"/>
      <c r="ER30" s="330"/>
      <c r="ES30" s="330"/>
      <c r="ET30" s="330"/>
      <c r="EU30" s="330"/>
      <c r="EV30" s="330"/>
      <c r="EW30" s="330"/>
      <c r="EX30" s="330"/>
      <c r="EY30" s="330"/>
      <c r="EZ30" s="330"/>
      <c r="FA30" s="330"/>
      <c r="FB30" s="330"/>
      <c r="FC30" s="330"/>
      <c r="FD30" s="330"/>
      <c r="FE30" s="330"/>
      <c r="FF30" s="330"/>
      <c r="FG30" s="330"/>
      <c r="FH30" s="330"/>
      <c r="FI30" s="330"/>
      <c r="FJ30" s="330"/>
      <c r="FK30" s="330"/>
      <c r="FL30" s="330"/>
      <c r="FM30" s="330"/>
      <c r="FN30" s="330"/>
      <c r="FO30" s="330"/>
      <c r="FP30" s="330"/>
      <c r="FQ30" s="330"/>
      <c r="FR30" s="330"/>
      <c r="FS30" s="330"/>
      <c r="FT30" s="330"/>
      <c r="FU30" s="330"/>
      <c r="FV30" s="330"/>
      <c r="FW30" s="330"/>
      <c r="FX30" s="330"/>
      <c r="FY30" s="330"/>
      <c r="FZ30" s="330"/>
      <c r="GA30" s="330"/>
      <c r="GB30" s="330"/>
      <c r="GC30" s="330"/>
      <c r="GD30" s="330"/>
      <c r="GE30" s="330"/>
      <c r="GF30" s="330"/>
      <c r="GG30" s="330"/>
      <c r="GH30" s="330"/>
      <c r="GI30" s="330"/>
      <c r="GJ30" s="330"/>
      <c r="GK30" s="330"/>
      <c r="GL30" s="330"/>
      <c r="GM30" s="330"/>
      <c r="GN30" s="330"/>
      <c r="GO30" s="330"/>
      <c r="GP30" s="330"/>
      <c r="GQ30" s="330"/>
      <c r="GR30" s="330"/>
      <c r="GS30" s="330"/>
      <c r="GT30" s="330"/>
      <c r="GU30" s="330"/>
      <c r="GV30" s="330"/>
      <c r="GW30" s="330"/>
      <c r="GX30" s="330"/>
      <c r="GY30" s="330"/>
      <c r="GZ30" s="330"/>
      <c r="HA30" s="330"/>
      <c r="HB30" s="330"/>
      <c r="HC30" s="330"/>
      <c r="HD30" s="330"/>
      <c r="HE30" s="330"/>
      <c r="HF30" s="330"/>
      <c r="HG30" s="330"/>
      <c r="HH30" s="330"/>
      <c r="HI30" s="330"/>
      <c r="HJ30" s="330"/>
      <c r="HK30" s="330"/>
      <c r="HL30" s="330"/>
      <c r="HM30" s="330"/>
      <c r="HN30" s="330"/>
      <c r="HO30" s="330"/>
      <c r="HP30" s="330"/>
      <c r="HQ30" s="330"/>
      <c r="HR30" s="330"/>
      <c r="HS30" s="330"/>
      <c r="HT30" s="330"/>
      <c r="HU30" s="330"/>
      <c r="HV30" s="330"/>
      <c r="HW30" s="330"/>
      <c r="HX30" s="330"/>
      <c r="HY30" s="330"/>
      <c r="HZ30" s="330"/>
      <c r="IA30" s="330"/>
      <c r="IB30" s="330"/>
      <c r="IC30" s="330"/>
      <c r="ID30" s="330"/>
      <c r="IE30" s="330"/>
      <c r="IF30" s="330"/>
      <c r="IG30" s="330"/>
      <c r="IH30" s="330"/>
      <c r="II30" s="330"/>
      <c r="IJ30" s="330"/>
      <c r="IK30" s="330"/>
      <c r="IL30" s="330"/>
      <c r="IM30" s="330"/>
      <c r="IN30" s="330"/>
      <c r="IO30" s="330"/>
      <c r="IP30" s="330"/>
      <c r="IQ30" s="330"/>
      <c r="IR30" s="330"/>
      <c r="IS30" s="330"/>
      <c r="IT30" s="330"/>
      <c r="IU30" s="330"/>
      <c r="IV30" s="330"/>
      <c r="IW30" s="330"/>
      <c r="IX30" s="330"/>
      <c r="IY30" s="330"/>
      <c r="IZ30" s="330"/>
      <c r="JA30" s="330"/>
      <c r="JB30" s="330"/>
      <c r="JC30" s="330"/>
      <c r="JD30" s="330"/>
      <c r="JE30" s="330"/>
      <c r="JF30" s="330"/>
      <c r="JG30" s="330"/>
      <c r="JH30" s="330"/>
      <c r="JI30" s="330"/>
      <c r="JJ30" s="330"/>
      <c r="JK30" s="330"/>
      <c r="JL30" s="330"/>
      <c r="JM30" s="330"/>
      <c r="JN30" s="330"/>
      <c r="JO30" s="330"/>
      <c r="JP30" s="330"/>
      <c r="JQ30" s="330"/>
      <c r="JR30" s="330"/>
      <c r="JS30" s="330"/>
      <c r="JT30" s="330"/>
      <c r="JU30" s="330"/>
      <c r="JV30" s="330"/>
      <c r="JW30" s="330"/>
      <c r="JX30" s="330"/>
      <c r="JY30" s="330"/>
      <c r="JZ30" s="330"/>
      <c r="KA30" s="330"/>
      <c r="KB30" s="330"/>
      <c r="KC30" s="330"/>
      <c r="KD30" s="330"/>
      <c r="KE30" s="330"/>
      <c r="KF30" s="330"/>
      <c r="KG30" s="330"/>
      <c r="KH30" s="330"/>
      <c r="KI30" s="330"/>
      <c r="KJ30" s="330"/>
      <c r="KK30" s="330"/>
      <c r="KL30" s="330"/>
      <c r="KM30" s="330"/>
      <c r="KN30" s="330"/>
      <c r="KO30" s="330"/>
      <c r="KP30" s="330"/>
      <c r="KQ30" s="330"/>
      <c r="KR30" s="330"/>
      <c r="KS30" s="330"/>
      <c r="KT30" s="330"/>
      <c r="KU30" s="330"/>
      <c r="KV30" s="330"/>
      <c r="KW30" s="330"/>
      <c r="KX30" s="330"/>
      <c r="KY30" s="330"/>
      <c r="KZ30" s="330"/>
      <c r="LA30" s="330"/>
      <c r="LB30" s="330"/>
      <c r="LC30" s="330"/>
      <c r="LD30" s="330"/>
      <c r="LE30" s="330"/>
    </row>
    <row r="31" spans="1:317">
      <c r="A31" s="330"/>
      <c r="B31" s="330"/>
      <c r="C31" s="330"/>
      <c r="D31" s="330"/>
      <c r="E31" s="330"/>
      <c r="F31" s="872"/>
      <c r="G31" s="868"/>
      <c r="H31" s="1098"/>
      <c r="I31" s="1098"/>
      <c r="J31" s="1098"/>
      <c r="K31" s="1098"/>
      <c r="L31" s="1098"/>
      <c r="M31" s="1098"/>
      <c r="N31" s="878" t="s">
        <v>1155</v>
      </c>
      <c r="O31" s="881">
        <f>+'Calculador Selectivo'!B6</f>
        <v>1219.2</v>
      </c>
      <c r="P31" s="868"/>
      <c r="Q31" s="873"/>
      <c r="R31" s="330"/>
      <c r="S31" s="330"/>
      <c r="T31" s="330"/>
      <c r="U31" s="330"/>
      <c r="V31" s="330"/>
      <c r="W31" s="330"/>
      <c r="X31" s="330"/>
      <c r="Y31" s="330"/>
      <c r="Z31" s="330"/>
      <c r="AA31" s="330"/>
      <c r="AB31" s="330"/>
      <c r="AC31" s="330"/>
      <c r="AD31" s="330"/>
      <c r="AE31" s="330"/>
      <c r="AF31" s="330"/>
      <c r="AG31" s="330"/>
      <c r="AH31" s="330"/>
      <c r="AI31" s="330"/>
      <c r="AJ31" s="330"/>
      <c r="AK31" s="330"/>
      <c r="AL31" s="330"/>
      <c r="AM31" s="330"/>
      <c r="AN31" s="330"/>
      <c r="AO31" s="330"/>
      <c r="AP31" s="330"/>
      <c r="AQ31" s="330"/>
      <c r="AR31" s="330"/>
      <c r="AS31" s="330"/>
      <c r="AT31" s="330"/>
      <c r="AU31" s="330"/>
      <c r="AV31" s="330"/>
      <c r="AW31" s="330"/>
      <c r="AX31" s="330"/>
      <c r="AY31" s="330"/>
      <c r="AZ31" s="330"/>
      <c r="BA31" s="330"/>
      <c r="BB31" s="330"/>
      <c r="BC31" s="330"/>
      <c r="BD31" s="330"/>
      <c r="BE31" s="330"/>
      <c r="BF31" s="330"/>
      <c r="BG31" s="330"/>
      <c r="BH31" s="330"/>
      <c r="BI31" s="330"/>
      <c r="BJ31" s="330"/>
      <c r="BK31" s="330"/>
      <c r="BL31" s="330"/>
      <c r="BM31" s="330"/>
      <c r="BN31" s="330"/>
      <c r="BO31" s="330"/>
      <c r="BP31" s="330"/>
      <c r="BQ31" s="330"/>
      <c r="BR31" s="330"/>
      <c r="BS31" s="330"/>
      <c r="BT31" s="330"/>
      <c r="BU31" s="330"/>
      <c r="BV31" s="330"/>
      <c r="BW31" s="330"/>
      <c r="BX31" s="330"/>
      <c r="BY31" s="330"/>
      <c r="BZ31" s="330"/>
      <c r="CA31" s="330"/>
      <c r="CB31" s="330"/>
      <c r="CC31" s="330"/>
      <c r="CD31" s="330"/>
      <c r="CE31" s="330"/>
      <c r="CF31" s="330"/>
      <c r="CG31" s="330"/>
      <c r="CH31" s="330"/>
      <c r="CI31" s="330"/>
      <c r="CJ31" s="330"/>
      <c r="CK31" s="330"/>
      <c r="CL31" s="330"/>
      <c r="CM31" s="330"/>
      <c r="CN31" s="330"/>
      <c r="CO31" s="330"/>
      <c r="CP31" s="330"/>
      <c r="CQ31" s="330"/>
      <c r="CR31" s="330"/>
      <c r="CS31" s="330"/>
      <c r="CT31" s="330"/>
      <c r="CU31" s="330"/>
      <c r="CV31" s="330"/>
      <c r="CW31" s="330"/>
      <c r="CX31" s="330"/>
      <c r="CY31" s="330"/>
      <c r="CZ31" s="330"/>
      <c r="DA31" s="330"/>
      <c r="DB31" s="330"/>
      <c r="DC31" s="330"/>
      <c r="DD31" s="330"/>
      <c r="DE31" s="330"/>
      <c r="DF31" s="330"/>
      <c r="DG31" s="330"/>
      <c r="DH31" s="330"/>
      <c r="DI31" s="330"/>
      <c r="DJ31" s="330"/>
      <c r="DK31" s="330"/>
      <c r="DL31" s="330"/>
      <c r="DM31" s="330"/>
      <c r="DN31" s="330"/>
      <c r="DO31" s="330"/>
      <c r="DP31" s="330"/>
      <c r="DQ31" s="330"/>
      <c r="DR31" s="330"/>
      <c r="DS31" s="330"/>
      <c r="DT31" s="330"/>
      <c r="DU31" s="330"/>
      <c r="DV31" s="330"/>
      <c r="DW31" s="330"/>
      <c r="DX31" s="330"/>
      <c r="DY31" s="330"/>
      <c r="DZ31" s="330"/>
      <c r="EA31" s="330"/>
      <c r="EB31" s="330"/>
      <c r="EC31" s="330"/>
      <c r="ED31" s="330"/>
      <c r="EE31" s="330"/>
      <c r="EF31" s="330"/>
      <c r="EG31" s="330"/>
      <c r="EH31" s="330"/>
      <c r="EI31" s="330"/>
      <c r="EJ31" s="330"/>
      <c r="EK31" s="330"/>
      <c r="EL31" s="330"/>
      <c r="EM31" s="330"/>
      <c r="EN31" s="330"/>
      <c r="EO31" s="330"/>
      <c r="EP31" s="330"/>
      <c r="EQ31" s="330"/>
      <c r="ER31" s="330"/>
      <c r="ES31" s="330"/>
      <c r="ET31" s="330"/>
      <c r="EU31" s="330"/>
      <c r="EV31" s="330"/>
      <c r="EW31" s="330"/>
      <c r="EX31" s="330"/>
      <c r="EY31" s="330"/>
      <c r="EZ31" s="330"/>
      <c r="FA31" s="330"/>
      <c r="FB31" s="330"/>
      <c r="FC31" s="330"/>
      <c r="FD31" s="330"/>
      <c r="FE31" s="330"/>
      <c r="FF31" s="330"/>
      <c r="FG31" s="330"/>
      <c r="FH31" s="330"/>
      <c r="FI31" s="330"/>
      <c r="FJ31" s="330"/>
      <c r="FK31" s="330"/>
      <c r="FL31" s="330"/>
      <c r="FM31" s="330"/>
      <c r="FN31" s="330"/>
      <c r="FO31" s="330"/>
      <c r="FP31" s="330"/>
      <c r="FQ31" s="330"/>
      <c r="FR31" s="330"/>
      <c r="FS31" s="330"/>
      <c r="FT31" s="330"/>
      <c r="FU31" s="330"/>
      <c r="FV31" s="330"/>
      <c r="FW31" s="330"/>
      <c r="FX31" s="330"/>
      <c r="FY31" s="330"/>
      <c r="FZ31" s="330"/>
      <c r="GA31" s="330"/>
      <c r="GB31" s="330"/>
      <c r="GC31" s="330"/>
      <c r="GD31" s="330"/>
      <c r="GE31" s="330"/>
      <c r="GF31" s="330"/>
      <c r="GG31" s="330"/>
      <c r="GH31" s="330"/>
      <c r="GI31" s="330"/>
      <c r="GJ31" s="330"/>
      <c r="GK31" s="330"/>
      <c r="GL31" s="330"/>
      <c r="GM31" s="330"/>
      <c r="GN31" s="330"/>
      <c r="GO31" s="330"/>
      <c r="GP31" s="330"/>
      <c r="GQ31" s="330"/>
      <c r="GR31" s="330"/>
      <c r="GS31" s="330"/>
      <c r="GT31" s="330"/>
      <c r="GU31" s="330"/>
      <c r="GV31" s="330"/>
      <c r="GW31" s="330"/>
      <c r="GX31" s="330"/>
      <c r="GY31" s="330"/>
      <c r="GZ31" s="330"/>
      <c r="HA31" s="330"/>
      <c r="HB31" s="330"/>
      <c r="HC31" s="330"/>
      <c r="HD31" s="330"/>
      <c r="HE31" s="330"/>
      <c r="HF31" s="330"/>
      <c r="HG31" s="330"/>
      <c r="HH31" s="330"/>
      <c r="HI31" s="330"/>
      <c r="HJ31" s="330"/>
      <c r="HK31" s="330"/>
      <c r="HL31" s="330"/>
      <c r="HM31" s="330"/>
      <c r="HN31" s="330"/>
      <c r="HO31" s="330"/>
      <c r="HP31" s="330"/>
      <c r="HQ31" s="330"/>
      <c r="HR31" s="330"/>
      <c r="HS31" s="330"/>
      <c r="HT31" s="330"/>
      <c r="HU31" s="330"/>
      <c r="HV31" s="330"/>
      <c r="HW31" s="330"/>
      <c r="HX31" s="330"/>
      <c r="HY31" s="330"/>
      <c r="HZ31" s="330"/>
      <c r="IA31" s="330"/>
      <c r="IB31" s="330"/>
      <c r="IC31" s="330"/>
      <c r="ID31" s="330"/>
      <c r="IE31" s="330"/>
      <c r="IF31" s="330"/>
      <c r="IG31" s="330"/>
      <c r="IH31" s="330"/>
      <c r="II31" s="330"/>
      <c r="IJ31" s="330"/>
      <c r="IK31" s="330"/>
      <c r="IL31" s="330"/>
      <c r="IM31" s="330"/>
      <c r="IN31" s="330"/>
      <c r="IO31" s="330"/>
      <c r="IP31" s="330"/>
      <c r="IQ31" s="330"/>
      <c r="IR31" s="330"/>
      <c r="IS31" s="330"/>
      <c r="IT31" s="330"/>
      <c r="IU31" s="330"/>
      <c r="IV31" s="330"/>
      <c r="IW31" s="330"/>
      <c r="IX31" s="330"/>
      <c r="IY31" s="330"/>
      <c r="IZ31" s="330"/>
      <c r="JA31" s="330"/>
      <c r="JB31" s="330"/>
      <c r="JC31" s="330"/>
      <c r="JD31" s="330"/>
      <c r="JE31" s="330"/>
      <c r="JF31" s="330"/>
      <c r="JG31" s="330"/>
      <c r="JH31" s="330"/>
      <c r="JI31" s="330"/>
      <c r="JJ31" s="330"/>
      <c r="JK31" s="330"/>
      <c r="JL31" s="330"/>
      <c r="JM31" s="330"/>
      <c r="JN31" s="330"/>
      <c r="JO31" s="330"/>
      <c r="JP31" s="330"/>
      <c r="JQ31" s="330"/>
      <c r="JR31" s="330"/>
      <c r="JS31" s="330"/>
      <c r="JT31" s="330"/>
      <c r="JU31" s="330"/>
      <c r="JV31" s="330"/>
      <c r="JW31" s="330"/>
      <c r="JX31" s="330"/>
      <c r="JY31" s="330"/>
      <c r="JZ31" s="330"/>
      <c r="KA31" s="330"/>
      <c r="KB31" s="330"/>
      <c r="KC31" s="330"/>
      <c r="KD31" s="330"/>
      <c r="KE31" s="330"/>
      <c r="KF31" s="330"/>
      <c r="KG31" s="330"/>
      <c r="KH31" s="330"/>
      <c r="KI31" s="330"/>
      <c r="KJ31" s="330"/>
      <c r="KK31" s="330"/>
      <c r="KL31" s="330"/>
      <c r="KM31" s="330"/>
      <c r="KN31" s="330"/>
      <c r="KO31" s="330"/>
      <c r="KP31" s="330"/>
      <c r="KQ31" s="330"/>
      <c r="KR31" s="330"/>
      <c r="KS31" s="330"/>
      <c r="KT31" s="330"/>
      <c r="KU31" s="330"/>
      <c r="KV31" s="330"/>
      <c r="KW31" s="330"/>
      <c r="KX31" s="330"/>
      <c r="KY31" s="330"/>
      <c r="KZ31" s="330"/>
      <c r="LA31" s="330"/>
      <c r="LB31" s="330"/>
      <c r="LC31" s="330"/>
      <c r="LD31" s="330"/>
      <c r="LE31" s="330"/>
    </row>
    <row r="32" spans="1:317" ht="15" thickBot="1">
      <c r="A32" s="330"/>
      <c r="B32" s="330"/>
      <c r="C32" s="330"/>
      <c r="D32" s="330"/>
      <c r="E32" s="330"/>
      <c r="F32" s="874"/>
      <c r="G32" s="875"/>
      <c r="H32" s="1099"/>
      <c r="I32" s="1099"/>
      <c r="J32" s="1099"/>
      <c r="K32" s="1099"/>
      <c r="L32" s="1099"/>
      <c r="M32" s="1099"/>
      <c r="N32" s="879" t="s">
        <v>139</v>
      </c>
      <c r="O32" s="882">
        <f>+'Calculador Selectivo'!B7</f>
        <v>1600</v>
      </c>
      <c r="P32" s="875"/>
      <c r="Q32" s="876"/>
      <c r="R32" s="330"/>
      <c r="S32" s="330"/>
      <c r="T32" s="330"/>
      <c r="U32" s="330"/>
      <c r="V32" s="330"/>
      <c r="W32" s="330"/>
      <c r="X32" s="330"/>
      <c r="Y32" s="330"/>
      <c r="Z32" s="330"/>
      <c r="AA32" s="330"/>
      <c r="AB32" s="330"/>
      <c r="AC32" s="330"/>
      <c r="AD32" s="330"/>
      <c r="AE32" s="330"/>
      <c r="AF32" s="330"/>
      <c r="AG32" s="330"/>
      <c r="AH32" s="330"/>
      <c r="AI32" s="330"/>
      <c r="AJ32" s="330"/>
      <c r="AK32" s="330"/>
      <c r="AL32" s="330"/>
      <c r="AM32" s="330"/>
      <c r="AN32" s="330"/>
      <c r="AO32" s="330"/>
      <c r="AP32" s="330"/>
      <c r="AQ32" s="330"/>
      <c r="AR32" s="330"/>
      <c r="AS32" s="330"/>
      <c r="AT32" s="330"/>
      <c r="AU32" s="330"/>
      <c r="AV32" s="330"/>
      <c r="AW32" s="330"/>
      <c r="AX32" s="330"/>
      <c r="AY32" s="330"/>
      <c r="AZ32" s="330"/>
      <c r="BA32" s="330"/>
      <c r="BB32" s="330"/>
      <c r="BC32" s="330"/>
      <c r="BD32" s="330"/>
      <c r="BE32" s="330"/>
      <c r="BF32" s="330"/>
      <c r="BG32" s="330"/>
      <c r="BH32" s="330"/>
      <c r="BI32" s="330"/>
      <c r="BJ32" s="330"/>
      <c r="BK32" s="330"/>
      <c r="BL32" s="330"/>
      <c r="BM32" s="330"/>
      <c r="BN32" s="330"/>
      <c r="BO32" s="330"/>
      <c r="BP32" s="330"/>
      <c r="BQ32" s="330"/>
      <c r="BR32" s="330"/>
      <c r="BS32" s="330"/>
      <c r="BT32" s="330"/>
      <c r="BU32" s="330"/>
      <c r="BV32" s="330"/>
      <c r="BW32" s="330"/>
      <c r="BX32" s="330"/>
      <c r="BY32" s="330"/>
      <c r="BZ32" s="330"/>
      <c r="CA32" s="330"/>
      <c r="CB32" s="330"/>
      <c r="CC32" s="330"/>
      <c r="CD32" s="330"/>
      <c r="CE32" s="330"/>
      <c r="CF32" s="330"/>
      <c r="CG32" s="330"/>
      <c r="CH32" s="330"/>
      <c r="CI32" s="330"/>
      <c r="CJ32" s="330"/>
      <c r="CK32" s="330"/>
      <c r="CL32" s="330"/>
      <c r="CM32" s="330"/>
      <c r="CN32" s="330"/>
      <c r="CO32" s="330"/>
      <c r="CP32" s="330"/>
      <c r="CQ32" s="330"/>
      <c r="CR32" s="330"/>
      <c r="CS32" s="330"/>
      <c r="CT32" s="330"/>
      <c r="CU32" s="330"/>
      <c r="CV32" s="330"/>
      <c r="CW32" s="330"/>
      <c r="CX32" s="330"/>
      <c r="CY32" s="330"/>
      <c r="CZ32" s="330"/>
      <c r="DA32" s="330"/>
      <c r="DB32" s="330"/>
      <c r="DC32" s="330"/>
      <c r="DD32" s="330"/>
      <c r="DE32" s="330"/>
      <c r="DF32" s="330"/>
      <c r="DG32" s="330"/>
      <c r="DH32" s="330"/>
      <c r="DI32" s="330"/>
      <c r="DJ32" s="330"/>
      <c r="DK32" s="330"/>
      <c r="DL32" s="330"/>
      <c r="DM32" s="330"/>
      <c r="DN32" s="330"/>
      <c r="DO32" s="330"/>
      <c r="DP32" s="330"/>
      <c r="DQ32" s="330"/>
      <c r="DR32" s="330"/>
      <c r="DS32" s="330"/>
      <c r="DT32" s="330"/>
      <c r="DU32" s="330"/>
      <c r="DV32" s="330"/>
      <c r="DW32" s="330"/>
      <c r="DX32" s="330"/>
      <c r="DY32" s="330"/>
      <c r="DZ32" s="330"/>
      <c r="EA32" s="330"/>
      <c r="EB32" s="330"/>
      <c r="EC32" s="330"/>
      <c r="ED32" s="330"/>
      <c r="EE32" s="330"/>
      <c r="EF32" s="330"/>
      <c r="EG32" s="330"/>
      <c r="EH32" s="330"/>
      <c r="EI32" s="330"/>
      <c r="EJ32" s="330"/>
      <c r="EK32" s="330"/>
      <c r="EL32" s="330"/>
      <c r="EM32" s="330"/>
      <c r="EN32" s="330"/>
      <c r="EO32" s="330"/>
      <c r="EP32" s="330"/>
      <c r="EQ32" s="330"/>
      <c r="ER32" s="330"/>
      <c r="ES32" s="330"/>
      <c r="ET32" s="330"/>
      <c r="EU32" s="330"/>
      <c r="EV32" s="330"/>
      <c r="EW32" s="330"/>
      <c r="EX32" s="330"/>
      <c r="EY32" s="330"/>
      <c r="EZ32" s="330"/>
      <c r="FA32" s="330"/>
      <c r="FB32" s="330"/>
      <c r="FC32" s="330"/>
      <c r="FD32" s="330"/>
      <c r="FE32" s="330"/>
      <c r="FF32" s="330"/>
      <c r="FG32" s="330"/>
      <c r="FH32" s="330"/>
      <c r="FI32" s="330"/>
      <c r="FJ32" s="330"/>
      <c r="FK32" s="330"/>
      <c r="FL32" s="330"/>
      <c r="FM32" s="330"/>
      <c r="FN32" s="330"/>
      <c r="FO32" s="330"/>
      <c r="FP32" s="330"/>
      <c r="FQ32" s="330"/>
      <c r="FR32" s="330"/>
      <c r="FS32" s="330"/>
      <c r="FT32" s="330"/>
      <c r="FU32" s="330"/>
      <c r="FV32" s="330"/>
      <c r="FW32" s="330"/>
      <c r="FX32" s="330"/>
      <c r="FY32" s="330"/>
      <c r="FZ32" s="330"/>
      <c r="GA32" s="330"/>
      <c r="GB32" s="330"/>
      <c r="GC32" s="330"/>
      <c r="GD32" s="330"/>
      <c r="GE32" s="330"/>
      <c r="GF32" s="330"/>
      <c r="GG32" s="330"/>
      <c r="GH32" s="330"/>
      <c r="GI32" s="330"/>
      <c r="GJ32" s="330"/>
      <c r="GK32" s="330"/>
      <c r="GL32" s="330"/>
      <c r="GM32" s="330"/>
      <c r="GN32" s="330"/>
      <c r="GO32" s="330"/>
      <c r="GP32" s="330"/>
      <c r="GQ32" s="330"/>
      <c r="GR32" s="330"/>
      <c r="GS32" s="330"/>
      <c r="GT32" s="330"/>
      <c r="GU32" s="330"/>
      <c r="GV32" s="330"/>
      <c r="GW32" s="330"/>
      <c r="GX32" s="330"/>
      <c r="GY32" s="330"/>
      <c r="GZ32" s="330"/>
      <c r="HA32" s="330"/>
      <c r="HB32" s="330"/>
      <c r="HC32" s="330"/>
      <c r="HD32" s="330"/>
      <c r="HE32" s="330"/>
      <c r="HF32" s="330"/>
      <c r="HG32" s="330"/>
      <c r="HH32" s="330"/>
      <c r="HI32" s="330"/>
      <c r="HJ32" s="330"/>
      <c r="HK32" s="330"/>
      <c r="HL32" s="330"/>
      <c r="HM32" s="330"/>
      <c r="HN32" s="330"/>
      <c r="HO32" s="330"/>
      <c r="HP32" s="330"/>
      <c r="HQ32" s="330"/>
      <c r="HR32" s="330"/>
      <c r="HS32" s="330"/>
      <c r="HT32" s="330"/>
      <c r="HU32" s="330"/>
      <c r="HV32" s="330"/>
      <c r="HW32" s="330"/>
      <c r="HX32" s="330"/>
      <c r="HY32" s="330"/>
      <c r="HZ32" s="330"/>
      <c r="IA32" s="330"/>
      <c r="IB32" s="330"/>
      <c r="IC32" s="330"/>
      <c r="ID32" s="330"/>
      <c r="IE32" s="330"/>
      <c r="IF32" s="330"/>
      <c r="IG32" s="330"/>
      <c r="IH32" s="330"/>
      <c r="II32" s="330"/>
      <c r="IJ32" s="330"/>
      <c r="IK32" s="330"/>
      <c r="IL32" s="330"/>
      <c r="IM32" s="330"/>
      <c r="IN32" s="330"/>
      <c r="IO32" s="330"/>
      <c r="IP32" s="330"/>
      <c r="IQ32" s="330"/>
      <c r="IR32" s="330"/>
      <c r="IS32" s="330"/>
      <c r="IT32" s="330"/>
      <c r="IU32" s="330"/>
      <c r="IV32" s="330"/>
      <c r="IW32" s="330"/>
      <c r="IX32" s="330"/>
      <c r="IY32" s="330"/>
      <c r="IZ32" s="330"/>
      <c r="JA32" s="330"/>
      <c r="JB32" s="330"/>
      <c r="JC32" s="330"/>
      <c r="JD32" s="330"/>
      <c r="JE32" s="330"/>
      <c r="JF32" s="330"/>
      <c r="JG32" s="330"/>
      <c r="JH32" s="330"/>
      <c r="JI32" s="330"/>
      <c r="JJ32" s="330"/>
      <c r="JK32" s="330"/>
      <c r="JL32" s="330"/>
      <c r="JM32" s="330"/>
      <c r="JN32" s="330"/>
      <c r="JO32" s="330"/>
      <c r="JP32" s="330"/>
      <c r="JQ32" s="330"/>
      <c r="JR32" s="330"/>
      <c r="JS32" s="330"/>
      <c r="JT32" s="330"/>
      <c r="JU32" s="330"/>
      <c r="JV32" s="330"/>
      <c r="JW32" s="330"/>
      <c r="JX32" s="330"/>
      <c r="JY32" s="330"/>
      <c r="JZ32" s="330"/>
      <c r="KA32" s="330"/>
      <c r="KB32" s="330"/>
      <c r="KC32" s="330"/>
      <c r="KD32" s="330"/>
      <c r="KE32" s="330"/>
      <c r="KF32" s="330"/>
      <c r="KG32" s="330"/>
      <c r="KH32" s="330"/>
      <c r="KI32" s="330"/>
      <c r="KJ32" s="330"/>
      <c r="KK32" s="330"/>
      <c r="KL32" s="330"/>
      <c r="KM32" s="330"/>
      <c r="KN32" s="330"/>
      <c r="KO32" s="330"/>
      <c r="KP32" s="330"/>
      <c r="KQ32" s="330"/>
      <c r="KR32" s="330"/>
      <c r="KS32" s="330"/>
      <c r="KT32" s="330"/>
      <c r="KU32" s="330"/>
      <c r="KV32" s="330"/>
      <c r="KW32" s="330"/>
      <c r="KX32" s="330"/>
      <c r="KY32" s="330"/>
      <c r="KZ32" s="330"/>
      <c r="LA32" s="330"/>
      <c r="LB32" s="330"/>
      <c r="LC32" s="330"/>
      <c r="LD32" s="330"/>
      <c r="LE32" s="330"/>
    </row>
    <row r="33" spans="1:317">
      <c r="A33" s="330"/>
      <c r="B33" s="330"/>
      <c r="C33" s="330"/>
      <c r="D33" s="330"/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0"/>
      <c r="AV33" s="330"/>
      <c r="AW33" s="330"/>
      <c r="AX33" s="330"/>
      <c r="AY33" s="330"/>
      <c r="AZ33" s="330"/>
      <c r="BA33" s="330"/>
      <c r="BB33" s="330"/>
      <c r="BC33" s="330"/>
      <c r="BD33" s="330"/>
      <c r="BE33" s="330"/>
      <c r="BF33" s="330"/>
      <c r="BG33" s="330"/>
      <c r="BH33" s="330"/>
      <c r="BI33" s="330"/>
      <c r="BJ33" s="330"/>
      <c r="BK33" s="330"/>
      <c r="BL33" s="330"/>
      <c r="BM33" s="330"/>
      <c r="BN33" s="330"/>
      <c r="BO33" s="330"/>
      <c r="BP33" s="330"/>
      <c r="BQ33" s="330"/>
      <c r="BR33" s="330"/>
      <c r="BS33" s="330"/>
      <c r="BT33" s="330"/>
      <c r="BU33" s="330"/>
      <c r="BV33" s="330"/>
      <c r="BW33" s="330"/>
      <c r="BX33" s="330"/>
      <c r="BY33" s="330"/>
      <c r="BZ33" s="330"/>
      <c r="CA33" s="330"/>
      <c r="CB33" s="330"/>
      <c r="CC33" s="330"/>
      <c r="CD33" s="330"/>
      <c r="CE33" s="330"/>
      <c r="CF33" s="330"/>
      <c r="CG33" s="330"/>
      <c r="CH33" s="330"/>
      <c r="CI33" s="330"/>
      <c r="CJ33" s="330"/>
      <c r="CK33" s="330"/>
      <c r="CL33" s="330"/>
      <c r="CM33" s="330"/>
      <c r="CN33" s="330"/>
      <c r="CO33" s="330"/>
      <c r="CP33" s="330"/>
      <c r="CQ33" s="330"/>
      <c r="CR33" s="330"/>
      <c r="CS33" s="330"/>
      <c r="CT33" s="330"/>
      <c r="CU33" s="330"/>
      <c r="CV33" s="330"/>
      <c r="CW33" s="330"/>
      <c r="CX33" s="330"/>
      <c r="CY33" s="330"/>
      <c r="CZ33" s="330"/>
      <c r="DA33" s="330"/>
      <c r="DB33" s="330"/>
      <c r="DC33" s="330"/>
      <c r="DD33" s="330"/>
      <c r="DE33" s="330"/>
      <c r="DF33" s="330"/>
      <c r="DG33" s="330"/>
      <c r="DH33" s="330"/>
      <c r="DI33" s="330"/>
      <c r="DJ33" s="330"/>
      <c r="DK33" s="330"/>
      <c r="DL33" s="330"/>
      <c r="DM33" s="330"/>
      <c r="DN33" s="330"/>
      <c r="DO33" s="330"/>
      <c r="DP33" s="330"/>
      <c r="DQ33" s="330"/>
      <c r="DR33" s="330"/>
      <c r="DS33" s="330"/>
      <c r="DT33" s="330"/>
      <c r="DU33" s="330"/>
      <c r="DV33" s="330"/>
      <c r="DW33" s="330"/>
      <c r="DX33" s="330"/>
      <c r="DY33" s="330"/>
      <c r="DZ33" s="330"/>
      <c r="EA33" s="330"/>
      <c r="EB33" s="330"/>
      <c r="EC33" s="330"/>
      <c r="ED33" s="330"/>
      <c r="EE33" s="330"/>
      <c r="EF33" s="330"/>
      <c r="EG33" s="330"/>
      <c r="EH33" s="330"/>
      <c r="EI33" s="330"/>
      <c r="EJ33" s="330"/>
      <c r="EK33" s="330"/>
      <c r="EL33" s="330"/>
      <c r="EM33" s="330"/>
      <c r="EN33" s="330"/>
      <c r="EO33" s="330"/>
      <c r="EP33" s="330"/>
      <c r="EQ33" s="330"/>
      <c r="ER33" s="330"/>
      <c r="ES33" s="330"/>
      <c r="ET33" s="330"/>
      <c r="EU33" s="330"/>
      <c r="EV33" s="330"/>
      <c r="EW33" s="330"/>
      <c r="EX33" s="330"/>
      <c r="EY33" s="330"/>
      <c r="EZ33" s="330"/>
      <c r="FA33" s="330"/>
      <c r="FB33" s="330"/>
      <c r="FC33" s="330"/>
      <c r="FD33" s="330"/>
      <c r="FE33" s="330"/>
      <c r="FF33" s="330"/>
      <c r="FG33" s="330"/>
      <c r="FH33" s="330"/>
      <c r="FI33" s="330"/>
      <c r="FJ33" s="330"/>
      <c r="FK33" s="330"/>
      <c r="FL33" s="330"/>
      <c r="FM33" s="330"/>
      <c r="FN33" s="330"/>
      <c r="FO33" s="330"/>
      <c r="FP33" s="330"/>
      <c r="FQ33" s="330"/>
      <c r="FR33" s="330"/>
      <c r="FS33" s="330"/>
      <c r="FT33" s="330"/>
      <c r="FU33" s="330"/>
      <c r="FV33" s="330"/>
      <c r="FW33" s="330"/>
      <c r="FX33" s="330"/>
      <c r="FY33" s="330"/>
      <c r="FZ33" s="330"/>
      <c r="GA33" s="330"/>
      <c r="GB33" s="330"/>
      <c r="GC33" s="330"/>
      <c r="GD33" s="330"/>
      <c r="GE33" s="330"/>
      <c r="GF33" s="330"/>
      <c r="GG33" s="330"/>
      <c r="GH33" s="330"/>
      <c r="GI33" s="330"/>
      <c r="GJ33" s="330"/>
      <c r="GK33" s="330"/>
      <c r="GL33" s="330"/>
      <c r="GM33" s="330"/>
      <c r="GN33" s="330"/>
      <c r="GO33" s="330"/>
      <c r="GP33" s="330"/>
      <c r="GQ33" s="330"/>
      <c r="GR33" s="330"/>
      <c r="GS33" s="330"/>
      <c r="GT33" s="330"/>
      <c r="GU33" s="330"/>
      <c r="GV33" s="330"/>
      <c r="GW33" s="330"/>
      <c r="GX33" s="330"/>
      <c r="GY33" s="330"/>
      <c r="GZ33" s="330"/>
      <c r="HA33" s="330"/>
      <c r="HB33" s="330"/>
      <c r="HC33" s="330"/>
      <c r="HD33" s="330"/>
      <c r="HE33" s="330"/>
      <c r="HF33" s="330"/>
      <c r="HG33" s="330"/>
      <c r="HH33" s="330"/>
      <c r="HI33" s="330"/>
      <c r="HJ33" s="330"/>
      <c r="HK33" s="330"/>
      <c r="HL33" s="330"/>
      <c r="HM33" s="330"/>
      <c r="HN33" s="330"/>
      <c r="HO33" s="330"/>
      <c r="HP33" s="330"/>
      <c r="HQ33" s="330"/>
      <c r="HR33" s="330"/>
      <c r="HS33" s="330"/>
      <c r="HT33" s="330"/>
      <c r="HU33" s="330"/>
      <c r="HV33" s="330"/>
      <c r="HW33" s="330"/>
      <c r="HX33" s="330"/>
      <c r="HY33" s="330"/>
      <c r="HZ33" s="330"/>
      <c r="IA33" s="330"/>
      <c r="IB33" s="330"/>
      <c r="IC33" s="330"/>
      <c r="ID33" s="330"/>
      <c r="IE33" s="330"/>
      <c r="IF33" s="330"/>
      <c r="IG33" s="330"/>
      <c r="IH33" s="330"/>
      <c r="II33" s="330"/>
      <c r="IJ33" s="330"/>
      <c r="IK33" s="330"/>
      <c r="IL33" s="330"/>
      <c r="IM33" s="330"/>
      <c r="IN33" s="330"/>
      <c r="IO33" s="330"/>
      <c r="IP33" s="330"/>
      <c r="IQ33" s="330"/>
      <c r="IR33" s="330"/>
      <c r="IS33" s="330"/>
      <c r="IT33" s="330"/>
      <c r="IU33" s="330"/>
      <c r="IV33" s="330"/>
      <c r="IW33" s="330"/>
      <c r="IX33" s="330"/>
      <c r="IY33" s="330"/>
      <c r="IZ33" s="330"/>
      <c r="JA33" s="330"/>
      <c r="JB33" s="330"/>
      <c r="JC33" s="330"/>
      <c r="JD33" s="330"/>
      <c r="JE33" s="330"/>
      <c r="JF33" s="330"/>
      <c r="JG33" s="330"/>
      <c r="JH33" s="330"/>
      <c r="JI33" s="330"/>
      <c r="JJ33" s="330"/>
      <c r="JK33" s="330"/>
      <c r="JL33" s="330"/>
      <c r="JM33" s="330"/>
      <c r="JN33" s="330"/>
      <c r="JO33" s="330"/>
      <c r="JP33" s="330"/>
      <c r="JQ33" s="330"/>
      <c r="JR33" s="330"/>
      <c r="JS33" s="330"/>
      <c r="JT33" s="330"/>
      <c r="JU33" s="330"/>
      <c r="JV33" s="330"/>
      <c r="JW33" s="330"/>
      <c r="JX33" s="330"/>
      <c r="JY33" s="330"/>
      <c r="JZ33" s="330"/>
      <c r="KA33" s="330"/>
      <c r="KB33" s="330"/>
      <c r="KC33" s="330"/>
      <c r="KD33" s="330"/>
      <c r="KE33" s="330"/>
      <c r="KF33" s="330"/>
      <c r="KG33" s="330"/>
      <c r="KH33" s="330"/>
      <c r="KI33" s="330"/>
      <c r="KJ33" s="330"/>
      <c r="KK33" s="330"/>
      <c r="KL33" s="330"/>
      <c r="KM33" s="330"/>
      <c r="KN33" s="330"/>
      <c r="KO33" s="330"/>
      <c r="KP33" s="330"/>
      <c r="KQ33" s="330"/>
      <c r="KR33" s="330"/>
      <c r="KS33" s="330"/>
      <c r="KT33" s="330"/>
      <c r="KU33" s="330"/>
      <c r="KV33" s="330"/>
      <c r="KW33" s="330"/>
      <c r="KX33" s="330"/>
      <c r="KY33" s="330"/>
      <c r="KZ33" s="330"/>
      <c r="LA33" s="330"/>
      <c r="LB33" s="330"/>
      <c r="LC33" s="330"/>
      <c r="LD33" s="330"/>
      <c r="LE33" s="330"/>
    </row>
    <row r="34" spans="1:317">
      <c r="A34" s="330"/>
      <c r="B34" s="330"/>
      <c r="C34" s="330"/>
      <c r="D34" s="330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0"/>
      <c r="Y34" s="330"/>
      <c r="Z34" s="330"/>
      <c r="AA34" s="330"/>
      <c r="AB34" s="330"/>
      <c r="AC34" s="330"/>
      <c r="AD34" s="330"/>
      <c r="AE34" s="330"/>
      <c r="AF34" s="330"/>
      <c r="AG34" s="330"/>
      <c r="AH34" s="330"/>
      <c r="AI34" s="330"/>
      <c r="AJ34" s="330"/>
      <c r="AK34" s="330"/>
      <c r="AL34" s="330"/>
      <c r="AM34" s="330"/>
      <c r="AN34" s="330"/>
      <c r="AO34" s="330"/>
      <c r="AP34" s="330"/>
      <c r="AQ34" s="330"/>
      <c r="AR34" s="330"/>
      <c r="AS34" s="330"/>
      <c r="AT34" s="330"/>
      <c r="AU34" s="330"/>
      <c r="AV34" s="330"/>
      <c r="AW34" s="330"/>
      <c r="AX34" s="330"/>
      <c r="AY34" s="330"/>
      <c r="AZ34" s="330"/>
      <c r="BA34" s="330"/>
      <c r="BB34" s="330"/>
      <c r="BC34" s="330"/>
      <c r="BD34" s="330"/>
      <c r="BE34" s="330"/>
      <c r="BF34" s="330"/>
      <c r="BG34" s="330"/>
      <c r="BH34" s="330"/>
      <c r="BI34" s="330"/>
      <c r="BJ34" s="330"/>
      <c r="BK34" s="330"/>
      <c r="BL34" s="330"/>
      <c r="BM34" s="330"/>
      <c r="BN34" s="330"/>
      <c r="BO34" s="330"/>
      <c r="BP34" s="330"/>
      <c r="BQ34" s="330"/>
      <c r="BR34" s="330"/>
      <c r="BS34" s="330"/>
      <c r="BT34" s="330"/>
      <c r="BU34" s="330"/>
      <c r="BV34" s="330"/>
      <c r="BW34" s="330"/>
      <c r="BX34" s="330"/>
      <c r="BY34" s="330"/>
      <c r="BZ34" s="330"/>
      <c r="CA34" s="330"/>
      <c r="CB34" s="330"/>
      <c r="CC34" s="330"/>
      <c r="CD34" s="330"/>
      <c r="CE34" s="330"/>
      <c r="CF34" s="330"/>
      <c r="CG34" s="330"/>
      <c r="CH34" s="330"/>
      <c r="CI34" s="330"/>
      <c r="CJ34" s="330"/>
      <c r="CK34" s="330"/>
      <c r="CL34" s="330"/>
      <c r="CM34" s="330"/>
      <c r="CN34" s="330"/>
      <c r="CO34" s="330"/>
      <c r="CP34" s="330"/>
      <c r="CQ34" s="330"/>
      <c r="CR34" s="330"/>
      <c r="CS34" s="330"/>
      <c r="CT34" s="330"/>
      <c r="CU34" s="330"/>
      <c r="CV34" s="330"/>
      <c r="CW34" s="330"/>
      <c r="CX34" s="330"/>
      <c r="CY34" s="330"/>
      <c r="CZ34" s="330"/>
      <c r="DA34" s="330"/>
      <c r="DB34" s="330"/>
      <c r="DC34" s="330"/>
      <c r="DD34" s="330"/>
      <c r="DE34" s="330"/>
      <c r="DF34" s="330"/>
      <c r="DG34" s="330"/>
      <c r="DH34" s="330"/>
      <c r="DI34" s="330"/>
      <c r="DJ34" s="330"/>
      <c r="DK34" s="330"/>
      <c r="DL34" s="330"/>
      <c r="DM34" s="330"/>
      <c r="DN34" s="330"/>
      <c r="DO34" s="330"/>
      <c r="DP34" s="330"/>
      <c r="DQ34" s="330"/>
      <c r="DR34" s="330"/>
      <c r="DS34" s="330"/>
      <c r="DT34" s="330"/>
      <c r="DU34" s="330"/>
      <c r="DV34" s="330"/>
      <c r="DW34" s="330"/>
      <c r="DX34" s="330"/>
      <c r="DY34" s="330"/>
      <c r="DZ34" s="330"/>
      <c r="EA34" s="330"/>
      <c r="EB34" s="330"/>
      <c r="EC34" s="330"/>
      <c r="ED34" s="330"/>
      <c r="EE34" s="330"/>
      <c r="EF34" s="330"/>
      <c r="EG34" s="330"/>
      <c r="EH34" s="330"/>
      <c r="EI34" s="330"/>
      <c r="EJ34" s="330"/>
      <c r="EK34" s="330"/>
      <c r="EL34" s="330"/>
      <c r="EM34" s="330"/>
      <c r="EN34" s="330"/>
      <c r="EO34" s="330"/>
      <c r="EP34" s="330"/>
      <c r="EQ34" s="330"/>
      <c r="ER34" s="330"/>
      <c r="ES34" s="330"/>
      <c r="ET34" s="330"/>
      <c r="EU34" s="330"/>
      <c r="EV34" s="330"/>
      <c r="EW34" s="330"/>
      <c r="EX34" s="330"/>
      <c r="EY34" s="330"/>
      <c r="EZ34" s="330"/>
      <c r="FA34" s="330"/>
      <c r="FB34" s="330"/>
      <c r="FC34" s="330"/>
      <c r="FD34" s="330"/>
      <c r="FE34" s="330"/>
      <c r="FF34" s="330"/>
      <c r="FG34" s="330"/>
      <c r="FH34" s="330"/>
      <c r="FI34" s="330"/>
      <c r="FJ34" s="330"/>
      <c r="FK34" s="330"/>
      <c r="FL34" s="330"/>
      <c r="FM34" s="330"/>
      <c r="FN34" s="330"/>
      <c r="FO34" s="330"/>
      <c r="FP34" s="330"/>
      <c r="FQ34" s="330"/>
      <c r="FR34" s="330"/>
      <c r="FS34" s="330"/>
      <c r="FT34" s="330"/>
      <c r="FU34" s="330"/>
      <c r="FV34" s="330"/>
      <c r="FW34" s="330"/>
      <c r="FX34" s="330"/>
      <c r="FY34" s="330"/>
      <c r="FZ34" s="330"/>
      <c r="GA34" s="330"/>
      <c r="GB34" s="330"/>
      <c r="GC34" s="330"/>
      <c r="GD34" s="330"/>
      <c r="GE34" s="330"/>
      <c r="GF34" s="330"/>
      <c r="GG34" s="330"/>
      <c r="GH34" s="330"/>
      <c r="GI34" s="330"/>
      <c r="GJ34" s="330"/>
      <c r="GK34" s="330"/>
      <c r="GL34" s="330"/>
      <c r="GM34" s="330"/>
      <c r="GN34" s="330"/>
      <c r="GO34" s="330"/>
      <c r="GP34" s="330"/>
      <c r="GQ34" s="330"/>
      <c r="GR34" s="330"/>
      <c r="GS34" s="330"/>
      <c r="GT34" s="330"/>
      <c r="GU34" s="330"/>
      <c r="GV34" s="330"/>
      <c r="GW34" s="330"/>
      <c r="GX34" s="330"/>
      <c r="GY34" s="330"/>
      <c r="GZ34" s="330"/>
      <c r="HA34" s="330"/>
      <c r="HB34" s="330"/>
      <c r="HC34" s="330"/>
      <c r="HD34" s="330"/>
      <c r="HE34" s="330"/>
      <c r="HF34" s="330"/>
      <c r="HG34" s="330"/>
      <c r="HH34" s="330"/>
      <c r="HI34" s="330"/>
      <c r="HJ34" s="330"/>
      <c r="HK34" s="330"/>
      <c r="HL34" s="330"/>
      <c r="HM34" s="330"/>
      <c r="HN34" s="330"/>
      <c r="HO34" s="330"/>
      <c r="HP34" s="330"/>
      <c r="HQ34" s="330"/>
      <c r="HR34" s="330"/>
      <c r="HS34" s="330"/>
      <c r="HT34" s="330"/>
      <c r="HU34" s="330"/>
      <c r="HV34" s="330"/>
      <c r="HW34" s="330"/>
      <c r="HX34" s="330"/>
      <c r="HY34" s="330"/>
      <c r="HZ34" s="330"/>
      <c r="IA34" s="330"/>
      <c r="IB34" s="330"/>
      <c r="IC34" s="330"/>
      <c r="ID34" s="330"/>
      <c r="IE34" s="330"/>
      <c r="IF34" s="330"/>
      <c r="IG34" s="330"/>
      <c r="IH34" s="330"/>
      <c r="II34" s="330"/>
      <c r="IJ34" s="330"/>
      <c r="IK34" s="330"/>
      <c r="IL34" s="330"/>
      <c r="IM34" s="330"/>
      <c r="IN34" s="330"/>
      <c r="IO34" s="330"/>
      <c r="IP34" s="330"/>
      <c r="IQ34" s="330"/>
      <c r="IR34" s="330"/>
      <c r="IS34" s="330"/>
      <c r="IT34" s="330"/>
      <c r="IU34" s="330"/>
      <c r="IV34" s="330"/>
      <c r="IW34" s="330"/>
      <c r="IX34" s="330"/>
      <c r="IY34" s="330"/>
      <c r="IZ34" s="330"/>
      <c r="JA34" s="330"/>
      <c r="JB34" s="330"/>
      <c r="JC34" s="330"/>
      <c r="JD34" s="330"/>
      <c r="JE34" s="330"/>
      <c r="JF34" s="330"/>
      <c r="JG34" s="330"/>
      <c r="JH34" s="330"/>
      <c r="JI34" s="330"/>
      <c r="JJ34" s="330"/>
      <c r="JK34" s="330"/>
      <c r="JL34" s="330"/>
      <c r="JM34" s="330"/>
      <c r="JN34" s="330"/>
      <c r="JO34" s="330"/>
      <c r="JP34" s="330"/>
      <c r="JQ34" s="330"/>
      <c r="JR34" s="330"/>
      <c r="JS34" s="330"/>
      <c r="JT34" s="330"/>
      <c r="JU34" s="330"/>
      <c r="JV34" s="330"/>
      <c r="JW34" s="330"/>
      <c r="JX34" s="330"/>
      <c r="JY34" s="330"/>
      <c r="JZ34" s="330"/>
      <c r="KA34" s="330"/>
      <c r="KB34" s="330"/>
      <c r="KC34" s="330"/>
      <c r="KD34" s="330"/>
      <c r="KE34" s="330"/>
      <c r="KF34" s="330"/>
      <c r="KG34" s="330"/>
      <c r="KH34" s="330"/>
      <c r="KI34" s="330"/>
      <c r="KJ34" s="330"/>
      <c r="KK34" s="330"/>
      <c r="KL34" s="330"/>
      <c r="KM34" s="330"/>
      <c r="KN34" s="330"/>
      <c r="KO34" s="330"/>
      <c r="KP34" s="330"/>
      <c r="KQ34" s="330"/>
      <c r="KR34" s="330"/>
      <c r="KS34" s="330"/>
      <c r="KT34" s="330"/>
      <c r="KU34" s="330"/>
      <c r="KV34" s="330"/>
      <c r="KW34" s="330"/>
      <c r="KX34" s="330"/>
      <c r="KY34" s="330"/>
      <c r="KZ34" s="330"/>
      <c r="LA34" s="330"/>
      <c r="LB34" s="330"/>
      <c r="LC34" s="330"/>
      <c r="LD34" s="330"/>
      <c r="LE34" s="330"/>
    </row>
    <row r="35" spans="1:317">
      <c r="A35" s="330"/>
      <c r="B35" s="330"/>
      <c r="C35" s="330"/>
      <c r="D35" s="330"/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0"/>
      <c r="AV35" s="330"/>
      <c r="AW35" s="330"/>
      <c r="AX35" s="330"/>
      <c r="AY35" s="330"/>
      <c r="AZ35" s="330"/>
      <c r="BA35" s="330"/>
      <c r="BB35" s="330"/>
      <c r="BC35" s="330"/>
      <c r="BD35" s="330"/>
      <c r="BE35" s="330"/>
      <c r="BF35" s="330"/>
      <c r="BG35" s="330"/>
      <c r="BH35" s="330"/>
      <c r="BI35" s="330"/>
      <c r="BJ35" s="330"/>
      <c r="BK35" s="330"/>
      <c r="BL35" s="330"/>
      <c r="BM35" s="330"/>
      <c r="BN35" s="330"/>
      <c r="BO35" s="330"/>
      <c r="BP35" s="330"/>
      <c r="BQ35" s="330"/>
      <c r="BR35" s="330"/>
      <c r="BS35" s="330"/>
      <c r="BT35" s="330"/>
      <c r="BU35" s="330"/>
      <c r="BV35" s="330"/>
      <c r="BW35" s="330"/>
      <c r="BX35" s="330"/>
      <c r="BY35" s="330"/>
      <c r="BZ35" s="330"/>
      <c r="CA35" s="330"/>
      <c r="CB35" s="330"/>
      <c r="CC35" s="330"/>
      <c r="CD35" s="330"/>
      <c r="CE35" s="330"/>
      <c r="CF35" s="330"/>
      <c r="CG35" s="330"/>
      <c r="CH35" s="330"/>
      <c r="CI35" s="330"/>
      <c r="CJ35" s="330"/>
      <c r="CK35" s="330"/>
      <c r="CL35" s="330"/>
      <c r="CM35" s="330"/>
      <c r="CN35" s="330"/>
      <c r="CO35" s="330"/>
      <c r="CP35" s="330"/>
      <c r="CQ35" s="330"/>
      <c r="CR35" s="330"/>
      <c r="CS35" s="330"/>
      <c r="CT35" s="330"/>
      <c r="CU35" s="330"/>
      <c r="CV35" s="330"/>
      <c r="CW35" s="330"/>
      <c r="CX35" s="330"/>
      <c r="CY35" s="330"/>
      <c r="CZ35" s="330"/>
      <c r="DA35" s="330"/>
      <c r="DB35" s="330"/>
      <c r="DC35" s="330"/>
      <c r="DD35" s="330"/>
      <c r="DE35" s="330"/>
      <c r="DF35" s="330"/>
      <c r="DG35" s="330"/>
      <c r="DH35" s="330"/>
      <c r="DI35" s="330"/>
      <c r="DJ35" s="330"/>
      <c r="DK35" s="330"/>
      <c r="DL35" s="330"/>
      <c r="DM35" s="330"/>
      <c r="DN35" s="330"/>
      <c r="DO35" s="330"/>
      <c r="DP35" s="330"/>
      <c r="DQ35" s="330"/>
      <c r="DR35" s="330"/>
      <c r="DS35" s="330"/>
      <c r="DT35" s="330"/>
      <c r="DU35" s="330"/>
      <c r="DV35" s="330"/>
      <c r="DW35" s="330"/>
      <c r="DX35" s="330"/>
      <c r="DY35" s="330"/>
      <c r="DZ35" s="330"/>
      <c r="EA35" s="330"/>
      <c r="EB35" s="330"/>
      <c r="EC35" s="330"/>
      <c r="ED35" s="330"/>
      <c r="EE35" s="330"/>
      <c r="EF35" s="330"/>
      <c r="EG35" s="330"/>
      <c r="EH35" s="330"/>
      <c r="EI35" s="330"/>
      <c r="EJ35" s="330"/>
      <c r="EK35" s="330"/>
      <c r="EL35" s="330"/>
      <c r="EM35" s="330"/>
      <c r="EN35" s="330"/>
      <c r="EO35" s="330"/>
      <c r="EP35" s="330"/>
      <c r="EQ35" s="330"/>
      <c r="ER35" s="330"/>
      <c r="ES35" s="330"/>
      <c r="ET35" s="330"/>
      <c r="EU35" s="330"/>
      <c r="EV35" s="330"/>
      <c r="EW35" s="330"/>
      <c r="EX35" s="330"/>
      <c r="EY35" s="330"/>
      <c r="EZ35" s="330"/>
      <c r="FA35" s="330"/>
      <c r="FB35" s="330"/>
      <c r="FC35" s="330"/>
      <c r="FD35" s="330"/>
      <c r="FE35" s="330"/>
      <c r="FF35" s="330"/>
      <c r="FG35" s="330"/>
      <c r="FH35" s="330"/>
      <c r="FI35" s="330"/>
      <c r="FJ35" s="330"/>
      <c r="FK35" s="330"/>
      <c r="FL35" s="330"/>
      <c r="FM35" s="330"/>
      <c r="FN35" s="330"/>
      <c r="FO35" s="330"/>
      <c r="FP35" s="330"/>
      <c r="FQ35" s="330"/>
      <c r="FR35" s="330"/>
      <c r="FS35" s="330"/>
      <c r="FT35" s="330"/>
      <c r="FU35" s="330"/>
      <c r="FV35" s="330"/>
      <c r="FW35" s="330"/>
      <c r="FX35" s="330"/>
      <c r="FY35" s="330"/>
      <c r="FZ35" s="330"/>
      <c r="GA35" s="330"/>
      <c r="GB35" s="330"/>
      <c r="GC35" s="330"/>
      <c r="GD35" s="330"/>
      <c r="GE35" s="330"/>
      <c r="GF35" s="330"/>
      <c r="GG35" s="330"/>
      <c r="GH35" s="330"/>
      <c r="GI35" s="330"/>
      <c r="GJ35" s="330"/>
      <c r="GK35" s="330"/>
      <c r="GL35" s="330"/>
      <c r="GM35" s="330"/>
      <c r="GN35" s="330"/>
      <c r="GO35" s="330"/>
      <c r="GP35" s="330"/>
      <c r="GQ35" s="330"/>
      <c r="GR35" s="330"/>
      <c r="GS35" s="330"/>
      <c r="GT35" s="330"/>
      <c r="GU35" s="330"/>
      <c r="GV35" s="330"/>
      <c r="GW35" s="330"/>
      <c r="GX35" s="330"/>
      <c r="GY35" s="330"/>
      <c r="GZ35" s="330"/>
      <c r="HA35" s="330"/>
      <c r="HB35" s="330"/>
      <c r="HC35" s="330"/>
      <c r="HD35" s="330"/>
      <c r="HE35" s="330"/>
      <c r="HF35" s="330"/>
      <c r="HG35" s="330"/>
      <c r="HH35" s="330"/>
      <c r="HI35" s="330"/>
      <c r="HJ35" s="330"/>
      <c r="HK35" s="330"/>
      <c r="HL35" s="330"/>
      <c r="HM35" s="330"/>
      <c r="HN35" s="330"/>
      <c r="HO35" s="330"/>
      <c r="HP35" s="330"/>
      <c r="HQ35" s="330"/>
      <c r="HR35" s="330"/>
      <c r="HS35" s="330"/>
      <c r="HT35" s="330"/>
      <c r="HU35" s="330"/>
      <c r="HV35" s="330"/>
      <c r="HW35" s="330"/>
      <c r="HX35" s="330"/>
      <c r="HY35" s="330"/>
      <c r="HZ35" s="330"/>
      <c r="IA35" s="330"/>
      <c r="IB35" s="330"/>
      <c r="IC35" s="330"/>
      <c r="ID35" s="330"/>
      <c r="IE35" s="330"/>
      <c r="IF35" s="330"/>
      <c r="IG35" s="330"/>
      <c r="IH35" s="330"/>
      <c r="II35" s="330"/>
      <c r="IJ35" s="330"/>
      <c r="IK35" s="330"/>
      <c r="IL35" s="330"/>
      <c r="IM35" s="330"/>
      <c r="IN35" s="330"/>
      <c r="IO35" s="330"/>
      <c r="IP35" s="330"/>
      <c r="IQ35" s="330"/>
      <c r="IR35" s="330"/>
      <c r="IS35" s="330"/>
      <c r="IT35" s="330"/>
      <c r="IU35" s="330"/>
      <c r="IV35" s="330"/>
      <c r="IW35" s="330"/>
      <c r="IX35" s="330"/>
      <c r="IY35" s="330"/>
      <c r="IZ35" s="330"/>
      <c r="JA35" s="330"/>
      <c r="JB35" s="330"/>
      <c r="JC35" s="330"/>
      <c r="JD35" s="330"/>
      <c r="JE35" s="330"/>
      <c r="JF35" s="330"/>
      <c r="JG35" s="330"/>
      <c r="JH35" s="330"/>
      <c r="JI35" s="330"/>
      <c r="JJ35" s="330"/>
      <c r="JK35" s="330"/>
      <c r="JL35" s="330"/>
      <c r="JM35" s="330"/>
      <c r="JN35" s="330"/>
      <c r="JO35" s="330"/>
      <c r="JP35" s="330"/>
      <c r="JQ35" s="330"/>
      <c r="JR35" s="330"/>
      <c r="JS35" s="330"/>
      <c r="JT35" s="330"/>
      <c r="JU35" s="330"/>
      <c r="JV35" s="330"/>
      <c r="JW35" s="330"/>
      <c r="JX35" s="330"/>
      <c r="JY35" s="330"/>
      <c r="JZ35" s="330"/>
      <c r="KA35" s="330"/>
      <c r="KB35" s="330"/>
      <c r="KC35" s="330"/>
      <c r="KD35" s="330"/>
      <c r="KE35" s="330"/>
      <c r="KF35" s="330"/>
      <c r="KG35" s="330"/>
      <c r="KH35" s="330"/>
      <c r="KI35" s="330"/>
      <c r="KJ35" s="330"/>
      <c r="KK35" s="330"/>
      <c r="KL35" s="330"/>
      <c r="KM35" s="330"/>
      <c r="KN35" s="330"/>
      <c r="KO35" s="330"/>
      <c r="KP35" s="330"/>
      <c r="KQ35" s="330"/>
      <c r="KR35" s="330"/>
      <c r="KS35" s="330"/>
      <c r="KT35" s="330"/>
      <c r="KU35" s="330"/>
      <c r="KV35" s="330"/>
      <c r="KW35" s="330"/>
      <c r="KX35" s="330"/>
      <c r="KY35" s="330"/>
      <c r="KZ35" s="330"/>
      <c r="LA35" s="330"/>
      <c r="LB35" s="330"/>
      <c r="LC35" s="330"/>
      <c r="LD35" s="330"/>
      <c r="LE35" s="330"/>
    </row>
    <row r="36" spans="1:317">
      <c r="A36" s="330"/>
      <c r="B36" s="330"/>
      <c r="C36" s="330"/>
      <c r="D36" s="330"/>
      <c r="E36" s="330"/>
      <c r="F36" s="330"/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Q36" s="330"/>
      <c r="R36" s="330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30"/>
      <c r="AE36" s="330"/>
      <c r="AF36" s="330"/>
      <c r="AG36" s="330"/>
      <c r="AH36" s="330"/>
      <c r="AI36" s="330"/>
      <c r="AJ36" s="330"/>
      <c r="AK36" s="330"/>
      <c r="AL36" s="330"/>
      <c r="AM36" s="330"/>
      <c r="AN36" s="330"/>
      <c r="AO36" s="330"/>
      <c r="AP36" s="330"/>
      <c r="AQ36" s="330"/>
      <c r="AR36" s="330"/>
      <c r="AS36" s="330"/>
      <c r="AT36" s="330"/>
      <c r="AU36" s="330"/>
      <c r="AV36" s="330"/>
      <c r="AW36" s="330"/>
      <c r="AX36" s="330"/>
      <c r="AY36" s="330"/>
      <c r="AZ36" s="330"/>
      <c r="BA36" s="330"/>
      <c r="BB36" s="330"/>
      <c r="BC36" s="330"/>
      <c r="BD36" s="330"/>
      <c r="BE36" s="330"/>
      <c r="BF36" s="330"/>
      <c r="BG36" s="330"/>
      <c r="BH36" s="330"/>
      <c r="BI36" s="330"/>
      <c r="BJ36" s="330"/>
      <c r="BK36" s="330"/>
      <c r="BL36" s="330"/>
      <c r="BM36" s="330"/>
      <c r="BN36" s="330"/>
      <c r="BO36" s="330"/>
      <c r="BP36" s="330"/>
      <c r="BQ36" s="330"/>
      <c r="BR36" s="330"/>
      <c r="BS36" s="330"/>
      <c r="BT36" s="330"/>
      <c r="BU36" s="330"/>
      <c r="BV36" s="330"/>
      <c r="BW36" s="330"/>
      <c r="BX36" s="330"/>
      <c r="BY36" s="330"/>
      <c r="BZ36" s="330"/>
      <c r="CA36" s="330"/>
      <c r="CB36" s="330"/>
      <c r="CC36" s="330"/>
      <c r="CD36" s="330"/>
      <c r="CE36" s="330"/>
      <c r="CF36" s="330"/>
      <c r="CG36" s="330"/>
      <c r="CH36" s="330"/>
      <c r="CI36" s="330"/>
      <c r="CJ36" s="330"/>
      <c r="CK36" s="330"/>
      <c r="CL36" s="330"/>
      <c r="CM36" s="330"/>
      <c r="CN36" s="330"/>
      <c r="CO36" s="330"/>
      <c r="CP36" s="330"/>
      <c r="CQ36" s="330"/>
      <c r="CR36" s="330"/>
      <c r="CS36" s="330"/>
      <c r="CT36" s="330"/>
      <c r="CU36" s="330"/>
      <c r="CV36" s="330"/>
      <c r="CW36" s="330"/>
      <c r="CX36" s="330"/>
      <c r="CY36" s="330"/>
      <c r="CZ36" s="330"/>
      <c r="DA36" s="330"/>
      <c r="DB36" s="330"/>
      <c r="DC36" s="330"/>
      <c r="DD36" s="330"/>
      <c r="DE36" s="330"/>
      <c r="DF36" s="330"/>
      <c r="DG36" s="330"/>
      <c r="DH36" s="330"/>
      <c r="DI36" s="330"/>
      <c r="DJ36" s="330"/>
      <c r="DK36" s="330"/>
      <c r="DL36" s="330"/>
      <c r="DM36" s="330"/>
      <c r="DN36" s="330"/>
      <c r="DO36" s="330"/>
      <c r="DP36" s="330"/>
      <c r="DQ36" s="330"/>
      <c r="DR36" s="330"/>
      <c r="DS36" s="330"/>
      <c r="DT36" s="330"/>
      <c r="DU36" s="330"/>
      <c r="DV36" s="330"/>
      <c r="DW36" s="330"/>
      <c r="DX36" s="330"/>
      <c r="DY36" s="330"/>
      <c r="DZ36" s="330"/>
      <c r="EA36" s="330"/>
      <c r="EB36" s="330"/>
      <c r="EC36" s="330"/>
      <c r="ED36" s="330"/>
      <c r="EE36" s="330"/>
      <c r="EF36" s="330"/>
      <c r="EG36" s="330"/>
      <c r="EH36" s="330"/>
      <c r="EI36" s="330"/>
      <c r="EJ36" s="330"/>
      <c r="EK36" s="330"/>
      <c r="EL36" s="330"/>
      <c r="EM36" s="330"/>
      <c r="EN36" s="330"/>
      <c r="EO36" s="330"/>
      <c r="EP36" s="330"/>
      <c r="EQ36" s="330"/>
      <c r="ER36" s="330"/>
      <c r="ES36" s="330"/>
      <c r="ET36" s="330"/>
      <c r="EU36" s="330"/>
      <c r="EV36" s="330"/>
      <c r="EW36" s="330"/>
      <c r="EX36" s="330"/>
      <c r="EY36" s="330"/>
      <c r="EZ36" s="330"/>
      <c r="FA36" s="330"/>
      <c r="FB36" s="330"/>
      <c r="FC36" s="330"/>
      <c r="FD36" s="330"/>
      <c r="FE36" s="330"/>
      <c r="FF36" s="330"/>
      <c r="FG36" s="330"/>
      <c r="FH36" s="330"/>
      <c r="FI36" s="330"/>
      <c r="FJ36" s="330"/>
      <c r="FK36" s="330"/>
      <c r="FL36" s="330"/>
      <c r="FM36" s="330"/>
      <c r="FN36" s="330"/>
      <c r="FO36" s="330"/>
      <c r="FP36" s="330"/>
      <c r="FQ36" s="330"/>
      <c r="FR36" s="330"/>
      <c r="FS36" s="330"/>
      <c r="FT36" s="330"/>
      <c r="FU36" s="330"/>
      <c r="FV36" s="330"/>
      <c r="FW36" s="330"/>
      <c r="FX36" s="330"/>
      <c r="FY36" s="330"/>
      <c r="FZ36" s="330"/>
      <c r="GA36" s="330"/>
      <c r="GB36" s="330"/>
      <c r="GC36" s="330"/>
      <c r="GD36" s="330"/>
      <c r="GE36" s="330"/>
      <c r="GF36" s="330"/>
      <c r="GG36" s="330"/>
      <c r="GH36" s="330"/>
      <c r="GI36" s="330"/>
      <c r="GJ36" s="330"/>
      <c r="GK36" s="330"/>
      <c r="GL36" s="330"/>
      <c r="GM36" s="330"/>
      <c r="GN36" s="330"/>
      <c r="GO36" s="330"/>
      <c r="GP36" s="330"/>
      <c r="GQ36" s="330"/>
      <c r="GR36" s="330"/>
      <c r="GS36" s="330"/>
      <c r="GT36" s="330"/>
      <c r="GU36" s="330"/>
      <c r="GV36" s="330"/>
      <c r="GW36" s="330"/>
      <c r="GX36" s="330"/>
      <c r="GY36" s="330"/>
      <c r="GZ36" s="330"/>
      <c r="HA36" s="330"/>
      <c r="HB36" s="330"/>
      <c r="HC36" s="330"/>
      <c r="HD36" s="330"/>
      <c r="HE36" s="330"/>
      <c r="HF36" s="330"/>
      <c r="HG36" s="330"/>
      <c r="HH36" s="330"/>
      <c r="HI36" s="330"/>
      <c r="HJ36" s="330"/>
      <c r="HK36" s="330"/>
      <c r="HL36" s="330"/>
      <c r="HM36" s="330"/>
      <c r="HN36" s="330"/>
      <c r="HO36" s="330"/>
      <c r="HP36" s="330"/>
      <c r="HQ36" s="330"/>
      <c r="HR36" s="330"/>
      <c r="HS36" s="330"/>
      <c r="HT36" s="330"/>
      <c r="HU36" s="330"/>
      <c r="HV36" s="330"/>
      <c r="HW36" s="330"/>
      <c r="HX36" s="330"/>
      <c r="HY36" s="330"/>
      <c r="HZ36" s="330"/>
      <c r="IA36" s="330"/>
      <c r="IB36" s="330"/>
      <c r="IC36" s="330"/>
      <c r="ID36" s="330"/>
      <c r="IE36" s="330"/>
      <c r="IF36" s="330"/>
      <c r="IG36" s="330"/>
      <c r="IH36" s="330"/>
      <c r="II36" s="330"/>
      <c r="IJ36" s="330"/>
      <c r="IK36" s="330"/>
      <c r="IL36" s="330"/>
      <c r="IM36" s="330"/>
      <c r="IN36" s="330"/>
      <c r="IO36" s="330"/>
      <c r="IP36" s="330"/>
      <c r="IQ36" s="330"/>
      <c r="IR36" s="330"/>
      <c r="IS36" s="330"/>
      <c r="IT36" s="330"/>
      <c r="IU36" s="330"/>
      <c r="IV36" s="330"/>
      <c r="IW36" s="330"/>
      <c r="IX36" s="330"/>
      <c r="IY36" s="330"/>
      <c r="IZ36" s="330"/>
      <c r="JA36" s="330"/>
      <c r="JB36" s="330"/>
      <c r="JC36" s="330"/>
      <c r="JD36" s="330"/>
      <c r="JE36" s="330"/>
      <c r="JF36" s="330"/>
      <c r="JG36" s="330"/>
      <c r="JH36" s="330"/>
      <c r="JI36" s="330"/>
      <c r="JJ36" s="330"/>
      <c r="JK36" s="330"/>
      <c r="JL36" s="330"/>
      <c r="JM36" s="330"/>
      <c r="JN36" s="330"/>
      <c r="JO36" s="330"/>
      <c r="JP36" s="330"/>
      <c r="JQ36" s="330"/>
      <c r="JR36" s="330"/>
      <c r="JS36" s="330"/>
      <c r="JT36" s="330"/>
      <c r="JU36" s="330"/>
      <c r="JV36" s="330"/>
      <c r="JW36" s="330"/>
      <c r="JX36" s="330"/>
      <c r="JY36" s="330"/>
      <c r="JZ36" s="330"/>
      <c r="KA36" s="330"/>
      <c r="KB36" s="330"/>
      <c r="KC36" s="330"/>
      <c r="KD36" s="330"/>
      <c r="KE36" s="330"/>
      <c r="KF36" s="330"/>
      <c r="KG36" s="330"/>
      <c r="KH36" s="330"/>
      <c r="KI36" s="330"/>
      <c r="KJ36" s="330"/>
      <c r="KK36" s="330"/>
      <c r="KL36" s="330"/>
      <c r="KM36" s="330"/>
      <c r="KN36" s="330"/>
      <c r="KO36" s="330"/>
      <c r="KP36" s="330"/>
      <c r="KQ36" s="330"/>
      <c r="KR36" s="330"/>
      <c r="KS36" s="330"/>
      <c r="KT36" s="330"/>
      <c r="KU36" s="330"/>
      <c r="KV36" s="330"/>
      <c r="KW36" s="330"/>
      <c r="KX36" s="330"/>
      <c r="KY36" s="330"/>
      <c r="KZ36" s="330"/>
      <c r="LA36" s="330"/>
      <c r="LB36" s="330"/>
      <c r="LC36" s="330"/>
      <c r="LD36" s="330"/>
      <c r="LE36" s="330"/>
    </row>
    <row r="37" spans="1:317">
      <c r="A37" s="330"/>
      <c r="B37" s="330"/>
      <c r="C37" s="330"/>
      <c r="D37" s="330"/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0"/>
      <c r="AC37" s="330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  <c r="AT37" s="330"/>
      <c r="AU37" s="330"/>
      <c r="AV37" s="330"/>
      <c r="AW37" s="330"/>
      <c r="AX37" s="330"/>
      <c r="AY37" s="330"/>
      <c r="AZ37" s="330"/>
      <c r="BA37" s="330"/>
      <c r="BB37" s="330"/>
      <c r="BC37" s="330"/>
      <c r="BD37" s="330"/>
      <c r="BE37" s="330"/>
      <c r="BF37" s="330"/>
      <c r="BG37" s="330"/>
      <c r="BH37" s="330"/>
      <c r="BI37" s="330"/>
      <c r="BJ37" s="330"/>
      <c r="BK37" s="330"/>
      <c r="BL37" s="330"/>
      <c r="BM37" s="330"/>
      <c r="BN37" s="330"/>
      <c r="BO37" s="330"/>
      <c r="BP37" s="330"/>
      <c r="BQ37" s="330"/>
      <c r="BR37" s="330"/>
      <c r="BS37" s="330"/>
      <c r="BT37" s="330"/>
      <c r="BU37" s="330"/>
      <c r="BV37" s="330"/>
      <c r="BW37" s="330"/>
      <c r="BX37" s="330"/>
      <c r="BY37" s="330"/>
      <c r="BZ37" s="330"/>
      <c r="CA37" s="330"/>
      <c r="CB37" s="330"/>
      <c r="CC37" s="330"/>
      <c r="CD37" s="330"/>
      <c r="CE37" s="330"/>
      <c r="CF37" s="330"/>
      <c r="CG37" s="330"/>
      <c r="CH37" s="330"/>
      <c r="CI37" s="330"/>
      <c r="CJ37" s="330"/>
      <c r="CK37" s="330"/>
      <c r="CL37" s="330"/>
      <c r="CM37" s="330"/>
      <c r="CN37" s="330"/>
      <c r="CO37" s="330"/>
      <c r="CP37" s="330"/>
      <c r="CQ37" s="330"/>
      <c r="CR37" s="330"/>
      <c r="CS37" s="330"/>
      <c r="CT37" s="330"/>
      <c r="CU37" s="330"/>
      <c r="CV37" s="330"/>
      <c r="CW37" s="330"/>
      <c r="CX37" s="330"/>
      <c r="CY37" s="330"/>
      <c r="CZ37" s="330"/>
      <c r="DA37" s="330"/>
      <c r="DB37" s="330"/>
      <c r="DC37" s="330"/>
      <c r="DD37" s="330"/>
      <c r="DE37" s="330"/>
      <c r="DF37" s="330"/>
      <c r="DG37" s="330"/>
      <c r="DH37" s="330"/>
      <c r="DI37" s="330"/>
      <c r="DJ37" s="330"/>
      <c r="DK37" s="330"/>
      <c r="DL37" s="330"/>
      <c r="DM37" s="330"/>
      <c r="DN37" s="330"/>
      <c r="DO37" s="330"/>
      <c r="DP37" s="330"/>
      <c r="DQ37" s="330"/>
      <c r="DR37" s="330"/>
      <c r="DS37" s="330"/>
      <c r="DT37" s="330"/>
      <c r="DU37" s="330"/>
      <c r="DV37" s="330"/>
      <c r="DW37" s="330"/>
      <c r="DX37" s="330"/>
      <c r="DY37" s="330"/>
      <c r="DZ37" s="330"/>
      <c r="EA37" s="330"/>
      <c r="EB37" s="330"/>
      <c r="EC37" s="330"/>
      <c r="ED37" s="330"/>
      <c r="EE37" s="330"/>
      <c r="EF37" s="330"/>
      <c r="EG37" s="330"/>
      <c r="EH37" s="330"/>
      <c r="EI37" s="330"/>
      <c r="EJ37" s="330"/>
      <c r="EK37" s="330"/>
      <c r="EL37" s="330"/>
      <c r="EM37" s="330"/>
      <c r="EN37" s="330"/>
      <c r="EO37" s="330"/>
      <c r="EP37" s="330"/>
      <c r="EQ37" s="330"/>
      <c r="ER37" s="330"/>
      <c r="ES37" s="330"/>
      <c r="ET37" s="330"/>
      <c r="EU37" s="330"/>
      <c r="EV37" s="330"/>
      <c r="EW37" s="330"/>
      <c r="EX37" s="330"/>
      <c r="EY37" s="330"/>
      <c r="EZ37" s="330"/>
      <c r="FA37" s="330"/>
      <c r="FB37" s="330"/>
      <c r="FC37" s="330"/>
      <c r="FD37" s="330"/>
      <c r="FE37" s="330"/>
      <c r="FF37" s="330"/>
      <c r="FG37" s="330"/>
      <c r="FH37" s="330"/>
      <c r="FI37" s="330"/>
      <c r="FJ37" s="330"/>
      <c r="FK37" s="330"/>
      <c r="FL37" s="330"/>
      <c r="FM37" s="330"/>
      <c r="FN37" s="330"/>
      <c r="FO37" s="330"/>
      <c r="FP37" s="330"/>
      <c r="FQ37" s="330"/>
      <c r="FR37" s="330"/>
      <c r="FS37" s="330"/>
      <c r="FT37" s="330"/>
      <c r="FU37" s="330"/>
      <c r="FV37" s="330"/>
      <c r="FW37" s="330"/>
      <c r="FX37" s="330"/>
      <c r="FY37" s="330"/>
      <c r="FZ37" s="330"/>
      <c r="GA37" s="330"/>
      <c r="GB37" s="330"/>
      <c r="GC37" s="330"/>
      <c r="GD37" s="330"/>
      <c r="GE37" s="330"/>
      <c r="GF37" s="330"/>
      <c r="GG37" s="330"/>
      <c r="GH37" s="330"/>
      <c r="GI37" s="330"/>
      <c r="GJ37" s="330"/>
      <c r="GK37" s="330"/>
      <c r="GL37" s="330"/>
      <c r="GM37" s="330"/>
      <c r="GN37" s="330"/>
      <c r="GO37" s="330"/>
      <c r="GP37" s="330"/>
      <c r="GQ37" s="330"/>
      <c r="GR37" s="330"/>
      <c r="GS37" s="330"/>
      <c r="GT37" s="330"/>
      <c r="GU37" s="330"/>
      <c r="GV37" s="330"/>
      <c r="GW37" s="330"/>
      <c r="GX37" s="330"/>
      <c r="GY37" s="330"/>
      <c r="GZ37" s="330"/>
      <c r="HA37" s="330"/>
      <c r="HB37" s="330"/>
      <c r="HC37" s="330"/>
      <c r="HD37" s="330"/>
      <c r="HE37" s="330"/>
      <c r="HF37" s="330"/>
      <c r="HG37" s="330"/>
      <c r="HH37" s="330"/>
      <c r="HI37" s="330"/>
      <c r="HJ37" s="330"/>
      <c r="HK37" s="330"/>
      <c r="HL37" s="330"/>
      <c r="HM37" s="330"/>
      <c r="HN37" s="330"/>
      <c r="HO37" s="330"/>
      <c r="HP37" s="330"/>
      <c r="HQ37" s="330"/>
      <c r="HR37" s="330"/>
      <c r="HS37" s="330"/>
      <c r="HT37" s="330"/>
      <c r="HU37" s="330"/>
      <c r="HV37" s="330"/>
      <c r="HW37" s="330"/>
      <c r="HX37" s="330"/>
      <c r="HY37" s="330"/>
      <c r="HZ37" s="330"/>
      <c r="IA37" s="330"/>
      <c r="IB37" s="330"/>
      <c r="IC37" s="330"/>
      <c r="ID37" s="330"/>
      <c r="IE37" s="330"/>
      <c r="IF37" s="330"/>
      <c r="IG37" s="330"/>
      <c r="IH37" s="330"/>
      <c r="II37" s="330"/>
      <c r="IJ37" s="330"/>
      <c r="IK37" s="330"/>
      <c r="IL37" s="330"/>
      <c r="IM37" s="330"/>
      <c r="IN37" s="330"/>
      <c r="IO37" s="330"/>
      <c r="IP37" s="330"/>
      <c r="IQ37" s="330"/>
      <c r="IR37" s="330"/>
      <c r="IS37" s="330"/>
      <c r="IT37" s="330"/>
      <c r="IU37" s="330"/>
      <c r="IV37" s="330"/>
      <c r="IW37" s="330"/>
      <c r="IX37" s="330"/>
      <c r="IY37" s="330"/>
      <c r="IZ37" s="330"/>
      <c r="JA37" s="330"/>
      <c r="JB37" s="330"/>
      <c r="JC37" s="330"/>
      <c r="JD37" s="330"/>
      <c r="JE37" s="330"/>
      <c r="JF37" s="330"/>
      <c r="JG37" s="330"/>
      <c r="JH37" s="330"/>
      <c r="JI37" s="330"/>
      <c r="JJ37" s="330"/>
      <c r="JK37" s="330"/>
      <c r="JL37" s="330"/>
      <c r="JM37" s="330"/>
      <c r="JN37" s="330"/>
      <c r="JO37" s="330"/>
      <c r="JP37" s="330"/>
      <c r="JQ37" s="330"/>
      <c r="JR37" s="330"/>
      <c r="JS37" s="330"/>
      <c r="JT37" s="330"/>
      <c r="JU37" s="330"/>
      <c r="JV37" s="330"/>
      <c r="JW37" s="330"/>
      <c r="JX37" s="330"/>
      <c r="JY37" s="330"/>
      <c r="JZ37" s="330"/>
      <c r="KA37" s="330"/>
      <c r="KB37" s="330"/>
      <c r="KC37" s="330"/>
      <c r="KD37" s="330"/>
      <c r="KE37" s="330"/>
      <c r="KF37" s="330"/>
      <c r="KG37" s="330"/>
      <c r="KH37" s="330"/>
      <c r="KI37" s="330"/>
      <c r="KJ37" s="330"/>
      <c r="KK37" s="330"/>
      <c r="KL37" s="330"/>
      <c r="KM37" s="330"/>
      <c r="KN37" s="330"/>
      <c r="KO37" s="330"/>
      <c r="KP37" s="330"/>
      <c r="KQ37" s="330"/>
      <c r="KR37" s="330"/>
      <c r="KS37" s="330"/>
      <c r="KT37" s="330"/>
      <c r="KU37" s="330"/>
      <c r="KV37" s="330"/>
      <c r="KW37" s="330"/>
      <c r="KX37" s="330"/>
      <c r="KY37" s="330"/>
      <c r="KZ37" s="330"/>
      <c r="LA37" s="330"/>
      <c r="LB37" s="330"/>
      <c r="LC37" s="330"/>
      <c r="LD37" s="330"/>
      <c r="LE37" s="330"/>
    </row>
    <row r="38" spans="1:317">
      <c r="A38" s="330"/>
      <c r="B38" s="330"/>
      <c r="C38" s="330"/>
      <c r="D38" s="330"/>
      <c r="E38" s="330"/>
      <c r="F38" s="330"/>
      <c r="G38" s="330"/>
      <c r="H38" s="330"/>
      <c r="I38" s="330"/>
      <c r="J38" s="330"/>
      <c r="K38" s="330"/>
      <c r="L38" s="330"/>
      <c r="M38" s="330"/>
      <c r="N38" s="330"/>
      <c r="O38" s="330"/>
      <c r="P38" s="330"/>
      <c r="Q38" s="330"/>
      <c r="R38" s="330"/>
      <c r="S38" s="330"/>
      <c r="T38" s="330"/>
      <c r="U38" s="330"/>
      <c r="V38" s="330"/>
      <c r="W38" s="330"/>
      <c r="X38" s="330"/>
      <c r="Y38" s="330"/>
      <c r="Z38" s="330"/>
      <c r="AA38" s="330"/>
      <c r="AB38" s="330"/>
      <c r="AC38" s="330"/>
      <c r="AD38" s="330"/>
      <c r="AE38" s="330"/>
      <c r="AF38" s="330"/>
      <c r="AG38" s="330"/>
      <c r="AH38" s="330"/>
      <c r="AI38" s="330"/>
      <c r="AJ38" s="330"/>
      <c r="AK38" s="330"/>
      <c r="AL38" s="330"/>
      <c r="AM38" s="330"/>
      <c r="AN38" s="330"/>
      <c r="AO38" s="330"/>
      <c r="AP38" s="330"/>
      <c r="AQ38" s="330"/>
      <c r="AR38" s="330"/>
      <c r="AS38" s="330"/>
      <c r="AT38" s="330"/>
      <c r="AU38" s="330"/>
      <c r="AV38" s="330"/>
      <c r="AW38" s="330"/>
      <c r="AX38" s="330"/>
      <c r="AY38" s="330"/>
      <c r="AZ38" s="330"/>
      <c r="BA38" s="330"/>
      <c r="BB38" s="330"/>
      <c r="BC38" s="330"/>
      <c r="BD38" s="330"/>
      <c r="BE38" s="330"/>
      <c r="BF38" s="330"/>
      <c r="BG38" s="330"/>
      <c r="BH38" s="330"/>
      <c r="BI38" s="330"/>
      <c r="BJ38" s="330"/>
      <c r="BK38" s="330"/>
      <c r="BL38" s="330"/>
      <c r="BM38" s="330"/>
      <c r="BN38" s="330"/>
      <c r="BO38" s="330"/>
      <c r="BP38" s="330"/>
      <c r="BQ38" s="330"/>
      <c r="BR38" s="330"/>
      <c r="BS38" s="330"/>
      <c r="BT38" s="330"/>
      <c r="BU38" s="330"/>
      <c r="BV38" s="330"/>
      <c r="BW38" s="330"/>
      <c r="BX38" s="330"/>
      <c r="BY38" s="330"/>
      <c r="BZ38" s="330"/>
      <c r="CA38" s="330"/>
      <c r="CB38" s="330"/>
      <c r="CC38" s="330"/>
      <c r="CD38" s="330"/>
      <c r="CE38" s="330"/>
      <c r="CF38" s="330"/>
      <c r="CG38" s="330"/>
      <c r="CH38" s="330"/>
      <c r="CI38" s="330"/>
      <c r="CJ38" s="330"/>
      <c r="CK38" s="330"/>
      <c r="CL38" s="330"/>
      <c r="CM38" s="330"/>
      <c r="CN38" s="330"/>
      <c r="CO38" s="330"/>
      <c r="CP38" s="330"/>
      <c r="CQ38" s="330"/>
      <c r="CR38" s="330"/>
      <c r="CS38" s="330"/>
      <c r="CT38" s="330"/>
      <c r="CU38" s="330"/>
      <c r="CV38" s="330"/>
      <c r="CW38" s="330"/>
      <c r="CX38" s="330"/>
      <c r="CY38" s="330"/>
      <c r="CZ38" s="330"/>
      <c r="DA38" s="330"/>
      <c r="DB38" s="330"/>
      <c r="DC38" s="330"/>
      <c r="DD38" s="330"/>
      <c r="DE38" s="330"/>
      <c r="DF38" s="330"/>
      <c r="DG38" s="330"/>
      <c r="DH38" s="330"/>
      <c r="DI38" s="330"/>
      <c r="DJ38" s="330"/>
      <c r="DK38" s="330"/>
      <c r="DL38" s="330"/>
      <c r="DM38" s="330"/>
      <c r="DN38" s="330"/>
      <c r="DO38" s="330"/>
      <c r="DP38" s="330"/>
      <c r="DQ38" s="330"/>
      <c r="DR38" s="330"/>
      <c r="DS38" s="330"/>
      <c r="DT38" s="330"/>
      <c r="DU38" s="330"/>
      <c r="DV38" s="330"/>
      <c r="DW38" s="330"/>
      <c r="DX38" s="330"/>
      <c r="DY38" s="330"/>
      <c r="DZ38" s="330"/>
      <c r="EA38" s="330"/>
      <c r="EB38" s="330"/>
      <c r="EC38" s="330"/>
      <c r="ED38" s="330"/>
      <c r="EE38" s="330"/>
      <c r="EF38" s="330"/>
      <c r="EG38" s="330"/>
      <c r="EH38" s="330"/>
      <c r="EI38" s="330"/>
      <c r="EJ38" s="330"/>
      <c r="EK38" s="330"/>
      <c r="EL38" s="330"/>
      <c r="EM38" s="330"/>
      <c r="EN38" s="330"/>
      <c r="EO38" s="330"/>
      <c r="EP38" s="330"/>
      <c r="EQ38" s="330"/>
      <c r="ER38" s="330"/>
      <c r="ES38" s="330"/>
      <c r="ET38" s="330"/>
      <c r="EU38" s="330"/>
      <c r="EV38" s="330"/>
      <c r="EW38" s="330"/>
      <c r="EX38" s="330"/>
      <c r="EY38" s="330"/>
      <c r="EZ38" s="330"/>
      <c r="FA38" s="330"/>
      <c r="FB38" s="330"/>
      <c r="FC38" s="330"/>
      <c r="FD38" s="330"/>
      <c r="FE38" s="330"/>
      <c r="FF38" s="330"/>
      <c r="FG38" s="330"/>
      <c r="FH38" s="330"/>
      <c r="FI38" s="330"/>
      <c r="FJ38" s="330"/>
      <c r="FK38" s="330"/>
      <c r="FL38" s="330"/>
      <c r="FM38" s="330"/>
      <c r="FN38" s="330"/>
      <c r="FO38" s="330"/>
      <c r="FP38" s="330"/>
      <c r="FQ38" s="330"/>
      <c r="FR38" s="330"/>
      <c r="FS38" s="330"/>
      <c r="FT38" s="330"/>
      <c r="FU38" s="330"/>
      <c r="FV38" s="330"/>
      <c r="FW38" s="330"/>
      <c r="FX38" s="330"/>
      <c r="FY38" s="330"/>
      <c r="FZ38" s="330"/>
      <c r="GA38" s="330"/>
      <c r="GB38" s="330"/>
      <c r="GC38" s="330"/>
      <c r="GD38" s="330"/>
      <c r="GE38" s="330"/>
      <c r="GF38" s="330"/>
      <c r="GG38" s="330"/>
      <c r="GH38" s="330"/>
      <c r="GI38" s="330"/>
      <c r="GJ38" s="330"/>
      <c r="GK38" s="330"/>
      <c r="GL38" s="330"/>
      <c r="GM38" s="330"/>
      <c r="GN38" s="330"/>
      <c r="GO38" s="330"/>
      <c r="GP38" s="330"/>
      <c r="GQ38" s="330"/>
      <c r="GR38" s="330"/>
      <c r="GS38" s="330"/>
      <c r="GT38" s="330"/>
      <c r="GU38" s="330"/>
      <c r="GV38" s="330"/>
      <c r="GW38" s="330"/>
      <c r="GX38" s="330"/>
      <c r="GY38" s="330"/>
      <c r="GZ38" s="330"/>
      <c r="HA38" s="330"/>
      <c r="HB38" s="330"/>
      <c r="HC38" s="330"/>
      <c r="HD38" s="330"/>
      <c r="HE38" s="330"/>
      <c r="HF38" s="330"/>
      <c r="HG38" s="330"/>
      <c r="HH38" s="330"/>
      <c r="HI38" s="330"/>
      <c r="HJ38" s="330"/>
      <c r="HK38" s="330"/>
      <c r="HL38" s="330"/>
      <c r="HM38" s="330"/>
      <c r="HN38" s="330"/>
      <c r="HO38" s="330"/>
      <c r="HP38" s="330"/>
      <c r="HQ38" s="330"/>
      <c r="HR38" s="330"/>
      <c r="HS38" s="330"/>
      <c r="HT38" s="330"/>
      <c r="HU38" s="330"/>
      <c r="HV38" s="330"/>
      <c r="HW38" s="330"/>
      <c r="HX38" s="330"/>
      <c r="HY38" s="330"/>
      <c r="HZ38" s="330"/>
      <c r="IA38" s="330"/>
      <c r="IB38" s="330"/>
      <c r="IC38" s="330"/>
      <c r="ID38" s="330"/>
      <c r="IE38" s="330"/>
      <c r="IF38" s="330"/>
      <c r="IG38" s="330"/>
      <c r="IH38" s="330"/>
      <c r="II38" s="330"/>
      <c r="IJ38" s="330"/>
      <c r="IK38" s="330"/>
      <c r="IL38" s="330"/>
      <c r="IM38" s="330"/>
      <c r="IN38" s="330"/>
      <c r="IO38" s="330"/>
      <c r="IP38" s="330"/>
      <c r="IQ38" s="330"/>
      <c r="IR38" s="330"/>
      <c r="IS38" s="330"/>
      <c r="IT38" s="330"/>
      <c r="IU38" s="330"/>
      <c r="IV38" s="330"/>
      <c r="IW38" s="330"/>
      <c r="IX38" s="330"/>
      <c r="IY38" s="330"/>
      <c r="IZ38" s="330"/>
      <c r="JA38" s="330"/>
      <c r="JB38" s="330"/>
      <c r="JC38" s="330"/>
      <c r="JD38" s="330"/>
      <c r="JE38" s="330"/>
      <c r="JF38" s="330"/>
      <c r="JG38" s="330"/>
      <c r="JH38" s="330"/>
      <c r="JI38" s="330"/>
      <c r="JJ38" s="330"/>
      <c r="JK38" s="330"/>
      <c r="JL38" s="330"/>
      <c r="JM38" s="330"/>
      <c r="JN38" s="330"/>
      <c r="JO38" s="330"/>
      <c r="JP38" s="330"/>
      <c r="JQ38" s="330"/>
      <c r="JR38" s="330"/>
      <c r="JS38" s="330"/>
      <c r="JT38" s="330"/>
      <c r="JU38" s="330"/>
      <c r="JV38" s="330"/>
      <c r="JW38" s="330"/>
      <c r="JX38" s="330"/>
      <c r="JY38" s="330"/>
      <c r="JZ38" s="330"/>
      <c r="KA38" s="330"/>
      <c r="KB38" s="330"/>
      <c r="KC38" s="330"/>
      <c r="KD38" s="330"/>
      <c r="KE38" s="330"/>
      <c r="KF38" s="330"/>
      <c r="KG38" s="330"/>
      <c r="KH38" s="330"/>
      <c r="KI38" s="330"/>
      <c r="KJ38" s="330"/>
      <c r="KK38" s="330"/>
      <c r="KL38" s="330"/>
      <c r="KM38" s="330"/>
      <c r="KN38" s="330"/>
      <c r="KO38" s="330"/>
      <c r="KP38" s="330"/>
      <c r="KQ38" s="330"/>
      <c r="KR38" s="330"/>
      <c r="KS38" s="330"/>
      <c r="KT38" s="330"/>
      <c r="KU38" s="330"/>
      <c r="KV38" s="330"/>
      <c r="KW38" s="330"/>
      <c r="KX38" s="330"/>
      <c r="KY38" s="330"/>
      <c r="KZ38" s="330"/>
      <c r="LA38" s="330"/>
      <c r="LB38" s="330"/>
      <c r="LC38" s="330"/>
      <c r="LD38" s="330"/>
      <c r="LE38" s="330"/>
    </row>
    <row r="39" spans="1:317">
      <c r="A39" s="330"/>
      <c r="B39" s="330"/>
      <c r="C39" s="330"/>
      <c r="D39" s="330"/>
      <c r="E39" s="330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0"/>
      <c r="R39" s="330"/>
      <c r="S39" s="330"/>
      <c r="T39" s="330"/>
      <c r="U39" s="330"/>
      <c r="V39" s="330"/>
      <c r="W39" s="330"/>
      <c r="X39" s="330"/>
      <c r="Y39" s="330"/>
      <c r="Z39" s="330"/>
      <c r="AA39" s="330"/>
      <c r="AB39" s="330"/>
      <c r="AC39" s="330"/>
      <c r="AD39" s="330"/>
      <c r="AE39" s="330"/>
      <c r="AF39" s="330"/>
      <c r="AG39" s="330"/>
      <c r="AH39" s="330"/>
      <c r="AI39" s="330"/>
      <c r="AJ39" s="330"/>
      <c r="AK39" s="330"/>
      <c r="AL39" s="330"/>
      <c r="AM39" s="330"/>
      <c r="AN39" s="330"/>
      <c r="AO39" s="330"/>
      <c r="AP39" s="330"/>
      <c r="AQ39" s="330"/>
      <c r="AR39" s="330"/>
      <c r="AS39" s="330"/>
      <c r="AT39" s="330"/>
      <c r="AU39" s="330"/>
      <c r="AV39" s="330"/>
      <c r="AW39" s="330"/>
      <c r="AX39" s="330"/>
      <c r="AY39" s="330"/>
      <c r="AZ39" s="330"/>
      <c r="BA39" s="330"/>
      <c r="BB39" s="330"/>
      <c r="BC39" s="330"/>
      <c r="BD39" s="330"/>
      <c r="BE39" s="330"/>
      <c r="BF39" s="330"/>
      <c r="BG39" s="330"/>
      <c r="BH39" s="330"/>
      <c r="BI39" s="330"/>
      <c r="BJ39" s="330"/>
      <c r="BK39" s="330"/>
      <c r="BL39" s="330"/>
      <c r="BM39" s="330"/>
      <c r="BN39" s="330"/>
      <c r="BO39" s="330"/>
      <c r="BP39" s="330"/>
      <c r="BQ39" s="330"/>
      <c r="BR39" s="330"/>
      <c r="BS39" s="330"/>
      <c r="BT39" s="330"/>
      <c r="BU39" s="330"/>
      <c r="BV39" s="330"/>
      <c r="BW39" s="330"/>
      <c r="BX39" s="330"/>
      <c r="BY39" s="330"/>
      <c r="BZ39" s="330"/>
      <c r="CA39" s="330"/>
      <c r="CB39" s="330"/>
      <c r="CC39" s="330"/>
      <c r="CD39" s="330"/>
      <c r="CE39" s="330"/>
      <c r="CF39" s="330"/>
      <c r="CG39" s="330"/>
      <c r="CH39" s="330"/>
      <c r="CI39" s="330"/>
      <c r="CJ39" s="330"/>
      <c r="CK39" s="330"/>
      <c r="CL39" s="330"/>
      <c r="CM39" s="330"/>
      <c r="CN39" s="330"/>
      <c r="CO39" s="330"/>
      <c r="CP39" s="330"/>
      <c r="CQ39" s="330"/>
      <c r="CR39" s="330"/>
      <c r="CS39" s="330"/>
      <c r="CT39" s="330"/>
      <c r="CU39" s="330"/>
      <c r="CV39" s="330"/>
      <c r="CW39" s="330"/>
      <c r="CX39" s="330"/>
      <c r="CY39" s="330"/>
      <c r="CZ39" s="330"/>
      <c r="DA39" s="330"/>
      <c r="DB39" s="330"/>
      <c r="DC39" s="330"/>
      <c r="DD39" s="330"/>
      <c r="DE39" s="330"/>
      <c r="DF39" s="330"/>
      <c r="DG39" s="330"/>
      <c r="DH39" s="330"/>
      <c r="DI39" s="330"/>
      <c r="DJ39" s="330"/>
      <c r="DK39" s="330"/>
      <c r="DL39" s="330"/>
      <c r="DM39" s="330"/>
      <c r="DN39" s="330"/>
      <c r="DO39" s="330"/>
      <c r="DP39" s="330"/>
      <c r="DQ39" s="330"/>
      <c r="DR39" s="330"/>
      <c r="DS39" s="330"/>
      <c r="DT39" s="330"/>
      <c r="DU39" s="330"/>
      <c r="DV39" s="330"/>
      <c r="DW39" s="330"/>
      <c r="DX39" s="330"/>
      <c r="DY39" s="330"/>
      <c r="DZ39" s="330"/>
      <c r="EA39" s="330"/>
      <c r="EB39" s="330"/>
      <c r="EC39" s="330"/>
      <c r="ED39" s="330"/>
      <c r="EE39" s="330"/>
      <c r="EF39" s="330"/>
      <c r="EG39" s="330"/>
      <c r="EH39" s="330"/>
      <c r="EI39" s="330"/>
      <c r="EJ39" s="330"/>
      <c r="EK39" s="330"/>
      <c r="EL39" s="330"/>
      <c r="EM39" s="330"/>
      <c r="EN39" s="330"/>
      <c r="EO39" s="330"/>
      <c r="EP39" s="330"/>
      <c r="EQ39" s="330"/>
      <c r="ER39" s="330"/>
      <c r="ES39" s="330"/>
      <c r="ET39" s="330"/>
      <c r="EU39" s="330"/>
      <c r="EV39" s="330"/>
      <c r="EW39" s="330"/>
      <c r="EX39" s="330"/>
      <c r="EY39" s="330"/>
      <c r="EZ39" s="330"/>
      <c r="FA39" s="330"/>
      <c r="FB39" s="330"/>
      <c r="FC39" s="330"/>
      <c r="FD39" s="330"/>
      <c r="FE39" s="330"/>
      <c r="FF39" s="330"/>
      <c r="FG39" s="330"/>
      <c r="FH39" s="330"/>
      <c r="FI39" s="330"/>
      <c r="FJ39" s="330"/>
      <c r="FK39" s="330"/>
      <c r="FL39" s="330"/>
      <c r="FM39" s="330"/>
      <c r="FN39" s="330"/>
      <c r="FO39" s="330"/>
      <c r="FP39" s="330"/>
      <c r="FQ39" s="330"/>
      <c r="FR39" s="330"/>
      <c r="FS39" s="330"/>
      <c r="FT39" s="330"/>
      <c r="FU39" s="330"/>
      <c r="FV39" s="330"/>
      <c r="FW39" s="330"/>
      <c r="FX39" s="330"/>
      <c r="FY39" s="330"/>
      <c r="FZ39" s="330"/>
      <c r="GA39" s="330"/>
      <c r="GB39" s="330"/>
      <c r="GC39" s="330"/>
      <c r="GD39" s="330"/>
      <c r="GE39" s="330"/>
      <c r="GF39" s="330"/>
      <c r="GG39" s="330"/>
      <c r="GH39" s="330"/>
      <c r="GI39" s="330"/>
      <c r="GJ39" s="330"/>
      <c r="GK39" s="330"/>
      <c r="GL39" s="330"/>
      <c r="GM39" s="330"/>
      <c r="GN39" s="330"/>
      <c r="GO39" s="330"/>
      <c r="GP39" s="330"/>
      <c r="GQ39" s="330"/>
      <c r="GR39" s="330"/>
      <c r="GS39" s="330"/>
      <c r="GT39" s="330"/>
      <c r="GU39" s="330"/>
      <c r="GV39" s="330"/>
      <c r="GW39" s="330"/>
      <c r="GX39" s="330"/>
      <c r="GY39" s="330"/>
      <c r="GZ39" s="330"/>
      <c r="HA39" s="330"/>
      <c r="HB39" s="330"/>
      <c r="HC39" s="330"/>
      <c r="HD39" s="330"/>
      <c r="HE39" s="330"/>
      <c r="HF39" s="330"/>
      <c r="HG39" s="330"/>
      <c r="HH39" s="330"/>
      <c r="HI39" s="330"/>
      <c r="HJ39" s="330"/>
      <c r="HK39" s="330"/>
      <c r="HL39" s="330"/>
      <c r="HM39" s="330"/>
      <c r="HN39" s="330"/>
      <c r="HO39" s="330"/>
      <c r="HP39" s="330"/>
      <c r="HQ39" s="330"/>
      <c r="HR39" s="330"/>
      <c r="HS39" s="330"/>
      <c r="HT39" s="330"/>
      <c r="HU39" s="330"/>
      <c r="HV39" s="330"/>
      <c r="HW39" s="330"/>
      <c r="HX39" s="330"/>
      <c r="HY39" s="330"/>
      <c r="HZ39" s="330"/>
      <c r="IA39" s="330"/>
      <c r="IB39" s="330"/>
      <c r="IC39" s="330"/>
      <c r="ID39" s="330"/>
      <c r="IE39" s="330"/>
      <c r="IF39" s="330"/>
      <c r="IG39" s="330"/>
      <c r="IH39" s="330"/>
      <c r="II39" s="330"/>
      <c r="IJ39" s="330"/>
      <c r="IK39" s="330"/>
      <c r="IL39" s="330"/>
      <c r="IM39" s="330"/>
      <c r="IN39" s="330"/>
      <c r="IO39" s="330"/>
      <c r="IP39" s="330"/>
      <c r="IQ39" s="330"/>
      <c r="IR39" s="330"/>
      <c r="IS39" s="330"/>
      <c r="IT39" s="330"/>
      <c r="IU39" s="330"/>
      <c r="IV39" s="330"/>
      <c r="IW39" s="330"/>
      <c r="IX39" s="330"/>
      <c r="IY39" s="330"/>
      <c r="IZ39" s="330"/>
      <c r="JA39" s="330"/>
      <c r="JB39" s="330"/>
      <c r="JC39" s="330"/>
      <c r="JD39" s="330"/>
      <c r="JE39" s="330"/>
      <c r="JF39" s="330"/>
      <c r="JG39" s="330"/>
      <c r="JH39" s="330"/>
      <c r="JI39" s="330"/>
      <c r="JJ39" s="330"/>
      <c r="JK39" s="330"/>
      <c r="JL39" s="330"/>
      <c r="JM39" s="330"/>
      <c r="JN39" s="330"/>
      <c r="JO39" s="330"/>
      <c r="JP39" s="330"/>
      <c r="JQ39" s="330"/>
      <c r="JR39" s="330"/>
      <c r="JS39" s="330"/>
      <c r="JT39" s="330"/>
      <c r="JU39" s="330"/>
      <c r="JV39" s="330"/>
      <c r="JW39" s="330"/>
      <c r="JX39" s="330"/>
      <c r="JY39" s="330"/>
      <c r="JZ39" s="330"/>
      <c r="KA39" s="330"/>
      <c r="KB39" s="330"/>
      <c r="KC39" s="330"/>
      <c r="KD39" s="330"/>
      <c r="KE39" s="330"/>
      <c r="KF39" s="330"/>
      <c r="KG39" s="330"/>
      <c r="KH39" s="330"/>
      <c r="KI39" s="330"/>
      <c r="KJ39" s="330"/>
      <c r="KK39" s="330"/>
      <c r="KL39" s="330"/>
      <c r="KM39" s="330"/>
      <c r="KN39" s="330"/>
      <c r="KO39" s="330"/>
      <c r="KP39" s="330"/>
      <c r="KQ39" s="330"/>
      <c r="KR39" s="330"/>
      <c r="KS39" s="330"/>
      <c r="KT39" s="330"/>
      <c r="KU39" s="330"/>
      <c r="KV39" s="330"/>
      <c r="KW39" s="330"/>
      <c r="KX39" s="330"/>
      <c r="KY39" s="330"/>
      <c r="KZ39" s="330"/>
      <c r="LA39" s="330"/>
      <c r="LB39" s="330"/>
      <c r="LC39" s="330"/>
      <c r="LD39" s="330"/>
      <c r="LE39" s="330"/>
    </row>
    <row r="40" spans="1:317">
      <c r="A40" s="330"/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0"/>
      <c r="P40" s="330"/>
      <c r="Q40" s="330"/>
      <c r="R40" s="330"/>
      <c r="S40" s="330"/>
      <c r="T40" s="330"/>
      <c r="U40" s="330"/>
      <c r="V40" s="330"/>
      <c r="W40" s="330"/>
      <c r="X40" s="330"/>
      <c r="Y40" s="330"/>
      <c r="Z40" s="330"/>
      <c r="AA40" s="330"/>
      <c r="AB40" s="330"/>
      <c r="AC40" s="330"/>
      <c r="AD40" s="330"/>
      <c r="AE40" s="330"/>
      <c r="AF40" s="330"/>
      <c r="AG40" s="330"/>
      <c r="AH40" s="330"/>
      <c r="AI40" s="330"/>
      <c r="AJ40" s="330"/>
      <c r="AK40" s="330"/>
      <c r="AL40" s="330"/>
      <c r="AM40" s="330"/>
      <c r="AN40" s="330"/>
      <c r="AO40" s="330"/>
      <c r="AP40" s="330"/>
      <c r="AQ40" s="330"/>
      <c r="AR40" s="330"/>
      <c r="AS40" s="330"/>
      <c r="AT40" s="330"/>
      <c r="AU40" s="330"/>
      <c r="AV40" s="330"/>
      <c r="AW40" s="330"/>
      <c r="AX40" s="330"/>
      <c r="AY40" s="330"/>
      <c r="AZ40" s="330"/>
      <c r="BA40" s="330"/>
      <c r="BB40" s="330"/>
      <c r="BC40" s="330"/>
      <c r="BD40" s="330"/>
      <c r="BE40" s="330"/>
      <c r="BF40" s="330"/>
      <c r="BG40" s="330"/>
      <c r="BH40" s="330"/>
      <c r="BI40" s="330"/>
      <c r="BJ40" s="330"/>
      <c r="BK40" s="330"/>
      <c r="BL40" s="330"/>
      <c r="BM40" s="330"/>
      <c r="BN40" s="330"/>
      <c r="BO40" s="330"/>
      <c r="BP40" s="330"/>
      <c r="BQ40" s="330"/>
      <c r="BR40" s="330"/>
      <c r="BS40" s="330"/>
      <c r="BT40" s="330"/>
      <c r="BU40" s="330"/>
      <c r="BV40" s="330"/>
      <c r="BW40" s="330"/>
      <c r="BX40" s="330"/>
      <c r="BY40" s="330"/>
      <c r="BZ40" s="330"/>
      <c r="CA40" s="330"/>
      <c r="CB40" s="330"/>
      <c r="CC40" s="330"/>
      <c r="CD40" s="330"/>
      <c r="CE40" s="330"/>
      <c r="CF40" s="330"/>
      <c r="CG40" s="330"/>
      <c r="CH40" s="330"/>
      <c r="CI40" s="330"/>
      <c r="CJ40" s="330"/>
      <c r="CK40" s="330"/>
      <c r="CL40" s="330"/>
      <c r="CM40" s="330"/>
      <c r="CN40" s="330"/>
      <c r="CO40" s="330"/>
      <c r="CP40" s="330"/>
      <c r="CQ40" s="330"/>
      <c r="CR40" s="330"/>
      <c r="CS40" s="330"/>
      <c r="CT40" s="330"/>
      <c r="CU40" s="330"/>
      <c r="CV40" s="330"/>
      <c r="CW40" s="330"/>
      <c r="CX40" s="330"/>
      <c r="CY40" s="330"/>
      <c r="CZ40" s="330"/>
      <c r="DA40" s="330"/>
      <c r="DB40" s="330"/>
      <c r="DC40" s="330"/>
      <c r="DD40" s="330"/>
      <c r="DE40" s="330"/>
      <c r="DF40" s="330"/>
      <c r="DG40" s="330"/>
      <c r="DH40" s="330"/>
      <c r="DI40" s="330"/>
      <c r="DJ40" s="330"/>
      <c r="DK40" s="330"/>
      <c r="DL40" s="330"/>
      <c r="DM40" s="330"/>
      <c r="DN40" s="330"/>
      <c r="DO40" s="330"/>
      <c r="DP40" s="330"/>
      <c r="DQ40" s="330"/>
      <c r="DR40" s="330"/>
      <c r="DS40" s="330"/>
      <c r="DT40" s="330"/>
      <c r="DU40" s="330"/>
      <c r="DV40" s="330"/>
      <c r="DW40" s="330"/>
      <c r="DX40" s="330"/>
      <c r="DY40" s="330"/>
      <c r="DZ40" s="330"/>
      <c r="EA40" s="330"/>
      <c r="EB40" s="330"/>
      <c r="EC40" s="330"/>
      <c r="ED40" s="330"/>
      <c r="EE40" s="330"/>
      <c r="EF40" s="330"/>
      <c r="EG40" s="330"/>
      <c r="EH40" s="330"/>
      <c r="EI40" s="330"/>
      <c r="EJ40" s="330"/>
      <c r="EK40" s="330"/>
      <c r="EL40" s="330"/>
      <c r="EM40" s="330"/>
      <c r="EN40" s="330"/>
      <c r="EO40" s="330"/>
      <c r="EP40" s="330"/>
      <c r="EQ40" s="330"/>
      <c r="ER40" s="330"/>
      <c r="ES40" s="330"/>
      <c r="ET40" s="330"/>
      <c r="EU40" s="330"/>
      <c r="EV40" s="330"/>
      <c r="EW40" s="330"/>
      <c r="EX40" s="330"/>
      <c r="EY40" s="330"/>
      <c r="EZ40" s="330"/>
      <c r="FA40" s="330"/>
      <c r="FB40" s="330"/>
      <c r="FC40" s="330"/>
      <c r="FD40" s="330"/>
      <c r="FE40" s="330"/>
      <c r="FF40" s="330"/>
      <c r="FG40" s="330"/>
      <c r="FH40" s="330"/>
      <c r="FI40" s="330"/>
      <c r="FJ40" s="330"/>
      <c r="FK40" s="330"/>
      <c r="FL40" s="330"/>
      <c r="FM40" s="330"/>
      <c r="FN40" s="330"/>
      <c r="FO40" s="330"/>
      <c r="FP40" s="330"/>
      <c r="FQ40" s="330"/>
      <c r="FR40" s="330"/>
      <c r="FS40" s="330"/>
      <c r="FT40" s="330"/>
      <c r="FU40" s="330"/>
      <c r="FV40" s="330"/>
      <c r="FW40" s="330"/>
      <c r="FX40" s="330"/>
      <c r="FY40" s="330"/>
      <c r="FZ40" s="330"/>
      <c r="GA40" s="330"/>
      <c r="GB40" s="330"/>
      <c r="GC40" s="330"/>
      <c r="GD40" s="330"/>
      <c r="GE40" s="330"/>
      <c r="GF40" s="330"/>
      <c r="GG40" s="330"/>
      <c r="GH40" s="330"/>
      <c r="GI40" s="330"/>
      <c r="GJ40" s="330"/>
      <c r="GK40" s="330"/>
      <c r="GL40" s="330"/>
      <c r="GM40" s="330"/>
      <c r="GN40" s="330"/>
      <c r="GO40" s="330"/>
      <c r="GP40" s="330"/>
      <c r="GQ40" s="330"/>
      <c r="GR40" s="330"/>
      <c r="GS40" s="330"/>
      <c r="GT40" s="330"/>
      <c r="GU40" s="330"/>
      <c r="GV40" s="330"/>
      <c r="GW40" s="330"/>
      <c r="GX40" s="330"/>
      <c r="GY40" s="330"/>
      <c r="GZ40" s="330"/>
      <c r="HA40" s="330"/>
      <c r="HB40" s="330"/>
      <c r="HC40" s="330"/>
      <c r="HD40" s="330"/>
      <c r="HE40" s="330"/>
      <c r="HF40" s="330"/>
      <c r="HG40" s="330"/>
      <c r="HH40" s="330"/>
      <c r="HI40" s="330"/>
      <c r="HJ40" s="330"/>
      <c r="HK40" s="330"/>
      <c r="HL40" s="330"/>
      <c r="HM40" s="330"/>
      <c r="HN40" s="330"/>
      <c r="HO40" s="330"/>
      <c r="HP40" s="330"/>
      <c r="HQ40" s="330"/>
      <c r="HR40" s="330"/>
      <c r="HS40" s="330"/>
      <c r="HT40" s="330"/>
      <c r="HU40" s="330"/>
      <c r="HV40" s="330"/>
      <c r="HW40" s="330"/>
      <c r="HX40" s="330"/>
      <c r="HY40" s="330"/>
      <c r="HZ40" s="330"/>
      <c r="IA40" s="330"/>
      <c r="IB40" s="330"/>
      <c r="IC40" s="330"/>
      <c r="ID40" s="330"/>
      <c r="IE40" s="330"/>
      <c r="IF40" s="330"/>
      <c r="IG40" s="330"/>
      <c r="IH40" s="330"/>
      <c r="II40" s="330"/>
      <c r="IJ40" s="330"/>
      <c r="IK40" s="330"/>
      <c r="IL40" s="330"/>
      <c r="IM40" s="330"/>
      <c r="IN40" s="330"/>
      <c r="IO40" s="330"/>
      <c r="IP40" s="330"/>
      <c r="IQ40" s="330"/>
      <c r="IR40" s="330"/>
      <c r="IS40" s="330"/>
      <c r="IT40" s="330"/>
      <c r="IU40" s="330"/>
      <c r="IV40" s="330"/>
      <c r="IW40" s="330"/>
      <c r="IX40" s="330"/>
      <c r="IY40" s="330"/>
      <c r="IZ40" s="330"/>
      <c r="JA40" s="330"/>
      <c r="JB40" s="330"/>
      <c r="JC40" s="330"/>
      <c r="JD40" s="330"/>
      <c r="JE40" s="330"/>
      <c r="JF40" s="330"/>
      <c r="JG40" s="330"/>
      <c r="JH40" s="330"/>
      <c r="JI40" s="330"/>
      <c r="JJ40" s="330"/>
      <c r="JK40" s="330"/>
      <c r="JL40" s="330"/>
      <c r="JM40" s="330"/>
      <c r="JN40" s="330"/>
      <c r="JO40" s="330"/>
      <c r="JP40" s="330"/>
      <c r="JQ40" s="330"/>
      <c r="JR40" s="330"/>
      <c r="JS40" s="330"/>
      <c r="JT40" s="330"/>
      <c r="JU40" s="330"/>
      <c r="JV40" s="330"/>
      <c r="JW40" s="330"/>
      <c r="JX40" s="330"/>
      <c r="JY40" s="330"/>
      <c r="JZ40" s="330"/>
      <c r="KA40" s="330"/>
      <c r="KB40" s="330"/>
      <c r="KC40" s="330"/>
      <c r="KD40" s="330"/>
      <c r="KE40" s="330"/>
      <c r="KF40" s="330"/>
      <c r="KG40" s="330"/>
      <c r="KH40" s="330"/>
      <c r="KI40" s="330"/>
      <c r="KJ40" s="330"/>
      <c r="KK40" s="330"/>
      <c r="KL40" s="330"/>
      <c r="KM40" s="330"/>
      <c r="KN40" s="330"/>
      <c r="KO40" s="330"/>
      <c r="KP40" s="330"/>
      <c r="KQ40" s="330"/>
      <c r="KR40" s="330"/>
      <c r="KS40" s="330"/>
      <c r="KT40" s="330"/>
      <c r="KU40" s="330"/>
      <c r="KV40" s="330"/>
      <c r="KW40" s="330"/>
      <c r="KX40" s="330"/>
      <c r="KY40" s="330"/>
      <c r="KZ40" s="330"/>
      <c r="LA40" s="330"/>
      <c r="LB40" s="330"/>
      <c r="LC40" s="330"/>
      <c r="LD40" s="330"/>
      <c r="LE40" s="330"/>
    </row>
    <row r="41" spans="1:317">
      <c r="A41" s="330"/>
      <c r="B41" s="330"/>
      <c r="C41" s="330"/>
      <c r="D41" s="330"/>
      <c r="E41" s="330"/>
      <c r="F41" s="330"/>
      <c r="G41" s="330"/>
      <c r="H41" s="330"/>
      <c r="I41" s="330"/>
      <c r="J41" s="330"/>
      <c r="K41" s="330"/>
      <c r="L41" s="330"/>
      <c r="M41" s="330"/>
      <c r="N41" s="330"/>
      <c r="O41" s="330"/>
      <c r="P41" s="330"/>
      <c r="Q41" s="330"/>
      <c r="R41" s="330"/>
      <c r="S41" s="330"/>
      <c r="T41" s="330"/>
      <c r="U41" s="330"/>
      <c r="V41" s="330"/>
      <c r="W41" s="330"/>
      <c r="X41" s="330"/>
      <c r="Y41" s="330"/>
      <c r="Z41" s="330"/>
      <c r="AA41" s="330"/>
      <c r="AB41" s="330"/>
      <c r="AC41" s="330"/>
      <c r="AD41" s="330"/>
      <c r="AE41" s="330"/>
      <c r="AF41" s="330"/>
      <c r="AG41" s="330"/>
      <c r="AH41" s="330"/>
      <c r="AI41" s="330"/>
      <c r="AJ41" s="330"/>
      <c r="AK41" s="330"/>
      <c r="AL41" s="330"/>
      <c r="AM41" s="330"/>
      <c r="AN41" s="330"/>
      <c r="AO41" s="330"/>
      <c r="AP41" s="330"/>
      <c r="AQ41" s="330"/>
      <c r="AR41" s="330"/>
      <c r="AS41" s="330"/>
      <c r="AT41" s="330"/>
      <c r="AU41" s="330"/>
      <c r="AV41" s="330"/>
      <c r="AW41" s="330"/>
      <c r="AX41" s="330"/>
      <c r="AY41" s="330"/>
      <c r="AZ41" s="330"/>
      <c r="BA41" s="330"/>
      <c r="BB41" s="330"/>
      <c r="BC41" s="330"/>
      <c r="BD41" s="330"/>
      <c r="BE41" s="330"/>
      <c r="BF41" s="330"/>
      <c r="BG41" s="330"/>
      <c r="BH41" s="330"/>
      <c r="BI41" s="330"/>
      <c r="BJ41" s="330"/>
      <c r="BK41" s="330"/>
      <c r="BL41" s="330"/>
      <c r="BM41" s="330"/>
      <c r="BN41" s="330"/>
      <c r="BO41" s="330"/>
      <c r="BP41" s="330"/>
      <c r="BQ41" s="330"/>
      <c r="BR41" s="330"/>
      <c r="BS41" s="330"/>
      <c r="BT41" s="330"/>
      <c r="BU41" s="330"/>
      <c r="BV41" s="330"/>
      <c r="BW41" s="330"/>
      <c r="BX41" s="330"/>
      <c r="BY41" s="330"/>
      <c r="BZ41" s="330"/>
      <c r="CA41" s="330"/>
      <c r="CB41" s="330"/>
      <c r="CC41" s="330"/>
      <c r="CD41" s="330"/>
      <c r="CE41" s="330"/>
      <c r="CF41" s="330"/>
      <c r="CG41" s="330"/>
      <c r="CH41" s="330"/>
      <c r="CI41" s="330"/>
      <c r="CJ41" s="330"/>
      <c r="CK41" s="330"/>
      <c r="CL41" s="330"/>
      <c r="CM41" s="330"/>
      <c r="CN41" s="330"/>
      <c r="CO41" s="330"/>
      <c r="CP41" s="330"/>
      <c r="CQ41" s="330"/>
      <c r="CR41" s="330"/>
      <c r="CS41" s="330"/>
      <c r="CT41" s="330"/>
      <c r="CU41" s="330"/>
      <c r="CV41" s="330"/>
      <c r="CW41" s="330"/>
      <c r="CX41" s="330"/>
      <c r="CY41" s="330"/>
      <c r="CZ41" s="330"/>
      <c r="DA41" s="330"/>
      <c r="DB41" s="330"/>
      <c r="DC41" s="330"/>
      <c r="DD41" s="330"/>
      <c r="DE41" s="330"/>
      <c r="DF41" s="330"/>
      <c r="DG41" s="330"/>
      <c r="DH41" s="330"/>
      <c r="DI41" s="330"/>
      <c r="DJ41" s="330"/>
      <c r="DK41" s="330"/>
      <c r="DL41" s="330"/>
      <c r="DM41" s="330"/>
      <c r="DN41" s="330"/>
      <c r="DO41" s="330"/>
      <c r="DP41" s="330"/>
      <c r="DQ41" s="330"/>
      <c r="DR41" s="330"/>
      <c r="DS41" s="330"/>
      <c r="DT41" s="330"/>
      <c r="DU41" s="330"/>
      <c r="DV41" s="330"/>
      <c r="DW41" s="330"/>
      <c r="DX41" s="330"/>
      <c r="DY41" s="330"/>
      <c r="DZ41" s="330"/>
      <c r="EA41" s="330"/>
      <c r="EB41" s="330"/>
      <c r="EC41" s="330"/>
      <c r="ED41" s="330"/>
      <c r="EE41" s="330"/>
      <c r="EF41" s="330"/>
      <c r="EG41" s="330"/>
      <c r="EH41" s="330"/>
      <c r="EI41" s="330"/>
      <c r="EJ41" s="330"/>
      <c r="EK41" s="330"/>
      <c r="EL41" s="330"/>
      <c r="EM41" s="330"/>
      <c r="EN41" s="330"/>
      <c r="EO41" s="330"/>
      <c r="EP41" s="330"/>
      <c r="EQ41" s="330"/>
      <c r="ER41" s="330"/>
      <c r="ES41" s="330"/>
      <c r="ET41" s="330"/>
      <c r="EU41" s="330"/>
      <c r="EV41" s="330"/>
      <c r="EW41" s="330"/>
      <c r="EX41" s="330"/>
      <c r="EY41" s="330"/>
      <c r="EZ41" s="330"/>
      <c r="FA41" s="330"/>
      <c r="FB41" s="330"/>
      <c r="FC41" s="330"/>
      <c r="FD41" s="330"/>
      <c r="FE41" s="330"/>
      <c r="FF41" s="330"/>
      <c r="FG41" s="330"/>
      <c r="FH41" s="330"/>
      <c r="FI41" s="330"/>
      <c r="FJ41" s="330"/>
      <c r="FK41" s="330"/>
      <c r="FL41" s="330"/>
      <c r="FM41" s="330"/>
      <c r="FN41" s="330"/>
      <c r="FO41" s="330"/>
      <c r="FP41" s="330"/>
      <c r="FQ41" s="330"/>
      <c r="FR41" s="330"/>
      <c r="FS41" s="330"/>
      <c r="FT41" s="330"/>
      <c r="FU41" s="330"/>
      <c r="FV41" s="330"/>
      <c r="FW41" s="330"/>
      <c r="FX41" s="330"/>
      <c r="FY41" s="330"/>
      <c r="FZ41" s="330"/>
      <c r="GA41" s="330"/>
      <c r="GB41" s="330"/>
      <c r="GC41" s="330"/>
      <c r="GD41" s="330"/>
      <c r="GE41" s="330"/>
      <c r="GF41" s="330"/>
      <c r="GG41" s="330"/>
      <c r="GH41" s="330"/>
      <c r="GI41" s="330"/>
      <c r="GJ41" s="330"/>
      <c r="GK41" s="330"/>
      <c r="GL41" s="330"/>
      <c r="GM41" s="330"/>
      <c r="GN41" s="330"/>
      <c r="GO41" s="330"/>
      <c r="GP41" s="330"/>
      <c r="GQ41" s="330"/>
      <c r="GR41" s="330"/>
      <c r="GS41" s="330"/>
      <c r="GT41" s="330"/>
      <c r="GU41" s="330"/>
      <c r="GV41" s="330"/>
      <c r="GW41" s="330"/>
      <c r="GX41" s="330"/>
      <c r="GY41" s="330"/>
      <c r="GZ41" s="330"/>
      <c r="HA41" s="330"/>
      <c r="HB41" s="330"/>
      <c r="HC41" s="330"/>
      <c r="HD41" s="330"/>
      <c r="HE41" s="330"/>
      <c r="HF41" s="330"/>
      <c r="HG41" s="330"/>
      <c r="HH41" s="330"/>
      <c r="HI41" s="330"/>
      <c r="HJ41" s="330"/>
      <c r="HK41" s="330"/>
      <c r="HL41" s="330"/>
      <c r="HM41" s="330"/>
      <c r="HN41" s="330"/>
      <c r="HO41" s="330"/>
      <c r="HP41" s="330"/>
      <c r="HQ41" s="330"/>
      <c r="HR41" s="330"/>
      <c r="HS41" s="330"/>
      <c r="HT41" s="330"/>
      <c r="HU41" s="330"/>
      <c r="HV41" s="330"/>
      <c r="HW41" s="330"/>
      <c r="HX41" s="330"/>
      <c r="HY41" s="330"/>
      <c r="HZ41" s="330"/>
      <c r="IA41" s="330"/>
      <c r="IB41" s="330"/>
      <c r="IC41" s="330"/>
      <c r="ID41" s="330"/>
      <c r="IE41" s="330"/>
      <c r="IF41" s="330"/>
      <c r="IG41" s="330"/>
      <c r="IH41" s="330"/>
      <c r="II41" s="330"/>
      <c r="IJ41" s="330"/>
      <c r="IK41" s="330"/>
      <c r="IL41" s="330"/>
      <c r="IM41" s="330"/>
      <c r="IN41" s="330"/>
      <c r="IO41" s="330"/>
      <c r="IP41" s="330"/>
      <c r="IQ41" s="330"/>
      <c r="IR41" s="330"/>
      <c r="IS41" s="330"/>
      <c r="IT41" s="330"/>
      <c r="IU41" s="330"/>
      <c r="IV41" s="330"/>
      <c r="IW41" s="330"/>
      <c r="IX41" s="330"/>
      <c r="IY41" s="330"/>
      <c r="IZ41" s="330"/>
      <c r="JA41" s="330"/>
      <c r="JB41" s="330"/>
      <c r="JC41" s="330"/>
      <c r="JD41" s="330"/>
      <c r="JE41" s="330"/>
      <c r="JF41" s="330"/>
      <c r="JG41" s="330"/>
      <c r="JH41" s="330"/>
      <c r="JI41" s="330"/>
      <c r="JJ41" s="330"/>
      <c r="JK41" s="330"/>
      <c r="JL41" s="330"/>
      <c r="JM41" s="330"/>
      <c r="JN41" s="330"/>
      <c r="JO41" s="330"/>
      <c r="JP41" s="330"/>
      <c r="JQ41" s="330"/>
      <c r="JR41" s="330"/>
      <c r="JS41" s="330"/>
      <c r="JT41" s="330"/>
      <c r="JU41" s="330"/>
      <c r="JV41" s="330"/>
      <c r="JW41" s="330"/>
      <c r="JX41" s="330"/>
      <c r="JY41" s="330"/>
      <c r="JZ41" s="330"/>
      <c r="KA41" s="330"/>
      <c r="KB41" s="330"/>
      <c r="KC41" s="330"/>
      <c r="KD41" s="330"/>
      <c r="KE41" s="330"/>
      <c r="KF41" s="330"/>
      <c r="KG41" s="330"/>
      <c r="KH41" s="330"/>
      <c r="KI41" s="330"/>
      <c r="KJ41" s="330"/>
      <c r="KK41" s="330"/>
      <c r="KL41" s="330"/>
      <c r="KM41" s="330"/>
      <c r="KN41" s="330"/>
      <c r="KO41" s="330"/>
      <c r="KP41" s="330"/>
      <c r="KQ41" s="330"/>
      <c r="KR41" s="330"/>
      <c r="KS41" s="330"/>
      <c r="KT41" s="330"/>
      <c r="KU41" s="330"/>
      <c r="KV41" s="330"/>
      <c r="KW41" s="330"/>
      <c r="KX41" s="330"/>
      <c r="KY41" s="330"/>
      <c r="KZ41" s="330"/>
      <c r="LA41" s="330"/>
      <c r="LB41" s="330"/>
      <c r="LC41" s="330"/>
      <c r="LD41" s="330"/>
      <c r="LE41" s="330"/>
    </row>
    <row r="42" spans="1:317">
      <c r="A42" s="330"/>
      <c r="B42" s="330"/>
      <c r="C42" s="330"/>
      <c r="D42" s="330"/>
      <c r="E42" s="330"/>
      <c r="F42" s="330"/>
      <c r="G42" s="330"/>
      <c r="H42" s="330"/>
      <c r="I42" s="330"/>
      <c r="J42" s="330"/>
      <c r="K42" s="330"/>
      <c r="L42" s="330"/>
      <c r="M42" s="330"/>
      <c r="N42" s="330"/>
      <c r="O42" s="330"/>
      <c r="P42" s="330"/>
      <c r="Q42" s="330"/>
      <c r="R42" s="330"/>
      <c r="S42" s="330"/>
      <c r="T42" s="330"/>
      <c r="U42" s="330"/>
      <c r="V42" s="330"/>
      <c r="W42" s="330"/>
      <c r="X42" s="330"/>
      <c r="Y42" s="330"/>
      <c r="Z42" s="330"/>
      <c r="AA42" s="330"/>
      <c r="AB42" s="330"/>
      <c r="AC42" s="330"/>
      <c r="AD42" s="330"/>
      <c r="AE42" s="330"/>
      <c r="AF42" s="330"/>
      <c r="AG42" s="330"/>
      <c r="AH42" s="330"/>
      <c r="AI42" s="330"/>
      <c r="AJ42" s="330"/>
      <c r="AK42" s="330"/>
      <c r="AL42" s="330"/>
      <c r="AM42" s="330"/>
      <c r="AN42" s="330"/>
      <c r="AO42" s="330"/>
      <c r="AP42" s="330"/>
      <c r="AQ42" s="330"/>
      <c r="AR42" s="330"/>
      <c r="AS42" s="330"/>
      <c r="AT42" s="330"/>
      <c r="AU42" s="330"/>
      <c r="AV42" s="330"/>
      <c r="AW42" s="330"/>
      <c r="AX42" s="330"/>
      <c r="AY42" s="330"/>
      <c r="AZ42" s="330"/>
      <c r="BA42" s="330"/>
      <c r="BB42" s="330"/>
      <c r="BC42" s="330"/>
      <c r="BD42" s="330"/>
      <c r="BE42" s="330"/>
      <c r="BF42" s="330"/>
      <c r="BG42" s="330"/>
      <c r="BH42" s="330"/>
      <c r="BI42" s="330"/>
      <c r="BJ42" s="330"/>
      <c r="BK42" s="330"/>
      <c r="BL42" s="330"/>
      <c r="BM42" s="330"/>
      <c r="BN42" s="330"/>
      <c r="BO42" s="330"/>
      <c r="BP42" s="330"/>
      <c r="BQ42" s="330"/>
      <c r="BR42" s="330"/>
      <c r="BS42" s="330"/>
      <c r="BT42" s="330"/>
      <c r="BU42" s="330"/>
      <c r="BV42" s="330"/>
      <c r="BW42" s="330"/>
      <c r="BX42" s="330"/>
      <c r="BY42" s="330"/>
      <c r="BZ42" s="330"/>
      <c r="CA42" s="330"/>
      <c r="CB42" s="330"/>
      <c r="CC42" s="330"/>
      <c r="CD42" s="330"/>
      <c r="CE42" s="330"/>
      <c r="CF42" s="330"/>
      <c r="CG42" s="330"/>
      <c r="CH42" s="330"/>
      <c r="CI42" s="330"/>
      <c r="CJ42" s="330"/>
      <c r="CK42" s="330"/>
      <c r="CL42" s="330"/>
      <c r="CM42" s="330"/>
      <c r="CN42" s="330"/>
      <c r="CO42" s="330"/>
      <c r="CP42" s="330"/>
      <c r="CQ42" s="330"/>
      <c r="CR42" s="330"/>
      <c r="CS42" s="330"/>
      <c r="CT42" s="330"/>
      <c r="CU42" s="330"/>
      <c r="CV42" s="330"/>
      <c r="CW42" s="330"/>
      <c r="CX42" s="330"/>
      <c r="CY42" s="330"/>
      <c r="CZ42" s="330"/>
      <c r="DA42" s="330"/>
      <c r="DB42" s="330"/>
      <c r="DC42" s="330"/>
      <c r="DD42" s="330"/>
      <c r="DE42" s="330"/>
      <c r="DF42" s="330"/>
      <c r="DG42" s="330"/>
      <c r="DH42" s="330"/>
      <c r="DI42" s="330"/>
      <c r="DJ42" s="330"/>
      <c r="DK42" s="330"/>
      <c r="DL42" s="330"/>
      <c r="DM42" s="330"/>
      <c r="DN42" s="330"/>
      <c r="DO42" s="330"/>
      <c r="DP42" s="330"/>
      <c r="DQ42" s="330"/>
      <c r="DR42" s="330"/>
      <c r="DS42" s="330"/>
      <c r="DT42" s="330"/>
      <c r="DU42" s="330"/>
      <c r="DV42" s="330"/>
      <c r="DW42" s="330"/>
      <c r="DX42" s="330"/>
      <c r="DY42" s="330"/>
      <c r="DZ42" s="330"/>
      <c r="EA42" s="330"/>
      <c r="EB42" s="330"/>
      <c r="EC42" s="330"/>
      <c r="ED42" s="330"/>
      <c r="EE42" s="330"/>
      <c r="EF42" s="330"/>
      <c r="EG42" s="330"/>
      <c r="EH42" s="330"/>
      <c r="EI42" s="330"/>
      <c r="EJ42" s="330"/>
      <c r="EK42" s="330"/>
      <c r="EL42" s="330"/>
      <c r="EM42" s="330"/>
      <c r="EN42" s="330"/>
      <c r="EO42" s="330"/>
      <c r="EP42" s="330"/>
      <c r="EQ42" s="330"/>
      <c r="ER42" s="330"/>
      <c r="ES42" s="330"/>
      <c r="ET42" s="330"/>
      <c r="EU42" s="330"/>
      <c r="EV42" s="330"/>
      <c r="EW42" s="330"/>
      <c r="EX42" s="330"/>
      <c r="EY42" s="330"/>
      <c r="EZ42" s="330"/>
      <c r="FA42" s="330"/>
      <c r="FB42" s="330"/>
      <c r="FC42" s="330"/>
      <c r="FD42" s="330"/>
      <c r="FE42" s="330"/>
      <c r="FF42" s="330"/>
      <c r="FG42" s="330"/>
      <c r="FH42" s="330"/>
      <c r="FI42" s="330"/>
      <c r="FJ42" s="330"/>
      <c r="FK42" s="330"/>
      <c r="FL42" s="330"/>
      <c r="FM42" s="330"/>
      <c r="FN42" s="330"/>
      <c r="FO42" s="330"/>
      <c r="FP42" s="330"/>
      <c r="FQ42" s="330"/>
      <c r="FR42" s="330"/>
      <c r="FS42" s="330"/>
      <c r="FT42" s="330"/>
      <c r="FU42" s="330"/>
      <c r="FV42" s="330"/>
      <c r="FW42" s="330"/>
      <c r="FX42" s="330"/>
      <c r="FY42" s="330"/>
      <c r="FZ42" s="330"/>
      <c r="GA42" s="330"/>
      <c r="GB42" s="330"/>
      <c r="GC42" s="330"/>
      <c r="GD42" s="330"/>
      <c r="GE42" s="330"/>
      <c r="GF42" s="330"/>
      <c r="GG42" s="330"/>
      <c r="GH42" s="330"/>
      <c r="GI42" s="330"/>
      <c r="GJ42" s="330"/>
      <c r="GK42" s="330"/>
      <c r="GL42" s="330"/>
      <c r="GM42" s="330"/>
      <c r="GN42" s="330"/>
      <c r="GO42" s="330"/>
      <c r="GP42" s="330"/>
      <c r="GQ42" s="330"/>
      <c r="GR42" s="330"/>
      <c r="GS42" s="330"/>
      <c r="GT42" s="330"/>
      <c r="GU42" s="330"/>
      <c r="GV42" s="330"/>
      <c r="GW42" s="330"/>
      <c r="GX42" s="330"/>
      <c r="GY42" s="330"/>
      <c r="GZ42" s="330"/>
      <c r="HA42" s="330"/>
      <c r="HB42" s="330"/>
      <c r="HC42" s="330"/>
      <c r="HD42" s="330"/>
      <c r="HE42" s="330"/>
      <c r="HF42" s="330"/>
      <c r="HG42" s="330"/>
      <c r="HH42" s="330"/>
      <c r="HI42" s="330"/>
      <c r="HJ42" s="330"/>
      <c r="HK42" s="330"/>
      <c r="HL42" s="330"/>
      <c r="HM42" s="330"/>
      <c r="HN42" s="330"/>
      <c r="HO42" s="330"/>
      <c r="HP42" s="330"/>
      <c r="HQ42" s="330"/>
      <c r="HR42" s="330"/>
      <c r="HS42" s="330"/>
      <c r="HT42" s="330"/>
      <c r="HU42" s="330"/>
      <c r="HV42" s="330"/>
      <c r="HW42" s="330"/>
      <c r="HX42" s="330"/>
      <c r="HY42" s="330"/>
      <c r="HZ42" s="330"/>
      <c r="IA42" s="330"/>
      <c r="IB42" s="330"/>
      <c r="IC42" s="330"/>
      <c r="ID42" s="330"/>
      <c r="IE42" s="330"/>
      <c r="IF42" s="330"/>
      <c r="IG42" s="330"/>
      <c r="IH42" s="330"/>
      <c r="II42" s="330"/>
      <c r="IJ42" s="330"/>
      <c r="IK42" s="330"/>
      <c r="IL42" s="330"/>
      <c r="IM42" s="330"/>
      <c r="IN42" s="330"/>
      <c r="IO42" s="330"/>
      <c r="IP42" s="330"/>
      <c r="IQ42" s="330"/>
      <c r="IR42" s="330"/>
      <c r="IS42" s="330"/>
      <c r="IT42" s="330"/>
      <c r="IU42" s="330"/>
      <c r="IV42" s="330"/>
      <c r="IW42" s="330"/>
      <c r="IX42" s="330"/>
      <c r="IY42" s="330"/>
      <c r="IZ42" s="330"/>
      <c r="JA42" s="330"/>
      <c r="JB42" s="330"/>
      <c r="JC42" s="330"/>
      <c r="JD42" s="330"/>
      <c r="JE42" s="330"/>
      <c r="JF42" s="330"/>
      <c r="JG42" s="330"/>
      <c r="JH42" s="330"/>
      <c r="JI42" s="330"/>
      <c r="JJ42" s="330"/>
      <c r="JK42" s="330"/>
      <c r="JL42" s="330"/>
      <c r="JM42" s="330"/>
      <c r="JN42" s="330"/>
      <c r="JO42" s="330"/>
      <c r="JP42" s="330"/>
      <c r="JQ42" s="330"/>
      <c r="JR42" s="330"/>
      <c r="JS42" s="330"/>
      <c r="JT42" s="330"/>
      <c r="JU42" s="330"/>
      <c r="JV42" s="330"/>
      <c r="JW42" s="330"/>
      <c r="JX42" s="330"/>
      <c r="JY42" s="330"/>
      <c r="JZ42" s="330"/>
      <c r="KA42" s="330"/>
      <c r="KB42" s="330"/>
      <c r="KC42" s="330"/>
      <c r="KD42" s="330"/>
      <c r="KE42" s="330"/>
      <c r="KF42" s="330"/>
      <c r="KG42" s="330"/>
      <c r="KH42" s="330"/>
      <c r="KI42" s="330"/>
      <c r="KJ42" s="330"/>
      <c r="KK42" s="330"/>
      <c r="KL42" s="330"/>
      <c r="KM42" s="330"/>
      <c r="KN42" s="330"/>
      <c r="KO42" s="330"/>
      <c r="KP42" s="330"/>
      <c r="KQ42" s="330"/>
      <c r="KR42" s="330"/>
      <c r="KS42" s="330"/>
      <c r="KT42" s="330"/>
      <c r="KU42" s="330"/>
      <c r="KV42" s="330"/>
      <c r="KW42" s="330"/>
      <c r="KX42" s="330"/>
      <c r="KY42" s="330"/>
      <c r="KZ42" s="330"/>
      <c r="LA42" s="330"/>
      <c r="LB42" s="330"/>
      <c r="LC42" s="330"/>
      <c r="LD42" s="330"/>
      <c r="LE42" s="330"/>
    </row>
    <row r="43" spans="1:317">
      <c r="A43" s="330"/>
      <c r="B43" s="330"/>
      <c r="C43" s="330"/>
      <c r="D43" s="330"/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0"/>
      <c r="AV43" s="330"/>
      <c r="AW43" s="330"/>
      <c r="AX43" s="330"/>
      <c r="AY43" s="330"/>
      <c r="AZ43" s="330"/>
      <c r="BA43" s="330"/>
      <c r="BB43" s="330"/>
      <c r="BC43" s="330"/>
      <c r="BD43" s="330"/>
      <c r="BE43" s="330"/>
      <c r="BF43" s="330"/>
      <c r="BG43" s="330"/>
      <c r="BH43" s="330"/>
      <c r="BI43" s="330"/>
      <c r="BJ43" s="330"/>
      <c r="BK43" s="330"/>
      <c r="BL43" s="330"/>
      <c r="BM43" s="330"/>
      <c r="BN43" s="330"/>
      <c r="BO43" s="330"/>
      <c r="BP43" s="330"/>
      <c r="BQ43" s="330"/>
      <c r="BR43" s="330"/>
      <c r="BS43" s="330"/>
      <c r="BT43" s="330"/>
      <c r="BU43" s="330"/>
      <c r="BV43" s="330"/>
      <c r="BW43" s="330"/>
      <c r="BX43" s="330"/>
      <c r="BY43" s="330"/>
      <c r="BZ43" s="330"/>
      <c r="CA43" s="330"/>
      <c r="CB43" s="330"/>
      <c r="CC43" s="330"/>
      <c r="CD43" s="330"/>
      <c r="CE43" s="330"/>
      <c r="CF43" s="330"/>
      <c r="CG43" s="330"/>
      <c r="CH43" s="330"/>
      <c r="CI43" s="330"/>
      <c r="CJ43" s="330"/>
      <c r="CK43" s="330"/>
      <c r="CL43" s="330"/>
      <c r="CM43" s="330"/>
      <c r="CN43" s="330"/>
      <c r="CO43" s="330"/>
      <c r="CP43" s="330"/>
      <c r="CQ43" s="330"/>
      <c r="CR43" s="330"/>
      <c r="CS43" s="330"/>
      <c r="CT43" s="330"/>
      <c r="CU43" s="330"/>
      <c r="CV43" s="330"/>
      <c r="CW43" s="330"/>
      <c r="CX43" s="330"/>
      <c r="CY43" s="330"/>
      <c r="CZ43" s="330"/>
      <c r="DA43" s="330"/>
      <c r="DB43" s="330"/>
      <c r="DC43" s="330"/>
      <c r="DD43" s="330"/>
      <c r="DE43" s="330"/>
      <c r="DF43" s="330"/>
      <c r="DG43" s="330"/>
      <c r="DH43" s="330"/>
      <c r="DI43" s="330"/>
      <c r="DJ43" s="330"/>
      <c r="DK43" s="330"/>
      <c r="DL43" s="330"/>
      <c r="DM43" s="330"/>
      <c r="DN43" s="330"/>
      <c r="DO43" s="330"/>
      <c r="DP43" s="330"/>
      <c r="DQ43" s="330"/>
      <c r="DR43" s="330"/>
      <c r="DS43" s="330"/>
      <c r="DT43" s="330"/>
      <c r="DU43" s="330"/>
      <c r="DV43" s="330"/>
      <c r="DW43" s="330"/>
      <c r="DX43" s="330"/>
      <c r="DY43" s="330"/>
      <c r="DZ43" s="330"/>
      <c r="EA43" s="330"/>
      <c r="EB43" s="330"/>
      <c r="EC43" s="330"/>
      <c r="ED43" s="330"/>
      <c r="EE43" s="330"/>
      <c r="EF43" s="330"/>
      <c r="EG43" s="330"/>
      <c r="EH43" s="330"/>
      <c r="EI43" s="330"/>
      <c r="EJ43" s="330"/>
      <c r="EK43" s="330"/>
      <c r="EL43" s="330"/>
      <c r="EM43" s="330"/>
      <c r="EN43" s="330"/>
      <c r="EO43" s="330"/>
      <c r="EP43" s="330"/>
      <c r="EQ43" s="330"/>
      <c r="ER43" s="330"/>
      <c r="ES43" s="330"/>
      <c r="ET43" s="330"/>
      <c r="EU43" s="330"/>
      <c r="EV43" s="330"/>
      <c r="EW43" s="330"/>
      <c r="EX43" s="330"/>
      <c r="EY43" s="330"/>
      <c r="EZ43" s="330"/>
      <c r="FA43" s="330"/>
      <c r="FB43" s="330"/>
      <c r="FC43" s="330"/>
      <c r="FD43" s="330"/>
      <c r="FE43" s="330"/>
      <c r="FF43" s="330"/>
      <c r="FG43" s="330"/>
      <c r="FH43" s="330"/>
      <c r="FI43" s="330"/>
      <c r="FJ43" s="330"/>
      <c r="FK43" s="330"/>
      <c r="FL43" s="330"/>
      <c r="FM43" s="330"/>
      <c r="FN43" s="330"/>
      <c r="FO43" s="330"/>
      <c r="FP43" s="330"/>
      <c r="FQ43" s="330"/>
      <c r="FR43" s="330"/>
      <c r="FS43" s="330"/>
      <c r="FT43" s="330"/>
      <c r="FU43" s="330"/>
      <c r="FV43" s="330"/>
      <c r="FW43" s="330"/>
      <c r="FX43" s="330"/>
      <c r="FY43" s="330"/>
      <c r="FZ43" s="330"/>
      <c r="GA43" s="330"/>
      <c r="GB43" s="330"/>
      <c r="GC43" s="330"/>
      <c r="GD43" s="330"/>
      <c r="GE43" s="330"/>
      <c r="GF43" s="330"/>
      <c r="GG43" s="330"/>
      <c r="GH43" s="330"/>
      <c r="GI43" s="330"/>
      <c r="GJ43" s="330"/>
      <c r="GK43" s="330"/>
      <c r="GL43" s="330"/>
      <c r="GM43" s="330"/>
      <c r="GN43" s="330"/>
      <c r="GO43" s="330"/>
      <c r="GP43" s="330"/>
      <c r="GQ43" s="330"/>
      <c r="GR43" s="330"/>
      <c r="GS43" s="330"/>
      <c r="GT43" s="330"/>
      <c r="GU43" s="330"/>
      <c r="GV43" s="330"/>
      <c r="GW43" s="330"/>
      <c r="GX43" s="330"/>
      <c r="GY43" s="330"/>
      <c r="GZ43" s="330"/>
      <c r="HA43" s="330"/>
      <c r="HB43" s="330"/>
      <c r="HC43" s="330"/>
      <c r="HD43" s="330"/>
      <c r="HE43" s="330"/>
      <c r="HF43" s="330"/>
      <c r="HG43" s="330"/>
      <c r="HH43" s="330"/>
      <c r="HI43" s="330"/>
      <c r="HJ43" s="330"/>
      <c r="HK43" s="330"/>
      <c r="HL43" s="330"/>
      <c r="HM43" s="330"/>
      <c r="HN43" s="330"/>
      <c r="HO43" s="330"/>
      <c r="HP43" s="330"/>
      <c r="HQ43" s="330"/>
      <c r="HR43" s="330"/>
      <c r="HS43" s="330"/>
      <c r="HT43" s="330"/>
      <c r="HU43" s="330"/>
      <c r="HV43" s="330"/>
      <c r="HW43" s="330"/>
      <c r="HX43" s="330"/>
      <c r="HY43" s="330"/>
      <c r="HZ43" s="330"/>
      <c r="IA43" s="330"/>
      <c r="IB43" s="330"/>
      <c r="IC43" s="330"/>
      <c r="ID43" s="330"/>
      <c r="IE43" s="330"/>
      <c r="IF43" s="330"/>
      <c r="IG43" s="330"/>
      <c r="IH43" s="330"/>
      <c r="II43" s="330"/>
      <c r="IJ43" s="330"/>
      <c r="IK43" s="330"/>
      <c r="IL43" s="330"/>
      <c r="IM43" s="330"/>
      <c r="IN43" s="330"/>
      <c r="IO43" s="330"/>
      <c r="IP43" s="330"/>
      <c r="IQ43" s="330"/>
      <c r="IR43" s="330"/>
      <c r="IS43" s="330"/>
      <c r="IT43" s="330"/>
      <c r="IU43" s="330"/>
      <c r="IV43" s="330"/>
      <c r="IW43" s="330"/>
      <c r="IX43" s="330"/>
      <c r="IY43" s="330"/>
      <c r="IZ43" s="330"/>
      <c r="JA43" s="330"/>
      <c r="JB43" s="330"/>
      <c r="JC43" s="330"/>
      <c r="JD43" s="330"/>
      <c r="JE43" s="330"/>
      <c r="JF43" s="330"/>
      <c r="JG43" s="330"/>
      <c r="JH43" s="330"/>
      <c r="JI43" s="330"/>
      <c r="JJ43" s="330"/>
      <c r="JK43" s="330"/>
      <c r="JL43" s="330"/>
      <c r="JM43" s="330"/>
      <c r="JN43" s="330"/>
      <c r="JO43" s="330"/>
      <c r="JP43" s="330"/>
      <c r="JQ43" s="330"/>
      <c r="JR43" s="330"/>
      <c r="JS43" s="330"/>
      <c r="JT43" s="330"/>
      <c r="JU43" s="330"/>
      <c r="JV43" s="330"/>
      <c r="JW43" s="330"/>
      <c r="JX43" s="330"/>
      <c r="JY43" s="330"/>
      <c r="JZ43" s="330"/>
      <c r="KA43" s="330"/>
      <c r="KB43" s="330"/>
      <c r="KC43" s="330"/>
      <c r="KD43" s="330"/>
      <c r="KE43" s="330"/>
      <c r="KF43" s="330"/>
      <c r="KG43" s="330"/>
      <c r="KH43" s="330"/>
      <c r="KI43" s="330"/>
      <c r="KJ43" s="330"/>
      <c r="KK43" s="330"/>
      <c r="KL43" s="330"/>
      <c r="KM43" s="330"/>
      <c r="KN43" s="330"/>
      <c r="KO43" s="330"/>
      <c r="KP43" s="330"/>
      <c r="KQ43" s="330"/>
      <c r="KR43" s="330"/>
      <c r="KS43" s="330"/>
      <c r="KT43" s="330"/>
      <c r="KU43" s="330"/>
      <c r="KV43" s="330"/>
      <c r="KW43" s="330"/>
      <c r="KX43" s="330"/>
      <c r="KY43" s="330"/>
      <c r="KZ43" s="330"/>
      <c r="LA43" s="330"/>
      <c r="LB43" s="330"/>
      <c r="LC43" s="330"/>
      <c r="LD43" s="330"/>
      <c r="LE43" s="330"/>
    </row>
    <row r="44" spans="1:317">
      <c r="A44" s="330"/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0"/>
      <c r="Q44" s="330"/>
      <c r="R44" s="330"/>
      <c r="S44" s="330"/>
      <c r="T44" s="330"/>
      <c r="U44" s="330"/>
      <c r="V44" s="330"/>
      <c r="W44" s="330"/>
      <c r="X44" s="330"/>
      <c r="Y44" s="330"/>
      <c r="Z44" s="330"/>
      <c r="AA44" s="330"/>
      <c r="AB44" s="330"/>
      <c r="AC44" s="330"/>
      <c r="AD44" s="330"/>
      <c r="AE44" s="330"/>
      <c r="AF44" s="330"/>
      <c r="AG44" s="330"/>
      <c r="AH44" s="330"/>
      <c r="AI44" s="330"/>
      <c r="AJ44" s="330"/>
      <c r="AK44" s="330"/>
      <c r="AL44" s="330"/>
      <c r="AM44" s="330"/>
      <c r="AN44" s="330"/>
      <c r="AO44" s="330"/>
      <c r="AP44" s="330"/>
      <c r="AQ44" s="330"/>
      <c r="AR44" s="330"/>
      <c r="AS44" s="330"/>
      <c r="AT44" s="330"/>
      <c r="AU44" s="330"/>
      <c r="AV44" s="330"/>
      <c r="AW44" s="330"/>
      <c r="AX44" s="330"/>
      <c r="AY44" s="330"/>
      <c r="AZ44" s="330"/>
      <c r="BA44" s="330"/>
      <c r="BB44" s="330"/>
      <c r="BC44" s="330"/>
      <c r="BD44" s="330"/>
      <c r="BE44" s="330"/>
      <c r="BF44" s="330"/>
      <c r="BG44" s="330"/>
      <c r="BH44" s="330"/>
      <c r="BI44" s="330"/>
      <c r="BJ44" s="330"/>
      <c r="BK44" s="330"/>
      <c r="BL44" s="330"/>
      <c r="BM44" s="330"/>
      <c r="BN44" s="330"/>
      <c r="BO44" s="330"/>
      <c r="BP44" s="330"/>
      <c r="BQ44" s="330"/>
      <c r="BR44" s="330"/>
      <c r="BS44" s="330"/>
      <c r="BT44" s="330"/>
      <c r="BU44" s="330"/>
      <c r="BV44" s="330"/>
      <c r="BW44" s="330"/>
      <c r="BX44" s="330"/>
      <c r="BY44" s="330"/>
      <c r="BZ44" s="330"/>
      <c r="CA44" s="330"/>
      <c r="CB44" s="330"/>
      <c r="CC44" s="330"/>
      <c r="CD44" s="330"/>
      <c r="CE44" s="330"/>
      <c r="CF44" s="330"/>
      <c r="CG44" s="330"/>
      <c r="CH44" s="330"/>
      <c r="CI44" s="330"/>
      <c r="CJ44" s="330"/>
      <c r="CK44" s="330"/>
      <c r="CL44" s="330"/>
      <c r="CM44" s="330"/>
      <c r="CN44" s="330"/>
      <c r="CO44" s="330"/>
      <c r="CP44" s="330"/>
      <c r="CQ44" s="330"/>
      <c r="CR44" s="330"/>
      <c r="CS44" s="330"/>
      <c r="CT44" s="330"/>
      <c r="CU44" s="330"/>
      <c r="CV44" s="330"/>
      <c r="CW44" s="330"/>
      <c r="CX44" s="330"/>
      <c r="CY44" s="330"/>
      <c r="CZ44" s="330"/>
      <c r="DA44" s="330"/>
      <c r="DB44" s="330"/>
      <c r="DC44" s="330"/>
      <c r="DD44" s="330"/>
      <c r="DE44" s="330"/>
      <c r="DF44" s="330"/>
      <c r="DG44" s="330"/>
      <c r="DH44" s="330"/>
      <c r="DI44" s="330"/>
      <c r="DJ44" s="330"/>
      <c r="DK44" s="330"/>
      <c r="DL44" s="330"/>
      <c r="DM44" s="330"/>
      <c r="DN44" s="330"/>
      <c r="DO44" s="330"/>
      <c r="DP44" s="330"/>
      <c r="DQ44" s="330"/>
      <c r="DR44" s="330"/>
      <c r="DS44" s="330"/>
      <c r="DT44" s="330"/>
      <c r="DU44" s="330"/>
      <c r="DV44" s="330"/>
      <c r="DW44" s="330"/>
      <c r="DX44" s="330"/>
      <c r="DY44" s="330"/>
      <c r="DZ44" s="330"/>
      <c r="EA44" s="330"/>
      <c r="EB44" s="330"/>
      <c r="EC44" s="330"/>
      <c r="ED44" s="330"/>
      <c r="EE44" s="330"/>
      <c r="EF44" s="330"/>
      <c r="EG44" s="330"/>
      <c r="EH44" s="330"/>
      <c r="EI44" s="330"/>
      <c r="EJ44" s="330"/>
      <c r="EK44" s="330"/>
      <c r="EL44" s="330"/>
      <c r="EM44" s="330"/>
      <c r="EN44" s="330"/>
      <c r="EO44" s="330"/>
      <c r="EP44" s="330"/>
      <c r="EQ44" s="330"/>
      <c r="ER44" s="330"/>
      <c r="ES44" s="330"/>
      <c r="ET44" s="330"/>
      <c r="EU44" s="330"/>
      <c r="EV44" s="330"/>
      <c r="EW44" s="330"/>
      <c r="EX44" s="330"/>
      <c r="EY44" s="330"/>
      <c r="EZ44" s="330"/>
      <c r="FA44" s="330"/>
      <c r="FB44" s="330"/>
      <c r="FC44" s="330"/>
      <c r="FD44" s="330"/>
      <c r="FE44" s="330"/>
      <c r="FF44" s="330"/>
      <c r="FG44" s="330"/>
      <c r="FH44" s="330"/>
      <c r="FI44" s="330"/>
      <c r="FJ44" s="330"/>
      <c r="FK44" s="330"/>
      <c r="FL44" s="330"/>
      <c r="FM44" s="330"/>
      <c r="FN44" s="330"/>
      <c r="FO44" s="330"/>
      <c r="FP44" s="330"/>
      <c r="FQ44" s="330"/>
      <c r="FR44" s="330"/>
      <c r="FS44" s="330"/>
      <c r="FT44" s="330"/>
      <c r="FU44" s="330"/>
      <c r="FV44" s="330"/>
      <c r="FW44" s="330"/>
      <c r="FX44" s="330"/>
      <c r="FY44" s="330"/>
      <c r="FZ44" s="330"/>
      <c r="GA44" s="330"/>
      <c r="GB44" s="330"/>
      <c r="GC44" s="330"/>
      <c r="GD44" s="330"/>
      <c r="GE44" s="330"/>
      <c r="GF44" s="330"/>
      <c r="GG44" s="330"/>
      <c r="GH44" s="330"/>
      <c r="GI44" s="330"/>
      <c r="GJ44" s="330"/>
      <c r="GK44" s="330"/>
      <c r="GL44" s="330"/>
      <c r="GM44" s="330"/>
      <c r="GN44" s="330"/>
      <c r="GO44" s="330"/>
      <c r="GP44" s="330"/>
      <c r="GQ44" s="330"/>
      <c r="GR44" s="330"/>
      <c r="GS44" s="330"/>
      <c r="GT44" s="330"/>
      <c r="GU44" s="330"/>
      <c r="GV44" s="330"/>
      <c r="GW44" s="330"/>
      <c r="GX44" s="330"/>
      <c r="GY44" s="330"/>
      <c r="GZ44" s="330"/>
      <c r="HA44" s="330"/>
      <c r="HB44" s="330"/>
      <c r="HC44" s="330"/>
      <c r="HD44" s="330"/>
      <c r="HE44" s="330"/>
      <c r="HF44" s="330"/>
      <c r="HG44" s="330"/>
      <c r="HH44" s="330"/>
      <c r="HI44" s="330"/>
      <c r="HJ44" s="330"/>
      <c r="HK44" s="330"/>
      <c r="HL44" s="330"/>
      <c r="HM44" s="330"/>
      <c r="HN44" s="330"/>
      <c r="HO44" s="330"/>
      <c r="HP44" s="330"/>
      <c r="HQ44" s="330"/>
      <c r="HR44" s="330"/>
      <c r="HS44" s="330"/>
      <c r="HT44" s="330"/>
      <c r="HU44" s="330"/>
      <c r="HV44" s="330"/>
      <c r="HW44" s="330"/>
      <c r="HX44" s="330"/>
      <c r="HY44" s="330"/>
      <c r="HZ44" s="330"/>
      <c r="IA44" s="330"/>
      <c r="IB44" s="330"/>
      <c r="IC44" s="330"/>
      <c r="ID44" s="330"/>
      <c r="IE44" s="330"/>
      <c r="IF44" s="330"/>
      <c r="IG44" s="330"/>
      <c r="IH44" s="330"/>
      <c r="II44" s="330"/>
      <c r="IJ44" s="330"/>
      <c r="IK44" s="330"/>
      <c r="IL44" s="330"/>
      <c r="IM44" s="330"/>
      <c r="IN44" s="330"/>
      <c r="IO44" s="330"/>
      <c r="IP44" s="330"/>
      <c r="IQ44" s="330"/>
      <c r="IR44" s="330"/>
      <c r="IS44" s="330"/>
      <c r="IT44" s="330"/>
      <c r="IU44" s="330"/>
      <c r="IV44" s="330"/>
      <c r="IW44" s="330"/>
      <c r="IX44" s="330"/>
      <c r="IY44" s="330"/>
      <c r="IZ44" s="330"/>
      <c r="JA44" s="330"/>
      <c r="JB44" s="330"/>
      <c r="JC44" s="330"/>
      <c r="JD44" s="330"/>
      <c r="JE44" s="330"/>
      <c r="JF44" s="330"/>
      <c r="JG44" s="330"/>
      <c r="JH44" s="330"/>
      <c r="JI44" s="330"/>
      <c r="JJ44" s="330"/>
      <c r="JK44" s="330"/>
      <c r="JL44" s="330"/>
      <c r="JM44" s="330"/>
      <c r="JN44" s="330"/>
      <c r="JO44" s="330"/>
      <c r="JP44" s="330"/>
      <c r="JQ44" s="330"/>
      <c r="JR44" s="330"/>
      <c r="JS44" s="330"/>
      <c r="JT44" s="330"/>
      <c r="JU44" s="330"/>
      <c r="JV44" s="330"/>
      <c r="JW44" s="330"/>
      <c r="JX44" s="330"/>
      <c r="JY44" s="330"/>
      <c r="JZ44" s="330"/>
      <c r="KA44" s="330"/>
      <c r="KB44" s="330"/>
      <c r="KC44" s="330"/>
      <c r="KD44" s="330"/>
      <c r="KE44" s="330"/>
      <c r="KF44" s="330"/>
      <c r="KG44" s="330"/>
      <c r="KH44" s="330"/>
      <c r="KI44" s="330"/>
      <c r="KJ44" s="330"/>
      <c r="KK44" s="330"/>
      <c r="KL44" s="330"/>
      <c r="KM44" s="330"/>
      <c r="KN44" s="330"/>
      <c r="KO44" s="330"/>
      <c r="KP44" s="330"/>
      <c r="KQ44" s="330"/>
      <c r="KR44" s="330"/>
      <c r="KS44" s="330"/>
      <c r="KT44" s="330"/>
      <c r="KU44" s="330"/>
      <c r="KV44" s="330"/>
      <c r="KW44" s="330"/>
      <c r="KX44" s="330"/>
      <c r="KY44" s="330"/>
      <c r="KZ44" s="330"/>
      <c r="LA44" s="330"/>
      <c r="LB44" s="330"/>
      <c r="LC44" s="330"/>
      <c r="LD44" s="330"/>
      <c r="LE44" s="330"/>
    </row>
    <row r="45" spans="1:317">
      <c r="A45" s="330"/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0"/>
      <c r="AV45" s="330"/>
      <c r="AW45" s="330"/>
      <c r="AX45" s="330"/>
      <c r="AY45" s="330"/>
      <c r="AZ45" s="330"/>
      <c r="BA45" s="330"/>
      <c r="BB45" s="330"/>
      <c r="BC45" s="330"/>
      <c r="BD45" s="330"/>
      <c r="BE45" s="330"/>
      <c r="BF45" s="330"/>
      <c r="BG45" s="330"/>
      <c r="BH45" s="330"/>
      <c r="BI45" s="330"/>
      <c r="BJ45" s="330"/>
      <c r="BK45" s="330"/>
      <c r="BL45" s="330"/>
      <c r="BM45" s="330"/>
      <c r="BN45" s="330"/>
      <c r="BO45" s="330"/>
      <c r="BP45" s="330"/>
      <c r="BQ45" s="330"/>
      <c r="BR45" s="330"/>
      <c r="BS45" s="330"/>
      <c r="BT45" s="330"/>
      <c r="BU45" s="330"/>
      <c r="BV45" s="330"/>
      <c r="BW45" s="330"/>
      <c r="BX45" s="330"/>
      <c r="BY45" s="330"/>
      <c r="BZ45" s="330"/>
      <c r="CA45" s="330"/>
      <c r="CB45" s="330"/>
      <c r="CC45" s="330"/>
      <c r="CD45" s="330"/>
      <c r="CE45" s="330"/>
      <c r="CF45" s="330"/>
      <c r="CG45" s="330"/>
      <c r="CH45" s="330"/>
      <c r="CI45" s="330"/>
      <c r="CJ45" s="330"/>
      <c r="CK45" s="330"/>
      <c r="CL45" s="330"/>
      <c r="CM45" s="330"/>
      <c r="CN45" s="330"/>
      <c r="CO45" s="330"/>
      <c r="CP45" s="330"/>
      <c r="CQ45" s="330"/>
      <c r="CR45" s="330"/>
      <c r="CS45" s="330"/>
      <c r="CT45" s="330"/>
      <c r="CU45" s="330"/>
      <c r="CV45" s="330"/>
      <c r="CW45" s="330"/>
      <c r="CX45" s="330"/>
      <c r="CY45" s="330"/>
      <c r="CZ45" s="330"/>
      <c r="DA45" s="330"/>
      <c r="DB45" s="330"/>
      <c r="DC45" s="330"/>
      <c r="DD45" s="330"/>
      <c r="DE45" s="330"/>
      <c r="DF45" s="330"/>
      <c r="DG45" s="330"/>
      <c r="DH45" s="330"/>
      <c r="DI45" s="330"/>
      <c r="DJ45" s="330"/>
      <c r="DK45" s="330"/>
      <c r="DL45" s="330"/>
      <c r="DM45" s="330"/>
      <c r="DN45" s="330"/>
      <c r="DO45" s="330"/>
      <c r="DP45" s="330"/>
      <c r="DQ45" s="330"/>
      <c r="DR45" s="330"/>
      <c r="DS45" s="330"/>
      <c r="DT45" s="330"/>
      <c r="DU45" s="330"/>
      <c r="DV45" s="330"/>
      <c r="DW45" s="330"/>
      <c r="DX45" s="330"/>
      <c r="DY45" s="330"/>
      <c r="DZ45" s="330"/>
      <c r="EA45" s="330"/>
      <c r="EB45" s="330"/>
      <c r="EC45" s="330"/>
      <c r="ED45" s="330"/>
      <c r="EE45" s="330"/>
      <c r="EF45" s="330"/>
      <c r="EG45" s="330"/>
      <c r="EH45" s="330"/>
      <c r="EI45" s="330"/>
      <c r="EJ45" s="330"/>
      <c r="EK45" s="330"/>
      <c r="EL45" s="330"/>
      <c r="EM45" s="330"/>
      <c r="EN45" s="330"/>
      <c r="EO45" s="330"/>
      <c r="EP45" s="330"/>
      <c r="EQ45" s="330"/>
      <c r="ER45" s="330"/>
      <c r="ES45" s="330"/>
      <c r="ET45" s="330"/>
      <c r="EU45" s="330"/>
      <c r="EV45" s="330"/>
      <c r="EW45" s="330"/>
      <c r="EX45" s="330"/>
      <c r="EY45" s="330"/>
      <c r="EZ45" s="330"/>
      <c r="FA45" s="330"/>
      <c r="FB45" s="330"/>
      <c r="FC45" s="330"/>
      <c r="FD45" s="330"/>
      <c r="FE45" s="330"/>
      <c r="FF45" s="330"/>
      <c r="FG45" s="330"/>
      <c r="FH45" s="330"/>
      <c r="FI45" s="330"/>
      <c r="FJ45" s="330"/>
      <c r="FK45" s="330"/>
      <c r="FL45" s="330"/>
      <c r="FM45" s="330"/>
      <c r="FN45" s="330"/>
      <c r="FO45" s="330"/>
      <c r="FP45" s="330"/>
      <c r="FQ45" s="330"/>
      <c r="FR45" s="330"/>
      <c r="FS45" s="330"/>
      <c r="FT45" s="330"/>
      <c r="FU45" s="330"/>
      <c r="FV45" s="330"/>
      <c r="FW45" s="330"/>
      <c r="FX45" s="330"/>
      <c r="FY45" s="330"/>
      <c r="FZ45" s="330"/>
      <c r="GA45" s="330"/>
      <c r="GB45" s="330"/>
      <c r="GC45" s="330"/>
      <c r="GD45" s="330"/>
      <c r="GE45" s="330"/>
      <c r="GF45" s="330"/>
      <c r="GG45" s="330"/>
      <c r="GH45" s="330"/>
      <c r="GI45" s="330"/>
      <c r="GJ45" s="330"/>
      <c r="GK45" s="330"/>
      <c r="GL45" s="330"/>
      <c r="GM45" s="330"/>
      <c r="GN45" s="330"/>
      <c r="GO45" s="330"/>
      <c r="GP45" s="330"/>
      <c r="GQ45" s="330"/>
      <c r="GR45" s="330"/>
      <c r="GS45" s="330"/>
      <c r="GT45" s="330"/>
      <c r="GU45" s="330"/>
      <c r="GV45" s="330"/>
      <c r="GW45" s="330"/>
      <c r="GX45" s="330"/>
      <c r="GY45" s="330"/>
      <c r="GZ45" s="330"/>
      <c r="HA45" s="330"/>
      <c r="HB45" s="330"/>
      <c r="HC45" s="330"/>
      <c r="HD45" s="330"/>
      <c r="HE45" s="330"/>
      <c r="HF45" s="330"/>
      <c r="HG45" s="330"/>
      <c r="HH45" s="330"/>
      <c r="HI45" s="330"/>
      <c r="HJ45" s="330"/>
      <c r="HK45" s="330"/>
      <c r="HL45" s="330"/>
      <c r="HM45" s="330"/>
      <c r="HN45" s="330"/>
      <c r="HO45" s="330"/>
      <c r="HP45" s="330"/>
      <c r="HQ45" s="330"/>
      <c r="HR45" s="330"/>
      <c r="HS45" s="330"/>
      <c r="HT45" s="330"/>
      <c r="HU45" s="330"/>
      <c r="HV45" s="330"/>
      <c r="HW45" s="330"/>
      <c r="HX45" s="330"/>
      <c r="HY45" s="330"/>
      <c r="HZ45" s="330"/>
      <c r="IA45" s="330"/>
      <c r="IB45" s="330"/>
      <c r="IC45" s="330"/>
      <c r="ID45" s="330"/>
      <c r="IE45" s="330"/>
      <c r="IF45" s="330"/>
      <c r="IG45" s="330"/>
      <c r="IH45" s="330"/>
      <c r="II45" s="330"/>
      <c r="IJ45" s="330"/>
      <c r="IK45" s="330"/>
      <c r="IL45" s="330"/>
      <c r="IM45" s="330"/>
      <c r="IN45" s="330"/>
      <c r="IO45" s="330"/>
      <c r="IP45" s="330"/>
      <c r="IQ45" s="330"/>
      <c r="IR45" s="330"/>
      <c r="IS45" s="330"/>
      <c r="IT45" s="330"/>
      <c r="IU45" s="330"/>
      <c r="IV45" s="330"/>
      <c r="IW45" s="330"/>
      <c r="IX45" s="330"/>
      <c r="IY45" s="330"/>
      <c r="IZ45" s="330"/>
      <c r="JA45" s="330"/>
      <c r="JB45" s="330"/>
      <c r="JC45" s="330"/>
      <c r="JD45" s="330"/>
      <c r="JE45" s="330"/>
      <c r="JF45" s="330"/>
      <c r="JG45" s="330"/>
      <c r="JH45" s="330"/>
      <c r="JI45" s="330"/>
      <c r="JJ45" s="330"/>
      <c r="JK45" s="330"/>
      <c r="JL45" s="330"/>
      <c r="JM45" s="330"/>
      <c r="JN45" s="330"/>
      <c r="JO45" s="330"/>
      <c r="JP45" s="330"/>
      <c r="JQ45" s="330"/>
      <c r="JR45" s="330"/>
      <c r="JS45" s="330"/>
      <c r="JT45" s="330"/>
      <c r="JU45" s="330"/>
      <c r="JV45" s="330"/>
      <c r="JW45" s="330"/>
      <c r="JX45" s="330"/>
      <c r="JY45" s="330"/>
      <c r="JZ45" s="330"/>
      <c r="KA45" s="330"/>
      <c r="KB45" s="330"/>
      <c r="KC45" s="330"/>
      <c r="KD45" s="330"/>
      <c r="KE45" s="330"/>
      <c r="KF45" s="330"/>
      <c r="KG45" s="330"/>
      <c r="KH45" s="330"/>
      <c r="KI45" s="330"/>
      <c r="KJ45" s="330"/>
      <c r="KK45" s="330"/>
      <c r="KL45" s="330"/>
      <c r="KM45" s="330"/>
      <c r="KN45" s="330"/>
      <c r="KO45" s="330"/>
      <c r="KP45" s="330"/>
      <c r="KQ45" s="330"/>
      <c r="KR45" s="330"/>
      <c r="KS45" s="330"/>
      <c r="KT45" s="330"/>
      <c r="KU45" s="330"/>
      <c r="KV45" s="330"/>
      <c r="KW45" s="330"/>
      <c r="KX45" s="330"/>
      <c r="KY45" s="330"/>
      <c r="KZ45" s="330"/>
      <c r="LA45" s="330"/>
      <c r="LB45" s="330"/>
      <c r="LC45" s="330"/>
      <c r="LD45" s="330"/>
      <c r="LE45" s="330"/>
    </row>
    <row r="46" spans="1:317">
      <c r="A46" s="330"/>
      <c r="B46" s="330"/>
      <c r="C46" s="330"/>
      <c r="D46" s="330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30"/>
      <c r="X46" s="330"/>
      <c r="Y46" s="330"/>
      <c r="Z46" s="330"/>
      <c r="AA46" s="330"/>
      <c r="AB46" s="330"/>
      <c r="AC46" s="330"/>
      <c r="AD46" s="330"/>
      <c r="AE46" s="330"/>
      <c r="AF46" s="330"/>
      <c r="AG46" s="330"/>
      <c r="AH46" s="330"/>
      <c r="AI46" s="330"/>
      <c r="AJ46" s="330"/>
      <c r="AK46" s="330"/>
      <c r="AL46" s="330"/>
      <c r="AM46" s="330"/>
      <c r="AN46" s="330"/>
      <c r="AO46" s="330"/>
      <c r="AP46" s="330"/>
      <c r="AQ46" s="330"/>
      <c r="AR46" s="330"/>
      <c r="AS46" s="330"/>
      <c r="AT46" s="330"/>
      <c r="AU46" s="330"/>
      <c r="AV46" s="330"/>
      <c r="AW46" s="330"/>
      <c r="AX46" s="330"/>
      <c r="AY46" s="330"/>
      <c r="AZ46" s="330"/>
      <c r="BA46" s="330"/>
      <c r="BB46" s="330"/>
      <c r="BC46" s="330"/>
      <c r="BD46" s="330"/>
      <c r="BE46" s="330"/>
      <c r="BF46" s="330"/>
      <c r="BG46" s="330"/>
      <c r="BH46" s="330"/>
      <c r="BI46" s="330"/>
      <c r="BJ46" s="330"/>
      <c r="BK46" s="330"/>
      <c r="BL46" s="330"/>
      <c r="BM46" s="330"/>
      <c r="BN46" s="330"/>
      <c r="BO46" s="330"/>
      <c r="BP46" s="330"/>
      <c r="BQ46" s="330"/>
      <c r="BR46" s="330"/>
      <c r="BS46" s="330"/>
      <c r="BT46" s="330"/>
      <c r="BU46" s="330"/>
      <c r="BV46" s="330"/>
      <c r="BW46" s="330"/>
      <c r="BX46" s="330"/>
      <c r="BY46" s="330"/>
      <c r="BZ46" s="330"/>
      <c r="CA46" s="330"/>
      <c r="CB46" s="330"/>
      <c r="CC46" s="330"/>
      <c r="CD46" s="330"/>
      <c r="CE46" s="330"/>
      <c r="CF46" s="330"/>
      <c r="CG46" s="330"/>
      <c r="CH46" s="330"/>
      <c r="CI46" s="330"/>
      <c r="CJ46" s="330"/>
      <c r="CK46" s="330"/>
      <c r="CL46" s="330"/>
      <c r="CM46" s="330"/>
      <c r="CN46" s="330"/>
      <c r="CO46" s="330"/>
      <c r="CP46" s="330"/>
      <c r="CQ46" s="330"/>
      <c r="CR46" s="330"/>
      <c r="CS46" s="330"/>
      <c r="CT46" s="330"/>
      <c r="CU46" s="330"/>
      <c r="CV46" s="330"/>
      <c r="CW46" s="330"/>
      <c r="CX46" s="330"/>
      <c r="CY46" s="330"/>
      <c r="CZ46" s="330"/>
      <c r="DA46" s="330"/>
      <c r="DB46" s="330"/>
      <c r="DC46" s="330"/>
      <c r="DD46" s="330"/>
      <c r="DE46" s="330"/>
      <c r="DF46" s="330"/>
      <c r="DG46" s="330"/>
      <c r="DH46" s="330"/>
      <c r="DI46" s="330"/>
      <c r="DJ46" s="330"/>
      <c r="DK46" s="330"/>
      <c r="DL46" s="330"/>
      <c r="DM46" s="330"/>
      <c r="DN46" s="330"/>
      <c r="DO46" s="330"/>
      <c r="DP46" s="330"/>
      <c r="DQ46" s="330"/>
      <c r="DR46" s="330"/>
      <c r="DS46" s="330"/>
      <c r="DT46" s="330"/>
      <c r="DU46" s="330"/>
      <c r="DV46" s="330"/>
      <c r="DW46" s="330"/>
      <c r="DX46" s="330"/>
      <c r="DY46" s="330"/>
      <c r="DZ46" s="330"/>
      <c r="EA46" s="330"/>
      <c r="EB46" s="330"/>
      <c r="EC46" s="330"/>
      <c r="ED46" s="330"/>
      <c r="EE46" s="330"/>
      <c r="EF46" s="330"/>
      <c r="EG46" s="330"/>
      <c r="EH46" s="330"/>
      <c r="EI46" s="330"/>
      <c r="EJ46" s="330"/>
      <c r="EK46" s="330"/>
      <c r="EL46" s="330"/>
      <c r="EM46" s="330"/>
      <c r="EN46" s="330"/>
      <c r="EO46" s="330"/>
      <c r="EP46" s="330"/>
      <c r="EQ46" s="330"/>
      <c r="ER46" s="330"/>
      <c r="ES46" s="330"/>
      <c r="ET46" s="330"/>
      <c r="EU46" s="330"/>
      <c r="EV46" s="330"/>
      <c r="EW46" s="330"/>
      <c r="EX46" s="330"/>
      <c r="EY46" s="330"/>
      <c r="EZ46" s="330"/>
      <c r="FA46" s="330"/>
      <c r="FB46" s="330"/>
      <c r="FC46" s="330"/>
      <c r="FD46" s="330"/>
      <c r="FE46" s="330"/>
      <c r="FF46" s="330"/>
      <c r="FG46" s="330"/>
      <c r="FH46" s="330"/>
      <c r="FI46" s="330"/>
      <c r="FJ46" s="330"/>
      <c r="FK46" s="330"/>
      <c r="FL46" s="330"/>
      <c r="FM46" s="330"/>
      <c r="FN46" s="330"/>
      <c r="FO46" s="330"/>
      <c r="FP46" s="330"/>
      <c r="FQ46" s="330"/>
      <c r="FR46" s="330"/>
      <c r="FS46" s="330"/>
      <c r="FT46" s="330"/>
      <c r="FU46" s="330"/>
      <c r="FV46" s="330"/>
      <c r="FW46" s="330"/>
      <c r="FX46" s="330"/>
      <c r="FY46" s="330"/>
      <c r="FZ46" s="330"/>
      <c r="GA46" s="330"/>
      <c r="GB46" s="330"/>
      <c r="GC46" s="330"/>
      <c r="GD46" s="330"/>
      <c r="GE46" s="330"/>
      <c r="GF46" s="330"/>
      <c r="GG46" s="330"/>
      <c r="GH46" s="330"/>
      <c r="GI46" s="330"/>
      <c r="GJ46" s="330"/>
      <c r="GK46" s="330"/>
      <c r="GL46" s="330"/>
      <c r="GM46" s="330"/>
      <c r="GN46" s="330"/>
      <c r="GO46" s="330"/>
      <c r="GP46" s="330"/>
      <c r="GQ46" s="330"/>
      <c r="GR46" s="330"/>
      <c r="GS46" s="330"/>
      <c r="GT46" s="330"/>
      <c r="GU46" s="330"/>
      <c r="GV46" s="330"/>
      <c r="GW46" s="330"/>
      <c r="GX46" s="330"/>
      <c r="GY46" s="330"/>
      <c r="GZ46" s="330"/>
      <c r="HA46" s="330"/>
      <c r="HB46" s="330"/>
      <c r="HC46" s="330"/>
      <c r="HD46" s="330"/>
      <c r="HE46" s="330"/>
      <c r="HF46" s="330"/>
      <c r="HG46" s="330"/>
      <c r="HH46" s="330"/>
      <c r="HI46" s="330"/>
      <c r="HJ46" s="330"/>
      <c r="HK46" s="330"/>
      <c r="HL46" s="330"/>
      <c r="HM46" s="330"/>
      <c r="HN46" s="330"/>
      <c r="HO46" s="330"/>
      <c r="HP46" s="330"/>
      <c r="HQ46" s="330"/>
      <c r="HR46" s="330"/>
      <c r="HS46" s="330"/>
      <c r="HT46" s="330"/>
      <c r="HU46" s="330"/>
      <c r="HV46" s="330"/>
      <c r="HW46" s="330"/>
      <c r="HX46" s="330"/>
      <c r="HY46" s="330"/>
      <c r="HZ46" s="330"/>
      <c r="IA46" s="330"/>
      <c r="IB46" s="330"/>
      <c r="IC46" s="330"/>
      <c r="ID46" s="330"/>
      <c r="IE46" s="330"/>
      <c r="IF46" s="330"/>
      <c r="IG46" s="330"/>
      <c r="IH46" s="330"/>
      <c r="II46" s="330"/>
      <c r="IJ46" s="330"/>
      <c r="IK46" s="330"/>
      <c r="IL46" s="330"/>
      <c r="IM46" s="330"/>
      <c r="IN46" s="330"/>
      <c r="IO46" s="330"/>
      <c r="IP46" s="330"/>
      <c r="IQ46" s="330"/>
      <c r="IR46" s="330"/>
      <c r="IS46" s="330"/>
      <c r="IT46" s="330"/>
      <c r="IU46" s="330"/>
      <c r="IV46" s="330"/>
      <c r="IW46" s="330"/>
      <c r="IX46" s="330"/>
      <c r="IY46" s="330"/>
      <c r="IZ46" s="330"/>
      <c r="JA46" s="330"/>
      <c r="JB46" s="330"/>
      <c r="JC46" s="330"/>
      <c r="JD46" s="330"/>
      <c r="JE46" s="330"/>
      <c r="JF46" s="330"/>
      <c r="JG46" s="330"/>
      <c r="JH46" s="330"/>
      <c r="JI46" s="330"/>
      <c r="JJ46" s="330"/>
      <c r="JK46" s="330"/>
      <c r="JL46" s="330"/>
      <c r="JM46" s="330"/>
      <c r="JN46" s="330"/>
      <c r="JO46" s="330"/>
      <c r="JP46" s="330"/>
      <c r="JQ46" s="330"/>
      <c r="JR46" s="330"/>
      <c r="JS46" s="330"/>
      <c r="JT46" s="330"/>
      <c r="JU46" s="330"/>
      <c r="JV46" s="330"/>
      <c r="JW46" s="330"/>
      <c r="JX46" s="330"/>
      <c r="JY46" s="330"/>
      <c r="JZ46" s="330"/>
      <c r="KA46" s="330"/>
      <c r="KB46" s="330"/>
      <c r="KC46" s="330"/>
      <c r="KD46" s="330"/>
      <c r="KE46" s="330"/>
      <c r="KF46" s="330"/>
      <c r="KG46" s="330"/>
      <c r="KH46" s="330"/>
      <c r="KI46" s="330"/>
      <c r="KJ46" s="330"/>
      <c r="KK46" s="330"/>
      <c r="KL46" s="330"/>
      <c r="KM46" s="330"/>
      <c r="KN46" s="330"/>
      <c r="KO46" s="330"/>
      <c r="KP46" s="330"/>
      <c r="KQ46" s="330"/>
      <c r="KR46" s="330"/>
      <c r="KS46" s="330"/>
      <c r="KT46" s="330"/>
      <c r="KU46" s="330"/>
      <c r="KV46" s="330"/>
      <c r="KW46" s="330"/>
      <c r="KX46" s="330"/>
      <c r="KY46" s="330"/>
      <c r="KZ46" s="330"/>
      <c r="LA46" s="330"/>
      <c r="LB46" s="330"/>
      <c r="LC46" s="330"/>
      <c r="LD46" s="330"/>
      <c r="LE46" s="330"/>
    </row>
    <row r="47" spans="1:317">
      <c r="A47" s="330"/>
      <c r="B47" s="330"/>
      <c r="C47" s="330"/>
      <c r="D47" s="330"/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0"/>
      <c r="AV47" s="330"/>
      <c r="AW47" s="330"/>
      <c r="AX47" s="330"/>
      <c r="AY47" s="330"/>
      <c r="AZ47" s="330"/>
      <c r="BA47" s="330"/>
      <c r="BB47" s="330"/>
      <c r="BC47" s="330"/>
      <c r="BD47" s="330"/>
      <c r="BE47" s="330"/>
      <c r="BF47" s="330"/>
      <c r="BG47" s="330"/>
      <c r="BH47" s="330"/>
      <c r="BI47" s="330"/>
      <c r="BJ47" s="330"/>
      <c r="BK47" s="330"/>
      <c r="BL47" s="330"/>
      <c r="BM47" s="330"/>
      <c r="BN47" s="330"/>
      <c r="BO47" s="330"/>
      <c r="BP47" s="330"/>
      <c r="BQ47" s="330"/>
      <c r="BR47" s="330"/>
      <c r="BS47" s="330"/>
      <c r="BT47" s="330"/>
      <c r="BU47" s="330"/>
      <c r="BV47" s="330"/>
      <c r="BW47" s="330"/>
      <c r="BX47" s="330"/>
      <c r="BY47" s="330"/>
      <c r="BZ47" s="330"/>
      <c r="CA47" s="330"/>
      <c r="CB47" s="330"/>
      <c r="CC47" s="330"/>
      <c r="CD47" s="330"/>
      <c r="CE47" s="330"/>
      <c r="CF47" s="330"/>
      <c r="CG47" s="330"/>
      <c r="CH47" s="330"/>
      <c r="CI47" s="330"/>
      <c r="CJ47" s="330"/>
      <c r="CK47" s="330"/>
      <c r="CL47" s="330"/>
      <c r="CM47" s="330"/>
      <c r="CN47" s="330"/>
      <c r="CO47" s="330"/>
      <c r="CP47" s="330"/>
      <c r="CQ47" s="330"/>
      <c r="CR47" s="330"/>
      <c r="CS47" s="330"/>
      <c r="CT47" s="330"/>
      <c r="CU47" s="330"/>
      <c r="CV47" s="330"/>
      <c r="CW47" s="330"/>
      <c r="CX47" s="330"/>
      <c r="CY47" s="330"/>
      <c r="CZ47" s="330"/>
      <c r="DA47" s="330"/>
      <c r="DB47" s="330"/>
      <c r="DC47" s="330"/>
      <c r="DD47" s="330"/>
      <c r="DE47" s="330"/>
      <c r="DF47" s="330"/>
      <c r="DG47" s="330"/>
      <c r="DH47" s="330"/>
      <c r="DI47" s="330"/>
      <c r="DJ47" s="330"/>
      <c r="DK47" s="330"/>
      <c r="DL47" s="330"/>
      <c r="DM47" s="330"/>
      <c r="DN47" s="330"/>
      <c r="DO47" s="330"/>
      <c r="DP47" s="330"/>
      <c r="DQ47" s="330"/>
      <c r="DR47" s="330"/>
      <c r="DS47" s="330"/>
      <c r="DT47" s="330"/>
      <c r="DU47" s="330"/>
      <c r="DV47" s="330"/>
      <c r="DW47" s="330"/>
      <c r="DX47" s="330"/>
      <c r="DY47" s="330"/>
      <c r="DZ47" s="330"/>
      <c r="EA47" s="330"/>
      <c r="EB47" s="330"/>
      <c r="EC47" s="330"/>
      <c r="ED47" s="330"/>
      <c r="EE47" s="330"/>
      <c r="EF47" s="330"/>
      <c r="EG47" s="330"/>
      <c r="EH47" s="330"/>
      <c r="EI47" s="330"/>
      <c r="EJ47" s="330"/>
      <c r="EK47" s="330"/>
      <c r="EL47" s="330"/>
      <c r="EM47" s="330"/>
      <c r="EN47" s="330"/>
      <c r="EO47" s="330"/>
      <c r="EP47" s="330"/>
      <c r="EQ47" s="330"/>
      <c r="ER47" s="330"/>
      <c r="ES47" s="330"/>
      <c r="ET47" s="330"/>
      <c r="EU47" s="330"/>
      <c r="EV47" s="330"/>
      <c r="EW47" s="330"/>
      <c r="EX47" s="330"/>
      <c r="EY47" s="330"/>
      <c r="EZ47" s="330"/>
      <c r="FA47" s="330"/>
      <c r="FB47" s="330"/>
      <c r="FC47" s="330"/>
      <c r="FD47" s="330"/>
      <c r="FE47" s="330"/>
      <c r="FF47" s="330"/>
      <c r="FG47" s="330"/>
      <c r="FH47" s="330"/>
      <c r="FI47" s="330"/>
      <c r="FJ47" s="330"/>
      <c r="FK47" s="330"/>
      <c r="FL47" s="330"/>
      <c r="FM47" s="330"/>
      <c r="FN47" s="330"/>
      <c r="FO47" s="330"/>
      <c r="FP47" s="330"/>
      <c r="FQ47" s="330"/>
      <c r="FR47" s="330"/>
      <c r="FS47" s="330"/>
      <c r="FT47" s="330"/>
      <c r="FU47" s="330"/>
      <c r="FV47" s="330"/>
      <c r="FW47" s="330"/>
      <c r="FX47" s="330"/>
      <c r="FY47" s="330"/>
      <c r="FZ47" s="330"/>
      <c r="GA47" s="330"/>
      <c r="GB47" s="330"/>
      <c r="GC47" s="330"/>
      <c r="GD47" s="330"/>
      <c r="GE47" s="330"/>
      <c r="GF47" s="330"/>
      <c r="GG47" s="330"/>
      <c r="GH47" s="330"/>
      <c r="GI47" s="330"/>
      <c r="GJ47" s="330"/>
      <c r="GK47" s="330"/>
      <c r="GL47" s="330"/>
      <c r="GM47" s="330"/>
      <c r="GN47" s="330"/>
      <c r="GO47" s="330"/>
      <c r="GP47" s="330"/>
      <c r="GQ47" s="330"/>
      <c r="GR47" s="330"/>
      <c r="GS47" s="330"/>
      <c r="GT47" s="330"/>
      <c r="GU47" s="330"/>
      <c r="GV47" s="330"/>
      <c r="GW47" s="330"/>
      <c r="GX47" s="330"/>
      <c r="GY47" s="330"/>
      <c r="GZ47" s="330"/>
      <c r="HA47" s="330"/>
      <c r="HB47" s="330"/>
      <c r="HC47" s="330"/>
      <c r="HD47" s="330"/>
      <c r="HE47" s="330"/>
      <c r="HF47" s="330"/>
      <c r="HG47" s="330"/>
      <c r="HH47" s="330"/>
      <c r="HI47" s="330"/>
      <c r="HJ47" s="330"/>
      <c r="HK47" s="330"/>
      <c r="HL47" s="330"/>
      <c r="HM47" s="330"/>
      <c r="HN47" s="330"/>
      <c r="HO47" s="330"/>
      <c r="HP47" s="330"/>
      <c r="HQ47" s="330"/>
      <c r="HR47" s="330"/>
      <c r="HS47" s="330"/>
      <c r="HT47" s="330"/>
      <c r="HU47" s="330"/>
      <c r="HV47" s="330"/>
      <c r="HW47" s="330"/>
      <c r="HX47" s="330"/>
      <c r="HY47" s="330"/>
      <c r="HZ47" s="330"/>
      <c r="IA47" s="330"/>
      <c r="IB47" s="330"/>
      <c r="IC47" s="330"/>
      <c r="ID47" s="330"/>
      <c r="IE47" s="330"/>
      <c r="IF47" s="330"/>
      <c r="IG47" s="330"/>
      <c r="IH47" s="330"/>
      <c r="II47" s="330"/>
      <c r="IJ47" s="330"/>
      <c r="IK47" s="330"/>
      <c r="IL47" s="330"/>
      <c r="IM47" s="330"/>
      <c r="IN47" s="330"/>
      <c r="IO47" s="330"/>
      <c r="IP47" s="330"/>
      <c r="IQ47" s="330"/>
      <c r="IR47" s="330"/>
      <c r="IS47" s="330"/>
      <c r="IT47" s="330"/>
      <c r="IU47" s="330"/>
      <c r="IV47" s="330"/>
      <c r="IW47" s="330"/>
      <c r="IX47" s="330"/>
      <c r="IY47" s="330"/>
      <c r="IZ47" s="330"/>
      <c r="JA47" s="330"/>
      <c r="JB47" s="330"/>
      <c r="JC47" s="330"/>
      <c r="JD47" s="330"/>
      <c r="JE47" s="330"/>
      <c r="JF47" s="330"/>
      <c r="JG47" s="330"/>
      <c r="JH47" s="330"/>
      <c r="JI47" s="330"/>
      <c r="JJ47" s="330"/>
      <c r="JK47" s="330"/>
      <c r="JL47" s="330"/>
      <c r="JM47" s="330"/>
      <c r="JN47" s="330"/>
      <c r="JO47" s="330"/>
      <c r="JP47" s="330"/>
      <c r="JQ47" s="330"/>
      <c r="JR47" s="330"/>
      <c r="JS47" s="330"/>
      <c r="JT47" s="330"/>
      <c r="JU47" s="330"/>
      <c r="JV47" s="330"/>
      <c r="JW47" s="330"/>
      <c r="JX47" s="330"/>
      <c r="JY47" s="330"/>
      <c r="JZ47" s="330"/>
      <c r="KA47" s="330"/>
      <c r="KB47" s="330"/>
      <c r="KC47" s="330"/>
      <c r="KD47" s="330"/>
      <c r="KE47" s="330"/>
      <c r="KF47" s="330"/>
      <c r="KG47" s="330"/>
      <c r="KH47" s="330"/>
      <c r="KI47" s="330"/>
      <c r="KJ47" s="330"/>
      <c r="KK47" s="330"/>
      <c r="KL47" s="330"/>
      <c r="KM47" s="330"/>
      <c r="KN47" s="330"/>
      <c r="KO47" s="330"/>
      <c r="KP47" s="330"/>
      <c r="KQ47" s="330"/>
      <c r="KR47" s="330"/>
      <c r="KS47" s="330"/>
      <c r="KT47" s="330"/>
      <c r="KU47" s="330"/>
      <c r="KV47" s="330"/>
      <c r="KW47" s="330"/>
      <c r="KX47" s="330"/>
      <c r="KY47" s="330"/>
      <c r="KZ47" s="330"/>
      <c r="LA47" s="330"/>
      <c r="LB47" s="330"/>
      <c r="LC47" s="330"/>
      <c r="LD47" s="330"/>
      <c r="LE47" s="330"/>
    </row>
    <row r="48" spans="1:317">
      <c r="A48" s="330"/>
      <c r="B48" s="330"/>
      <c r="C48" s="330"/>
      <c r="D48" s="330"/>
      <c r="E48" s="330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U48" s="330"/>
      <c r="V48" s="330"/>
      <c r="W48" s="330"/>
      <c r="X48" s="330"/>
      <c r="Y48" s="330"/>
      <c r="Z48" s="330"/>
      <c r="AA48" s="330"/>
      <c r="AB48" s="330"/>
      <c r="AC48" s="330"/>
      <c r="AD48" s="330"/>
      <c r="AE48" s="330"/>
      <c r="AF48" s="330"/>
      <c r="AG48" s="330"/>
      <c r="AH48" s="330"/>
      <c r="AI48" s="330"/>
      <c r="AJ48" s="330"/>
      <c r="AK48" s="330"/>
      <c r="AL48" s="330"/>
      <c r="AM48" s="330"/>
      <c r="AN48" s="330"/>
      <c r="AO48" s="330"/>
      <c r="AP48" s="330"/>
      <c r="AQ48" s="330"/>
      <c r="AR48" s="330"/>
      <c r="AS48" s="330"/>
      <c r="AT48" s="330"/>
      <c r="AU48" s="330"/>
      <c r="AV48" s="330"/>
      <c r="AW48" s="330"/>
      <c r="AX48" s="330"/>
      <c r="AY48" s="330"/>
      <c r="AZ48" s="330"/>
      <c r="BA48" s="330"/>
      <c r="BB48" s="330"/>
      <c r="BC48" s="330"/>
      <c r="BD48" s="330"/>
      <c r="BE48" s="330"/>
      <c r="BF48" s="330"/>
      <c r="BG48" s="330"/>
      <c r="BH48" s="330"/>
      <c r="BI48" s="330"/>
      <c r="BJ48" s="330"/>
      <c r="BK48" s="330"/>
      <c r="BL48" s="330"/>
      <c r="BM48" s="330"/>
      <c r="BN48" s="330"/>
      <c r="BO48" s="330"/>
      <c r="BP48" s="330"/>
      <c r="BQ48" s="330"/>
      <c r="BR48" s="330"/>
      <c r="BS48" s="330"/>
      <c r="BT48" s="330"/>
      <c r="BU48" s="330"/>
      <c r="BV48" s="330"/>
      <c r="BW48" s="330"/>
      <c r="BX48" s="330"/>
      <c r="BY48" s="330"/>
      <c r="BZ48" s="330"/>
      <c r="CA48" s="330"/>
      <c r="CB48" s="330"/>
      <c r="CC48" s="330"/>
      <c r="CD48" s="330"/>
      <c r="CE48" s="330"/>
      <c r="CF48" s="330"/>
      <c r="CG48" s="330"/>
      <c r="CH48" s="330"/>
      <c r="CI48" s="330"/>
      <c r="CJ48" s="330"/>
      <c r="CK48" s="330"/>
      <c r="CL48" s="330"/>
      <c r="CM48" s="330"/>
      <c r="CN48" s="330"/>
      <c r="CO48" s="330"/>
      <c r="CP48" s="330"/>
      <c r="CQ48" s="330"/>
      <c r="CR48" s="330"/>
      <c r="CS48" s="330"/>
      <c r="CT48" s="330"/>
      <c r="CU48" s="330"/>
      <c r="CV48" s="330"/>
      <c r="CW48" s="330"/>
      <c r="CX48" s="330"/>
      <c r="CY48" s="330"/>
      <c r="CZ48" s="330"/>
      <c r="DA48" s="330"/>
      <c r="DB48" s="330"/>
      <c r="DC48" s="330"/>
      <c r="DD48" s="330"/>
      <c r="DE48" s="330"/>
      <c r="DF48" s="330"/>
      <c r="DG48" s="330"/>
      <c r="DH48" s="330"/>
      <c r="DI48" s="330"/>
      <c r="DJ48" s="330"/>
      <c r="DK48" s="330"/>
      <c r="DL48" s="330"/>
      <c r="DM48" s="330"/>
      <c r="DN48" s="330"/>
      <c r="DO48" s="330"/>
      <c r="DP48" s="330"/>
      <c r="DQ48" s="330"/>
      <c r="DR48" s="330"/>
      <c r="DS48" s="330"/>
      <c r="DT48" s="330"/>
      <c r="DU48" s="330"/>
      <c r="DV48" s="330"/>
      <c r="DW48" s="330"/>
      <c r="DX48" s="330"/>
      <c r="DY48" s="330"/>
      <c r="DZ48" s="330"/>
      <c r="EA48" s="330"/>
      <c r="EB48" s="330"/>
      <c r="EC48" s="330"/>
      <c r="ED48" s="330"/>
      <c r="EE48" s="330"/>
      <c r="EF48" s="330"/>
      <c r="EG48" s="330"/>
      <c r="EH48" s="330"/>
      <c r="EI48" s="330"/>
      <c r="EJ48" s="330"/>
      <c r="EK48" s="330"/>
      <c r="EL48" s="330"/>
      <c r="EM48" s="330"/>
      <c r="EN48" s="330"/>
      <c r="EO48" s="330"/>
      <c r="EP48" s="330"/>
      <c r="EQ48" s="330"/>
      <c r="ER48" s="330"/>
      <c r="ES48" s="330"/>
      <c r="ET48" s="330"/>
      <c r="EU48" s="330"/>
      <c r="EV48" s="330"/>
      <c r="EW48" s="330"/>
      <c r="EX48" s="330"/>
      <c r="EY48" s="330"/>
      <c r="EZ48" s="330"/>
      <c r="FA48" s="330"/>
      <c r="FB48" s="330"/>
      <c r="FC48" s="330"/>
      <c r="FD48" s="330"/>
      <c r="FE48" s="330"/>
      <c r="FF48" s="330"/>
      <c r="FG48" s="330"/>
      <c r="FH48" s="330"/>
      <c r="FI48" s="330"/>
      <c r="FJ48" s="330"/>
      <c r="FK48" s="330"/>
      <c r="FL48" s="330"/>
      <c r="FM48" s="330"/>
      <c r="FN48" s="330"/>
      <c r="FO48" s="330"/>
      <c r="FP48" s="330"/>
      <c r="FQ48" s="330"/>
      <c r="FR48" s="330"/>
      <c r="FS48" s="330"/>
      <c r="FT48" s="330"/>
      <c r="FU48" s="330"/>
      <c r="FV48" s="330"/>
      <c r="FW48" s="330"/>
      <c r="FX48" s="330"/>
      <c r="FY48" s="330"/>
      <c r="FZ48" s="330"/>
      <c r="GA48" s="330"/>
      <c r="GB48" s="330"/>
      <c r="GC48" s="330"/>
      <c r="GD48" s="330"/>
      <c r="GE48" s="330"/>
      <c r="GF48" s="330"/>
      <c r="GG48" s="330"/>
      <c r="GH48" s="330"/>
      <c r="GI48" s="330"/>
      <c r="GJ48" s="330"/>
      <c r="GK48" s="330"/>
      <c r="GL48" s="330"/>
      <c r="GM48" s="330"/>
      <c r="GN48" s="330"/>
      <c r="GO48" s="330"/>
      <c r="GP48" s="330"/>
      <c r="GQ48" s="330"/>
      <c r="GR48" s="330"/>
      <c r="GS48" s="330"/>
      <c r="GT48" s="330"/>
      <c r="GU48" s="330"/>
      <c r="GV48" s="330"/>
      <c r="GW48" s="330"/>
      <c r="GX48" s="330"/>
      <c r="GY48" s="330"/>
      <c r="GZ48" s="330"/>
      <c r="HA48" s="330"/>
      <c r="HB48" s="330"/>
      <c r="HC48" s="330"/>
      <c r="HD48" s="330"/>
      <c r="HE48" s="330"/>
      <c r="HF48" s="330"/>
      <c r="HG48" s="330"/>
      <c r="HH48" s="330"/>
      <c r="HI48" s="330"/>
      <c r="HJ48" s="330"/>
      <c r="HK48" s="330"/>
      <c r="HL48" s="330"/>
      <c r="HM48" s="330"/>
      <c r="HN48" s="330"/>
      <c r="HO48" s="330"/>
      <c r="HP48" s="330"/>
      <c r="HQ48" s="330"/>
      <c r="HR48" s="330"/>
      <c r="HS48" s="330"/>
      <c r="HT48" s="330"/>
      <c r="HU48" s="330"/>
      <c r="HV48" s="330"/>
      <c r="HW48" s="330"/>
      <c r="HX48" s="330"/>
      <c r="HY48" s="330"/>
      <c r="HZ48" s="330"/>
      <c r="IA48" s="330"/>
      <c r="IB48" s="330"/>
      <c r="IC48" s="330"/>
      <c r="ID48" s="330"/>
      <c r="IE48" s="330"/>
      <c r="IF48" s="330"/>
      <c r="IG48" s="330"/>
      <c r="IH48" s="330"/>
      <c r="II48" s="330"/>
      <c r="IJ48" s="330"/>
      <c r="IK48" s="330"/>
      <c r="IL48" s="330"/>
      <c r="IM48" s="330"/>
      <c r="IN48" s="330"/>
      <c r="IO48" s="330"/>
      <c r="IP48" s="330"/>
      <c r="IQ48" s="330"/>
      <c r="IR48" s="330"/>
      <c r="IS48" s="330"/>
      <c r="IT48" s="330"/>
      <c r="IU48" s="330"/>
      <c r="IV48" s="330"/>
      <c r="IW48" s="330"/>
      <c r="IX48" s="330"/>
      <c r="IY48" s="330"/>
      <c r="IZ48" s="330"/>
      <c r="JA48" s="330"/>
      <c r="JB48" s="330"/>
      <c r="JC48" s="330"/>
      <c r="JD48" s="330"/>
      <c r="JE48" s="330"/>
      <c r="JF48" s="330"/>
      <c r="JG48" s="330"/>
      <c r="JH48" s="330"/>
      <c r="JI48" s="330"/>
      <c r="JJ48" s="330"/>
      <c r="JK48" s="330"/>
      <c r="JL48" s="330"/>
      <c r="JM48" s="330"/>
      <c r="JN48" s="330"/>
      <c r="JO48" s="330"/>
      <c r="JP48" s="330"/>
      <c r="JQ48" s="330"/>
      <c r="JR48" s="330"/>
      <c r="JS48" s="330"/>
      <c r="JT48" s="330"/>
      <c r="JU48" s="330"/>
      <c r="JV48" s="330"/>
      <c r="JW48" s="330"/>
      <c r="JX48" s="330"/>
      <c r="JY48" s="330"/>
      <c r="JZ48" s="330"/>
      <c r="KA48" s="330"/>
      <c r="KB48" s="330"/>
      <c r="KC48" s="330"/>
      <c r="KD48" s="330"/>
      <c r="KE48" s="330"/>
      <c r="KF48" s="330"/>
      <c r="KG48" s="330"/>
      <c r="KH48" s="330"/>
      <c r="KI48" s="330"/>
      <c r="KJ48" s="330"/>
      <c r="KK48" s="330"/>
      <c r="KL48" s="330"/>
      <c r="KM48" s="330"/>
      <c r="KN48" s="330"/>
      <c r="KO48" s="330"/>
      <c r="KP48" s="330"/>
      <c r="KQ48" s="330"/>
      <c r="KR48" s="330"/>
      <c r="KS48" s="330"/>
      <c r="KT48" s="330"/>
      <c r="KU48" s="330"/>
      <c r="KV48" s="330"/>
      <c r="KW48" s="330"/>
      <c r="KX48" s="330"/>
      <c r="KY48" s="330"/>
      <c r="KZ48" s="330"/>
      <c r="LA48" s="330"/>
      <c r="LB48" s="330"/>
      <c r="LC48" s="330"/>
      <c r="LD48" s="330"/>
      <c r="LE48" s="330"/>
    </row>
    <row r="49" spans="1:317">
      <c r="A49" s="330"/>
      <c r="B49" s="330"/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30"/>
      <c r="Y49" s="330"/>
      <c r="Z49" s="330"/>
      <c r="AA49" s="330"/>
      <c r="AB49" s="330"/>
      <c r="AC49" s="330"/>
      <c r="AD49" s="330"/>
      <c r="AE49" s="330"/>
      <c r="AF49" s="330"/>
      <c r="AG49" s="330"/>
      <c r="AH49" s="330"/>
      <c r="AI49" s="330"/>
      <c r="AJ49" s="330"/>
      <c r="AK49" s="330"/>
      <c r="AL49" s="330"/>
      <c r="AM49" s="330"/>
      <c r="AN49" s="330"/>
      <c r="AO49" s="330"/>
      <c r="AP49" s="330"/>
      <c r="AQ49" s="330"/>
      <c r="AR49" s="330"/>
      <c r="AS49" s="330"/>
      <c r="AT49" s="330"/>
      <c r="AU49" s="330"/>
      <c r="AV49" s="330"/>
      <c r="AW49" s="330"/>
      <c r="AX49" s="330"/>
      <c r="AY49" s="330"/>
      <c r="AZ49" s="330"/>
      <c r="BA49" s="330"/>
      <c r="BB49" s="330"/>
      <c r="BC49" s="330"/>
      <c r="BD49" s="330"/>
      <c r="BE49" s="330"/>
      <c r="BF49" s="330"/>
      <c r="BG49" s="330"/>
      <c r="BH49" s="330"/>
      <c r="BI49" s="330"/>
      <c r="BJ49" s="330"/>
      <c r="BK49" s="330"/>
      <c r="BL49" s="330"/>
      <c r="BM49" s="330"/>
      <c r="BN49" s="330"/>
      <c r="BO49" s="330"/>
      <c r="BP49" s="330"/>
      <c r="BQ49" s="330"/>
      <c r="BR49" s="330"/>
      <c r="BS49" s="330"/>
      <c r="BT49" s="330"/>
      <c r="BU49" s="330"/>
      <c r="BV49" s="330"/>
      <c r="BW49" s="330"/>
      <c r="BX49" s="330"/>
      <c r="BY49" s="330"/>
      <c r="BZ49" s="330"/>
      <c r="CA49" s="330"/>
      <c r="CB49" s="330"/>
      <c r="CC49" s="330"/>
      <c r="CD49" s="330"/>
      <c r="CE49" s="330"/>
      <c r="CF49" s="330"/>
      <c r="CG49" s="330"/>
      <c r="CH49" s="330"/>
      <c r="CI49" s="330"/>
      <c r="CJ49" s="330"/>
      <c r="CK49" s="330"/>
      <c r="CL49" s="330"/>
      <c r="CM49" s="330"/>
      <c r="CN49" s="330"/>
      <c r="CO49" s="330"/>
      <c r="CP49" s="330"/>
      <c r="CQ49" s="330"/>
      <c r="CR49" s="330"/>
      <c r="CS49" s="330"/>
      <c r="CT49" s="330"/>
      <c r="CU49" s="330"/>
      <c r="CV49" s="330"/>
      <c r="CW49" s="330"/>
      <c r="CX49" s="330"/>
      <c r="CY49" s="330"/>
      <c r="CZ49" s="330"/>
      <c r="DA49" s="330"/>
      <c r="DB49" s="330"/>
      <c r="DC49" s="330"/>
      <c r="DD49" s="330"/>
      <c r="DE49" s="330"/>
      <c r="DF49" s="330"/>
      <c r="DG49" s="330"/>
      <c r="DH49" s="330"/>
      <c r="DI49" s="330"/>
      <c r="DJ49" s="330"/>
      <c r="DK49" s="330"/>
      <c r="DL49" s="330"/>
      <c r="DM49" s="330"/>
      <c r="DN49" s="330"/>
      <c r="DO49" s="330"/>
      <c r="DP49" s="330"/>
      <c r="DQ49" s="330"/>
      <c r="DR49" s="330"/>
      <c r="DS49" s="330"/>
      <c r="DT49" s="330"/>
      <c r="DU49" s="330"/>
      <c r="DV49" s="330"/>
      <c r="DW49" s="330"/>
      <c r="DX49" s="330"/>
      <c r="DY49" s="330"/>
      <c r="DZ49" s="330"/>
      <c r="EA49" s="330"/>
      <c r="EB49" s="330"/>
      <c r="EC49" s="330"/>
      <c r="ED49" s="330"/>
      <c r="EE49" s="330"/>
      <c r="EF49" s="330"/>
      <c r="EG49" s="330"/>
      <c r="EH49" s="330"/>
      <c r="EI49" s="330"/>
      <c r="EJ49" s="330"/>
      <c r="EK49" s="330"/>
      <c r="EL49" s="330"/>
      <c r="EM49" s="330"/>
      <c r="EN49" s="330"/>
      <c r="EO49" s="330"/>
      <c r="EP49" s="330"/>
      <c r="EQ49" s="330"/>
      <c r="ER49" s="330"/>
      <c r="ES49" s="330"/>
      <c r="ET49" s="330"/>
      <c r="EU49" s="330"/>
      <c r="EV49" s="330"/>
      <c r="EW49" s="330"/>
      <c r="EX49" s="330"/>
      <c r="EY49" s="330"/>
      <c r="EZ49" s="330"/>
      <c r="FA49" s="330"/>
      <c r="FB49" s="330"/>
      <c r="FC49" s="330"/>
      <c r="FD49" s="330"/>
      <c r="FE49" s="330"/>
      <c r="FF49" s="330"/>
      <c r="FG49" s="330"/>
      <c r="FH49" s="330"/>
      <c r="FI49" s="330"/>
      <c r="FJ49" s="330"/>
      <c r="FK49" s="330"/>
      <c r="FL49" s="330"/>
      <c r="FM49" s="330"/>
      <c r="FN49" s="330"/>
      <c r="FO49" s="330"/>
      <c r="FP49" s="330"/>
      <c r="FQ49" s="330"/>
      <c r="FR49" s="330"/>
      <c r="FS49" s="330"/>
      <c r="FT49" s="330"/>
      <c r="FU49" s="330"/>
      <c r="FV49" s="330"/>
      <c r="FW49" s="330"/>
      <c r="FX49" s="330"/>
      <c r="FY49" s="330"/>
      <c r="FZ49" s="330"/>
      <c r="GA49" s="330"/>
      <c r="GB49" s="330"/>
      <c r="GC49" s="330"/>
      <c r="GD49" s="330"/>
      <c r="GE49" s="330"/>
      <c r="GF49" s="330"/>
      <c r="GG49" s="330"/>
      <c r="GH49" s="330"/>
      <c r="GI49" s="330"/>
      <c r="GJ49" s="330"/>
      <c r="GK49" s="330"/>
      <c r="GL49" s="330"/>
      <c r="GM49" s="330"/>
      <c r="GN49" s="330"/>
      <c r="GO49" s="330"/>
      <c r="GP49" s="330"/>
      <c r="GQ49" s="330"/>
      <c r="GR49" s="330"/>
      <c r="GS49" s="330"/>
      <c r="GT49" s="330"/>
      <c r="GU49" s="330"/>
      <c r="GV49" s="330"/>
      <c r="GW49" s="330"/>
      <c r="GX49" s="330"/>
      <c r="GY49" s="330"/>
      <c r="GZ49" s="330"/>
      <c r="HA49" s="330"/>
      <c r="HB49" s="330"/>
      <c r="HC49" s="330"/>
      <c r="HD49" s="330"/>
      <c r="HE49" s="330"/>
      <c r="HF49" s="330"/>
      <c r="HG49" s="330"/>
      <c r="HH49" s="330"/>
      <c r="HI49" s="330"/>
      <c r="HJ49" s="330"/>
      <c r="HK49" s="330"/>
      <c r="HL49" s="330"/>
      <c r="HM49" s="330"/>
      <c r="HN49" s="330"/>
      <c r="HO49" s="330"/>
      <c r="HP49" s="330"/>
      <c r="HQ49" s="330"/>
      <c r="HR49" s="330"/>
      <c r="HS49" s="330"/>
      <c r="HT49" s="330"/>
      <c r="HU49" s="330"/>
      <c r="HV49" s="330"/>
      <c r="HW49" s="330"/>
      <c r="HX49" s="330"/>
      <c r="HY49" s="330"/>
      <c r="HZ49" s="330"/>
      <c r="IA49" s="330"/>
      <c r="IB49" s="330"/>
      <c r="IC49" s="330"/>
      <c r="ID49" s="330"/>
      <c r="IE49" s="330"/>
      <c r="IF49" s="330"/>
      <c r="IG49" s="330"/>
      <c r="IH49" s="330"/>
      <c r="II49" s="330"/>
      <c r="IJ49" s="330"/>
      <c r="IK49" s="330"/>
      <c r="IL49" s="330"/>
      <c r="IM49" s="330"/>
      <c r="IN49" s="330"/>
      <c r="IO49" s="330"/>
      <c r="IP49" s="330"/>
      <c r="IQ49" s="330"/>
      <c r="IR49" s="330"/>
      <c r="IS49" s="330"/>
      <c r="IT49" s="330"/>
      <c r="IU49" s="330"/>
      <c r="IV49" s="330"/>
      <c r="IW49" s="330"/>
      <c r="IX49" s="330"/>
      <c r="IY49" s="330"/>
      <c r="IZ49" s="330"/>
      <c r="JA49" s="330"/>
      <c r="JB49" s="330"/>
      <c r="JC49" s="330"/>
      <c r="JD49" s="330"/>
      <c r="JE49" s="330"/>
      <c r="JF49" s="330"/>
      <c r="JG49" s="330"/>
      <c r="JH49" s="330"/>
      <c r="JI49" s="330"/>
      <c r="JJ49" s="330"/>
      <c r="JK49" s="330"/>
      <c r="JL49" s="330"/>
      <c r="JM49" s="330"/>
      <c r="JN49" s="330"/>
      <c r="JO49" s="330"/>
      <c r="JP49" s="330"/>
      <c r="JQ49" s="330"/>
      <c r="JR49" s="330"/>
      <c r="JS49" s="330"/>
      <c r="JT49" s="330"/>
      <c r="JU49" s="330"/>
      <c r="JV49" s="330"/>
      <c r="JW49" s="330"/>
      <c r="JX49" s="330"/>
      <c r="JY49" s="330"/>
      <c r="JZ49" s="330"/>
      <c r="KA49" s="330"/>
      <c r="KB49" s="330"/>
      <c r="KC49" s="330"/>
      <c r="KD49" s="330"/>
      <c r="KE49" s="330"/>
      <c r="KF49" s="330"/>
      <c r="KG49" s="330"/>
      <c r="KH49" s="330"/>
      <c r="KI49" s="330"/>
      <c r="KJ49" s="330"/>
      <c r="KK49" s="330"/>
      <c r="KL49" s="330"/>
      <c r="KM49" s="330"/>
      <c r="KN49" s="330"/>
      <c r="KO49" s="330"/>
      <c r="KP49" s="330"/>
      <c r="KQ49" s="330"/>
      <c r="KR49" s="330"/>
      <c r="KS49" s="330"/>
      <c r="KT49" s="330"/>
      <c r="KU49" s="330"/>
      <c r="KV49" s="330"/>
      <c r="KW49" s="330"/>
      <c r="KX49" s="330"/>
      <c r="KY49" s="330"/>
      <c r="KZ49" s="330"/>
      <c r="LA49" s="330"/>
      <c r="LB49" s="330"/>
      <c r="LC49" s="330"/>
      <c r="LD49" s="330"/>
      <c r="LE49" s="330"/>
    </row>
    <row r="50" spans="1:317">
      <c r="A50" s="330"/>
      <c r="B50" s="330"/>
      <c r="C50" s="330"/>
      <c r="D50" s="330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0"/>
      <c r="Y50" s="330"/>
      <c r="Z50" s="330"/>
      <c r="AA50" s="330"/>
      <c r="AB50" s="330"/>
      <c r="AC50" s="330"/>
      <c r="AD50" s="330"/>
      <c r="AE50" s="330"/>
      <c r="AF50" s="330"/>
      <c r="AG50" s="330"/>
      <c r="AH50" s="330"/>
      <c r="AI50" s="330"/>
      <c r="AJ50" s="330"/>
      <c r="AK50" s="330"/>
      <c r="AL50" s="330"/>
      <c r="AM50" s="330"/>
      <c r="AN50" s="330"/>
      <c r="AO50" s="330"/>
      <c r="AP50" s="330"/>
      <c r="AQ50" s="330"/>
      <c r="AR50" s="330"/>
      <c r="AS50" s="330"/>
      <c r="AT50" s="330"/>
      <c r="AU50" s="330"/>
      <c r="AV50" s="330"/>
      <c r="AW50" s="330"/>
      <c r="AX50" s="330"/>
      <c r="AY50" s="330"/>
      <c r="AZ50" s="330"/>
      <c r="BA50" s="330"/>
      <c r="BB50" s="330"/>
      <c r="BC50" s="330"/>
      <c r="BD50" s="330"/>
      <c r="BE50" s="330"/>
      <c r="BF50" s="330"/>
      <c r="BG50" s="330"/>
      <c r="BH50" s="330"/>
      <c r="BI50" s="330"/>
      <c r="BJ50" s="330"/>
      <c r="BK50" s="330"/>
      <c r="BL50" s="330"/>
      <c r="BM50" s="330"/>
      <c r="BN50" s="330"/>
      <c r="BO50" s="330"/>
      <c r="BP50" s="330"/>
      <c r="BQ50" s="330"/>
      <c r="BR50" s="330"/>
      <c r="BS50" s="330"/>
      <c r="BT50" s="330"/>
      <c r="BU50" s="330"/>
      <c r="BV50" s="330"/>
      <c r="BW50" s="330"/>
      <c r="BX50" s="330"/>
      <c r="BY50" s="330"/>
      <c r="BZ50" s="330"/>
      <c r="CA50" s="330"/>
      <c r="CB50" s="330"/>
      <c r="CC50" s="330"/>
      <c r="CD50" s="330"/>
      <c r="CE50" s="330"/>
      <c r="CF50" s="330"/>
      <c r="CG50" s="330"/>
      <c r="CH50" s="330"/>
      <c r="CI50" s="330"/>
      <c r="CJ50" s="330"/>
      <c r="CK50" s="330"/>
      <c r="CL50" s="330"/>
      <c r="CM50" s="330"/>
      <c r="CN50" s="330"/>
      <c r="CO50" s="330"/>
      <c r="CP50" s="330"/>
      <c r="CQ50" s="330"/>
      <c r="CR50" s="330"/>
      <c r="CS50" s="330"/>
      <c r="CT50" s="330"/>
      <c r="CU50" s="330"/>
      <c r="CV50" s="330"/>
      <c r="CW50" s="330"/>
      <c r="CX50" s="330"/>
      <c r="CY50" s="330"/>
      <c r="CZ50" s="330"/>
      <c r="DA50" s="330"/>
      <c r="DB50" s="330"/>
      <c r="DC50" s="330"/>
      <c r="DD50" s="330"/>
      <c r="DE50" s="330"/>
      <c r="DF50" s="330"/>
      <c r="DG50" s="330"/>
      <c r="DH50" s="330"/>
      <c r="DI50" s="330"/>
      <c r="DJ50" s="330"/>
      <c r="DK50" s="330"/>
      <c r="DL50" s="330"/>
      <c r="DM50" s="330"/>
      <c r="DN50" s="330"/>
      <c r="DO50" s="330"/>
      <c r="DP50" s="330"/>
      <c r="DQ50" s="330"/>
      <c r="DR50" s="330"/>
      <c r="DS50" s="330"/>
      <c r="DT50" s="330"/>
      <c r="DU50" s="330"/>
      <c r="DV50" s="330"/>
      <c r="DW50" s="330"/>
      <c r="DX50" s="330"/>
      <c r="DY50" s="330"/>
      <c r="DZ50" s="330"/>
      <c r="EA50" s="330"/>
      <c r="EB50" s="330"/>
      <c r="EC50" s="330"/>
      <c r="ED50" s="330"/>
      <c r="EE50" s="330"/>
      <c r="EF50" s="330"/>
      <c r="EG50" s="330"/>
      <c r="EH50" s="330"/>
      <c r="EI50" s="330"/>
      <c r="EJ50" s="330"/>
      <c r="EK50" s="330"/>
      <c r="EL50" s="330"/>
      <c r="EM50" s="330"/>
      <c r="EN50" s="330"/>
      <c r="EO50" s="330"/>
      <c r="EP50" s="330"/>
      <c r="EQ50" s="330"/>
      <c r="ER50" s="330"/>
      <c r="ES50" s="330"/>
      <c r="ET50" s="330"/>
      <c r="EU50" s="330"/>
      <c r="EV50" s="330"/>
      <c r="EW50" s="330"/>
      <c r="EX50" s="330"/>
      <c r="EY50" s="330"/>
      <c r="EZ50" s="330"/>
      <c r="FA50" s="330"/>
      <c r="FB50" s="330"/>
      <c r="FC50" s="330"/>
      <c r="FD50" s="330"/>
      <c r="FE50" s="330"/>
      <c r="FF50" s="330"/>
      <c r="FG50" s="330"/>
      <c r="FH50" s="330"/>
      <c r="FI50" s="330"/>
      <c r="FJ50" s="330"/>
      <c r="FK50" s="330"/>
      <c r="FL50" s="330"/>
      <c r="FM50" s="330"/>
      <c r="FN50" s="330"/>
      <c r="FO50" s="330"/>
      <c r="FP50" s="330"/>
      <c r="FQ50" s="330"/>
      <c r="FR50" s="330"/>
      <c r="FS50" s="330"/>
      <c r="FT50" s="330"/>
      <c r="FU50" s="330"/>
      <c r="FV50" s="330"/>
      <c r="FW50" s="330"/>
      <c r="FX50" s="330"/>
      <c r="FY50" s="330"/>
      <c r="FZ50" s="330"/>
      <c r="GA50" s="330"/>
      <c r="GB50" s="330"/>
      <c r="GC50" s="330"/>
      <c r="GD50" s="330"/>
      <c r="GE50" s="330"/>
      <c r="GF50" s="330"/>
      <c r="GG50" s="330"/>
      <c r="GH50" s="330"/>
      <c r="GI50" s="330"/>
      <c r="GJ50" s="330"/>
      <c r="GK50" s="330"/>
      <c r="GL50" s="330"/>
      <c r="GM50" s="330"/>
      <c r="GN50" s="330"/>
      <c r="GO50" s="330"/>
      <c r="GP50" s="330"/>
      <c r="GQ50" s="330"/>
      <c r="GR50" s="330"/>
      <c r="GS50" s="330"/>
      <c r="GT50" s="330"/>
      <c r="GU50" s="330"/>
      <c r="GV50" s="330"/>
      <c r="GW50" s="330"/>
      <c r="GX50" s="330"/>
      <c r="GY50" s="330"/>
      <c r="GZ50" s="330"/>
      <c r="HA50" s="330"/>
      <c r="HB50" s="330"/>
      <c r="HC50" s="330"/>
      <c r="HD50" s="330"/>
      <c r="HE50" s="330"/>
      <c r="HF50" s="330"/>
      <c r="HG50" s="330"/>
      <c r="HH50" s="330"/>
      <c r="HI50" s="330"/>
      <c r="HJ50" s="330"/>
      <c r="HK50" s="330"/>
      <c r="HL50" s="330"/>
      <c r="HM50" s="330"/>
      <c r="HN50" s="330"/>
      <c r="HO50" s="330"/>
      <c r="HP50" s="330"/>
      <c r="HQ50" s="330"/>
      <c r="HR50" s="330"/>
      <c r="HS50" s="330"/>
      <c r="HT50" s="330"/>
      <c r="HU50" s="330"/>
      <c r="HV50" s="330"/>
      <c r="HW50" s="330"/>
      <c r="HX50" s="330"/>
      <c r="HY50" s="330"/>
      <c r="HZ50" s="330"/>
      <c r="IA50" s="330"/>
      <c r="IB50" s="330"/>
      <c r="IC50" s="330"/>
      <c r="ID50" s="330"/>
      <c r="IE50" s="330"/>
      <c r="IF50" s="330"/>
      <c r="IG50" s="330"/>
      <c r="IH50" s="330"/>
      <c r="II50" s="330"/>
      <c r="IJ50" s="330"/>
      <c r="IK50" s="330"/>
      <c r="IL50" s="330"/>
      <c r="IM50" s="330"/>
      <c r="IN50" s="330"/>
      <c r="IO50" s="330"/>
      <c r="IP50" s="330"/>
      <c r="IQ50" s="330"/>
      <c r="IR50" s="330"/>
      <c r="IS50" s="330"/>
      <c r="IT50" s="330"/>
      <c r="IU50" s="330"/>
      <c r="IV50" s="330"/>
      <c r="IW50" s="330"/>
      <c r="IX50" s="330"/>
      <c r="IY50" s="330"/>
      <c r="IZ50" s="330"/>
      <c r="JA50" s="330"/>
      <c r="JB50" s="330"/>
      <c r="JC50" s="330"/>
      <c r="JD50" s="330"/>
      <c r="JE50" s="330"/>
      <c r="JF50" s="330"/>
      <c r="JG50" s="330"/>
      <c r="JH50" s="330"/>
      <c r="JI50" s="330"/>
      <c r="JJ50" s="330"/>
      <c r="JK50" s="330"/>
      <c r="JL50" s="330"/>
      <c r="JM50" s="330"/>
      <c r="JN50" s="330"/>
      <c r="JO50" s="330"/>
      <c r="JP50" s="330"/>
      <c r="JQ50" s="330"/>
      <c r="JR50" s="330"/>
      <c r="JS50" s="330"/>
      <c r="JT50" s="330"/>
      <c r="JU50" s="330"/>
      <c r="JV50" s="330"/>
      <c r="JW50" s="330"/>
      <c r="JX50" s="330"/>
      <c r="JY50" s="330"/>
      <c r="JZ50" s="330"/>
      <c r="KA50" s="330"/>
      <c r="KB50" s="330"/>
      <c r="KC50" s="330"/>
      <c r="KD50" s="330"/>
      <c r="KE50" s="330"/>
      <c r="KF50" s="330"/>
      <c r="KG50" s="330"/>
      <c r="KH50" s="330"/>
      <c r="KI50" s="330"/>
      <c r="KJ50" s="330"/>
      <c r="KK50" s="330"/>
      <c r="KL50" s="330"/>
      <c r="KM50" s="330"/>
      <c r="KN50" s="330"/>
      <c r="KO50" s="330"/>
      <c r="KP50" s="330"/>
      <c r="KQ50" s="330"/>
      <c r="KR50" s="330"/>
      <c r="KS50" s="330"/>
      <c r="KT50" s="330"/>
      <c r="KU50" s="330"/>
      <c r="KV50" s="330"/>
      <c r="KW50" s="330"/>
      <c r="KX50" s="330"/>
      <c r="KY50" s="330"/>
      <c r="KZ50" s="330"/>
      <c r="LA50" s="330"/>
      <c r="LB50" s="330"/>
      <c r="LC50" s="330"/>
      <c r="LD50" s="330"/>
      <c r="LE50" s="330"/>
    </row>
    <row r="51" spans="1:317">
      <c r="A51" s="330"/>
      <c r="B51" s="330"/>
      <c r="C51" s="330"/>
      <c r="D51" s="330"/>
      <c r="E51" s="330"/>
      <c r="F51" s="330"/>
      <c r="G51" s="330"/>
      <c r="H51" s="330"/>
      <c r="I51" s="330"/>
      <c r="J51" s="330"/>
      <c r="K51" s="330"/>
      <c r="L51" s="330"/>
      <c r="M51" s="330"/>
      <c r="N51" s="330"/>
      <c r="O51" s="330"/>
      <c r="P51" s="330"/>
      <c r="Q51" s="330"/>
      <c r="R51" s="330"/>
      <c r="S51" s="330"/>
      <c r="T51" s="330"/>
      <c r="U51" s="330"/>
      <c r="V51" s="330"/>
      <c r="W51" s="330"/>
      <c r="X51" s="330"/>
      <c r="Y51" s="330"/>
      <c r="Z51" s="330"/>
      <c r="AA51" s="330"/>
      <c r="AB51" s="330"/>
      <c r="AC51" s="330"/>
      <c r="AD51" s="330"/>
      <c r="AE51" s="330"/>
      <c r="AF51" s="330"/>
      <c r="AG51" s="330"/>
      <c r="AH51" s="330"/>
      <c r="AI51" s="330"/>
      <c r="AJ51" s="330"/>
      <c r="AK51" s="330"/>
      <c r="AL51" s="330"/>
      <c r="AM51" s="330"/>
      <c r="AN51" s="330"/>
      <c r="AO51" s="330"/>
      <c r="AP51" s="330"/>
      <c r="AQ51" s="330"/>
      <c r="AR51" s="330"/>
      <c r="AS51" s="330"/>
      <c r="AT51" s="330"/>
      <c r="AU51" s="330"/>
      <c r="AV51" s="330"/>
      <c r="AW51" s="330"/>
      <c r="AX51" s="330"/>
      <c r="AY51" s="330"/>
      <c r="AZ51" s="330"/>
      <c r="BA51" s="330"/>
      <c r="BB51" s="330"/>
      <c r="BC51" s="330"/>
      <c r="BD51" s="330"/>
      <c r="BE51" s="330"/>
      <c r="BF51" s="330"/>
      <c r="BG51" s="330"/>
      <c r="BH51" s="330"/>
      <c r="BI51" s="330"/>
      <c r="BJ51" s="330"/>
      <c r="BK51" s="330"/>
      <c r="BL51" s="330"/>
      <c r="BM51" s="330"/>
      <c r="BN51" s="330"/>
      <c r="BO51" s="330"/>
      <c r="BP51" s="330"/>
      <c r="BQ51" s="330"/>
      <c r="BR51" s="330"/>
      <c r="BS51" s="330"/>
      <c r="BT51" s="330"/>
      <c r="BU51" s="330"/>
      <c r="BV51" s="330"/>
      <c r="BW51" s="330"/>
      <c r="BX51" s="330"/>
      <c r="BY51" s="330"/>
      <c r="BZ51" s="330"/>
      <c r="CA51" s="330"/>
      <c r="CB51" s="330"/>
      <c r="CC51" s="330"/>
      <c r="CD51" s="330"/>
      <c r="CE51" s="330"/>
      <c r="CF51" s="330"/>
      <c r="CG51" s="330"/>
      <c r="CH51" s="330"/>
      <c r="CI51" s="330"/>
      <c r="CJ51" s="330"/>
      <c r="CK51" s="330"/>
      <c r="CL51" s="330"/>
      <c r="CM51" s="330"/>
      <c r="CN51" s="330"/>
      <c r="CO51" s="330"/>
      <c r="CP51" s="330"/>
      <c r="CQ51" s="330"/>
      <c r="CR51" s="330"/>
      <c r="CS51" s="330"/>
      <c r="CT51" s="330"/>
      <c r="CU51" s="330"/>
      <c r="CV51" s="330"/>
      <c r="CW51" s="330"/>
      <c r="CX51" s="330"/>
      <c r="CY51" s="330"/>
      <c r="CZ51" s="330"/>
      <c r="DA51" s="330"/>
      <c r="DB51" s="330"/>
      <c r="DC51" s="330"/>
      <c r="DD51" s="330"/>
      <c r="DE51" s="330"/>
      <c r="DF51" s="330"/>
      <c r="DG51" s="330"/>
      <c r="DH51" s="330"/>
      <c r="DI51" s="330"/>
      <c r="DJ51" s="330"/>
      <c r="DK51" s="330"/>
      <c r="DL51" s="330"/>
      <c r="DM51" s="330"/>
      <c r="DN51" s="330"/>
      <c r="DO51" s="330"/>
      <c r="DP51" s="330"/>
      <c r="DQ51" s="330"/>
      <c r="DR51" s="330"/>
      <c r="DS51" s="330"/>
      <c r="DT51" s="330"/>
      <c r="DU51" s="330"/>
      <c r="DV51" s="330"/>
      <c r="DW51" s="330"/>
      <c r="DX51" s="330"/>
      <c r="DY51" s="330"/>
      <c r="DZ51" s="330"/>
      <c r="EA51" s="330"/>
      <c r="EB51" s="330"/>
      <c r="EC51" s="330"/>
      <c r="ED51" s="330"/>
      <c r="EE51" s="330"/>
      <c r="EF51" s="330"/>
      <c r="EG51" s="330"/>
      <c r="EH51" s="330"/>
      <c r="EI51" s="330"/>
      <c r="EJ51" s="330"/>
      <c r="EK51" s="330"/>
      <c r="EL51" s="330"/>
      <c r="EM51" s="330"/>
      <c r="EN51" s="330"/>
      <c r="EO51" s="330"/>
      <c r="EP51" s="330"/>
      <c r="EQ51" s="330"/>
      <c r="ER51" s="330"/>
      <c r="ES51" s="330"/>
      <c r="ET51" s="330"/>
      <c r="EU51" s="330"/>
      <c r="EV51" s="330"/>
      <c r="EW51" s="330"/>
      <c r="EX51" s="330"/>
      <c r="EY51" s="330"/>
      <c r="EZ51" s="330"/>
      <c r="FA51" s="330"/>
      <c r="FB51" s="330"/>
      <c r="FC51" s="330"/>
      <c r="FD51" s="330"/>
      <c r="FE51" s="330"/>
      <c r="FF51" s="330"/>
      <c r="FG51" s="330"/>
      <c r="FH51" s="330"/>
      <c r="FI51" s="330"/>
      <c r="FJ51" s="330"/>
      <c r="FK51" s="330"/>
      <c r="FL51" s="330"/>
      <c r="FM51" s="330"/>
      <c r="FN51" s="330"/>
      <c r="FO51" s="330"/>
      <c r="FP51" s="330"/>
      <c r="FQ51" s="330"/>
      <c r="FR51" s="330"/>
      <c r="FS51" s="330"/>
      <c r="FT51" s="330"/>
      <c r="FU51" s="330"/>
      <c r="FV51" s="330"/>
      <c r="FW51" s="330"/>
      <c r="FX51" s="330"/>
      <c r="FY51" s="330"/>
      <c r="FZ51" s="330"/>
      <c r="GA51" s="330"/>
      <c r="GB51" s="330"/>
      <c r="GC51" s="330"/>
      <c r="GD51" s="330"/>
      <c r="GE51" s="330"/>
      <c r="GF51" s="330"/>
      <c r="GG51" s="330"/>
      <c r="GH51" s="330"/>
      <c r="GI51" s="330"/>
      <c r="GJ51" s="330"/>
      <c r="GK51" s="330"/>
      <c r="GL51" s="330"/>
      <c r="GM51" s="330"/>
      <c r="GN51" s="330"/>
      <c r="GO51" s="330"/>
      <c r="GP51" s="330"/>
      <c r="GQ51" s="330"/>
      <c r="GR51" s="330"/>
      <c r="GS51" s="330"/>
      <c r="GT51" s="330"/>
      <c r="GU51" s="330"/>
      <c r="GV51" s="330"/>
      <c r="GW51" s="330"/>
      <c r="GX51" s="330"/>
      <c r="GY51" s="330"/>
      <c r="GZ51" s="330"/>
      <c r="HA51" s="330"/>
      <c r="HB51" s="330"/>
      <c r="HC51" s="330"/>
      <c r="HD51" s="330"/>
      <c r="HE51" s="330"/>
      <c r="HF51" s="330"/>
      <c r="HG51" s="330"/>
      <c r="HH51" s="330"/>
      <c r="HI51" s="330"/>
      <c r="HJ51" s="330"/>
      <c r="HK51" s="330"/>
      <c r="HL51" s="330"/>
      <c r="HM51" s="330"/>
      <c r="HN51" s="330"/>
      <c r="HO51" s="330"/>
      <c r="HP51" s="330"/>
      <c r="HQ51" s="330"/>
      <c r="HR51" s="330"/>
      <c r="HS51" s="330"/>
      <c r="HT51" s="330"/>
      <c r="HU51" s="330"/>
      <c r="HV51" s="330"/>
      <c r="HW51" s="330"/>
      <c r="HX51" s="330"/>
      <c r="HY51" s="330"/>
      <c r="HZ51" s="330"/>
      <c r="IA51" s="330"/>
      <c r="IB51" s="330"/>
      <c r="IC51" s="330"/>
      <c r="ID51" s="330"/>
      <c r="IE51" s="330"/>
      <c r="IF51" s="330"/>
      <c r="IG51" s="330"/>
      <c r="IH51" s="330"/>
      <c r="II51" s="330"/>
      <c r="IJ51" s="330"/>
      <c r="IK51" s="330"/>
      <c r="IL51" s="330"/>
      <c r="IM51" s="330"/>
      <c r="IN51" s="330"/>
      <c r="IO51" s="330"/>
      <c r="IP51" s="330"/>
      <c r="IQ51" s="330"/>
      <c r="IR51" s="330"/>
      <c r="IS51" s="330"/>
      <c r="IT51" s="330"/>
      <c r="IU51" s="330"/>
      <c r="IV51" s="330"/>
      <c r="IW51" s="330"/>
      <c r="IX51" s="330"/>
      <c r="IY51" s="330"/>
      <c r="IZ51" s="330"/>
      <c r="JA51" s="330"/>
      <c r="JB51" s="330"/>
      <c r="JC51" s="330"/>
      <c r="JD51" s="330"/>
      <c r="JE51" s="330"/>
      <c r="JF51" s="330"/>
      <c r="JG51" s="330"/>
      <c r="JH51" s="330"/>
      <c r="JI51" s="330"/>
      <c r="JJ51" s="330"/>
      <c r="JK51" s="330"/>
      <c r="JL51" s="330"/>
      <c r="JM51" s="330"/>
      <c r="JN51" s="330"/>
      <c r="JO51" s="330"/>
      <c r="JP51" s="330"/>
      <c r="JQ51" s="330"/>
      <c r="JR51" s="330"/>
      <c r="JS51" s="330"/>
      <c r="JT51" s="330"/>
      <c r="JU51" s="330"/>
      <c r="JV51" s="330"/>
      <c r="JW51" s="330"/>
      <c r="JX51" s="330"/>
      <c r="JY51" s="330"/>
      <c r="JZ51" s="330"/>
      <c r="KA51" s="330"/>
      <c r="KB51" s="330"/>
      <c r="KC51" s="330"/>
      <c r="KD51" s="330"/>
      <c r="KE51" s="330"/>
      <c r="KF51" s="330"/>
      <c r="KG51" s="330"/>
      <c r="KH51" s="330"/>
      <c r="KI51" s="330"/>
      <c r="KJ51" s="330"/>
      <c r="KK51" s="330"/>
      <c r="KL51" s="330"/>
      <c r="KM51" s="330"/>
      <c r="KN51" s="330"/>
      <c r="KO51" s="330"/>
      <c r="KP51" s="330"/>
      <c r="KQ51" s="330"/>
      <c r="KR51" s="330"/>
      <c r="KS51" s="330"/>
      <c r="KT51" s="330"/>
      <c r="KU51" s="330"/>
      <c r="KV51" s="330"/>
      <c r="KW51" s="330"/>
      <c r="KX51" s="330"/>
      <c r="KY51" s="330"/>
      <c r="KZ51" s="330"/>
      <c r="LA51" s="330"/>
      <c r="LB51" s="330"/>
      <c r="LC51" s="330"/>
      <c r="LD51" s="330"/>
      <c r="LE51" s="330"/>
    </row>
    <row r="52" spans="1:317">
      <c r="A52" s="330"/>
      <c r="B52" s="330"/>
      <c r="C52" s="330"/>
      <c r="D52" s="330"/>
      <c r="E52" s="330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0"/>
      <c r="Q52" s="330"/>
      <c r="R52" s="330"/>
      <c r="S52" s="330"/>
      <c r="T52" s="330"/>
      <c r="U52" s="330"/>
      <c r="V52" s="330"/>
      <c r="W52" s="330"/>
      <c r="X52" s="330"/>
      <c r="Y52" s="330"/>
      <c r="Z52" s="330"/>
      <c r="AA52" s="330"/>
      <c r="AB52" s="330"/>
      <c r="AC52" s="330"/>
      <c r="AD52" s="330"/>
      <c r="AE52" s="330"/>
      <c r="AF52" s="330"/>
      <c r="AG52" s="330"/>
      <c r="AH52" s="330"/>
      <c r="AI52" s="330"/>
      <c r="AJ52" s="330"/>
      <c r="AK52" s="330"/>
      <c r="AL52" s="330"/>
      <c r="AM52" s="330"/>
      <c r="AN52" s="330"/>
      <c r="AO52" s="330"/>
      <c r="AP52" s="330"/>
      <c r="AQ52" s="330"/>
      <c r="AR52" s="330"/>
      <c r="AS52" s="330"/>
      <c r="AT52" s="330"/>
      <c r="AU52" s="330"/>
      <c r="AV52" s="330"/>
      <c r="AW52" s="330"/>
      <c r="AX52" s="330"/>
      <c r="AY52" s="330"/>
      <c r="AZ52" s="330"/>
      <c r="BA52" s="330"/>
      <c r="BB52" s="330"/>
      <c r="BC52" s="330"/>
      <c r="BD52" s="330"/>
      <c r="BE52" s="330"/>
      <c r="BF52" s="330"/>
      <c r="BG52" s="330"/>
      <c r="BH52" s="330"/>
      <c r="BI52" s="330"/>
      <c r="BJ52" s="330"/>
      <c r="BK52" s="330"/>
      <c r="BL52" s="330"/>
      <c r="BM52" s="330"/>
      <c r="BN52" s="330"/>
      <c r="BO52" s="330"/>
      <c r="BP52" s="330"/>
      <c r="BQ52" s="330"/>
      <c r="BR52" s="330"/>
      <c r="BS52" s="330"/>
      <c r="BT52" s="330"/>
      <c r="BU52" s="330"/>
      <c r="BV52" s="330"/>
      <c r="BW52" s="330"/>
      <c r="BX52" s="330"/>
      <c r="BY52" s="330"/>
      <c r="BZ52" s="330"/>
      <c r="CA52" s="330"/>
      <c r="CB52" s="330"/>
      <c r="CC52" s="330"/>
      <c r="CD52" s="330"/>
      <c r="CE52" s="330"/>
      <c r="CF52" s="330"/>
      <c r="CG52" s="330"/>
      <c r="CH52" s="330"/>
      <c r="CI52" s="330"/>
      <c r="CJ52" s="330"/>
      <c r="CK52" s="330"/>
      <c r="CL52" s="330"/>
      <c r="CM52" s="330"/>
      <c r="CN52" s="330"/>
      <c r="CO52" s="330"/>
      <c r="CP52" s="330"/>
      <c r="CQ52" s="330"/>
      <c r="CR52" s="330"/>
      <c r="CS52" s="330"/>
      <c r="CT52" s="330"/>
      <c r="CU52" s="330"/>
      <c r="CV52" s="330"/>
      <c r="CW52" s="330"/>
      <c r="CX52" s="330"/>
      <c r="CY52" s="330"/>
      <c r="CZ52" s="330"/>
      <c r="DA52" s="330"/>
      <c r="DB52" s="330"/>
      <c r="DC52" s="330"/>
      <c r="DD52" s="330"/>
      <c r="DE52" s="330"/>
      <c r="DF52" s="330"/>
      <c r="DG52" s="330"/>
      <c r="DH52" s="330"/>
      <c r="DI52" s="330"/>
      <c r="DJ52" s="330"/>
      <c r="DK52" s="330"/>
      <c r="DL52" s="330"/>
      <c r="DM52" s="330"/>
      <c r="DN52" s="330"/>
      <c r="DO52" s="330"/>
      <c r="DP52" s="330"/>
      <c r="DQ52" s="330"/>
      <c r="DR52" s="330"/>
      <c r="DS52" s="330"/>
      <c r="DT52" s="330"/>
      <c r="DU52" s="330"/>
      <c r="DV52" s="330"/>
      <c r="DW52" s="330"/>
      <c r="DX52" s="330"/>
      <c r="DY52" s="330"/>
      <c r="DZ52" s="330"/>
      <c r="EA52" s="330"/>
      <c r="EB52" s="330"/>
      <c r="EC52" s="330"/>
      <c r="ED52" s="330"/>
      <c r="EE52" s="330"/>
      <c r="EF52" s="330"/>
      <c r="EG52" s="330"/>
      <c r="EH52" s="330"/>
      <c r="EI52" s="330"/>
      <c r="EJ52" s="330"/>
      <c r="EK52" s="330"/>
      <c r="EL52" s="330"/>
      <c r="EM52" s="330"/>
      <c r="EN52" s="330"/>
      <c r="EO52" s="330"/>
      <c r="EP52" s="330"/>
      <c r="EQ52" s="330"/>
      <c r="ER52" s="330"/>
      <c r="ES52" s="330"/>
      <c r="ET52" s="330"/>
      <c r="EU52" s="330"/>
      <c r="EV52" s="330"/>
      <c r="EW52" s="330"/>
      <c r="EX52" s="330"/>
      <c r="EY52" s="330"/>
      <c r="EZ52" s="330"/>
      <c r="FA52" s="330"/>
      <c r="FB52" s="330"/>
      <c r="FC52" s="330"/>
      <c r="FD52" s="330"/>
      <c r="FE52" s="330"/>
      <c r="FF52" s="330"/>
      <c r="FG52" s="330"/>
      <c r="FH52" s="330"/>
      <c r="FI52" s="330"/>
      <c r="FJ52" s="330"/>
      <c r="FK52" s="330"/>
      <c r="FL52" s="330"/>
      <c r="FM52" s="330"/>
      <c r="FN52" s="330"/>
      <c r="FO52" s="330"/>
      <c r="FP52" s="330"/>
      <c r="FQ52" s="330"/>
      <c r="FR52" s="330"/>
      <c r="FS52" s="330"/>
      <c r="FT52" s="330"/>
      <c r="FU52" s="330"/>
      <c r="FV52" s="330"/>
      <c r="FW52" s="330"/>
      <c r="FX52" s="330"/>
      <c r="FY52" s="330"/>
      <c r="FZ52" s="330"/>
      <c r="GA52" s="330"/>
      <c r="GB52" s="330"/>
      <c r="GC52" s="330"/>
      <c r="GD52" s="330"/>
      <c r="GE52" s="330"/>
      <c r="GF52" s="330"/>
      <c r="GG52" s="330"/>
      <c r="GH52" s="330"/>
      <c r="GI52" s="330"/>
      <c r="GJ52" s="330"/>
      <c r="GK52" s="330"/>
      <c r="GL52" s="330"/>
      <c r="GM52" s="330"/>
      <c r="GN52" s="330"/>
      <c r="GO52" s="330"/>
      <c r="GP52" s="330"/>
      <c r="GQ52" s="330"/>
      <c r="GR52" s="330"/>
      <c r="GS52" s="330"/>
      <c r="GT52" s="330"/>
      <c r="GU52" s="330"/>
      <c r="GV52" s="330"/>
      <c r="GW52" s="330"/>
      <c r="GX52" s="330"/>
      <c r="GY52" s="330"/>
      <c r="GZ52" s="330"/>
      <c r="HA52" s="330"/>
      <c r="HB52" s="330"/>
      <c r="HC52" s="330"/>
      <c r="HD52" s="330"/>
      <c r="HE52" s="330"/>
      <c r="HF52" s="330"/>
      <c r="HG52" s="330"/>
      <c r="HH52" s="330"/>
      <c r="HI52" s="330"/>
      <c r="HJ52" s="330"/>
      <c r="HK52" s="330"/>
      <c r="HL52" s="330"/>
      <c r="HM52" s="330"/>
      <c r="HN52" s="330"/>
      <c r="HO52" s="330"/>
      <c r="HP52" s="330"/>
      <c r="HQ52" s="330"/>
      <c r="HR52" s="330"/>
      <c r="HS52" s="330"/>
      <c r="HT52" s="330"/>
      <c r="HU52" s="330"/>
      <c r="HV52" s="330"/>
      <c r="HW52" s="330"/>
      <c r="HX52" s="330"/>
      <c r="HY52" s="330"/>
      <c r="HZ52" s="330"/>
      <c r="IA52" s="330"/>
      <c r="IB52" s="330"/>
      <c r="IC52" s="330"/>
      <c r="ID52" s="330"/>
      <c r="IE52" s="330"/>
      <c r="IF52" s="330"/>
      <c r="IG52" s="330"/>
      <c r="IH52" s="330"/>
      <c r="II52" s="330"/>
      <c r="IJ52" s="330"/>
      <c r="IK52" s="330"/>
      <c r="IL52" s="330"/>
      <c r="IM52" s="330"/>
      <c r="IN52" s="330"/>
      <c r="IO52" s="330"/>
      <c r="IP52" s="330"/>
      <c r="IQ52" s="330"/>
      <c r="IR52" s="330"/>
      <c r="IS52" s="330"/>
      <c r="IT52" s="330"/>
      <c r="IU52" s="330"/>
      <c r="IV52" s="330"/>
      <c r="IW52" s="330"/>
      <c r="IX52" s="330"/>
      <c r="IY52" s="330"/>
      <c r="IZ52" s="330"/>
      <c r="JA52" s="330"/>
      <c r="JB52" s="330"/>
      <c r="JC52" s="330"/>
      <c r="JD52" s="330"/>
      <c r="JE52" s="330"/>
      <c r="JF52" s="330"/>
      <c r="JG52" s="330"/>
      <c r="JH52" s="330"/>
      <c r="JI52" s="330"/>
      <c r="JJ52" s="330"/>
      <c r="JK52" s="330"/>
      <c r="JL52" s="330"/>
      <c r="JM52" s="330"/>
      <c r="JN52" s="330"/>
      <c r="JO52" s="330"/>
      <c r="JP52" s="330"/>
      <c r="JQ52" s="330"/>
      <c r="JR52" s="330"/>
      <c r="JS52" s="330"/>
      <c r="JT52" s="330"/>
      <c r="JU52" s="330"/>
      <c r="JV52" s="330"/>
      <c r="JW52" s="330"/>
      <c r="JX52" s="330"/>
      <c r="JY52" s="330"/>
      <c r="JZ52" s="330"/>
      <c r="KA52" s="330"/>
      <c r="KB52" s="330"/>
      <c r="KC52" s="330"/>
      <c r="KD52" s="330"/>
      <c r="KE52" s="330"/>
      <c r="KF52" s="330"/>
      <c r="KG52" s="330"/>
      <c r="KH52" s="330"/>
      <c r="KI52" s="330"/>
      <c r="KJ52" s="330"/>
      <c r="KK52" s="330"/>
      <c r="KL52" s="330"/>
      <c r="KM52" s="330"/>
      <c r="KN52" s="330"/>
      <c r="KO52" s="330"/>
      <c r="KP52" s="330"/>
      <c r="KQ52" s="330"/>
      <c r="KR52" s="330"/>
      <c r="KS52" s="330"/>
      <c r="KT52" s="330"/>
      <c r="KU52" s="330"/>
      <c r="KV52" s="330"/>
      <c r="KW52" s="330"/>
      <c r="KX52" s="330"/>
      <c r="KY52" s="330"/>
      <c r="KZ52" s="330"/>
      <c r="LA52" s="330"/>
      <c r="LB52" s="330"/>
      <c r="LC52" s="330"/>
      <c r="LD52" s="330"/>
      <c r="LE52" s="330"/>
    </row>
    <row r="53" spans="1:317">
      <c r="A53" s="330"/>
      <c r="B53" s="330"/>
      <c r="C53" s="330"/>
      <c r="D53" s="330"/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0"/>
      <c r="AV53" s="330"/>
      <c r="AW53" s="330"/>
      <c r="AX53" s="330"/>
      <c r="AY53" s="330"/>
      <c r="AZ53" s="330"/>
      <c r="BA53" s="330"/>
      <c r="BB53" s="330"/>
      <c r="BC53" s="330"/>
      <c r="BD53" s="330"/>
      <c r="BE53" s="330"/>
      <c r="BF53" s="330"/>
      <c r="BG53" s="330"/>
      <c r="BH53" s="330"/>
      <c r="BI53" s="330"/>
      <c r="BJ53" s="330"/>
      <c r="BK53" s="330"/>
      <c r="BL53" s="330"/>
      <c r="BM53" s="330"/>
      <c r="BN53" s="330"/>
      <c r="BO53" s="330"/>
      <c r="BP53" s="330"/>
      <c r="BQ53" s="330"/>
      <c r="BR53" s="330"/>
      <c r="BS53" s="330"/>
      <c r="BT53" s="330"/>
      <c r="BU53" s="330"/>
      <c r="BV53" s="330"/>
      <c r="BW53" s="330"/>
      <c r="BX53" s="330"/>
      <c r="BY53" s="330"/>
      <c r="BZ53" s="330"/>
      <c r="CA53" s="330"/>
      <c r="CB53" s="330"/>
      <c r="CC53" s="330"/>
      <c r="CD53" s="330"/>
      <c r="CE53" s="330"/>
      <c r="CF53" s="330"/>
      <c r="CG53" s="330"/>
      <c r="CH53" s="330"/>
      <c r="CI53" s="330"/>
      <c r="CJ53" s="330"/>
      <c r="CK53" s="330"/>
      <c r="CL53" s="330"/>
      <c r="CM53" s="330"/>
      <c r="CN53" s="330"/>
      <c r="CO53" s="330"/>
      <c r="CP53" s="330"/>
      <c r="CQ53" s="330"/>
      <c r="CR53" s="330"/>
      <c r="CS53" s="330"/>
      <c r="CT53" s="330"/>
      <c r="CU53" s="330"/>
      <c r="CV53" s="330"/>
      <c r="CW53" s="330"/>
      <c r="CX53" s="330"/>
      <c r="CY53" s="330"/>
      <c r="CZ53" s="330"/>
      <c r="DA53" s="330"/>
      <c r="DB53" s="330"/>
      <c r="DC53" s="330"/>
      <c r="DD53" s="330"/>
      <c r="DE53" s="330"/>
      <c r="DF53" s="330"/>
      <c r="DG53" s="330"/>
      <c r="DH53" s="330"/>
      <c r="DI53" s="330"/>
      <c r="DJ53" s="330"/>
      <c r="DK53" s="330"/>
      <c r="DL53" s="330"/>
      <c r="DM53" s="330"/>
      <c r="DN53" s="330"/>
      <c r="DO53" s="330"/>
      <c r="DP53" s="330"/>
      <c r="DQ53" s="330"/>
      <c r="DR53" s="330"/>
      <c r="DS53" s="330"/>
      <c r="DT53" s="330"/>
      <c r="DU53" s="330"/>
      <c r="DV53" s="330"/>
      <c r="DW53" s="330"/>
      <c r="DX53" s="330"/>
      <c r="DY53" s="330"/>
      <c r="DZ53" s="330"/>
      <c r="EA53" s="330"/>
      <c r="EB53" s="330"/>
      <c r="EC53" s="330"/>
      <c r="ED53" s="330"/>
      <c r="EE53" s="330"/>
      <c r="EF53" s="330"/>
      <c r="EG53" s="330"/>
      <c r="EH53" s="330"/>
      <c r="EI53" s="330"/>
      <c r="EJ53" s="330"/>
      <c r="EK53" s="330"/>
      <c r="EL53" s="330"/>
      <c r="EM53" s="330"/>
      <c r="EN53" s="330"/>
      <c r="EO53" s="330"/>
      <c r="EP53" s="330"/>
      <c r="EQ53" s="330"/>
      <c r="ER53" s="330"/>
      <c r="ES53" s="330"/>
      <c r="ET53" s="330"/>
      <c r="EU53" s="330"/>
      <c r="EV53" s="330"/>
      <c r="EW53" s="330"/>
      <c r="EX53" s="330"/>
      <c r="EY53" s="330"/>
      <c r="EZ53" s="330"/>
      <c r="FA53" s="330"/>
      <c r="FB53" s="330"/>
      <c r="FC53" s="330"/>
      <c r="FD53" s="330"/>
      <c r="FE53" s="330"/>
      <c r="FF53" s="330"/>
      <c r="FG53" s="330"/>
      <c r="FH53" s="330"/>
      <c r="FI53" s="330"/>
      <c r="FJ53" s="330"/>
      <c r="FK53" s="330"/>
      <c r="FL53" s="330"/>
      <c r="FM53" s="330"/>
      <c r="FN53" s="330"/>
      <c r="FO53" s="330"/>
      <c r="FP53" s="330"/>
      <c r="FQ53" s="330"/>
      <c r="FR53" s="330"/>
      <c r="FS53" s="330"/>
      <c r="FT53" s="330"/>
      <c r="FU53" s="330"/>
      <c r="FV53" s="330"/>
      <c r="FW53" s="330"/>
      <c r="FX53" s="330"/>
      <c r="FY53" s="330"/>
      <c r="FZ53" s="330"/>
      <c r="GA53" s="330"/>
      <c r="GB53" s="330"/>
      <c r="GC53" s="330"/>
      <c r="GD53" s="330"/>
      <c r="GE53" s="330"/>
      <c r="GF53" s="330"/>
      <c r="GG53" s="330"/>
      <c r="GH53" s="330"/>
      <c r="GI53" s="330"/>
      <c r="GJ53" s="330"/>
      <c r="GK53" s="330"/>
      <c r="GL53" s="330"/>
      <c r="GM53" s="330"/>
      <c r="GN53" s="330"/>
      <c r="GO53" s="330"/>
      <c r="GP53" s="330"/>
      <c r="GQ53" s="330"/>
      <c r="GR53" s="330"/>
      <c r="GS53" s="330"/>
      <c r="GT53" s="330"/>
      <c r="GU53" s="330"/>
      <c r="GV53" s="330"/>
      <c r="GW53" s="330"/>
      <c r="GX53" s="330"/>
      <c r="GY53" s="330"/>
      <c r="GZ53" s="330"/>
      <c r="HA53" s="330"/>
      <c r="HB53" s="330"/>
      <c r="HC53" s="330"/>
      <c r="HD53" s="330"/>
      <c r="HE53" s="330"/>
      <c r="HF53" s="330"/>
      <c r="HG53" s="330"/>
      <c r="HH53" s="330"/>
      <c r="HI53" s="330"/>
      <c r="HJ53" s="330"/>
      <c r="HK53" s="330"/>
      <c r="HL53" s="330"/>
      <c r="HM53" s="330"/>
      <c r="HN53" s="330"/>
      <c r="HO53" s="330"/>
      <c r="HP53" s="330"/>
      <c r="HQ53" s="330"/>
      <c r="HR53" s="330"/>
      <c r="HS53" s="330"/>
      <c r="HT53" s="330"/>
      <c r="HU53" s="330"/>
      <c r="HV53" s="330"/>
      <c r="HW53" s="330"/>
      <c r="HX53" s="330"/>
      <c r="HY53" s="330"/>
      <c r="HZ53" s="330"/>
      <c r="IA53" s="330"/>
      <c r="IB53" s="330"/>
      <c r="IC53" s="330"/>
      <c r="ID53" s="330"/>
      <c r="IE53" s="330"/>
      <c r="IF53" s="330"/>
      <c r="IG53" s="330"/>
      <c r="IH53" s="330"/>
      <c r="II53" s="330"/>
      <c r="IJ53" s="330"/>
      <c r="IK53" s="330"/>
      <c r="IL53" s="330"/>
      <c r="IM53" s="330"/>
      <c r="IN53" s="330"/>
      <c r="IO53" s="330"/>
      <c r="IP53" s="330"/>
      <c r="IQ53" s="330"/>
      <c r="IR53" s="330"/>
      <c r="IS53" s="330"/>
      <c r="IT53" s="330"/>
      <c r="IU53" s="330"/>
      <c r="IV53" s="330"/>
      <c r="IW53" s="330"/>
      <c r="IX53" s="330"/>
      <c r="IY53" s="330"/>
      <c r="IZ53" s="330"/>
      <c r="JA53" s="330"/>
      <c r="JB53" s="330"/>
      <c r="JC53" s="330"/>
      <c r="JD53" s="330"/>
      <c r="JE53" s="330"/>
      <c r="JF53" s="330"/>
      <c r="JG53" s="330"/>
      <c r="JH53" s="330"/>
      <c r="JI53" s="330"/>
      <c r="JJ53" s="330"/>
      <c r="JK53" s="330"/>
      <c r="JL53" s="330"/>
      <c r="JM53" s="330"/>
      <c r="JN53" s="330"/>
      <c r="JO53" s="330"/>
      <c r="JP53" s="330"/>
      <c r="JQ53" s="330"/>
      <c r="JR53" s="330"/>
      <c r="JS53" s="330"/>
      <c r="JT53" s="330"/>
      <c r="JU53" s="330"/>
      <c r="JV53" s="330"/>
      <c r="JW53" s="330"/>
      <c r="JX53" s="330"/>
      <c r="JY53" s="330"/>
      <c r="JZ53" s="330"/>
      <c r="KA53" s="330"/>
      <c r="KB53" s="330"/>
      <c r="KC53" s="330"/>
      <c r="KD53" s="330"/>
      <c r="KE53" s="330"/>
      <c r="KF53" s="330"/>
      <c r="KG53" s="330"/>
      <c r="KH53" s="330"/>
      <c r="KI53" s="330"/>
      <c r="KJ53" s="330"/>
      <c r="KK53" s="330"/>
      <c r="KL53" s="330"/>
      <c r="KM53" s="330"/>
      <c r="KN53" s="330"/>
      <c r="KO53" s="330"/>
      <c r="KP53" s="330"/>
      <c r="KQ53" s="330"/>
      <c r="KR53" s="330"/>
      <c r="KS53" s="330"/>
      <c r="KT53" s="330"/>
      <c r="KU53" s="330"/>
      <c r="KV53" s="330"/>
      <c r="KW53" s="330"/>
      <c r="KX53" s="330"/>
      <c r="KY53" s="330"/>
      <c r="KZ53" s="330"/>
      <c r="LA53" s="330"/>
      <c r="LB53" s="330"/>
      <c r="LC53" s="330"/>
      <c r="LD53" s="330"/>
      <c r="LE53" s="330"/>
    </row>
    <row r="54" spans="1:317">
      <c r="A54" s="330"/>
      <c r="B54" s="330"/>
      <c r="C54" s="330"/>
      <c r="D54" s="330"/>
      <c r="E54" s="330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30"/>
      <c r="V54" s="330"/>
      <c r="W54" s="330"/>
      <c r="X54" s="330"/>
      <c r="Y54" s="330"/>
      <c r="Z54" s="330"/>
      <c r="AA54" s="330"/>
      <c r="AB54" s="330"/>
      <c r="AC54" s="330"/>
      <c r="AD54" s="330"/>
      <c r="AE54" s="330"/>
      <c r="AF54" s="330"/>
      <c r="AG54" s="330"/>
      <c r="AH54" s="330"/>
      <c r="AI54" s="330"/>
      <c r="AJ54" s="330"/>
      <c r="AK54" s="330"/>
      <c r="AL54" s="330"/>
      <c r="AM54" s="330"/>
      <c r="AN54" s="330"/>
      <c r="AO54" s="330"/>
      <c r="AP54" s="330"/>
      <c r="AQ54" s="330"/>
      <c r="AR54" s="330"/>
      <c r="AS54" s="330"/>
      <c r="AT54" s="330"/>
      <c r="AU54" s="330"/>
      <c r="AV54" s="330"/>
      <c r="AW54" s="330"/>
      <c r="AX54" s="330"/>
      <c r="AY54" s="330"/>
      <c r="AZ54" s="330"/>
      <c r="BA54" s="330"/>
      <c r="BB54" s="330"/>
      <c r="BC54" s="330"/>
      <c r="BD54" s="330"/>
      <c r="BE54" s="330"/>
      <c r="BF54" s="330"/>
      <c r="BG54" s="330"/>
      <c r="BH54" s="330"/>
      <c r="BI54" s="330"/>
      <c r="BJ54" s="330"/>
      <c r="BK54" s="330"/>
      <c r="BL54" s="330"/>
      <c r="BM54" s="330"/>
      <c r="BN54" s="330"/>
      <c r="BO54" s="330"/>
      <c r="BP54" s="330"/>
      <c r="BQ54" s="330"/>
      <c r="BR54" s="330"/>
      <c r="BS54" s="330"/>
      <c r="BT54" s="330"/>
      <c r="BU54" s="330"/>
      <c r="BV54" s="330"/>
      <c r="BW54" s="330"/>
      <c r="BX54" s="330"/>
      <c r="BY54" s="330"/>
      <c r="BZ54" s="330"/>
      <c r="CA54" s="330"/>
      <c r="CB54" s="330"/>
      <c r="CC54" s="330"/>
      <c r="CD54" s="330"/>
      <c r="CE54" s="330"/>
      <c r="CF54" s="330"/>
      <c r="CG54" s="330"/>
      <c r="CH54" s="330"/>
      <c r="CI54" s="330"/>
      <c r="CJ54" s="330"/>
      <c r="CK54" s="330"/>
      <c r="CL54" s="330"/>
      <c r="CM54" s="330"/>
      <c r="CN54" s="330"/>
      <c r="CO54" s="330"/>
      <c r="CP54" s="330"/>
      <c r="CQ54" s="330"/>
      <c r="CR54" s="330"/>
      <c r="CS54" s="330"/>
      <c r="CT54" s="330"/>
      <c r="CU54" s="330"/>
      <c r="CV54" s="330"/>
      <c r="CW54" s="330"/>
      <c r="CX54" s="330"/>
      <c r="CY54" s="330"/>
      <c r="CZ54" s="330"/>
      <c r="DA54" s="330"/>
      <c r="DB54" s="330"/>
      <c r="DC54" s="330"/>
      <c r="DD54" s="330"/>
      <c r="DE54" s="330"/>
      <c r="DF54" s="330"/>
      <c r="DG54" s="330"/>
      <c r="DH54" s="330"/>
      <c r="DI54" s="330"/>
      <c r="DJ54" s="330"/>
      <c r="DK54" s="330"/>
      <c r="DL54" s="330"/>
      <c r="DM54" s="330"/>
      <c r="DN54" s="330"/>
      <c r="DO54" s="330"/>
      <c r="DP54" s="330"/>
      <c r="DQ54" s="330"/>
      <c r="DR54" s="330"/>
      <c r="DS54" s="330"/>
      <c r="DT54" s="330"/>
      <c r="DU54" s="330"/>
      <c r="DV54" s="330"/>
      <c r="DW54" s="330"/>
      <c r="DX54" s="330"/>
      <c r="DY54" s="330"/>
      <c r="DZ54" s="330"/>
      <c r="EA54" s="330"/>
      <c r="EB54" s="330"/>
      <c r="EC54" s="330"/>
      <c r="ED54" s="330"/>
      <c r="EE54" s="330"/>
      <c r="EF54" s="330"/>
      <c r="EG54" s="330"/>
      <c r="EH54" s="330"/>
      <c r="EI54" s="330"/>
      <c r="EJ54" s="330"/>
      <c r="EK54" s="330"/>
      <c r="EL54" s="330"/>
      <c r="EM54" s="330"/>
      <c r="EN54" s="330"/>
      <c r="EO54" s="330"/>
      <c r="EP54" s="330"/>
      <c r="EQ54" s="330"/>
      <c r="ER54" s="330"/>
      <c r="ES54" s="330"/>
      <c r="ET54" s="330"/>
      <c r="EU54" s="330"/>
      <c r="EV54" s="330"/>
      <c r="EW54" s="330"/>
      <c r="EX54" s="330"/>
      <c r="EY54" s="330"/>
      <c r="EZ54" s="330"/>
      <c r="FA54" s="330"/>
      <c r="FB54" s="330"/>
      <c r="FC54" s="330"/>
      <c r="FD54" s="330"/>
      <c r="FE54" s="330"/>
      <c r="FF54" s="330"/>
      <c r="FG54" s="330"/>
      <c r="FH54" s="330"/>
      <c r="FI54" s="330"/>
      <c r="FJ54" s="330"/>
      <c r="FK54" s="330"/>
      <c r="FL54" s="330"/>
      <c r="FM54" s="330"/>
      <c r="FN54" s="330"/>
      <c r="FO54" s="330"/>
      <c r="FP54" s="330"/>
      <c r="FQ54" s="330"/>
      <c r="FR54" s="330"/>
      <c r="FS54" s="330"/>
      <c r="FT54" s="330"/>
      <c r="FU54" s="330"/>
      <c r="FV54" s="330"/>
      <c r="FW54" s="330"/>
      <c r="FX54" s="330"/>
      <c r="FY54" s="330"/>
      <c r="FZ54" s="330"/>
      <c r="GA54" s="330"/>
      <c r="GB54" s="330"/>
      <c r="GC54" s="330"/>
      <c r="GD54" s="330"/>
      <c r="GE54" s="330"/>
      <c r="GF54" s="330"/>
      <c r="GG54" s="330"/>
      <c r="GH54" s="330"/>
      <c r="GI54" s="330"/>
      <c r="GJ54" s="330"/>
      <c r="GK54" s="330"/>
      <c r="GL54" s="330"/>
      <c r="GM54" s="330"/>
      <c r="GN54" s="330"/>
      <c r="GO54" s="330"/>
      <c r="GP54" s="330"/>
      <c r="GQ54" s="330"/>
      <c r="GR54" s="330"/>
      <c r="GS54" s="330"/>
      <c r="GT54" s="330"/>
      <c r="GU54" s="330"/>
      <c r="GV54" s="330"/>
      <c r="GW54" s="330"/>
      <c r="GX54" s="330"/>
      <c r="GY54" s="330"/>
      <c r="GZ54" s="330"/>
      <c r="HA54" s="330"/>
      <c r="HB54" s="330"/>
      <c r="HC54" s="330"/>
      <c r="HD54" s="330"/>
      <c r="HE54" s="330"/>
      <c r="HF54" s="330"/>
      <c r="HG54" s="330"/>
      <c r="HH54" s="330"/>
      <c r="HI54" s="330"/>
      <c r="HJ54" s="330"/>
      <c r="HK54" s="330"/>
      <c r="HL54" s="330"/>
      <c r="HM54" s="330"/>
      <c r="HN54" s="330"/>
      <c r="HO54" s="330"/>
      <c r="HP54" s="330"/>
      <c r="HQ54" s="330"/>
      <c r="HR54" s="330"/>
      <c r="HS54" s="330"/>
      <c r="HT54" s="330"/>
      <c r="HU54" s="330"/>
      <c r="HV54" s="330"/>
      <c r="HW54" s="330"/>
      <c r="HX54" s="330"/>
      <c r="HY54" s="330"/>
      <c r="HZ54" s="330"/>
      <c r="IA54" s="330"/>
      <c r="IB54" s="330"/>
      <c r="IC54" s="330"/>
      <c r="ID54" s="330"/>
      <c r="IE54" s="330"/>
      <c r="IF54" s="330"/>
      <c r="IG54" s="330"/>
      <c r="IH54" s="330"/>
      <c r="II54" s="330"/>
      <c r="IJ54" s="330"/>
      <c r="IK54" s="330"/>
      <c r="IL54" s="330"/>
      <c r="IM54" s="330"/>
      <c r="IN54" s="330"/>
      <c r="IO54" s="330"/>
      <c r="IP54" s="330"/>
      <c r="IQ54" s="330"/>
      <c r="IR54" s="330"/>
      <c r="IS54" s="330"/>
      <c r="IT54" s="330"/>
      <c r="IU54" s="330"/>
      <c r="IV54" s="330"/>
      <c r="IW54" s="330"/>
      <c r="IX54" s="330"/>
      <c r="IY54" s="330"/>
      <c r="IZ54" s="330"/>
      <c r="JA54" s="330"/>
      <c r="JB54" s="330"/>
      <c r="JC54" s="330"/>
      <c r="JD54" s="330"/>
      <c r="JE54" s="330"/>
      <c r="JF54" s="330"/>
      <c r="JG54" s="330"/>
      <c r="JH54" s="330"/>
      <c r="JI54" s="330"/>
      <c r="JJ54" s="330"/>
      <c r="JK54" s="330"/>
      <c r="JL54" s="330"/>
      <c r="JM54" s="330"/>
      <c r="JN54" s="330"/>
      <c r="JO54" s="330"/>
      <c r="JP54" s="330"/>
      <c r="JQ54" s="330"/>
      <c r="JR54" s="330"/>
      <c r="JS54" s="330"/>
      <c r="JT54" s="330"/>
      <c r="JU54" s="330"/>
      <c r="JV54" s="330"/>
      <c r="JW54" s="330"/>
      <c r="JX54" s="330"/>
      <c r="JY54" s="330"/>
      <c r="JZ54" s="330"/>
      <c r="KA54" s="330"/>
      <c r="KB54" s="330"/>
      <c r="KC54" s="330"/>
      <c r="KD54" s="330"/>
      <c r="KE54" s="330"/>
      <c r="KF54" s="330"/>
      <c r="KG54" s="330"/>
      <c r="KH54" s="330"/>
      <c r="KI54" s="330"/>
      <c r="KJ54" s="330"/>
      <c r="KK54" s="330"/>
      <c r="KL54" s="330"/>
      <c r="KM54" s="330"/>
      <c r="KN54" s="330"/>
      <c r="KO54" s="330"/>
      <c r="KP54" s="330"/>
      <c r="KQ54" s="330"/>
      <c r="KR54" s="330"/>
      <c r="KS54" s="330"/>
      <c r="KT54" s="330"/>
      <c r="KU54" s="330"/>
      <c r="KV54" s="330"/>
      <c r="KW54" s="330"/>
      <c r="KX54" s="330"/>
      <c r="KY54" s="330"/>
      <c r="KZ54" s="330"/>
      <c r="LA54" s="330"/>
      <c r="LB54" s="330"/>
      <c r="LC54" s="330"/>
      <c r="LD54" s="330"/>
      <c r="LE54" s="330"/>
    </row>
    <row r="55" spans="1:317">
      <c r="A55" s="330"/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30"/>
      <c r="V55" s="330"/>
      <c r="W55" s="330"/>
      <c r="X55" s="330"/>
      <c r="Y55" s="330"/>
      <c r="Z55" s="330"/>
      <c r="AA55" s="330"/>
      <c r="AB55" s="330"/>
      <c r="AC55" s="330"/>
      <c r="AD55" s="330"/>
      <c r="AE55" s="330"/>
      <c r="AF55" s="330"/>
      <c r="AG55" s="330"/>
      <c r="AH55" s="330"/>
      <c r="AI55" s="330"/>
      <c r="AJ55" s="330"/>
      <c r="AK55" s="330"/>
      <c r="AL55" s="330"/>
      <c r="AM55" s="330"/>
      <c r="AN55" s="330"/>
      <c r="AO55" s="330"/>
      <c r="AP55" s="330"/>
      <c r="AQ55" s="330"/>
      <c r="AR55" s="330"/>
      <c r="AS55" s="330"/>
      <c r="AT55" s="330"/>
      <c r="AU55" s="330"/>
      <c r="AV55" s="330"/>
      <c r="AW55" s="330"/>
      <c r="AX55" s="330"/>
      <c r="AY55" s="330"/>
      <c r="AZ55" s="330"/>
      <c r="BA55" s="330"/>
      <c r="BB55" s="330"/>
      <c r="BC55" s="330"/>
      <c r="BD55" s="330"/>
      <c r="BE55" s="330"/>
      <c r="BF55" s="330"/>
      <c r="BG55" s="330"/>
      <c r="BH55" s="330"/>
      <c r="BI55" s="330"/>
      <c r="BJ55" s="330"/>
      <c r="BK55" s="330"/>
      <c r="BL55" s="330"/>
      <c r="BM55" s="330"/>
      <c r="BN55" s="330"/>
      <c r="BO55" s="330"/>
      <c r="BP55" s="330"/>
      <c r="BQ55" s="330"/>
      <c r="BR55" s="330"/>
      <c r="BS55" s="330"/>
      <c r="BT55" s="330"/>
      <c r="BU55" s="330"/>
      <c r="BV55" s="330"/>
      <c r="BW55" s="330"/>
      <c r="BX55" s="330"/>
      <c r="BY55" s="330"/>
      <c r="BZ55" s="330"/>
      <c r="CA55" s="330"/>
      <c r="CB55" s="330"/>
      <c r="CC55" s="330"/>
      <c r="CD55" s="330"/>
      <c r="CE55" s="330"/>
      <c r="CF55" s="330"/>
      <c r="CG55" s="330"/>
      <c r="CH55" s="330"/>
      <c r="CI55" s="330"/>
      <c r="CJ55" s="330"/>
      <c r="CK55" s="330"/>
      <c r="CL55" s="330"/>
      <c r="CM55" s="330"/>
      <c r="CN55" s="330"/>
      <c r="CO55" s="330"/>
      <c r="CP55" s="330"/>
      <c r="CQ55" s="330"/>
      <c r="CR55" s="330"/>
      <c r="CS55" s="330"/>
      <c r="CT55" s="330"/>
      <c r="CU55" s="330"/>
      <c r="CV55" s="330"/>
      <c r="CW55" s="330"/>
      <c r="CX55" s="330"/>
      <c r="CY55" s="330"/>
      <c r="CZ55" s="330"/>
      <c r="DA55" s="330"/>
      <c r="DB55" s="330"/>
      <c r="DC55" s="330"/>
      <c r="DD55" s="330"/>
      <c r="DE55" s="330"/>
      <c r="DF55" s="330"/>
      <c r="DG55" s="330"/>
      <c r="DH55" s="330"/>
      <c r="DI55" s="330"/>
      <c r="DJ55" s="330"/>
      <c r="DK55" s="330"/>
      <c r="DL55" s="330"/>
      <c r="DM55" s="330"/>
      <c r="DN55" s="330"/>
      <c r="DO55" s="330"/>
      <c r="DP55" s="330"/>
      <c r="DQ55" s="330"/>
      <c r="DR55" s="330"/>
      <c r="DS55" s="330"/>
      <c r="DT55" s="330"/>
      <c r="DU55" s="330"/>
      <c r="DV55" s="330"/>
      <c r="DW55" s="330"/>
      <c r="DX55" s="330"/>
      <c r="DY55" s="330"/>
      <c r="DZ55" s="330"/>
      <c r="EA55" s="330"/>
      <c r="EB55" s="330"/>
      <c r="EC55" s="330"/>
      <c r="ED55" s="330"/>
      <c r="EE55" s="330"/>
      <c r="EF55" s="330"/>
      <c r="EG55" s="330"/>
      <c r="EH55" s="330"/>
      <c r="EI55" s="330"/>
      <c r="EJ55" s="330"/>
      <c r="EK55" s="330"/>
      <c r="EL55" s="330"/>
      <c r="EM55" s="330"/>
      <c r="EN55" s="330"/>
      <c r="EO55" s="330"/>
      <c r="EP55" s="330"/>
      <c r="EQ55" s="330"/>
      <c r="ER55" s="330"/>
      <c r="ES55" s="330"/>
      <c r="ET55" s="330"/>
      <c r="EU55" s="330"/>
      <c r="EV55" s="330"/>
      <c r="EW55" s="330"/>
      <c r="EX55" s="330"/>
      <c r="EY55" s="330"/>
      <c r="EZ55" s="330"/>
      <c r="FA55" s="330"/>
      <c r="FB55" s="330"/>
      <c r="FC55" s="330"/>
      <c r="FD55" s="330"/>
      <c r="FE55" s="330"/>
      <c r="FF55" s="330"/>
      <c r="FG55" s="330"/>
      <c r="FH55" s="330"/>
      <c r="FI55" s="330"/>
      <c r="FJ55" s="330"/>
      <c r="FK55" s="330"/>
      <c r="FL55" s="330"/>
      <c r="FM55" s="330"/>
      <c r="FN55" s="330"/>
      <c r="FO55" s="330"/>
      <c r="FP55" s="330"/>
      <c r="FQ55" s="330"/>
      <c r="FR55" s="330"/>
      <c r="FS55" s="330"/>
      <c r="FT55" s="330"/>
      <c r="FU55" s="330"/>
      <c r="FV55" s="330"/>
      <c r="FW55" s="330"/>
      <c r="FX55" s="330"/>
      <c r="FY55" s="330"/>
      <c r="FZ55" s="330"/>
      <c r="GA55" s="330"/>
      <c r="GB55" s="330"/>
      <c r="GC55" s="330"/>
      <c r="GD55" s="330"/>
      <c r="GE55" s="330"/>
      <c r="GF55" s="330"/>
      <c r="GG55" s="330"/>
      <c r="GH55" s="330"/>
      <c r="GI55" s="330"/>
      <c r="GJ55" s="330"/>
      <c r="GK55" s="330"/>
      <c r="GL55" s="330"/>
      <c r="GM55" s="330"/>
      <c r="GN55" s="330"/>
      <c r="GO55" s="330"/>
      <c r="GP55" s="330"/>
      <c r="GQ55" s="330"/>
      <c r="GR55" s="330"/>
      <c r="GS55" s="330"/>
      <c r="GT55" s="330"/>
      <c r="GU55" s="330"/>
      <c r="GV55" s="330"/>
      <c r="GW55" s="330"/>
      <c r="GX55" s="330"/>
      <c r="GY55" s="330"/>
      <c r="GZ55" s="330"/>
      <c r="HA55" s="330"/>
      <c r="HB55" s="330"/>
      <c r="HC55" s="330"/>
      <c r="HD55" s="330"/>
      <c r="HE55" s="330"/>
      <c r="HF55" s="330"/>
      <c r="HG55" s="330"/>
      <c r="HH55" s="330"/>
      <c r="HI55" s="330"/>
      <c r="HJ55" s="330"/>
      <c r="HK55" s="330"/>
      <c r="HL55" s="330"/>
      <c r="HM55" s="330"/>
      <c r="HN55" s="330"/>
      <c r="HO55" s="330"/>
      <c r="HP55" s="330"/>
      <c r="HQ55" s="330"/>
      <c r="HR55" s="330"/>
      <c r="HS55" s="330"/>
      <c r="HT55" s="330"/>
      <c r="HU55" s="330"/>
      <c r="HV55" s="330"/>
      <c r="HW55" s="330"/>
      <c r="HX55" s="330"/>
      <c r="HY55" s="330"/>
      <c r="HZ55" s="330"/>
      <c r="IA55" s="330"/>
      <c r="IB55" s="330"/>
      <c r="IC55" s="330"/>
      <c r="ID55" s="330"/>
      <c r="IE55" s="330"/>
      <c r="IF55" s="330"/>
      <c r="IG55" s="330"/>
      <c r="IH55" s="330"/>
      <c r="II55" s="330"/>
      <c r="IJ55" s="330"/>
      <c r="IK55" s="330"/>
      <c r="IL55" s="330"/>
      <c r="IM55" s="330"/>
      <c r="IN55" s="330"/>
      <c r="IO55" s="330"/>
      <c r="IP55" s="330"/>
      <c r="IQ55" s="330"/>
      <c r="IR55" s="330"/>
      <c r="IS55" s="330"/>
      <c r="IT55" s="330"/>
      <c r="IU55" s="330"/>
      <c r="IV55" s="330"/>
      <c r="IW55" s="330"/>
      <c r="IX55" s="330"/>
      <c r="IY55" s="330"/>
      <c r="IZ55" s="330"/>
      <c r="JA55" s="330"/>
      <c r="JB55" s="330"/>
      <c r="JC55" s="330"/>
      <c r="JD55" s="330"/>
      <c r="JE55" s="330"/>
      <c r="JF55" s="330"/>
      <c r="JG55" s="330"/>
      <c r="JH55" s="330"/>
      <c r="JI55" s="330"/>
      <c r="JJ55" s="330"/>
      <c r="JK55" s="330"/>
      <c r="JL55" s="330"/>
      <c r="JM55" s="330"/>
      <c r="JN55" s="330"/>
      <c r="JO55" s="330"/>
      <c r="JP55" s="330"/>
      <c r="JQ55" s="330"/>
      <c r="JR55" s="330"/>
      <c r="JS55" s="330"/>
      <c r="JT55" s="330"/>
      <c r="JU55" s="330"/>
      <c r="JV55" s="330"/>
      <c r="JW55" s="330"/>
      <c r="JX55" s="330"/>
      <c r="JY55" s="330"/>
      <c r="JZ55" s="330"/>
      <c r="KA55" s="330"/>
      <c r="KB55" s="330"/>
      <c r="KC55" s="330"/>
      <c r="KD55" s="330"/>
      <c r="KE55" s="330"/>
      <c r="KF55" s="330"/>
      <c r="KG55" s="330"/>
      <c r="KH55" s="330"/>
      <c r="KI55" s="330"/>
      <c r="KJ55" s="330"/>
      <c r="KK55" s="330"/>
      <c r="KL55" s="330"/>
      <c r="KM55" s="330"/>
      <c r="KN55" s="330"/>
      <c r="KO55" s="330"/>
      <c r="KP55" s="330"/>
      <c r="KQ55" s="330"/>
      <c r="KR55" s="330"/>
      <c r="KS55" s="330"/>
      <c r="KT55" s="330"/>
      <c r="KU55" s="330"/>
      <c r="KV55" s="330"/>
      <c r="KW55" s="330"/>
      <c r="KX55" s="330"/>
      <c r="KY55" s="330"/>
      <c r="KZ55" s="330"/>
      <c r="LA55" s="330"/>
      <c r="LB55" s="330"/>
      <c r="LC55" s="330"/>
      <c r="LD55" s="330"/>
      <c r="LE55" s="330"/>
    </row>
    <row r="56" spans="1:317">
      <c r="A56" s="330"/>
      <c r="B56" s="330"/>
      <c r="C56" s="330"/>
      <c r="D56" s="330"/>
      <c r="E56" s="330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0"/>
      <c r="Q56" s="330"/>
      <c r="R56" s="330"/>
      <c r="S56" s="330"/>
      <c r="T56" s="330"/>
      <c r="U56" s="330"/>
      <c r="V56" s="330"/>
      <c r="W56" s="330"/>
      <c r="X56" s="330"/>
      <c r="Y56" s="330"/>
      <c r="Z56" s="330"/>
      <c r="AA56" s="330"/>
      <c r="AB56" s="330"/>
      <c r="AC56" s="330"/>
      <c r="AD56" s="330"/>
      <c r="AE56" s="330"/>
      <c r="AF56" s="330"/>
      <c r="AG56" s="330"/>
      <c r="AH56" s="330"/>
      <c r="AI56" s="330"/>
      <c r="AJ56" s="330"/>
      <c r="AK56" s="330"/>
      <c r="AL56" s="330"/>
      <c r="AM56" s="330"/>
      <c r="AN56" s="330"/>
      <c r="AO56" s="330"/>
      <c r="AP56" s="330"/>
      <c r="AQ56" s="330"/>
      <c r="AR56" s="330"/>
      <c r="AS56" s="330"/>
      <c r="AT56" s="330"/>
      <c r="AU56" s="330"/>
      <c r="AV56" s="330"/>
      <c r="AW56" s="330"/>
      <c r="AX56" s="330"/>
      <c r="AY56" s="330"/>
      <c r="AZ56" s="330"/>
      <c r="BA56" s="330"/>
      <c r="BB56" s="330"/>
      <c r="BC56" s="330"/>
      <c r="BD56" s="330"/>
      <c r="BE56" s="330"/>
      <c r="BF56" s="330"/>
      <c r="BG56" s="330"/>
      <c r="BH56" s="330"/>
      <c r="BI56" s="330"/>
      <c r="BJ56" s="330"/>
      <c r="BK56" s="330"/>
      <c r="BL56" s="330"/>
      <c r="BM56" s="330"/>
      <c r="BN56" s="330"/>
      <c r="BO56" s="330"/>
      <c r="BP56" s="330"/>
      <c r="BQ56" s="330"/>
      <c r="BR56" s="330"/>
      <c r="BS56" s="330"/>
      <c r="BT56" s="330"/>
      <c r="BU56" s="330"/>
      <c r="BV56" s="330"/>
      <c r="BW56" s="330"/>
      <c r="BX56" s="330"/>
      <c r="BY56" s="330"/>
      <c r="BZ56" s="330"/>
      <c r="CA56" s="330"/>
      <c r="CB56" s="330"/>
      <c r="CC56" s="330"/>
      <c r="CD56" s="330"/>
      <c r="CE56" s="330"/>
      <c r="CF56" s="330"/>
      <c r="CG56" s="330"/>
      <c r="CH56" s="330"/>
      <c r="CI56" s="330"/>
      <c r="CJ56" s="330"/>
      <c r="CK56" s="330"/>
      <c r="CL56" s="330"/>
      <c r="CM56" s="330"/>
      <c r="CN56" s="330"/>
      <c r="CO56" s="330"/>
      <c r="CP56" s="330"/>
      <c r="CQ56" s="330"/>
      <c r="CR56" s="330"/>
      <c r="CS56" s="330"/>
      <c r="CT56" s="330"/>
      <c r="CU56" s="330"/>
      <c r="CV56" s="330"/>
      <c r="CW56" s="330"/>
      <c r="CX56" s="330"/>
      <c r="CY56" s="330"/>
      <c r="CZ56" s="330"/>
      <c r="DA56" s="330"/>
      <c r="DB56" s="330"/>
      <c r="DC56" s="330"/>
      <c r="DD56" s="330"/>
      <c r="DE56" s="330"/>
      <c r="DF56" s="330"/>
      <c r="DG56" s="330"/>
      <c r="DH56" s="330"/>
      <c r="DI56" s="330"/>
      <c r="DJ56" s="330"/>
      <c r="DK56" s="330"/>
      <c r="DL56" s="330"/>
      <c r="DM56" s="330"/>
      <c r="DN56" s="330"/>
      <c r="DO56" s="330"/>
      <c r="DP56" s="330"/>
      <c r="DQ56" s="330"/>
      <c r="DR56" s="330"/>
      <c r="DS56" s="330"/>
      <c r="DT56" s="330"/>
      <c r="DU56" s="330"/>
      <c r="DV56" s="330"/>
      <c r="DW56" s="330"/>
      <c r="DX56" s="330"/>
      <c r="DY56" s="330"/>
      <c r="DZ56" s="330"/>
      <c r="EA56" s="330"/>
      <c r="EB56" s="330"/>
      <c r="EC56" s="330"/>
      <c r="ED56" s="330"/>
      <c r="EE56" s="330"/>
      <c r="EF56" s="330"/>
      <c r="EG56" s="330"/>
      <c r="EH56" s="330"/>
      <c r="EI56" s="330"/>
      <c r="EJ56" s="330"/>
      <c r="EK56" s="330"/>
      <c r="EL56" s="330"/>
      <c r="EM56" s="330"/>
      <c r="EN56" s="330"/>
      <c r="EO56" s="330"/>
      <c r="EP56" s="330"/>
      <c r="EQ56" s="330"/>
      <c r="ER56" s="330"/>
      <c r="ES56" s="330"/>
      <c r="ET56" s="330"/>
      <c r="EU56" s="330"/>
      <c r="EV56" s="330"/>
      <c r="EW56" s="330"/>
      <c r="EX56" s="330"/>
      <c r="EY56" s="330"/>
      <c r="EZ56" s="330"/>
      <c r="FA56" s="330"/>
      <c r="FB56" s="330"/>
      <c r="FC56" s="330"/>
      <c r="FD56" s="330"/>
      <c r="FE56" s="330"/>
      <c r="FF56" s="330"/>
      <c r="FG56" s="330"/>
      <c r="FH56" s="330"/>
      <c r="FI56" s="330"/>
      <c r="FJ56" s="330"/>
      <c r="FK56" s="330"/>
      <c r="FL56" s="330"/>
      <c r="FM56" s="330"/>
      <c r="FN56" s="330"/>
      <c r="FO56" s="330"/>
      <c r="FP56" s="330"/>
      <c r="FQ56" s="330"/>
      <c r="FR56" s="330"/>
      <c r="FS56" s="330"/>
      <c r="FT56" s="330"/>
      <c r="FU56" s="330"/>
      <c r="FV56" s="330"/>
      <c r="FW56" s="330"/>
      <c r="FX56" s="330"/>
      <c r="FY56" s="330"/>
      <c r="FZ56" s="330"/>
      <c r="GA56" s="330"/>
      <c r="GB56" s="330"/>
      <c r="GC56" s="330"/>
      <c r="GD56" s="330"/>
      <c r="GE56" s="330"/>
      <c r="GF56" s="330"/>
      <c r="GG56" s="330"/>
      <c r="GH56" s="330"/>
      <c r="GI56" s="330"/>
      <c r="GJ56" s="330"/>
      <c r="GK56" s="330"/>
      <c r="GL56" s="330"/>
      <c r="GM56" s="330"/>
      <c r="GN56" s="330"/>
      <c r="GO56" s="330"/>
      <c r="GP56" s="330"/>
      <c r="GQ56" s="330"/>
      <c r="GR56" s="330"/>
      <c r="GS56" s="330"/>
      <c r="GT56" s="330"/>
      <c r="GU56" s="330"/>
      <c r="GV56" s="330"/>
      <c r="GW56" s="330"/>
      <c r="GX56" s="330"/>
      <c r="GY56" s="330"/>
      <c r="GZ56" s="330"/>
      <c r="HA56" s="330"/>
      <c r="HB56" s="330"/>
      <c r="HC56" s="330"/>
      <c r="HD56" s="330"/>
      <c r="HE56" s="330"/>
      <c r="HF56" s="330"/>
      <c r="HG56" s="330"/>
      <c r="HH56" s="330"/>
      <c r="HI56" s="330"/>
      <c r="HJ56" s="330"/>
      <c r="HK56" s="330"/>
      <c r="HL56" s="330"/>
      <c r="HM56" s="330"/>
      <c r="HN56" s="330"/>
      <c r="HO56" s="330"/>
      <c r="HP56" s="330"/>
      <c r="HQ56" s="330"/>
      <c r="HR56" s="330"/>
      <c r="HS56" s="330"/>
      <c r="HT56" s="330"/>
      <c r="HU56" s="330"/>
      <c r="HV56" s="330"/>
      <c r="HW56" s="330"/>
      <c r="HX56" s="330"/>
      <c r="HY56" s="330"/>
      <c r="HZ56" s="330"/>
      <c r="IA56" s="330"/>
      <c r="IB56" s="330"/>
      <c r="IC56" s="330"/>
      <c r="ID56" s="330"/>
      <c r="IE56" s="330"/>
      <c r="IF56" s="330"/>
      <c r="IG56" s="330"/>
      <c r="IH56" s="330"/>
      <c r="II56" s="330"/>
      <c r="IJ56" s="330"/>
      <c r="IK56" s="330"/>
      <c r="IL56" s="330"/>
      <c r="IM56" s="330"/>
      <c r="IN56" s="330"/>
      <c r="IO56" s="330"/>
      <c r="IP56" s="330"/>
      <c r="IQ56" s="330"/>
      <c r="IR56" s="330"/>
      <c r="IS56" s="330"/>
      <c r="IT56" s="330"/>
      <c r="IU56" s="330"/>
      <c r="IV56" s="330"/>
      <c r="IW56" s="330"/>
      <c r="IX56" s="330"/>
      <c r="IY56" s="330"/>
      <c r="IZ56" s="330"/>
      <c r="JA56" s="330"/>
      <c r="JB56" s="330"/>
      <c r="JC56" s="330"/>
      <c r="JD56" s="330"/>
      <c r="JE56" s="330"/>
      <c r="JF56" s="330"/>
      <c r="JG56" s="330"/>
      <c r="JH56" s="330"/>
      <c r="JI56" s="330"/>
      <c r="JJ56" s="330"/>
      <c r="JK56" s="330"/>
      <c r="JL56" s="330"/>
      <c r="JM56" s="330"/>
      <c r="JN56" s="330"/>
      <c r="JO56" s="330"/>
      <c r="JP56" s="330"/>
      <c r="JQ56" s="330"/>
      <c r="JR56" s="330"/>
      <c r="JS56" s="330"/>
      <c r="JT56" s="330"/>
      <c r="JU56" s="330"/>
      <c r="JV56" s="330"/>
      <c r="JW56" s="330"/>
      <c r="JX56" s="330"/>
      <c r="JY56" s="330"/>
      <c r="JZ56" s="330"/>
      <c r="KA56" s="330"/>
      <c r="KB56" s="330"/>
      <c r="KC56" s="330"/>
      <c r="KD56" s="330"/>
      <c r="KE56" s="330"/>
      <c r="KF56" s="330"/>
      <c r="KG56" s="330"/>
      <c r="KH56" s="330"/>
      <c r="KI56" s="330"/>
      <c r="KJ56" s="330"/>
      <c r="KK56" s="330"/>
      <c r="KL56" s="330"/>
      <c r="KM56" s="330"/>
      <c r="KN56" s="330"/>
      <c r="KO56" s="330"/>
      <c r="KP56" s="330"/>
      <c r="KQ56" s="330"/>
      <c r="KR56" s="330"/>
      <c r="KS56" s="330"/>
      <c r="KT56" s="330"/>
      <c r="KU56" s="330"/>
      <c r="KV56" s="330"/>
      <c r="KW56" s="330"/>
      <c r="KX56" s="330"/>
      <c r="KY56" s="330"/>
      <c r="KZ56" s="330"/>
      <c r="LA56" s="330"/>
      <c r="LB56" s="330"/>
      <c r="LC56" s="330"/>
      <c r="LD56" s="330"/>
      <c r="LE56" s="330"/>
    </row>
    <row r="57" spans="1:317">
      <c r="A57" s="330"/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30"/>
      <c r="Y57" s="330"/>
      <c r="Z57" s="330"/>
      <c r="AA57" s="330"/>
      <c r="AB57" s="330"/>
      <c r="AC57" s="330"/>
      <c r="AD57" s="330"/>
      <c r="AE57" s="330"/>
      <c r="AF57" s="330"/>
      <c r="AG57" s="330"/>
      <c r="AH57" s="330"/>
      <c r="AI57" s="330"/>
      <c r="AJ57" s="330"/>
      <c r="AK57" s="330"/>
      <c r="AL57" s="330"/>
      <c r="AM57" s="330"/>
      <c r="AN57" s="330"/>
      <c r="AO57" s="330"/>
      <c r="AP57" s="330"/>
      <c r="AQ57" s="330"/>
      <c r="AR57" s="330"/>
      <c r="AS57" s="330"/>
      <c r="AT57" s="330"/>
      <c r="AU57" s="330"/>
      <c r="AV57" s="330"/>
      <c r="AW57" s="330"/>
      <c r="AX57" s="330"/>
      <c r="AY57" s="330"/>
      <c r="AZ57" s="330"/>
      <c r="BA57" s="330"/>
      <c r="BB57" s="330"/>
      <c r="BC57" s="330"/>
      <c r="BD57" s="330"/>
      <c r="BE57" s="330"/>
      <c r="BF57" s="330"/>
      <c r="BG57" s="330"/>
      <c r="BH57" s="330"/>
      <c r="BI57" s="330"/>
      <c r="BJ57" s="330"/>
      <c r="BK57" s="330"/>
      <c r="BL57" s="330"/>
      <c r="BM57" s="330"/>
      <c r="BN57" s="330"/>
      <c r="BO57" s="330"/>
      <c r="BP57" s="330"/>
      <c r="BQ57" s="330"/>
      <c r="BR57" s="330"/>
      <c r="BS57" s="330"/>
      <c r="BT57" s="330"/>
      <c r="BU57" s="330"/>
      <c r="BV57" s="330"/>
      <c r="BW57" s="330"/>
      <c r="BX57" s="330"/>
      <c r="BY57" s="330"/>
      <c r="BZ57" s="330"/>
      <c r="CA57" s="330"/>
      <c r="CB57" s="330"/>
      <c r="CC57" s="330"/>
      <c r="CD57" s="330"/>
      <c r="CE57" s="330"/>
      <c r="CF57" s="330"/>
      <c r="CG57" s="330"/>
      <c r="CH57" s="330"/>
      <c r="CI57" s="330"/>
      <c r="CJ57" s="330"/>
      <c r="CK57" s="330"/>
      <c r="CL57" s="330"/>
      <c r="CM57" s="330"/>
      <c r="CN57" s="330"/>
      <c r="CO57" s="330"/>
      <c r="CP57" s="330"/>
      <c r="CQ57" s="330"/>
      <c r="CR57" s="330"/>
      <c r="CS57" s="330"/>
      <c r="CT57" s="330"/>
      <c r="CU57" s="330"/>
      <c r="CV57" s="330"/>
      <c r="CW57" s="330"/>
      <c r="CX57" s="330"/>
      <c r="CY57" s="330"/>
      <c r="CZ57" s="330"/>
      <c r="DA57" s="330"/>
      <c r="DB57" s="330"/>
      <c r="DC57" s="330"/>
      <c r="DD57" s="330"/>
      <c r="DE57" s="330"/>
      <c r="DF57" s="330"/>
      <c r="DG57" s="330"/>
      <c r="DH57" s="330"/>
      <c r="DI57" s="330"/>
      <c r="DJ57" s="330"/>
      <c r="DK57" s="330"/>
      <c r="DL57" s="330"/>
      <c r="DM57" s="330"/>
      <c r="DN57" s="330"/>
      <c r="DO57" s="330"/>
      <c r="DP57" s="330"/>
      <c r="DQ57" s="330"/>
      <c r="DR57" s="330"/>
      <c r="DS57" s="330"/>
      <c r="DT57" s="330"/>
      <c r="DU57" s="330"/>
      <c r="DV57" s="330"/>
      <c r="DW57" s="330"/>
      <c r="DX57" s="330"/>
      <c r="DY57" s="330"/>
      <c r="DZ57" s="330"/>
      <c r="EA57" s="330"/>
      <c r="EB57" s="330"/>
      <c r="EC57" s="330"/>
      <c r="ED57" s="330"/>
      <c r="EE57" s="330"/>
      <c r="EF57" s="330"/>
      <c r="EG57" s="330"/>
      <c r="EH57" s="330"/>
      <c r="EI57" s="330"/>
      <c r="EJ57" s="330"/>
      <c r="EK57" s="330"/>
      <c r="EL57" s="330"/>
      <c r="EM57" s="330"/>
      <c r="EN57" s="330"/>
      <c r="EO57" s="330"/>
      <c r="EP57" s="330"/>
      <c r="EQ57" s="330"/>
      <c r="ER57" s="330"/>
      <c r="ES57" s="330"/>
      <c r="ET57" s="330"/>
      <c r="EU57" s="330"/>
      <c r="EV57" s="330"/>
      <c r="EW57" s="330"/>
      <c r="EX57" s="330"/>
      <c r="EY57" s="330"/>
      <c r="EZ57" s="330"/>
      <c r="FA57" s="330"/>
      <c r="FB57" s="330"/>
      <c r="FC57" s="330"/>
      <c r="FD57" s="330"/>
      <c r="FE57" s="330"/>
      <c r="FF57" s="330"/>
      <c r="FG57" s="330"/>
      <c r="FH57" s="330"/>
      <c r="FI57" s="330"/>
      <c r="FJ57" s="330"/>
      <c r="FK57" s="330"/>
      <c r="FL57" s="330"/>
      <c r="FM57" s="330"/>
      <c r="FN57" s="330"/>
      <c r="FO57" s="330"/>
      <c r="FP57" s="330"/>
      <c r="FQ57" s="330"/>
      <c r="FR57" s="330"/>
      <c r="FS57" s="330"/>
      <c r="FT57" s="330"/>
      <c r="FU57" s="330"/>
      <c r="FV57" s="330"/>
      <c r="FW57" s="330"/>
      <c r="FX57" s="330"/>
      <c r="FY57" s="330"/>
      <c r="FZ57" s="330"/>
      <c r="GA57" s="330"/>
      <c r="GB57" s="330"/>
      <c r="GC57" s="330"/>
      <c r="GD57" s="330"/>
      <c r="GE57" s="330"/>
      <c r="GF57" s="330"/>
      <c r="GG57" s="330"/>
      <c r="GH57" s="330"/>
      <c r="GI57" s="330"/>
      <c r="GJ57" s="330"/>
      <c r="GK57" s="330"/>
      <c r="GL57" s="330"/>
      <c r="GM57" s="330"/>
      <c r="GN57" s="330"/>
      <c r="GO57" s="330"/>
      <c r="GP57" s="330"/>
      <c r="GQ57" s="330"/>
      <c r="GR57" s="330"/>
      <c r="GS57" s="330"/>
      <c r="GT57" s="330"/>
      <c r="GU57" s="330"/>
      <c r="GV57" s="330"/>
      <c r="GW57" s="330"/>
      <c r="GX57" s="330"/>
      <c r="GY57" s="330"/>
      <c r="GZ57" s="330"/>
      <c r="HA57" s="330"/>
      <c r="HB57" s="330"/>
      <c r="HC57" s="330"/>
      <c r="HD57" s="330"/>
      <c r="HE57" s="330"/>
      <c r="HF57" s="330"/>
      <c r="HG57" s="330"/>
      <c r="HH57" s="330"/>
      <c r="HI57" s="330"/>
      <c r="HJ57" s="330"/>
      <c r="HK57" s="330"/>
      <c r="HL57" s="330"/>
      <c r="HM57" s="330"/>
      <c r="HN57" s="330"/>
      <c r="HO57" s="330"/>
      <c r="HP57" s="330"/>
      <c r="HQ57" s="330"/>
      <c r="HR57" s="330"/>
      <c r="HS57" s="330"/>
      <c r="HT57" s="330"/>
      <c r="HU57" s="330"/>
      <c r="HV57" s="330"/>
      <c r="HW57" s="330"/>
      <c r="HX57" s="330"/>
      <c r="HY57" s="330"/>
      <c r="HZ57" s="330"/>
      <c r="IA57" s="330"/>
      <c r="IB57" s="330"/>
      <c r="IC57" s="330"/>
      <c r="ID57" s="330"/>
      <c r="IE57" s="330"/>
      <c r="IF57" s="330"/>
      <c r="IG57" s="330"/>
      <c r="IH57" s="330"/>
      <c r="II57" s="330"/>
      <c r="IJ57" s="330"/>
      <c r="IK57" s="330"/>
      <c r="IL57" s="330"/>
      <c r="IM57" s="330"/>
      <c r="IN57" s="330"/>
      <c r="IO57" s="330"/>
      <c r="IP57" s="330"/>
      <c r="IQ57" s="330"/>
      <c r="IR57" s="330"/>
      <c r="IS57" s="330"/>
      <c r="IT57" s="330"/>
      <c r="IU57" s="330"/>
      <c r="IV57" s="330"/>
      <c r="IW57" s="330"/>
      <c r="IX57" s="330"/>
      <c r="IY57" s="330"/>
      <c r="IZ57" s="330"/>
      <c r="JA57" s="330"/>
      <c r="JB57" s="330"/>
      <c r="JC57" s="330"/>
      <c r="JD57" s="330"/>
      <c r="JE57" s="330"/>
      <c r="JF57" s="330"/>
      <c r="JG57" s="330"/>
      <c r="JH57" s="330"/>
      <c r="JI57" s="330"/>
      <c r="JJ57" s="330"/>
      <c r="JK57" s="330"/>
      <c r="JL57" s="330"/>
      <c r="JM57" s="330"/>
      <c r="JN57" s="330"/>
      <c r="JO57" s="330"/>
      <c r="JP57" s="330"/>
      <c r="JQ57" s="330"/>
      <c r="JR57" s="330"/>
      <c r="JS57" s="330"/>
      <c r="JT57" s="330"/>
      <c r="JU57" s="330"/>
      <c r="JV57" s="330"/>
      <c r="JW57" s="330"/>
      <c r="JX57" s="330"/>
      <c r="JY57" s="330"/>
      <c r="JZ57" s="330"/>
      <c r="KA57" s="330"/>
      <c r="KB57" s="330"/>
      <c r="KC57" s="330"/>
      <c r="KD57" s="330"/>
      <c r="KE57" s="330"/>
      <c r="KF57" s="330"/>
      <c r="KG57" s="330"/>
      <c r="KH57" s="330"/>
      <c r="KI57" s="330"/>
      <c r="KJ57" s="330"/>
      <c r="KK57" s="330"/>
      <c r="KL57" s="330"/>
      <c r="KM57" s="330"/>
      <c r="KN57" s="330"/>
      <c r="KO57" s="330"/>
      <c r="KP57" s="330"/>
      <c r="KQ57" s="330"/>
      <c r="KR57" s="330"/>
      <c r="KS57" s="330"/>
      <c r="KT57" s="330"/>
      <c r="KU57" s="330"/>
      <c r="KV57" s="330"/>
      <c r="KW57" s="330"/>
      <c r="KX57" s="330"/>
      <c r="KY57" s="330"/>
      <c r="KZ57" s="330"/>
      <c r="LA57" s="330"/>
      <c r="LB57" s="330"/>
      <c r="LC57" s="330"/>
      <c r="LD57" s="330"/>
      <c r="LE57" s="330"/>
    </row>
  </sheetData>
  <mergeCells count="1">
    <mergeCell ref="H29:M3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C080E-3CBB-4712-9A9F-E6A4EEC3B13A}">
  <sheetPr codeName="Hoja21"/>
  <dimension ref="A1:Z1000"/>
  <sheetViews>
    <sheetView workbookViewId="0">
      <selection activeCell="D5" sqref="D5"/>
    </sheetView>
  </sheetViews>
  <sheetFormatPr baseColWidth="10" defaultColWidth="14.44140625" defaultRowHeight="15" customHeight="1"/>
  <cols>
    <col min="1" max="1" width="2.5546875" customWidth="1"/>
    <col min="2" max="2" width="10.33203125" customWidth="1"/>
    <col min="3" max="3" width="41.6640625" customWidth="1"/>
    <col min="4" max="4" width="23" customWidth="1"/>
    <col min="5" max="5" width="3.6640625" customWidth="1"/>
    <col min="6" max="8" width="11.5546875" customWidth="1"/>
    <col min="9" max="9" width="12.33203125" customWidth="1"/>
    <col min="10" max="10" width="14.6640625" customWidth="1"/>
    <col min="11" max="11" width="11.5546875" customWidth="1"/>
    <col min="12" max="12" width="15.6640625" customWidth="1"/>
    <col min="13" max="13" width="14.33203125" customWidth="1"/>
    <col min="14" max="14" width="13.6640625" customWidth="1"/>
    <col min="15" max="15" width="15.5546875" customWidth="1"/>
    <col min="16" max="16" width="20.33203125" customWidth="1"/>
    <col min="17" max="18" width="11.5546875" customWidth="1"/>
    <col min="19" max="19" width="13.33203125" customWidth="1"/>
    <col min="20" max="20" width="11.5546875" customWidth="1"/>
    <col min="21" max="21" width="16.5546875" customWidth="1"/>
    <col min="22" max="23" width="11.5546875" customWidth="1"/>
    <col min="24" max="26" width="10.6640625" customWidth="1"/>
  </cols>
  <sheetData>
    <row r="1" spans="1:26" ht="12.75" customHeight="1" thickBot="1">
      <c r="A1" s="18"/>
      <c r="B1" s="18"/>
      <c r="C1" s="18"/>
      <c r="D1" s="18"/>
      <c r="E1" s="18"/>
      <c r="F1" s="18"/>
      <c r="G1" s="18"/>
      <c r="H1" s="18"/>
      <c r="I1" s="18"/>
      <c r="J1" s="69"/>
      <c r="K1" s="32"/>
      <c r="L1" s="32"/>
      <c r="M1" s="71"/>
      <c r="N1" s="225"/>
      <c r="O1" s="32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2.75" customHeight="1">
      <c r="A2" s="18"/>
      <c r="B2" s="18"/>
      <c r="C2" s="226" t="s">
        <v>337</v>
      </c>
      <c r="D2" s="227">
        <f>+'Cotizador Selectivo'!I30</f>
        <v>0</v>
      </c>
      <c r="E2" s="18"/>
      <c r="F2" s="18"/>
      <c r="G2" s="18"/>
      <c r="H2" s="18"/>
      <c r="I2" s="158" t="s">
        <v>338</v>
      </c>
      <c r="J2" s="228">
        <v>2100000</v>
      </c>
      <c r="K2" s="18"/>
      <c r="L2" s="32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2.75" customHeight="1">
      <c r="A3" s="18"/>
      <c r="B3" s="18"/>
      <c r="C3" s="229" t="s">
        <v>339</v>
      </c>
      <c r="D3" s="230" t="str">
        <f>'Calculador Selectivo'!H6</f>
        <v>Gota 3P</v>
      </c>
      <c r="E3" s="18"/>
      <c r="F3" s="18"/>
      <c r="G3" s="18"/>
      <c r="H3" s="18"/>
      <c r="I3" s="158" t="s">
        <v>340</v>
      </c>
      <c r="J3" s="228">
        <v>1510</v>
      </c>
      <c r="K3" s="18" t="s">
        <v>341</v>
      </c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ht="12.75" customHeight="1">
      <c r="A4" s="18"/>
      <c r="B4" s="18"/>
      <c r="C4" s="229" t="s">
        <v>342</v>
      </c>
      <c r="D4" s="231" t="e">
        <f>+'Cotizador Selectivo'!#REF!</f>
        <v>#REF!</v>
      </c>
      <c r="E4" s="18"/>
      <c r="F4" s="18"/>
      <c r="G4" s="18"/>
      <c r="H4" s="18"/>
      <c r="I4" s="158" t="s">
        <v>343</v>
      </c>
      <c r="J4" s="228">
        <v>2105</v>
      </c>
      <c r="K4" s="18" t="s">
        <v>344</v>
      </c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ht="12.75" customHeight="1">
      <c r="A5" s="18"/>
      <c r="B5" s="18"/>
      <c r="C5" s="229" t="s">
        <v>345</v>
      </c>
      <c r="D5" s="232">
        <f>'Calculador Selectivo'!H8</f>
        <v>150</v>
      </c>
      <c r="E5" s="18"/>
      <c r="F5" s="18"/>
      <c r="G5" s="18"/>
      <c r="H5" s="18"/>
      <c r="I5" s="158" t="s">
        <v>346</v>
      </c>
      <c r="J5" s="228">
        <v>2308</v>
      </c>
      <c r="K5" s="18" t="s">
        <v>347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ht="12.75" customHeight="1">
      <c r="A6" s="18"/>
      <c r="B6" s="18"/>
      <c r="C6" s="229" t="s">
        <v>348</v>
      </c>
      <c r="D6" s="233" t="s">
        <v>349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ht="12.75" customHeight="1" thickBot="1">
      <c r="A7" s="18"/>
      <c r="B7" s="18"/>
      <c r="C7" s="234" t="s">
        <v>350</v>
      </c>
      <c r="D7" s="235" t="str">
        <f>J166</f>
        <v>ℓ/180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12.75" customHeight="1">
      <c r="A8" s="18"/>
      <c r="B8" s="18"/>
      <c r="C8" s="18" t="s">
        <v>351</v>
      </c>
      <c r="D8" s="18" t="s">
        <v>352</v>
      </c>
      <c r="E8" s="18"/>
      <c r="F8" s="18">
        <f>1146/3</f>
        <v>382</v>
      </c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ht="12.75" customHeight="1">
      <c r="A9" s="18"/>
      <c r="B9" s="18"/>
      <c r="C9" s="18" t="s">
        <v>353</v>
      </c>
      <c r="D9" s="18" t="s">
        <v>354</v>
      </c>
      <c r="E9" s="18"/>
      <c r="F9" s="18">
        <f>+F8*2</f>
        <v>764</v>
      </c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ht="12.75" customHeight="1">
      <c r="A10" s="18"/>
      <c r="B10" s="18"/>
      <c r="C10" s="18" t="s">
        <v>355</v>
      </c>
      <c r="D10" s="18" t="s">
        <v>356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12.75" customHeight="1" thickBot="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12.75" customHeight="1">
      <c r="A12" s="18"/>
      <c r="B12" s="236"/>
      <c r="C12" s="237" t="s">
        <v>357</v>
      </c>
      <c r="D12" s="238" t="e">
        <f>+$L$40</f>
        <v>#REF!</v>
      </c>
      <c r="E12" s="18"/>
      <c r="F12" s="18"/>
      <c r="G12" s="18"/>
      <c r="H12" s="18"/>
      <c r="I12" s="18"/>
      <c r="J12" s="18"/>
      <c r="K12" s="18"/>
      <c r="L12" s="18"/>
      <c r="M12" s="158" t="s">
        <v>358</v>
      </c>
      <c r="N12" s="228">
        <f>+IF($D$7="ℓ/180",180,IF($D$7="ℓ/240",240,360))</f>
        <v>180</v>
      </c>
      <c r="O12" s="239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12.75" customHeight="1">
      <c r="A13" s="18"/>
      <c r="B13" s="240"/>
      <c r="C13" s="154" t="s">
        <v>359</v>
      </c>
      <c r="D13" s="241" t="e">
        <f>+$L$50</f>
        <v>#N/A</v>
      </c>
      <c r="E13" s="18"/>
      <c r="F13" s="18"/>
      <c r="G13" s="18"/>
      <c r="H13" s="18"/>
      <c r="I13" s="18"/>
      <c r="J13" s="18"/>
      <c r="K13" s="18"/>
      <c r="L13" s="18"/>
      <c r="M13" s="158" t="s">
        <v>360</v>
      </c>
      <c r="N13" s="228">
        <f>+IF($D$6="A55",$J$5,IF($D$6="A36",$J$3,$J$4))</f>
        <v>2308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ht="12.75" customHeight="1">
      <c r="A14" s="18"/>
      <c r="B14" s="240"/>
      <c r="C14" s="154" t="s">
        <v>361</v>
      </c>
      <c r="D14" s="242" t="e">
        <f>+$L$32</f>
        <v>#REF!</v>
      </c>
      <c r="E14" s="18"/>
      <c r="F14" s="18"/>
      <c r="G14" s="18"/>
      <c r="H14" s="18"/>
      <c r="I14" s="18"/>
      <c r="J14" s="18" t="s">
        <v>362</v>
      </c>
      <c r="K14" s="18"/>
      <c r="L14" s="18"/>
      <c r="M14" s="158" t="s">
        <v>363</v>
      </c>
      <c r="N14" s="243" t="e">
        <f>VLOOKUP(CONCATENATE($D$2,$J$14),$U$29:$W$199,2,FALSE)</f>
        <v>#N/A</v>
      </c>
      <c r="O14" s="22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2.75" customHeight="1">
      <c r="A15" s="18"/>
      <c r="B15" s="240"/>
      <c r="C15" s="154" t="s">
        <v>364</v>
      </c>
      <c r="D15" s="241" t="e">
        <f>+$L$60</f>
        <v>#N/A</v>
      </c>
      <c r="E15" s="18"/>
      <c r="F15" s="18"/>
      <c r="G15" s="18"/>
      <c r="H15" s="18"/>
      <c r="I15" s="18"/>
      <c r="J15" s="18" t="s">
        <v>365</v>
      </c>
      <c r="K15" s="18"/>
      <c r="L15" s="18"/>
      <c r="M15" s="158" t="s">
        <v>366</v>
      </c>
      <c r="N15" s="243" t="e">
        <f>VLOOKUP(CONCATENATE($D$2,$J$15),$U$29:$W$199,2,FALSE)</f>
        <v>#N/A</v>
      </c>
      <c r="O15" s="22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12.75" customHeight="1">
      <c r="A16" s="18"/>
      <c r="B16" s="240" t="s">
        <v>367</v>
      </c>
      <c r="C16" s="158" t="s">
        <v>368</v>
      </c>
      <c r="D16" s="244" t="e">
        <f>+IF($D$14&gt;$D$12,"FALLA","OK")</f>
        <v>#REF!</v>
      </c>
      <c r="E16" s="18"/>
      <c r="F16" s="18" t="e">
        <f>IF(D16="falla",0,1)</f>
        <v>#REF!</v>
      </c>
      <c r="G16" s="18"/>
      <c r="H16" s="18"/>
      <c r="I16" s="18"/>
      <c r="J16" s="18"/>
      <c r="K16" s="18"/>
      <c r="L16" s="18"/>
      <c r="M16" s="158" t="s">
        <v>369</v>
      </c>
      <c r="N16" s="228" t="e">
        <f>+$D$4/10</f>
        <v>#REF!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12.75" customHeight="1">
      <c r="A17" s="18"/>
      <c r="B17" s="240" t="s">
        <v>370</v>
      </c>
      <c r="C17" s="158" t="s">
        <v>371</v>
      </c>
      <c r="D17" s="244" t="e">
        <f>+IF($N$17&gt;$D$15,"FALLA","OK")</f>
        <v>#N/A</v>
      </c>
      <c r="E17" s="18"/>
      <c r="F17" s="18" t="e">
        <f>IF(D17="falla",0,1)</f>
        <v>#N/A</v>
      </c>
      <c r="G17" s="18"/>
      <c r="H17" s="18"/>
      <c r="I17" s="18"/>
      <c r="J17" s="18"/>
      <c r="K17" s="18"/>
      <c r="L17" s="18"/>
      <c r="M17" s="158" t="s">
        <v>372</v>
      </c>
      <c r="N17" s="228">
        <f>+$D$5</f>
        <v>150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ht="12.75" customHeight="1">
      <c r="A18" s="18"/>
      <c r="B18" s="245"/>
      <c r="C18" s="246" t="s">
        <v>373</v>
      </c>
      <c r="D18" s="247" t="e">
        <f>+$M$71+1</f>
        <v>#N/A</v>
      </c>
      <c r="E18" s="18"/>
      <c r="F18" s="18" t="e">
        <f>SUM(F16:F17)</f>
        <v>#REF!</v>
      </c>
      <c r="G18" s="18" t="e">
        <f>IF(F18=2,"Correcto","Falla")</f>
        <v>#REF!</v>
      </c>
      <c r="H18" s="18"/>
      <c r="I18" s="18"/>
      <c r="J18" s="18"/>
      <c r="K18" s="18"/>
      <c r="L18" s="18"/>
      <c r="M18" s="158" t="s">
        <v>374</v>
      </c>
      <c r="N18" s="248" t="e">
        <f>+$N$17/$N$16</f>
        <v>#REF!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ht="12.75" customHeight="1">
      <c r="A19" s="18"/>
      <c r="B19" s="249"/>
      <c r="C19" s="250" t="s">
        <v>375</v>
      </c>
      <c r="D19" s="251" t="e">
        <f>+$D$20/2</f>
        <v>#N/A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ht="12.75" customHeight="1" thickBot="1">
      <c r="A20" s="18"/>
      <c r="B20" s="252"/>
      <c r="C20" s="253" t="s">
        <v>376</v>
      </c>
      <c r="D20" s="254" t="e">
        <f>+IF($D$17="FALLA","- - - - -",IF($D$16="FALLA","- - - - -",(MIN($D$13,$D$15))*2))</f>
        <v>#N/A</v>
      </c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2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2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2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2.75" customHeight="1" thickBo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2.75" customHeight="1" thickBot="1">
      <c r="A25" s="18"/>
      <c r="B25" s="18"/>
      <c r="C25" s="255" t="s">
        <v>377</v>
      </c>
      <c r="D25" s="256" t="e">
        <f>((D4/1000)*1.4)+D18</f>
        <v>#REF!</v>
      </c>
      <c r="E25" s="18"/>
      <c r="F25" s="18"/>
      <c r="G25" s="18"/>
      <c r="H25" s="257" t="s">
        <v>378</v>
      </c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2.75" customHeight="1" thickBo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2.75" customHeight="1">
      <c r="A27" s="18"/>
      <c r="B27" s="18"/>
      <c r="C27" s="18"/>
      <c r="D27" s="18"/>
      <c r="E27" s="18"/>
      <c r="F27" s="18"/>
      <c r="G27" s="18"/>
      <c r="H27" s="258" t="s">
        <v>379</v>
      </c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259" t="s">
        <v>380</v>
      </c>
      <c r="V27" s="1100" t="s">
        <v>381</v>
      </c>
      <c r="W27" s="1101"/>
      <c r="X27" s="18"/>
      <c r="Y27" s="18"/>
      <c r="Z27" s="18"/>
    </row>
    <row r="28" spans="1:26" ht="12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200" t="e">
        <f>+IF($L$40-$L$32&lt;0.1,$S$32,$L$40)</f>
        <v>#REF!</v>
      </c>
      <c r="S28" s="18"/>
      <c r="T28" s="18"/>
      <c r="U28" s="260" t="s">
        <v>4</v>
      </c>
      <c r="V28" s="1102" t="s">
        <v>382</v>
      </c>
      <c r="W28" s="1103"/>
      <c r="X28" s="18"/>
      <c r="Y28" s="18"/>
      <c r="Z28" s="18"/>
    </row>
    <row r="29" spans="1:26" ht="12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69" t="s">
        <v>383</v>
      </c>
      <c r="L29" s="261" t="s">
        <v>384</v>
      </c>
      <c r="M29" s="18"/>
      <c r="N29" s="69" t="s">
        <v>383</v>
      </c>
      <c r="O29" s="261" t="s">
        <v>385</v>
      </c>
      <c r="P29" s="18"/>
      <c r="Q29" s="18"/>
      <c r="R29" s="200" t="e">
        <f>+IF($L$40-$L$32&lt;0.1,$S$50,$L$50)</f>
        <v>#REF!</v>
      </c>
      <c r="S29" s="18"/>
      <c r="T29" s="18"/>
      <c r="U29" s="262" t="s">
        <v>386</v>
      </c>
      <c r="V29" s="263">
        <v>62.27</v>
      </c>
      <c r="W29" s="264" t="s">
        <v>387</v>
      </c>
      <c r="X29" s="18"/>
      <c r="Y29" s="18"/>
      <c r="Z29" s="18"/>
    </row>
    <row r="30" spans="1:26" ht="12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32"/>
      <c r="L30" s="265" t="s">
        <v>388</v>
      </c>
      <c r="M30" s="18"/>
      <c r="N30" s="32"/>
      <c r="O30" s="265" t="s">
        <v>388</v>
      </c>
      <c r="P30" s="18"/>
      <c r="Q30" s="18"/>
      <c r="R30" s="18"/>
      <c r="S30" s="18"/>
      <c r="T30" s="18"/>
      <c r="U30" s="262" t="s">
        <v>389</v>
      </c>
      <c r="V30" s="263">
        <v>16.309999999999999</v>
      </c>
      <c r="W30" s="264" t="s">
        <v>390</v>
      </c>
      <c r="X30" s="18"/>
      <c r="Y30" s="18"/>
      <c r="Z30" s="18"/>
    </row>
    <row r="31" spans="1:26" ht="12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262" t="s">
        <v>391</v>
      </c>
      <c r="V31" s="263">
        <v>5.21</v>
      </c>
      <c r="W31" s="264" t="s">
        <v>392</v>
      </c>
      <c r="X31" s="18"/>
      <c r="Y31" s="18"/>
      <c r="Z31" s="18"/>
    </row>
    <row r="32" spans="1:26" ht="12.75" customHeight="1">
      <c r="A32" s="18"/>
      <c r="B32" s="18"/>
      <c r="C32" s="18"/>
      <c r="D32" s="18"/>
      <c r="E32" s="18"/>
      <c r="F32" s="18"/>
      <c r="G32" s="18"/>
      <c r="H32" s="18"/>
      <c r="I32" s="18"/>
      <c r="J32" s="154"/>
      <c r="K32" s="266" t="s">
        <v>393</v>
      </c>
      <c r="L32" s="267" t="e">
        <f>+(5*$N$17*($N$16)^3)/(384*$J$2*$N$14)</f>
        <v>#REF!</v>
      </c>
      <c r="M32" s="18"/>
      <c r="N32" s="18"/>
      <c r="O32" s="18"/>
      <c r="P32" s="18"/>
      <c r="Q32" s="18"/>
      <c r="R32" s="266" t="s">
        <v>394</v>
      </c>
      <c r="S32" s="267" t="e">
        <f>+$L$32+0.1</f>
        <v>#REF!</v>
      </c>
      <c r="T32" s="18"/>
      <c r="U32" s="262" t="s">
        <v>395</v>
      </c>
      <c r="V32" s="263">
        <v>68.099999999999994</v>
      </c>
      <c r="W32" s="264" t="s">
        <v>387</v>
      </c>
      <c r="X32" s="18"/>
      <c r="Y32" s="18"/>
      <c r="Z32" s="18"/>
    </row>
    <row r="33" spans="1:26" ht="12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262" t="s">
        <v>396</v>
      </c>
      <c r="V33" s="263">
        <v>17.899999999999999</v>
      </c>
      <c r="W33" s="264" t="s">
        <v>390</v>
      </c>
      <c r="X33" s="18"/>
      <c r="Y33" s="18"/>
      <c r="Z33" s="18"/>
    </row>
    <row r="34" spans="1:26" ht="12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268" t="s">
        <v>397</v>
      </c>
      <c r="S34" s="269" t="e">
        <f>-S32+L32</f>
        <v>#REF!</v>
      </c>
      <c r="T34" s="18"/>
      <c r="U34" s="262" t="s">
        <v>398</v>
      </c>
      <c r="V34" s="263">
        <v>6.1</v>
      </c>
      <c r="W34" s="264" t="s">
        <v>392</v>
      </c>
      <c r="X34" s="18"/>
      <c r="Y34" s="18"/>
      <c r="Z34" s="18"/>
    </row>
    <row r="35" spans="1:26" ht="12.75" customHeight="1">
      <c r="A35" s="18"/>
      <c r="B35" s="18"/>
      <c r="C35" s="18"/>
      <c r="D35" s="18"/>
      <c r="E35" s="18"/>
      <c r="F35" s="18"/>
      <c r="G35" s="18"/>
      <c r="H35" s="258" t="s">
        <v>399</v>
      </c>
      <c r="I35" s="18"/>
      <c r="J35" s="18"/>
      <c r="K35" s="18"/>
      <c r="L35" s="265"/>
      <c r="M35" s="18"/>
      <c r="N35" s="18"/>
      <c r="O35" s="18"/>
      <c r="P35" s="18"/>
      <c r="Q35" s="18"/>
      <c r="R35" s="18"/>
      <c r="S35" s="18"/>
      <c r="T35" s="18"/>
      <c r="U35" s="262" t="s">
        <v>400</v>
      </c>
      <c r="V35" s="263">
        <v>128.12</v>
      </c>
      <c r="W35" s="264" t="s">
        <v>387</v>
      </c>
      <c r="X35" s="18"/>
      <c r="Y35" s="18"/>
      <c r="Z35" s="18"/>
    </row>
    <row r="36" spans="1:26" ht="12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32"/>
      <c r="L36" s="265"/>
      <c r="M36" s="18"/>
      <c r="N36" s="18"/>
      <c r="O36" s="18"/>
      <c r="P36" s="18"/>
      <c r="Q36" s="18"/>
      <c r="R36" s="18"/>
      <c r="S36" s="18"/>
      <c r="T36" s="18"/>
      <c r="U36" s="262" t="s">
        <v>401</v>
      </c>
      <c r="V36" s="263">
        <v>25.2</v>
      </c>
      <c r="W36" s="264" t="s">
        <v>390</v>
      </c>
      <c r="X36" s="18"/>
      <c r="Y36" s="18"/>
      <c r="Z36" s="18"/>
    </row>
    <row r="37" spans="1:26" ht="12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69" t="s">
        <v>383</v>
      </c>
      <c r="L37" s="270" t="s">
        <v>402</v>
      </c>
      <c r="M37" s="18"/>
      <c r="N37" s="18"/>
      <c r="O37" s="18"/>
      <c r="P37" s="18"/>
      <c r="Q37" s="18"/>
      <c r="R37" s="18"/>
      <c r="S37" s="18"/>
      <c r="T37" s="18"/>
      <c r="U37" s="262" t="s">
        <v>403</v>
      </c>
      <c r="V37" s="263">
        <v>6.7</v>
      </c>
      <c r="W37" s="264" t="s">
        <v>392</v>
      </c>
      <c r="X37" s="18"/>
      <c r="Y37" s="18"/>
      <c r="Z37" s="18"/>
    </row>
    <row r="38" spans="1:26" ht="12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32"/>
      <c r="L38" s="71" t="s">
        <v>404</v>
      </c>
      <c r="M38" s="18"/>
      <c r="N38" s="18"/>
      <c r="O38" s="18"/>
      <c r="P38" s="18"/>
      <c r="Q38" s="18"/>
      <c r="R38" s="18"/>
      <c r="S38" s="18"/>
      <c r="T38" s="18"/>
      <c r="U38" s="262" t="s">
        <v>405</v>
      </c>
      <c r="V38" s="263">
        <v>157.9</v>
      </c>
      <c r="W38" s="264" t="s">
        <v>387</v>
      </c>
      <c r="X38" s="18"/>
      <c r="Y38" s="18"/>
      <c r="Z38" s="18"/>
    </row>
    <row r="39" spans="1:26" ht="12.75" customHeight="1">
      <c r="A39" s="18"/>
      <c r="B39" s="18"/>
      <c r="C39" s="18"/>
      <c r="D39" s="18"/>
      <c r="E39" s="18"/>
      <c r="F39" s="18"/>
      <c r="G39" s="18"/>
      <c r="H39" s="18"/>
      <c r="I39" s="18" t="s">
        <v>406</v>
      </c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262" t="s">
        <v>407</v>
      </c>
      <c r="V39" s="263">
        <v>31.1</v>
      </c>
      <c r="W39" s="264" t="s">
        <v>390</v>
      </c>
      <c r="X39" s="18"/>
      <c r="Y39" s="18"/>
      <c r="Z39" s="18"/>
    </row>
    <row r="40" spans="1:26" ht="12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266" t="s">
        <v>408</v>
      </c>
      <c r="L40" s="267" t="e">
        <f>+$N$16/$N$12</f>
        <v>#REF!</v>
      </c>
      <c r="M40" s="18"/>
      <c r="N40" s="18"/>
      <c r="O40" s="18"/>
      <c r="P40" s="18"/>
      <c r="Q40" s="18"/>
      <c r="R40" s="18"/>
      <c r="S40" s="18"/>
      <c r="T40" s="18"/>
      <c r="U40" s="262" t="s">
        <v>409</v>
      </c>
      <c r="V40" s="263">
        <v>8.0399999999999991</v>
      </c>
      <c r="W40" s="264" t="s">
        <v>392</v>
      </c>
      <c r="X40" s="18"/>
      <c r="Y40" s="18"/>
      <c r="Z40" s="18"/>
    </row>
    <row r="41" spans="1:26" ht="12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262" t="s">
        <v>410</v>
      </c>
      <c r="V41" s="263">
        <v>311.76</v>
      </c>
      <c r="W41" s="264" t="s">
        <v>387</v>
      </c>
      <c r="X41" s="18"/>
      <c r="Y41" s="18"/>
      <c r="Z41" s="18"/>
    </row>
    <row r="42" spans="1:26" ht="12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262" t="s">
        <v>411</v>
      </c>
      <c r="V42" s="263">
        <v>49.16</v>
      </c>
      <c r="W42" s="264" t="s">
        <v>390</v>
      </c>
      <c r="X42" s="18"/>
      <c r="Y42" s="18"/>
      <c r="Z42" s="18"/>
    </row>
    <row r="43" spans="1:26" ht="12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262" t="s">
        <v>412</v>
      </c>
      <c r="V43" s="263">
        <v>9.9700000000000006</v>
      </c>
      <c r="W43" s="264" t="s">
        <v>392</v>
      </c>
      <c r="X43" s="18"/>
      <c r="Y43" s="18"/>
      <c r="Z43" s="18"/>
    </row>
    <row r="44" spans="1:26" ht="12.75" customHeight="1">
      <c r="A44" s="18"/>
      <c r="B44" s="18"/>
      <c r="C44" s="18"/>
      <c r="D44" s="18"/>
      <c r="E44" s="18"/>
      <c r="F44" s="18"/>
      <c r="G44" s="18"/>
      <c r="H44" s="258" t="s">
        <v>413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262" t="s">
        <v>414</v>
      </c>
      <c r="V44" s="263">
        <v>541</v>
      </c>
      <c r="W44" s="264" t="s">
        <v>387</v>
      </c>
      <c r="X44" s="18"/>
      <c r="Y44" s="18"/>
      <c r="Z44" s="18"/>
    </row>
    <row r="45" spans="1:26" ht="12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262" t="s">
        <v>415</v>
      </c>
      <c r="V45" s="263">
        <v>71</v>
      </c>
      <c r="W45" s="264" t="s">
        <v>390</v>
      </c>
      <c r="X45" s="18"/>
      <c r="Y45" s="18"/>
      <c r="Z45" s="18"/>
    </row>
    <row r="46" spans="1:26" ht="12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 t="s">
        <v>416</v>
      </c>
      <c r="P46" s="18"/>
      <c r="Q46" s="18"/>
      <c r="R46" s="18"/>
      <c r="S46" s="18"/>
      <c r="T46" s="18"/>
      <c r="U46" s="262" t="s">
        <v>417</v>
      </c>
      <c r="V46" s="263">
        <v>12.2</v>
      </c>
      <c r="W46" s="264" t="s">
        <v>392</v>
      </c>
      <c r="X46" s="18"/>
      <c r="Y46" s="18"/>
      <c r="Z46" s="18"/>
    </row>
    <row r="47" spans="1:26" ht="12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58" t="s">
        <v>418</v>
      </c>
      <c r="L47" s="261" t="s">
        <v>388</v>
      </c>
      <c r="M47" s="18"/>
      <c r="N47" s="18"/>
      <c r="O47" s="158" t="s">
        <v>419</v>
      </c>
      <c r="P47" s="261" t="s">
        <v>420</v>
      </c>
      <c r="Q47" s="18"/>
      <c r="R47" s="18"/>
      <c r="S47" s="18"/>
      <c r="T47" s="18"/>
      <c r="U47" s="262" t="s">
        <v>421</v>
      </c>
      <c r="V47" s="263">
        <v>724.2</v>
      </c>
      <c r="W47" s="264" t="s">
        <v>387</v>
      </c>
      <c r="X47" s="18"/>
      <c r="Y47" s="18"/>
      <c r="Z47" s="18"/>
    </row>
    <row r="48" spans="1:26" ht="12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265" t="s">
        <v>422</v>
      </c>
      <c r="M48" s="18"/>
      <c r="N48" s="18"/>
      <c r="O48" s="18"/>
      <c r="P48" s="265" t="s">
        <v>423</v>
      </c>
      <c r="Q48" s="18"/>
      <c r="R48" s="18"/>
      <c r="S48" s="18"/>
      <c r="T48" s="18"/>
      <c r="U48" s="262" t="s">
        <v>424</v>
      </c>
      <c r="V48" s="263">
        <v>95</v>
      </c>
      <c r="W48" s="264" t="s">
        <v>390</v>
      </c>
      <c r="X48" s="18"/>
      <c r="Y48" s="18"/>
      <c r="Z48" s="18"/>
    </row>
    <row r="49" spans="1:26" ht="12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262" t="s">
        <v>425</v>
      </c>
      <c r="V49" s="263">
        <v>19.34</v>
      </c>
      <c r="W49" s="264" t="s">
        <v>392</v>
      </c>
      <c r="X49" s="18"/>
      <c r="Y49" s="18"/>
      <c r="Z49" s="18"/>
    </row>
    <row r="50" spans="1:26" ht="12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266" t="s">
        <v>426</v>
      </c>
      <c r="L50" s="267" t="e">
        <f>+(384*$J$2*$N$14)/(900*($N$16)^2)</f>
        <v>#N/A</v>
      </c>
      <c r="M50" s="18"/>
      <c r="N50" s="18"/>
      <c r="O50" s="18"/>
      <c r="P50" s="18"/>
      <c r="Q50" s="18"/>
      <c r="R50" s="266" t="s">
        <v>427</v>
      </c>
      <c r="S50" s="267" t="e">
        <f>+((($N$16/$N$12)-0.1)*384*$J$2*$N$14)/(5*$N$16^3)</f>
        <v>#REF!</v>
      </c>
      <c r="T50" s="18"/>
      <c r="U50" s="262" t="s">
        <v>428</v>
      </c>
      <c r="V50" s="263">
        <v>1356.9</v>
      </c>
      <c r="W50" s="264" t="s">
        <v>387</v>
      </c>
      <c r="X50" s="18"/>
      <c r="Y50" s="18"/>
      <c r="Z50" s="18"/>
    </row>
    <row r="51" spans="1:26" ht="12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262" t="s">
        <v>429</v>
      </c>
      <c r="V51" s="263">
        <v>133.4</v>
      </c>
      <c r="W51" s="264" t="s">
        <v>390</v>
      </c>
      <c r="X51" s="18"/>
      <c r="Y51" s="18"/>
      <c r="Z51" s="18"/>
    </row>
    <row r="52" spans="1:26" ht="12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262" t="s">
        <v>430</v>
      </c>
      <c r="V52" s="263">
        <v>17.11</v>
      </c>
      <c r="W52" s="264" t="s">
        <v>392</v>
      </c>
      <c r="X52" s="18"/>
      <c r="Y52" s="18"/>
      <c r="Z52" s="18"/>
    </row>
    <row r="53" spans="1:26" ht="12.75" customHeight="1">
      <c r="A53" s="18"/>
      <c r="B53" s="18"/>
      <c r="C53" s="18"/>
      <c r="D53" s="18"/>
      <c r="E53" s="18"/>
      <c r="F53" s="18"/>
      <c r="G53" s="18"/>
      <c r="H53" s="258" t="s">
        <v>431</v>
      </c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262" t="s">
        <v>432</v>
      </c>
      <c r="V53" s="263">
        <v>51.6</v>
      </c>
      <c r="W53" s="264" t="s">
        <v>387</v>
      </c>
      <c r="X53" s="18"/>
      <c r="Y53" s="18"/>
      <c r="Z53" s="18"/>
    </row>
    <row r="54" spans="1:26" ht="12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262" t="s">
        <v>433</v>
      </c>
      <c r="V54" s="263">
        <v>9.5</v>
      </c>
      <c r="W54" s="264" t="s">
        <v>390</v>
      </c>
      <c r="X54" s="18"/>
      <c r="Y54" s="18"/>
      <c r="Z54" s="18"/>
    </row>
    <row r="55" spans="1:26" ht="12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262" t="s">
        <v>434</v>
      </c>
      <c r="V55" s="263">
        <v>7.29</v>
      </c>
      <c r="W55" s="264" t="s">
        <v>392</v>
      </c>
      <c r="X55" s="18"/>
      <c r="Y55" s="18"/>
      <c r="Z55" s="18"/>
    </row>
    <row r="56" spans="1:26" ht="12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58" t="s">
        <v>435</v>
      </c>
      <c r="L56" s="271" t="s">
        <v>436</v>
      </c>
      <c r="M56" s="18"/>
      <c r="N56" s="18"/>
      <c r="O56" s="18"/>
      <c r="P56" s="18"/>
      <c r="Q56" s="18"/>
      <c r="R56" s="18"/>
      <c r="S56" s="18"/>
      <c r="T56" s="18"/>
      <c r="U56" s="262" t="s">
        <v>437</v>
      </c>
      <c r="V56" s="263">
        <v>40.01</v>
      </c>
      <c r="W56" s="264" t="s">
        <v>387</v>
      </c>
      <c r="X56" s="18"/>
      <c r="Y56" s="18"/>
      <c r="Z56" s="18"/>
    </row>
    <row r="57" spans="1:26" ht="12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58"/>
      <c r="L57" s="187" t="s">
        <v>402</v>
      </c>
      <c r="M57" s="18"/>
      <c r="N57" s="18"/>
      <c r="O57" s="18"/>
      <c r="P57" s="18"/>
      <c r="Q57" s="18"/>
      <c r="R57" s="18"/>
      <c r="S57" s="18"/>
      <c r="T57" s="18"/>
      <c r="U57" s="262" t="s">
        <v>438</v>
      </c>
      <c r="V57" s="263">
        <v>7.22</v>
      </c>
      <c r="W57" s="264" t="s">
        <v>390</v>
      </c>
      <c r="X57" s="18"/>
      <c r="Y57" s="18"/>
      <c r="Z57" s="18"/>
    </row>
    <row r="58" spans="1:26" ht="12.75" customHeight="1" thickBo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262" t="s">
        <v>439</v>
      </c>
      <c r="V58" s="263">
        <v>5.52</v>
      </c>
      <c r="W58" s="264" t="s">
        <v>392</v>
      </c>
      <c r="X58" s="18"/>
      <c r="Y58" s="18"/>
      <c r="Z58" s="18"/>
    </row>
    <row r="59" spans="1:26" ht="12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272" t="s">
        <v>380</v>
      </c>
      <c r="Q59" s="273"/>
      <c r="R59" s="274" t="s">
        <v>32</v>
      </c>
      <c r="S59" s="275"/>
      <c r="T59" s="18">
        <f>IF(D3=P61,1,IF(D3=P62,2,IF(D3=P63,3,IF(D3=P64,4,IF(D3=P65,5,IF(D3=P66,6,IF(D3=P67,7,IF(D3=P68,8,IF(D3=P69,9,IF(D3=P70,10,IF(D3=P71,11,"-")))))))))))</f>
        <v>4</v>
      </c>
      <c r="U59" s="262" t="s">
        <v>440</v>
      </c>
      <c r="V59" s="263">
        <v>124.9</v>
      </c>
      <c r="W59" s="264" t="s">
        <v>387</v>
      </c>
      <c r="X59" s="18"/>
      <c r="Y59" s="18"/>
      <c r="Z59" s="18"/>
    </row>
    <row r="60" spans="1:26" ht="12.75" customHeight="1" thickBo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266" t="s">
        <v>441</v>
      </c>
      <c r="L60" s="267" t="e">
        <f>+(8*$N$15*$N$13)/$N$16</f>
        <v>#N/A</v>
      </c>
      <c r="M60" s="18"/>
      <c r="N60" s="18"/>
      <c r="O60" s="18"/>
      <c r="P60" s="276" t="s">
        <v>16</v>
      </c>
      <c r="Q60" s="277"/>
      <c r="R60" s="278" t="s">
        <v>442</v>
      </c>
      <c r="S60" s="279"/>
      <c r="T60" s="18"/>
      <c r="U60" s="262" t="s">
        <v>443</v>
      </c>
      <c r="V60" s="263">
        <v>17.2</v>
      </c>
      <c r="W60" s="264" t="s">
        <v>390</v>
      </c>
      <c r="X60" s="18"/>
      <c r="Y60" s="18"/>
      <c r="Z60" s="18"/>
    </row>
    <row r="61" spans="1:26" ht="12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280" t="s">
        <v>444</v>
      </c>
      <c r="Q61" s="281"/>
      <c r="R61" s="282">
        <v>0.16</v>
      </c>
      <c r="S61" s="283" t="s">
        <v>204</v>
      </c>
      <c r="T61" s="18"/>
      <c r="U61" s="262" t="s">
        <v>445</v>
      </c>
      <c r="V61" s="263">
        <v>9.82</v>
      </c>
      <c r="W61" s="264" t="s">
        <v>392</v>
      </c>
      <c r="X61" s="18"/>
      <c r="Y61" s="18"/>
      <c r="Z61" s="18"/>
    </row>
    <row r="62" spans="1:26" ht="12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284" t="s">
        <v>446</v>
      </c>
      <c r="Q62" s="285"/>
      <c r="R62" s="286">
        <v>0.31</v>
      </c>
      <c r="S62" s="287" t="s">
        <v>204</v>
      </c>
      <c r="T62" s="18"/>
      <c r="U62" s="288" t="s">
        <v>447</v>
      </c>
      <c r="V62" s="289">
        <v>366.12</v>
      </c>
      <c r="W62" s="290" t="s">
        <v>387</v>
      </c>
      <c r="X62" s="18"/>
      <c r="Y62" s="18"/>
      <c r="Z62" s="18"/>
    </row>
    <row r="63" spans="1:26" ht="12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284" t="s">
        <v>448</v>
      </c>
      <c r="Q63" s="285"/>
      <c r="R63" s="286">
        <v>0.72</v>
      </c>
      <c r="S63" s="287" t="s">
        <v>204</v>
      </c>
      <c r="T63" s="18"/>
      <c r="U63" s="288" t="s">
        <v>449</v>
      </c>
      <c r="V63" s="289">
        <v>48.17</v>
      </c>
      <c r="W63" s="290" t="s">
        <v>390</v>
      </c>
      <c r="X63" s="18"/>
      <c r="Y63" s="18"/>
      <c r="Z63" s="18"/>
    </row>
    <row r="64" spans="1:26" ht="12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284" t="s">
        <v>450</v>
      </c>
      <c r="Q64" s="285"/>
      <c r="R64" s="286">
        <v>0.51</v>
      </c>
      <c r="S64" s="287" t="s">
        <v>204</v>
      </c>
      <c r="T64" s="18"/>
      <c r="U64" s="288" t="s">
        <v>451</v>
      </c>
      <c r="V64" s="289">
        <v>7.3</v>
      </c>
      <c r="W64" s="290" t="s">
        <v>392</v>
      </c>
      <c r="X64" s="18"/>
      <c r="Y64" s="18"/>
      <c r="Z64" s="18"/>
    </row>
    <row r="65" spans="1:26" ht="12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284" t="s">
        <v>17</v>
      </c>
      <c r="Q65" s="285"/>
      <c r="R65" s="286">
        <v>0.72</v>
      </c>
      <c r="S65" s="287" t="s">
        <v>204</v>
      </c>
      <c r="T65" s="18"/>
      <c r="U65" s="262" t="s">
        <v>452</v>
      </c>
      <c r="V65" s="263">
        <v>15.34</v>
      </c>
      <c r="W65" s="264" t="s">
        <v>387</v>
      </c>
      <c r="X65" s="18"/>
      <c r="Y65" s="18"/>
      <c r="Z65" s="18"/>
    </row>
    <row r="66" spans="1:26" ht="12.75" customHeight="1">
      <c r="A66" s="18"/>
      <c r="B66" s="18"/>
      <c r="C66" s="18"/>
      <c r="D66" s="18"/>
      <c r="E66" s="18"/>
      <c r="F66" s="18"/>
      <c r="G66" s="18"/>
      <c r="H66" s="258" t="s">
        <v>453</v>
      </c>
      <c r="I66" s="18"/>
      <c r="J66" s="18"/>
      <c r="K66" s="18"/>
      <c r="L66" s="18"/>
      <c r="M66" s="18"/>
      <c r="N66" s="18"/>
      <c r="O66" s="18"/>
      <c r="P66" s="284" t="s">
        <v>454</v>
      </c>
      <c r="Q66" s="285"/>
      <c r="R66" s="286">
        <v>0.85</v>
      </c>
      <c r="S66" s="287" t="s">
        <v>204</v>
      </c>
      <c r="T66" s="18"/>
      <c r="U66" s="262" t="s">
        <v>455</v>
      </c>
      <c r="V66" s="263">
        <v>4.97</v>
      </c>
      <c r="W66" s="264" t="s">
        <v>390</v>
      </c>
      <c r="X66" s="18"/>
      <c r="Y66" s="18"/>
      <c r="Z66" s="18"/>
    </row>
    <row r="67" spans="1:26" ht="12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284" t="s">
        <v>456</v>
      </c>
      <c r="Q67" s="285"/>
      <c r="R67" s="286">
        <v>1.28</v>
      </c>
      <c r="S67" s="287" t="s">
        <v>204</v>
      </c>
      <c r="T67" s="18"/>
      <c r="U67" s="262" t="s">
        <v>457</v>
      </c>
      <c r="V67" s="263">
        <v>2.94</v>
      </c>
      <c r="W67" s="264" t="s">
        <v>392</v>
      </c>
      <c r="X67" s="18"/>
      <c r="Y67" s="18"/>
      <c r="Z67" s="18"/>
    </row>
    <row r="68" spans="1:26" ht="12.75" customHeight="1">
      <c r="A68" s="18"/>
      <c r="B68" s="18"/>
      <c r="C68" s="18"/>
      <c r="D68" s="18"/>
      <c r="E68" s="18"/>
      <c r="F68" s="18"/>
      <c r="G68" s="18"/>
      <c r="H68" s="18"/>
      <c r="I68" s="69" t="s">
        <v>32</v>
      </c>
      <c r="J68" s="291" t="s">
        <v>458</v>
      </c>
      <c r="K68" s="32"/>
      <c r="L68" s="71" t="s">
        <v>189</v>
      </c>
      <c r="M68" s="292" t="e">
        <f>VLOOKUP(CONCATENATE($D$2,$I$68),$U$29:$W$199,2,FALSE)*($D$4/1000)</f>
        <v>#N/A</v>
      </c>
      <c r="N68" s="102" t="s">
        <v>204</v>
      </c>
      <c r="O68" s="18"/>
      <c r="P68" s="284" t="s">
        <v>459</v>
      </c>
      <c r="Q68" s="285"/>
      <c r="R68" s="286">
        <v>0.95</v>
      </c>
      <c r="S68" s="287" t="s">
        <v>204</v>
      </c>
      <c r="T68" s="18"/>
      <c r="U68" s="262" t="s">
        <v>460</v>
      </c>
      <c r="V68" s="263">
        <v>32.04</v>
      </c>
      <c r="W68" s="264" t="s">
        <v>387</v>
      </c>
      <c r="X68" s="18"/>
      <c r="Y68" s="18"/>
      <c r="Z68" s="18"/>
    </row>
    <row r="69" spans="1:26" ht="12.75" customHeight="1">
      <c r="A69" s="18"/>
      <c r="B69" s="18"/>
      <c r="C69" s="18"/>
      <c r="D69" s="18"/>
      <c r="E69" s="18"/>
      <c r="F69" s="18"/>
      <c r="G69" s="18"/>
      <c r="H69" s="18"/>
      <c r="I69" s="69" t="s">
        <v>16</v>
      </c>
      <c r="J69" s="291" t="s">
        <v>461</v>
      </c>
      <c r="K69" s="32"/>
      <c r="L69" s="71" t="s">
        <v>189</v>
      </c>
      <c r="M69" s="293">
        <f t="array" ref="M69">2*INDEX($R$61:$R$71,$T$59)</f>
        <v>1.02</v>
      </c>
      <c r="N69" s="102" t="s">
        <v>204</v>
      </c>
      <c r="O69" s="18"/>
      <c r="P69" s="284" t="s">
        <v>462</v>
      </c>
      <c r="Q69" s="285"/>
      <c r="R69" s="286">
        <v>0.76</v>
      </c>
      <c r="S69" s="287" t="s">
        <v>204</v>
      </c>
      <c r="T69" s="18"/>
      <c r="U69" s="262" t="s">
        <v>463</v>
      </c>
      <c r="V69" s="263">
        <v>7.99</v>
      </c>
      <c r="W69" s="264" t="s">
        <v>390</v>
      </c>
      <c r="X69" s="18"/>
      <c r="Y69" s="18"/>
      <c r="Z69" s="18"/>
    </row>
    <row r="70" spans="1:26" ht="12.75" customHeight="1" thickBot="1">
      <c r="A70" s="18"/>
      <c r="B70" s="18"/>
      <c r="C70" s="18"/>
      <c r="D70" s="18"/>
      <c r="E70" s="18"/>
      <c r="F70" s="18"/>
      <c r="G70" s="18"/>
      <c r="H70" s="18"/>
      <c r="I70" s="32"/>
      <c r="J70" s="32"/>
      <c r="K70" s="32"/>
      <c r="L70" s="71"/>
      <c r="M70" s="32"/>
      <c r="N70" s="32"/>
      <c r="O70" s="18"/>
      <c r="P70" s="284" t="s">
        <v>464</v>
      </c>
      <c r="Q70" s="285"/>
      <c r="R70" s="286">
        <v>1.4</v>
      </c>
      <c r="S70" s="287" t="s">
        <v>204</v>
      </c>
      <c r="T70" s="18"/>
      <c r="U70" s="262" t="s">
        <v>465</v>
      </c>
      <c r="V70" s="263">
        <v>3.52</v>
      </c>
      <c r="W70" s="264" t="s">
        <v>466</v>
      </c>
      <c r="X70" s="18"/>
      <c r="Y70" s="18"/>
      <c r="Z70" s="18"/>
    </row>
    <row r="71" spans="1:26" ht="12.75" customHeight="1" thickBot="1">
      <c r="A71" s="18"/>
      <c r="B71" s="18"/>
      <c r="C71" s="18"/>
      <c r="D71" s="18"/>
      <c r="E71" s="18"/>
      <c r="F71" s="18"/>
      <c r="G71" s="18"/>
      <c r="H71" s="18"/>
      <c r="I71" s="32"/>
      <c r="J71" s="105"/>
      <c r="K71" s="107" t="s">
        <v>467</v>
      </c>
      <c r="L71" s="294" t="s">
        <v>189</v>
      </c>
      <c r="M71" s="295" t="e">
        <f>SUM(M68:M69)+1</f>
        <v>#N/A</v>
      </c>
      <c r="N71" s="296" t="s">
        <v>204</v>
      </c>
      <c r="O71" s="18"/>
      <c r="P71" s="297" t="s">
        <v>468</v>
      </c>
      <c r="Q71" s="298"/>
      <c r="R71" s="299">
        <v>0.72</v>
      </c>
      <c r="S71" s="300" t="s">
        <v>204</v>
      </c>
      <c r="T71" s="18"/>
      <c r="U71" s="288" t="s">
        <v>469</v>
      </c>
      <c r="V71" s="289">
        <v>48.24</v>
      </c>
      <c r="W71" s="290" t="s">
        <v>387</v>
      </c>
      <c r="X71" s="18"/>
      <c r="Y71" s="18"/>
      <c r="Z71" s="18"/>
    </row>
    <row r="72" spans="1:26" ht="12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288" t="s">
        <v>470</v>
      </c>
      <c r="V72" s="289">
        <v>10.87</v>
      </c>
      <c r="W72" s="290" t="s">
        <v>390</v>
      </c>
      <c r="X72" s="18"/>
      <c r="Y72" s="18"/>
      <c r="Z72" s="18"/>
    </row>
    <row r="73" spans="1:26" ht="12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288" t="s">
        <v>471</v>
      </c>
      <c r="V73" s="289">
        <v>3.89</v>
      </c>
      <c r="W73" s="290" t="s">
        <v>392</v>
      </c>
      <c r="X73" s="18"/>
      <c r="Y73" s="18"/>
      <c r="Z73" s="18"/>
    </row>
    <row r="74" spans="1:26" ht="12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288" t="s">
        <v>472</v>
      </c>
      <c r="V74" s="289">
        <v>63.89</v>
      </c>
      <c r="W74" s="290" t="s">
        <v>473</v>
      </c>
      <c r="X74" s="18"/>
      <c r="Y74" s="18"/>
      <c r="Z74" s="18"/>
    </row>
    <row r="75" spans="1:26" ht="12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288" t="s">
        <v>474</v>
      </c>
      <c r="V75" s="289">
        <v>12.98</v>
      </c>
      <c r="W75" s="290" t="s">
        <v>475</v>
      </c>
      <c r="X75" s="18"/>
      <c r="Y75" s="18"/>
      <c r="Z75" s="18"/>
    </row>
    <row r="76" spans="1:26" ht="12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288" t="s">
        <v>476</v>
      </c>
      <c r="V76" s="289">
        <v>4.59</v>
      </c>
      <c r="W76" s="290" t="s">
        <v>466</v>
      </c>
      <c r="X76" s="18"/>
      <c r="Y76" s="18"/>
      <c r="Z76" s="18"/>
    </row>
    <row r="77" spans="1:26" ht="12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288" t="s">
        <v>477</v>
      </c>
      <c r="V77" s="289">
        <v>80.47</v>
      </c>
      <c r="W77" s="290" t="s">
        <v>473</v>
      </c>
      <c r="X77" s="18"/>
      <c r="Y77" s="18"/>
      <c r="Z77" s="18"/>
    </row>
    <row r="78" spans="1:26" ht="12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288" t="s">
        <v>479</v>
      </c>
      <c r="V78" s="289">
        <v>15.02</v>
      </c>
      <c r="W78" s="290" t="s">
        <v>475</v>
      </c>
      <c r="X78" s="18"/>
      <c r="Y78" s="18"/>
      <c r="Z78" s="18"/>
    </row>
    <row r="79" spans="1:26" ht="12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288" t="s">
        <v>481</v>
      </c>
      <c r="V79" s="289">
        <v>4.88</v>
      </c>
      <c r="W79" s="290" t="s">
        <v>466</v>
      </c>
      <c r="X79" s="18"/>
      <c r="Y79" s="18"/>
      <c r="Z79" s="18"/>
    </row>
    <row r="80" spans="1:26" ht="12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288" t="s">
        <v>482</v>
      </c>
      <c r="V80" s="289">
        <v>101.85</v>
      </c>
      <c r="W80" s="290" t="s">
        <v>473</v>
      </c>
      <c r="X80" s="18"/>
      <c r="Y80" s="18"/>
      <c r="Z80" s="18"/>
    </row>
    <row r="81" spans="1:26" ht="12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288" t="s">
        <v>484</v>
      </c>
      <c r="V81" s="289">
        <v>17.43</v>
      </c>
      <c r="W81" s="290" t="s">
        <v>475</v>
      </c>
      <c r="X81" s="18"/>
      <c r="Y81" s="18"/>
      <c r="Z81" s="18"/>
    </row>
    <row r="82" spans="1:26" ht="12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288" t="s">
        <v>486</v>
      </c>
      <c r="V82" s="289">
        <v>5.17</v>
      </c>
      <c r="W82" s="290" t="s">
        <v>466</v>
      </c>
      <c r="X82" s="18"/>
      <c r="Y82" s="18"/>
      <c r="Z82" s="18"/>
    </row>
    <row r="83" spans="1:26" ht="12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288" t="s">
        <v>487</v>
      </c>
      <c r="V83" s="289">
        <v>126.52</v>
      </c>
      <c r="W83" s="290" t="s">
        <v>473</v>
      </c>
      <c r="X83" s="18"/>
      <c r="Y83" s="18"/>
      <c r="Z83" s="18"/>
    </row>
    <row r="84" spans="1:26" ht="12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88" t="s">
        <v>489</v>
      </c>
      <c r="V84" s="289">
        <v>19.989999999999998</v>
      </c>
      <c r="W84" s="290" t="s">
        <v>475</v>
      </c>
      <c r="X84" s="18"/>
      <c r="Y84" s="18"/>
      <c r="Z84" s="18"/>
    </row>
    <row r="85" spans="1:26" ht="12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288" t="s">
        <v>491</v>
      </c>
      <c r="V85" s="289">
        <v>5.47</v>
      </c>
      <c r="W85" s="290" t="s">
        <v>466</v>
      </c>
      <c r="X85" s="18"/>
      <c r="Y85" s="18"/>
      <c r="Z85" s="18"/>
    </row>
    <row r="86" spans="1:26" ht="12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262" t="s">
        <v>492</v>
      </c>
      <c r="V86" s="263">
        <v>151.69999999999999</v>
      </c>
      <c r="W86" s="264" t="s">
        <v>473</v>
      </c>
      <c r="X86" s="18"/>
      <c r="Y86" s="18"/>
      <c r="Z86" s="18"/>
    </row>
    <row r="87" spans="1:26" ht="12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262" t="s">
        <v>494</v>
      </c>
      <c r="V87" s="263">
        <v>22.41</v>
      </c>
      <c r="W87" s="264" t="s">
        <v>475</v>
      </c>
      <c r="X87" s="18"/>
      <c r="Y87" s="18"/>
      <c r="Z87" s="18"/>
    </row>
    <row r="88" spans="1:26" ht="12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262" t="s">
        <v>496</v>
      </c>
      <c r="V88" s="263">
        <v>5.81</v>
      </c>
      <c r="W88" s="264" t="s">
        <v>466</v>
      </c>
      <c r="X88" s="18"/>
      <c r="Y88" s="18"/>
      <c r="Z88" s="18"/>
    </row>
    <row r="89" spans="1:26" ht="12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262" t="s">
        <v>497</v>
      </c>
      <c r="V89" s="263">
        <v>183.16</v>
      </c>
      <c r="W89" s="264" t="s">
        <v>473</v>
      </c>
      <c r="X89" s="18"/>
      <c r="Y89" s="18"/>
      <c r="Z89" s="18"/>
    </row>
    <row r="90" spans="1:26" ht="12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262" t="s">
        <v>499</v>
      </c>
      <c r="V90" s="263">
        <v>25.23</v>
      </c>
      <c r="W90" s="264" t="s">
        <v>475</v>
      </c>
      <c r="X90" s="18"/>
      <c r="Y90" s="18"/>
      <c r="Z90" s="18"/>
    </row>
    <row r="91" spans="1:26" ht="12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262" t="s">
        <v>501</v>
      </c>
      <c r="V91" s="263">
        <v>6.05</v>
      </c>
      <c r="W91" s="264" t="s">
        <v>466</v>
      </c>
      <c r="X91" s="18"/>
      <c r="Y91" s="18"/>
      <c r="Z91" s="18"/>
    </row>
    <row r="92" spans="1:26" ht="12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262" t="s">
        <v>502</v>
      </c>
      <c r="V92" s="263">
        <v>214.75</v>
      </c>
      <c r="W92" s="264" t="s">
        <v>473</v>
      </c>
      <c r="X92" s="18"/>
      <c r="Y92" s="18"/>
      <c r="Z92" s="18"/>
    </row>
    <row r="93" spans="1:26" ht="12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262" t="s">
        <v>504</v>
      </c>
      <c r="V93" s="263">
        <v>27.89</v>
      </c>
      <c r="W93" s="264" t="s">
        <v>475</v>
      </c>
      <c r="X93" s="18"/>
      <c r="Y93" s="18"/>
      <c r="Z93" s="18"/>
    </row>
    <row r="94" spans="1:26" ht="12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262" t="s">
        <v>506</v>
      </c>
      <c r="V94" s="263">
        <v>6.33</v>
      </c>
      <c r="W94" s="264" t="s">
        <v>466</v>
      </c>
      <c r="X94" s="18"/>
      <c r="Y94" s="18"/>
      <c r="Z94" s="18"/>
    </row>
    <row r="95" spans="1:26" ht="12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262" t="s">
        <v>507</v>
      </c>
      <c r="V95" s="263">
        <v>253.68</v>
      </c>
      <c r="W95" s="264" t="s">
        <v>473</v>
      </c>
      <c r="X95" s="18"/>
      <c r="Y95" s="18"/>
      <c r="Z95" s="18"/>
    </row>
    <row r="96" spans="1:26" ht="12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301" t="s">
        <v>509</v>
      </c>
      <c r="V96" s="302">
        <v>30.96</v>
      </c>
      <c r="W96" s="303" t="s">
        <v>475</v>
      </c>
      <c r="X96" s="18"/>
      <c r="Y96" s="18"/>
      <c r="Z96" s="18"/>
    </row>
    <row r="97" spans="1:26" ht="12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262" t="s">
        <v>511</v>
      </c>
      <c r="V97" s="263">
        <v>6.63</v>
      </c>
      <c r="W97" s="264" t="s">
        <v>466</v>
      </c>
      <c r="X97" s="18"/>
      <c r="Y97" s="18"/>
      <c r="Z97" s="18"/>
    </row>
    <row r="98" spans="1:26" ht="12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288" t="s">
        <v>512</v>
      </c>
      <c r="V98" s="289">
        <v>59</v>
      </c>
      <c r="W98" s="290" t="s">
        <v>473</v>
      </c>
      <c r="X98" s="18"/>
      <c r="Y98" s="18"/>
      <c r="Z98" s="18"/>
    </row>
    <row r="99" spans="1:26" ht="12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288" t="s">
        <v>514</v>
      </c>
      <c r="V99" s="289">
        <v>13.4</v>
      </c>
      <c r="W99" s="290" t="s">
        <v>475</v>
      </c>
      <c r="X99" s="18"/>
      <c r="Y99" s="18"/>
      <c r="Z99" s="18"/>
    </row>
    <row r="100" spans="1:26" ht="12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288" t="s">
        <v>516</v>
      </c>
      <c r="V100" s="289">
        <v>5.4</v>
      </c>
      <c r="W100" s="290" t="s">
        <v>466</v>
      </c>
      <c r="X100" s="18"/>
      <c r="Y100" s="18"/>
      <c r="Z100" s="18"/>
    </row>
    <row r="101" spans="1:26" ht="12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288" t="s">
        <v>517</v>
      </c>
      <c r="V101" s="289">
        <v>77.2</v>
      </c>
      <c r="W101" s="290" t="s">
        <v>473</v>
      </c>
      <c r="X101" s="18"/>
      <c r="Y101" s="18"/>
      <c r="Z101" s="18"/>
    </row>
    <row r="102" spans="1:26" ht="12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288" t="s">
        <v>519</v>
      </c>
      <c r="V102" s="289">
        <v>15.75</v>
      </c>
      <c r="W102" s="290" t="s">
        <v>475</v>
      </c>
      <c r="X102" s="18"/>
      <c r="Y102" s="18"/>
      <c r="Z102" s="18"/>
    </row>
    <row r="103" spans="1:26" ht="12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288" t="s">
        <v>521</v>
      </c>
      <c r="V103" s="289">
        <v>5.76</v>
      </c>
      <c r="W103" s="290" t="s">
        <v>466</v>
      </c>
      <c r="X103" s="18"/>
      <c r="Y103" s="18"/>
      <c r="Z103" s="18"/>
    </row>
    <row r="104" spans="1:26" ht="12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288" t="s">
        <v>522</v>
      </c>
      <c r="V104" s="289">
        <v>98.5</v>
      </c>
      <c r="W104" s="290" t="s">
        <v>473</v>
      </c>
      <c r="X104" s="18"/>
      <c r="Y104" s="18"/>
      <c r="Z104" s="18"/>
    </row>
    <row r="105" spans="1:26" ht="12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288" t="s">
        <v>524</v>
      </c>
      <c r="V105" s="289">
        <v>18.579999999999998</v>
      </c>
      <c r="W105" s="290" t="s">
        <v>475</v>
      </c>
      <c r="X105" s="18"/>
      <c r="Y105" s="18"/>
      <c r="Z105" s="18"/>
    </row>
    <row r="106" spans="1:26" ht="12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288" t="s">
        <v>526</v>
      </c>
      <c r="V106" s="289">
        <v>6.09</v>
      </c>
      <c r="W106" s="290" t="s">
        <v>466</v>
      </c>
      <c r="X106" s="18"/>
      <c r="Y106" s="18"/>
      <c r="Z106" s="18"/>
    </row>
    <row r="107" spans="1:26" ht="12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288" t="s">
        <v>527</v>
      </c>
      <c r="V107" s="289">
        <v>124</v>
      </c>
      <c r="W107" s="290" t="s">
        <v>473</v>
      </c>
      <c r="X107" s="18"/>
      <c r="Y107" s="18"/>
      <c r="Z107" s="18"/>
    </row>
    <row r="108" spans="1:26" ht="12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288" t="s">
        <v>529</v>
      </c>
      <c r="V108" s="289">
        <v>21.37</v>
      </c>
      <c r="W108" s="290" t="s">
        <v>475</v>
      </c>
      <c r="X108" s="18"/>
      <c r="Y108" s="18"/>
      <c r="Z108" s="18"/>
    </row>
    <row r="109" spans="1:26" ht="12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288" t="s">
        <v>531</v>
      </c>
      <c r="V109" s="289">
        <v>6.48</v>
      </c>
      <c r="W109" s="290" t="s">
        <v>466</v>
      </c>
      <c r="X109" s="18"/>
      <c r="Y109" s="18"/>
      <c r="Z109" s="18"/>
    </row>
    <row r="110" spans="1:26" ht="12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288" t="s">
        <v>532</v>
      </c>
      <c r="V110" s="289">
        <v>152</v>
      </c>
      <c r="W110" s="290" t="s">
        <v>473</v>
      </c>
      <c r="X110" s="18"/>
      <c r="Y110" s="18"/>
      <c r="Z110" s="18"/>
    </row>
    <row r="111" spans="1:26" ht="12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288" t="s">
        <v>534</v>
      </c>
      <c r="V111" s="289">
        <v>24.12</v>
      </c>
      <c r="W111" s="290" t="s">
        <v>475</v>
      </c>
      <c r="X111" s="18"/>
      <c r="Y111" s="18"/>
      <c r="Z111" s="18"/>
    </row>
    <row r="112" spans="1:26" ht="12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288" t="s">
        <v>536</v>
      </c>
      <c r="V112" s="289">
        <v>6.81</v>
      </c>
      <c r="W112" s="290" t="s">
        <v>466</v>
      </c>
      <c r="X112" s="18"/>
      <c r="Y112" s="18"/>
      <c r="Z112" s="18"/>
    </row>
    <row r="113" spans="1:26" ht="12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288" t="s">
        <v>537</v>
      </c>
      <c r="V113" s="289">
        <v>184</v>
      </c>
      <c r="W113" s="290" t="s">
        <v>473</v>
      </c>
      <c r="X113" s="18"/>
      <c r="Y113" s="18"/>
      <c r="Z113" s="18"/>
    </row>
    <row r="114" spans="1:26" ht="12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288" t="s">
        <v>539</v>
      </c>
      <c r="V114" s="289">
        <v>24.17</v>
      </c>
      <c r="W114" s="290" t="s">
        <v>475</v>
      </c>
      <c r="X114" s="18"/>
      <c r="Y114" s="18"/>
      <c r="Z114" s="18"/>
    </row>
    <row r="115" spans="1:26" ht="12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288" t="s">
        <v>541</v>
      </c>
      <c r="V115" s="289">
        <v>7.14</v>
      </c>
      <c r="W115" s="290" t="s">
        <v>466</v>
      </c>
      <c r="X115" s="18"/>
      <c r="Y115" s="18"/>
      <c r="Z115" s="18"/>
    </row>
    <row r="116" spans="1:26" ht="12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288" t="s">
        <v>542</v>
      </c>
      <c r="V116" s="289">
        <v>220</v>
      </c>
      <c r="W116" s="290" t="s">
        <v>473</v>
      </c>
      <c r="X116" s="18"/>
      <c r="Y116" s="18"/>
      <c r="Z116" s="18"/>
    </row>
    <row r="117" spans="1:26" ht="12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288" t="s">
        <v>544</v>
      </c>
      <c r="V117" s="289">
        <v>20.55</v>
      </c>
      <c r="W117" s="290" t="s">
        <v>475</v>
      </c>
      <c r="X117" s="18"/>
      <c r="Y117" s="18"/>
      <c r="Z117" s="18"/>
    </row>
    <row r="118" spans="1:26" ht="12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288" t="s">
        <v>546</v>
      </c>
      <c r="V118" s="289">
        <v>7.5</v>
      </c>
      <c r="W118" s="290" t="s">
        <v>466</v>
      </c>
      <c r="X118" s="18"/>
      <c r="Y118" s="18"/>
      <c r="Z118" s="18"/>
    </row>
    <row r="119" spans="1:26" ht="12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288" t="s">
        <v>547</v>
      </c>
      <c r="V119" s="289">
        <v>261</v>
      </c>
      <c r="W119" s="290" t="s">
        <v>473</v>
      </c>
      <c r="X119" s="18"/>
      <c r="Y119" s="18"/>
      <c r="Z119" s="18"/>
    </row>
    <row r="120" spans="1:26" ht="12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288" t="s">
        <v>549</v>
      </c>
      <c r="V120" s="289">
        <v>33.89</v>
      </c>
      <c r="W120" s="290" t="s">
        <v>475</v>
      </c>
      <c r="X120" s="18"/>
      <c r="Y120" s="18"/>
      <c r="Z120" s="18"/>
    </row>
    <row r="121" spans="1:26" ht="12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288" t="s">
        <v>551</v>
      </c>
      <c r="V121" s="289">
        <v>7.83</v>
      </c>
      <c r="W121" s="290" t="s">
        <v>466</v>
      </c>
      <c r="X121" s="18"/>
      <c r="Y121" s="18"/>
      <c r="Z121" s="18"/>
    </row>
    <row r="122" spans="1:26" ht="12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288" t="s">
        <v>552</v>
      </c>
      <c r="V122" s="289">
        <v>306</v>
      </c>
      <c r="W122" s="290" t="s">
        <v>473</v>
      </c>
      <c r="X122" s="18"/>
      <c r="Y122" s="18"/>
      <c r="Z122" s="18"/>
    </row>
    <row r="123" spans="1:26" ht="12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288" t="s">
        <v>554</v>
      </c>
      <c r="V123" s="289">
        <v>37.450000000000003</v>
      </c>
      <c r="W123" s="290" t="s">
        <v>475</v>
      </c>
      <c r="X123" s="18"/>
      <c r="Y123" s="18"/>
      <c r="Z123" s="18"/>
    </row>
    <row r="124" spans="1:26" ht="12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288" t="s">
        <v>556</v>
      </c>
      <c r="V124" s="289">
        <v>8.1999999999999993</v>
      </c>
      <c r="W124" s="290" t="s">
        <v>466</v>
      </c>
      <c r="X124" s="18"/>
      <c r="Y124" s="18"/>
      <c r="Z124" s="18"/>
    </row>
    <row r="125" spans="1:26" ht="12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262" t="s">
        <v>557</v>
      </c>
      <c r="V125" s="263">
        <v>45.3</v>
      </c>
      <c r="W125" s="264" t="s">
        <v>473</v>
      </c>
      <c r="X125" s="18"/>
      <c r="Y125" s="18"/>
      <c r="Z125" s="18"/>
    </row>
    <row r="126" spans="1:26" ht="12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262" t="s">
        <v>559</v>
      </c>
      <c r="V126" s="263">
        <v>10.29</v>
      </c>
      <c r="W126" s="264" t="s">
        <v>475</v>
      </c>
      <c r="X126" s="18"/>
      <c r="Y126" s="18"/>
      <c r="Z126" s="18"/>
    </row>
    <row r="127" spans="1:26" ht="12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262" t="s">
        <v>561</v>
      </c>
      <c r="V127" s="263">
        <v>3.89</v>
      </c>
      <c r="W127" s="264" t="s">
        <v>466</v>
      </c>
      <c r="X127" s="18"/>
      <c r="Y127" s="18"/>
      <c r="Z127" s="18"/>
    </row>
    <row r="128" spans="1:26" ht="12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262" t="s">
        <v>562</v>
      </c>
      <c r="V128" s="263">
        <v>59.1</v>
      </c>
      <c r="W128" s="264" t="s">
        <v>473</v>
      </c>
      <c r="X128" s="18"/>
      <c r="Y128" s="18"/>
      <c r="Z128" s="18"/>
    </row>
    <row r="129" spans="1:26" ht="12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262" t="s">
        <v>564</v>
      </c>
      <c r="V129" s="263">
        <v>12.06</v>
      </c>
      <c r="W129" s="264" t="s">
        <v>475</v>
      </c>
      <c r="X129" s="18"/>
      <c r="Y129" s="18"/>
      <c r="Z129" s="18"/>
    </row>
    <row r="130" spans="1:26" ht="12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262" t="s">
        <v>566</v>
      </c>
      <c r="V130" s="263">
        <v>4.16</v>
      </c>
      <c r="W130" s="264" t="s">
        <v>466</v>
      </c>
      <c r="X130" s="18"/>
      <c r="Y130" s="18"/>
      <c r="Z130" s="18"/>
    </row>
    <row r="131" spans="1:26" ht="12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262" t="s">
        <v>567</v>
      </c>
      <c r="V131" s="263">
        <v>75.099999999999994</v>
      </c>
      <c r="W131" s="264" t="s">
        <v>473</v>
      </c>
      <c r="X131" s="18"/>
      <c r="Y131" s="18"/>
      <c r="Z131" s="18"/>
    </row>
    <row r="132" spans="1:26" ht="12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262" t="s">
        <v>569</v>
      </c>
      <c r="V132" s="263">
        <v>14.16</v>
      </c>
      <c r="W132" s="264" t="s">
        <v>475</v>
      </c>
      <c r="X132" s="18"/>
      <c r="Y132" s="18"/>
      <c r="Z132" s="18"/>
    </row>
    <row r="133" spans="1:26" ht="12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262" t="s">
        <v>571</v>
      </c>
      <c r="V133" s="263">
        <v>4.42</v>
      </c>
      <c r="W133" s="264" t="s">
        <v>466</v>
      </c>
      <c r="X133" s="18"/>
      <c r="Y133" s="18"/>
      <c r="Z133" s="18"/>
    </row>
    <row r="134" spans="1:26" ht="12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262" t="s">
        <v>572</v>
      </c>
      <c r="V134" s="263">
        <v>94.3</v>
      </c>
      <c r="W134" s="264" t="s">
        <v>473</v>
      </c>
      <c r="X134" s="18"/>
      <c r="Y134" s="18"/>
      <c r="Z134" s="18"/>
    </row>
    <row r="135" spans="1:26" ht="12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262" t="s">
        <v>574</v>
      </c>
      <c r="V135" s="263">
        <v>16.25</v>
      </c>
      <c r="W135" s="264" t="s">
        <v>475</v>
      </c>
      <c r="X135" s="18"/>
      <c r="Y135" s="18"/>
      <c r="Z135" s="18"/>
    </row>
    <row r="136" spans="1:26" ht="12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262" t="s">
        <v>576</v>
      </c>
      <c r="V136" s="263">
        <v>4.68</v>
      </c>
      <c r="W136" s="264" t="s">
        <v>466</v>
      </c>
      <c r="X136" s="18"/>
      <c r="Y136" s="18"/>
      <c r="Z136" s="18"/>
    </row>
    <row r="137" spans="1:26" ht="12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262" t="s">
        <v>577</v>
      </c>
      <c r="V137" s="263">
        <v>116</v>
      </c>
      <c r="W137" s="264" t="s">
        <v>473</v>
      </c>
      <c r="X137" s="18"/>
      <c r="Y137" s="18"/>
      <c r="Z137" s="18"/>
    </row>
    <row r="138" spans="1:26" ht="12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262" t="s">
        <v>579</v>
      </c>
      <c r="V138" s="263">
        <v>18.41</v>
      </c>
      <c r="W138" s="264" t="s">
        <v>475</v>
      </c>
      <c r="X138" s="18"/>
      <c r="Y138" s="18"/>
      <c r="Z138" s="18"/>
    </row>
    <row r="139" spans="1:26" ht="12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262" t="s">
        <v>581</v>
      </c>
      <c r="V139" s="263">
        <v>4.9400000000000004</v>
      </c>
      <c r="W139" s="264" t="s">
        <v>466</v>
      </c>
      <c r="X139" s="18"/>
      <c r="Y139" s="18"/>
      <c r="Z139" s="18"/>
    </row>
    <row r="140" spans="1:26" ht="12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262" t="s">
        <v>582</v>
      </c>
      <c r="V140" s="263">
        <v>140</v>
      </c>
      <c r="W140" s="264" t="s">
        <v>473</v>
      </c>
      <c r="X140" s="18"/>
      <c r="Y140" s="18"/>
      <c r="Z140" s="18"/>
    </row>
    <row r="141" spans="1:26" ht="12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262" t="s">
        <v>584</v>
      </c>
      <c r="V141" s="263">
        <v>20.67</v>
      </c>
      <c r="W141" s="264" t="s">
        <v>475</v>
      </c>
      <c r="X141" s="18"/>
      <c r="Y141" s="18"/>
      <c r="Z141" s="18"/>
    </row>
    <row r="142" spans="1:26" ht="12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262" t="s">
        <v>586</v>
      </c>
      <c r="V142" s="263">
        <v>5.26</v>
      </c>
      <c r="W142" s="264" t="s">
        <v>466</v>
      </c>
      <c r="X142" s="18"/>
      <c r="Y142" s="18"/>
      <c r="Z142" s="18"/>
    </row>
    <row r="143" spans="1:26" ht="12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262" t="s">
        <v>587</v>
      </c>
      <c r="V143" s="263">
        <v>168</v>
      </c>
      <c r="W143" s="264" t="s">
        <v>473</v>
      </c>
      <c r="X143" s="18"/>
      <c r="Y143" s="18"/>
      <c r="Z143" s="18"/>
    </row>
    <row r="144" spans="1:26" ht="12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262" t="s">
        <v>589</v>
      </c>
      <c r="V144" s="263">
        <v>23.33</v>
      </c>
      <c r="W144" s="264" t="s">
        <v>475</v>
      </c>
      <c r="X144" s="18"/>
      <c r="Y144" s="18"/>
      <c r="Z144" s="18"/>
    </row>
    <row r="145" spans="1:26" ht="12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262" t="s">
        <v>591</v>
      </c>
      <c r="V145" s="263">
        <v>5.47</v>
      </c>
      <c r="W145" s="264" t="s">
        <v>466</v>
      </c>
      <c r="X145" s="18"/>
      <c r="Y145" s="18"/>
      <c r="Z145" s="18"/>
    </row>
    <row r="146" spans="1:26" ht="12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262" t="s">
        <v>592</v>
      </c>
      <c r="V146" s="263">
        <v>199</v>
      </c>
      <c r="W146" s="264" t="s">
        <v>473</v>
      </c>
      <c r="X146" s="18"/>
      <c r="Y146" s="18"/>
      <c r="Z146" s="18"/>
    </row>
    <row r="147" spans="1:26" ht="12.75" customHeight="1">
      <c r="A147" s="18"/>
      <c r="B147" s="18"/>
      <c r="C147" s="18"/>
      <c r="D147" s="18"/>
      <c r="E147" s="18"/>
      <c r="F147" s="18"/>
      <c r="G147" s="18"/>
      <c r="H147" s="304" t="s">
        <v>70</v>
      </c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262" t="s">
        <v>594</v>
      </c>
      <c r="V147" s="263">
        <v>25.84</v>
      </c>
      <c r="W147" s="264" t="s">
        <v>475</v>
      </c>
      <c r="X147" s="18"/>
      <c r="Y147" s="18"/>
      <c r="Z147" s="18"/>
    </row>
    <row r="148" spans="1:26" ht="12.75" customHeight="1">
      <c r="A148" s="18"/>
      <c r="B148" s="18"/>
      <c r="C148" s="18"/>
      <c r="D148" s="18"/>
      <c r="E148" s="18"/>
      <c r="F148" s="18"/>
      <c r="G148" s="18"/>
      <c r="H148" s="304" t="s">
        <v>11</v>
      </c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262" t="s">
        <v>596</v>
      </c>
      <c r="V148" s="263">
        <v>5.73</v>
      </c>
      <c r="W148" s="264" t="s">
        <v>466</v>
      </c>
      <c r="X148" s="18"/>
      <c r="Y148" s="18"/>
      <c r="Z148" s="18"/>
    </row>
    <row r="149" spans="1:26" ht="12.75" customHeight="1">
      <c r="A149" s="18"/>
      <c r="B149" s="18"/>
      <c r="C149" s="18"/>
      <c r="D149" s="18"/>
      <c r="E149" s="18"/>
      <c r="F149" s="18"/>
      <c r="G149" s="18"/>
      <c r="H149" s="305" t="s">
        <v>75</v>
      </c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262" t="s">
        <v>597</v>
      </c>
      <c r="V149" s="263">
        <v>233</v>
      </c>
      <c r="W149" s="264" t="s">
        <v>473</v>
      </c>
      <c r="X149" s="18"/>
      <c r="Y149" s="18"/>
      <c r="Z149" s="18"/>
    </row>
    <row r="150" spans="1:26" ht="12.75" customHeight="1">
      <c r="A150" s="18"/>
      <c r="B150" s="18"/>
      <c r="C150" s="18"/>
      <c r="D150" s="18"/>
      <c r="E150" s="18"/>
      <c r="F150" s="18"/>
      <c r="G150" s="18"/>
      <c r="H150" s="305" t="s">
        <v>79</v>
      </c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262" t="s">
        <v>599</v>
      </c>
      <c r="V150" s="263">
        <v>28.51</v>
      </c>
      <c r="W150" s="264" t="s">
        <v>475</v>
      </c>
      <c r="X150" s="18"/>
      <c r="Y150" s="18"/>
      <c r="Z150" s="18"/>
    </row>
    <row r="151" spans="1:26" ht="12.75" customHeight="1">
      <c r="A151" s="18"/>
      <c r="B151" s="18"/>
      <c r="C151" s="18"/>
      <c r="D151" s="18"/>
      <c r="E151" s="18"/>
      <c r="F151" s="18"/>
      <c r="G151" s="18"/>
      <c r="H151" s="305" t="s">
        <v>83</v>
      </c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262" t="s">
        <v>601</v>
      </c>
      <c r="V151" s="263">
        <v>5.99</v>
      </c>
      <c r="W151" s="264" t="s">
        <v>466</v>
      </c>
      <c r="X151" s="18"/>
      <c r="Y151" s="18"/>
      <c r="Z151" s="18"/>
    </row>
    <row r="152" spans="1:26" ht="12.75" customHeight="1">
      <c r="A152" s="18"/>
      <c r="B152" s="18"/>
      <c r="C152" s="18"/>
      <c r="D152" s="18"/>
      <c r="E152" s="18"/>
      <c r="F152" s="18"/>
      <c r="G152" s="18"/>
      <c r="H152" s="305" t="s">
        <v>87</v>
      </c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306" t="s">
        <v>602</v>
      </c>
      <c r="V152" s="307">
        <v>683</v>
      </c>
      <c r="W152" s="308" t="s">
        <v>387</v>
      </c>
      <c r="X152" s="18"/>
      <c r="Y152" s="18"/>
      <c r="Z152" s="18"/>
    </row>
    <row r="153" spans="1:26" ht="12.75" customHeight="1">
      <c r="A153" s="18"/>
      <c r="B153" s="18"/>
      <c r="C153" s="18"/>
      <c r="D153" s="18"/>
      <c r="E153" s="18"/>
      <c r="F153" s="18"/>
      <c r="G153" s="18"/>
      <c r="H153" s="305" t="s">
        <v>90</v>
      </c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306" t="s">
        <v>603</v>
      </c>
      <c r="V153" s="307">
        <v>91</v>
      </c>
      <c r="W153" s="308" t="s">
        <v>390</v>
      </c>
      <c r="X153" s="18"/>
      <c r="Y153" s="18"/>
      <c r="Z153" s="18"/>
    </row>
    <row r="154" spans="1:26" ht="12.75" customHeight="1">
      <c r="A154" s="18"/>
      <c r="B154" s="18"/>
      <c r="C154" s="18"/>
      <c r="D154" s="18"/>
      <c r="E154" s="18"/>
      <c r="F154" s="18"/>
      <c r="G154" s="18"/>
      <c r="H154" s="305" t="s">
        <v>95</v>
      </c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306" t="s">
        <v>604</v>
      </c>
      <c r="V154" s="307">
        <v>6.3</v>
      </c>
      <c r="W154" s="308" t="s">
        <v>392</v>
      </c>
      <c r="X154" s="18"/>
      <c r="Y154" s="18"/>
      <c r="Z154" s="18"/>
    </row>
    <row r="155" spans="1:26" ht="12.75" customHeight="1">
      <c r="A155" s="18"/>
      <c r="B155" s="18"/>
      <c r="C155" s="18"/>
      <c r="D155" s="18"/>
      <c r="E155" s="18"/>
      <c r="F155" s="18"/>
      <c r="G155" s="18"/>
      <c r="H155" s="305" t="s">
        <v>605</v>
      </c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306" t="s">
        <v>606</v>
      </c>
      <c r="V155" s="307">
        <v>920</v>
      </c>
      <c r="W155" s="308" t="s">
        <v>387</v>
      </c>
      <c r="X155" s="18"/>
      <c r="Y155" s="18"/>
      <c r="Z155" s="18"/>
    </row>
    <row r="156" spans="1:26" ht="12.75" customHeight="1">
      <c r="A156" s="18"/>
      <c r="B156" s="18"/>
      <c r="C156" s="18"/>
      <c r="D156" s="18"/>
      <c r="E156" s="18"/>
      <c r="F156" s="18"/>
      <c r="G156" s="18"/>
      <c r="H156" s="305" t="s">
        <v>103</v>
      </c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306" t="s">
        <v>607</v>
      </c>
      <c r="V156" s="307">
        <v>120</v>
      </c>
      <c r="W156" s="308" t="s">
        <v>390</v>
      </c>
      <c r="X156" s="18"/>
      <c r="Y156" s="18"/>
      <c r="Z156" s="18"/>
    </row>
    <row r="157" spans="1:26" ht="12.75" customHeight="1">
      <c r="A157" s="18"/>
      <c r="B157" s="18"/>
      <c r="C157" s="18"/>
      <c r="D157" s="18"/>
      <c r="E157" s="18"/>
      <c r="F157" s="18"/>
      <c r="G157" s="18"/>
      <c r="H157" s="305" t="s">
        <v>107</v>
      </c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306" t="s">
        <v>608</v>
      </c>
      <c r="V157" s="307">
        <v>6.3</v>
      </c>
      <c r="W157" s="308" t="s">
        <v>392</v>
      </c>
      <c r="X157" s="18"/>
      <c r="Y157" s="18"/>
      <c r="Z157" s="18"/>
    </row>
    <row r="158" spans="1:26" ht="12.75" customHeight="1">
      <c r="A158" s="18"/>
      <c r="B158" s="18"/>
      <c r="C158" s="18"/>
      <c r="D158" s="18"/>
      <c r="E158" s="18"/>
      <c r="F158" s="18"/>
      <c r="G158" s="18"/>
      <c r="H158" s="309" t="s">
        <v>112</v>
      </c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306" t="s">
        <v>609</v>
      </c>
      <c r="V158" s="307">
        <v>1336</v>
      </c>
      <c r="W158" s="308" t="s">
        <v>387</v>
      </c>
      <c r="X158" s="18"/>
      <c r="Y158" s="18"/>
      <c r="Z158" s="18"/>
    </row>
    <row r="159" spans="1:26" ht="12.75" customHeight="1">
      <c r="A159" s="18"/>
      <c r="B159" s="18"/>
      <c r="C159" s="18"/>
      <c r="D159" s="18"/>
      <c r="E159" s="18"/>
      <c r="F159" s="18"/>
      <c r="G159" s="18"/>
      <c r="H159" s="309" t="s">
        <v>113</v>
      </c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306" t="s">
        <v>610</v>
      </c>
      <c r="V159" s="307">
        <v>167</v>
      </c>
      <c r="W159" s="308" t="s">
        <v>390</v>
      </c>
      <c r="X159" s="18"/>
      <c r="Y159" s="18"/>
      <c r="Z159" s="18"/>
    </row>
    <row r="160" spans="1:26" ht="12.75" customHeight="1">
      <c r="A160" s="18"/>
      <c r="B160" s="18"/>
      <c r="C160" s="18"/>
      <c r="D160" s="18"/>
      <c r="E160" s="18"/>
      <c r="F160" s="18"/>
      <c r="G160" s="18"/>
      <c r="H160" s="309" t="s">
        <v>115</v>
      </c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306" t="s">
        <v>611</v>
      </c>
      <c r="V160" s="307">
        <v>6.6</v>
      </c>
      <c r="W160" s="308" t="s">
        <v>392</v>
      </c>
      <c r="X160" s="18"/>
      <c r="Y160" s="18"/>
      <c r="Z160" s="18"/>
    </row>
    <row r="161" spans="1:26" ht="12.75" customHeight="1">
      <c r="A161" s="18"/>
      <c r="B161" s="18"/>
      <c r="C161" s="18"/>
      <c r="D161" s="18"/>
      <c r="E161" s="18"/>
      <c r="F161" s="18"/>
      <c r="G161" s="18"/>
      <c r="H161" s="309" t="s">
        <v>120</v>
      </c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306" t="s">
        <v>612</v>
      </c>
      <c r="V161" s="307">
        <v>1282</v>
      </c>
      <c r="W161" s="308" t="s">
        <v>387</v>
      </c>
      <c r="X161" s="18"/>
      <c r="Y161" s="18"/>
      <c r="Z161" s="18"/>
    </row>
    <row r="162" spans="1:26" ht="12.75" customHeight="1">
      <c r="A162" s="18"/>
      <c r="B162" s="18"/>
      <c r="C162" s="18"/>
      <c r="D162" s="18"/>
      <c r="E162" s="18"/>
      <c r="F162" s="18"/>
      <c r="G162" s="18"/>
      <c r="H162" s="310" t="s">
        <v>613</v>
      </c>
      <c r="I162" s="18" t="s">
        <v>614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306" t="s">
        <v>615</v>
      </c>
      <c r="V162" s="307">
        <v>128</v>
      </c>
      <c r="W162" s="308" t="s">
        <v>390</v>
      </c>
      <c r="X162" s="18"/>
      <c r="Y162" s="18"/>
      <c r="Z162" s="18"/>
    </row>
    <row r="163" spans="1:26" ht="12.75" customHeight="1">
      <c r="A163" s="18"/>
      <c r="B163" s="18"/>
      <c r="C163" s="18"/>
      <c r="D163" s="18"/>
      <c r="E163" s="18"/>
      <c r="F163" s="18"/>
      <c r="G163" s="18"/>
      <c r="H163" s="310" t="s">
        <v>616</v>
      </c>
      <c r="I163" s="18" t="s">
        <v>617</v>
      </c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306" t="s">
        <v>618</v>
      </c>
      <c r="V163" s="307">
        <v>8.1999999999999993</v>
      </c>
      <c r="W163" s="308" t="s">
        <v>392</v>
      </c>
      <c r="X163" s="18"/>
      <c r="Y163" s="18"/>
      <c r="Z163" s="18"/>
    </row>
    <row r="164" spans="1:26" ht="12.75" customHeight="1">
      <c r="A164" s="18"/>
      <c r="B164" s="18"/>
      <c r="C164" s="18"/>
      <c r="D164" s="18"/>
      <c r="E164" s="18"/>
      <c r="F164" s="18"/>
      <c r="G164" s="18"/>
      <c r="H164" s="310" t="s">
        <v>619</v>
      </c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306" t="s">
        <v>620</v>
      </c>
      <c r="V164" s="307">
        <v>1648</v>
      </c>
      <c r="W164" s="308" t="s">
        <v>387</v>
      </c>
      <c r="X164" s="18"/>
      <c r="Y164" s="18"/>
      <c r="Z164" s="18"/>
    </row>
    <row r="165" spans="1:26" ht="12.75" customHeight="1">
      <c r="A165" s="18"/>
      <c r="B165" s="18"/>
      <c r="C165" s="18"/>
      <c r="D165" s="18"/>
      <c r="E165" s="18"/>
      <c r="F165" s="18"/>
      <c r="G165" s="18"/>
      <c r="H165" s="310" t="s">
        <v>621</v>
      </c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306" t="s">
        <v>622</v>
      </c>
      <c r="V165" s="307">
        <v>162</v>
      </c>
      <c r="W165" s="308" t="s">
        <v>390</v>
      </c>
      <c r="X165" s="18"/>
      <c r="Y165" s="18"/>
      <c r="Z165" s="18"/>
    </row>
    <row r="166" spans="1:26" ht="12.75" customHeight="1">
      <c r="A166" s="18"/>
      <c r="B166" s="18"/>
      <c r="C166" s="18"/>
      <c r="D166" s="18"/>
      <c r="E166" s="18"/>
      <c r="F166" s="18"/>
      <c r="G166" s="18"/>
      <c r="H166" s="310" t="s">
        <v>623</v>
      </c>
      <c r="I166" s="18" t="s">
        <v>351</v>
      </c>
      <c r="J166" s="18" t="s">
        <v>352</v>
      </c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306" t="s">
        <v>624</v>
      </c>
      <c r="V166" s="307">
        <v>8.1999999999999993</v>
      </c>
      <c r="W166" s="308" t="s">
        <v>392</v>
      </c>
      <c r="X166" s="18"/>
      <c r="Y166" s="18"/>
      <c r="Z166" s="18"/>
    </row>
    <row r="167" spans="1:26" ht="12.75" customHeight="1">
      <c r="A167" s="18"/>
      <c r="B167" s="18"/>
      <c r="C167" s="18"/>
      <c r="D167" s="18"/>
      <c r="E167" s="18"/>
      <c r="F167" s="18"/>
      <c r="G167" s="18"/>
      <c r="H167" s="310" t="s">
        <v>625</v>
      </c>
      <c r="I167" s="18" t="s">
        <v>353</v>
      </c>
      <c r="J167" s="18" t="s">
        <v>354</v>
      </c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306" t="s">
        <v>626</v>
      </c>
      <c r="V167" s="307">
        <v>1998</v>
      </c>
      <c r="W167" s="308" t="s">
        <v>387</v>
      </c>
      <c r="X167" s="18"/>
      <c r="Y167" s="18"/>
      <c r="Z167" s="18"/>
    </row>
    <row r="168" spans="1:26" ht="12.75" customHeight="1">
      <c r="A168" s="18"/>
      <c r="B168" s="18"/>
      <c r="C168" s="18"/>
      <c r="D168" s="18"/>
      <c r="E168" s="18"/>
      <c r="F168" s="18"/>
      <c r="G168" s="18"/>
      <c r="H168" s="310" t="s">
        <v>627</v>
      </c>
      <c r="I168" s="18" t="s">
        <v>355</v>
      </c>
      <c r="J168" s="18" t="s">
        <v>356</v>
      </c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306" t="s">
        <v>628</v>
      </c>
      <c r="V168" s="307">
        <v>193</v>
      </c>
      <c r="W168" s="308" t="s">
        <v>390</v>
      </c>
      <c r="X168" s="18"/>
      <c r="Y168" s="18"/>
      <c r="Z168" s="18"/>
    </row>
    <row r="169" spans="1:26" ht="12.75" customHeight="1">
      <c r="A169" s="18"/>
      <c r="B169" s="18"/>
      <c r="C169" s="18"/>
      <c r="D169" s="18"/>
      <c r="E169" s="18"/>
      <c r="F169" s="18"/>
      <c r="G169" s="18"/>
      <c r="H169" s="310" t="s">
        <v>629</v>
      </c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306" t="s">
        <v>630</v>
      </c>
      <c r="V169" s="307">
        <v>8.4</v>
      </c>
      <c r="W169" s="308" t="s">
        <v>392</v>
      </c>
      <c r="X169" s="18"/>
      <c r="Y169" s="18"/>
      <c r="Z169" s="18"/>
    </row>
    <row r="170" spans="1:26" ht="12.75" customHeight="1">
      <c r="A170" s="18"/>
      <c r="B170" s="18"/>
      <c r="C170" s="18"/>
      <c r="D170" s="18"/>
      <c r="E170" s="18"/>
      <c r="F170" s="18"/>
      <c r="G170" s="18"/>
      <c r="H170" s="310" t="s">
        <v>631</v>
      </c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306" t="s">
        <v>632</v>
      </c>
      <c r="V170" s="307">
        <v>2239</v>
      </c>
      <c r="W170" s="308" t="s">
        <v>387</v>
      </c>
      <c r="X170" s="18"/>
      <c r="Y170" s="18"/>
      <c r="Z170" s="18"/>
    </row>
    <row r="171" spans="1:26" ht="12.75" customHeight="1">
      <c r="A171" s="18"/>
      <c r="B171" s="18"/>
      <c r="C171" s="18"/>
      <c r="D171" s="18"/>
      <c r="E171" s="18"/>
      <c r="F171" s="18"/>
      <c r="G171" s="18"/>
      <c r="H171" s="310" t="s">
        <v>633</v>
      </c>
      <c r="I171" s="18" t="s">
        <v>349</v>
      </c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306" t="s">
        <v>634</v>
      </c>
      <c r="V171" s="307">
        <v>179</v>
      </c>
      <c r="W171" s="308" t="s">
        <v>390</v>
      </c>
      <c r="X171" s="18"/>
      <c r="Y171" s="18"/>
      <c r="Z171" s="18"/>
    </row>
    <row r="172" spans="1:26" ht="12.75" customHeight="1">
      <c r="A172" s="18"/>
      <c r="B172" s="18"/>
      <c r="C172" s="18"/>
      <c r="D172" s="18"/>
      <c r="E172" s="18"/>
      <c r="F172" s="18"/>
      <c r="G172" s="18"/>
      <c r="H172" s="310" t="s">
        <v>635</v>
      </c>
      <c r="I172" s="18" t="s">
        <v>636</v>
      </c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306" t="s">
        <v>637</v>
      </c>
      <c r="V172" s="307">
        <v>9.9</v>
      </c>
      <c r="W172" s="308" t="s">
        <v>392</v>
      </c>
      <c r="X172" s="18"/>
      <c r="Y172" s="18"/>
      <c r="Z172" s="18"/>
    </row>
    <row r="173" spans="1:26" ht="12.75" customHeight="1">
      <c r="A173" s="18"/>
      <c r="B173" s="18"/>
      <c r="C173" s="18"/>
      <c r="D173" s="18"/>
      <c r="E173" s="18"/>
      <c r="F173" s="18"/>
      <c r="G173" s="18"/>
      <c r="H173" s="310" t="s">
        <v>638</v>
      </c>
      <c r="I173" s="18" t="s">
        <v>639</v>
      </c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306" t="s">
        <v>640</v>
      </c>
      <c r="V173" s="307">
        <v>2868</v>
      </c>
      <c r="W173" s="308" t="s">
        <v>387</v>
      </c>
      <c r="X173" s="18"/>
      <c r="Y173" s="18"/>
      <c r="Z173" s="18"/>
    </row>
    <row r="174" spans="1:26" ht="12.75" customHeight="1">
      <c r="A174" s="18"/>
      <c r="B174" s="18"/>
      <c r="C174" s="18"/>
      <c r="D174" s="18"/>
      <c r="E174" s="18"/>
      <c r="F174" s="18"/>
      <c r="G174" s="18"/>
      <c r="H174" s="310" t="s">
        <v>641</v>
      </c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306" t="s">
        <v>642</v>
      </c>
      <c r="V174" s="307">
        <v>226</v>
      </c>
      <c r="W174" s="308" t="s">
        <v>390</v>
      </c>
      <c r="X174" s="18"/>
      <c r="Y174" s="18"/>
      <c r="Z174" s="18"/>
    </row>
    <row r="175" spans="1:26" ht="12.75" customHeight="1">
      <c r="A175" s="18"/>
      <c r="B175" s="18"/>
      <c r="C175" s="18"/>
      <c r="D175" s="18"/>
      <c r="E175" s="18"/>
      <c r="F175" s="18"/>
      <c r="G175" s="18"/>
      <c r="H175" s="310" t="s">
        <v>643</v>
      </c>
      <c r="I175" s="18" t="s">
        <v>644</v>
      </c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306" t="s">
        <v>645</v>
      </c>
      <c r="V175" s="307">
        <v>10</v>
      </c>
      <c r="W175" s="308" t="s">
        <v>392</v>
      </c>
      <c r="X175" s="18"/>
      <c r="Y175" s="18"/>
      <c r="Z175" s="18"/>
    </row>
    <row r="176" spans="1:26" ht="12.75" customHeight="1">
      <c r="A176" s="18"/>
      <c r="B176" s="18"/>
      <c r="C176" s="18"/>
      <c r="D176" s="18"/>
      <c r="E176" s="18"/>
      <c r="F176" s="18"/>
      <c r="G176" s="18"/>
      <c r="H176" s="310" t="s">
        <v>646</v>
      </c>
      <c r="I176" s="18" t="s">
        <v>647</v>
      </c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306" t="s">
        <v>648</v>
      </c>
      <c r="V176" s="307">
        <v>3409</v>
      </c>
      <c r="W176" s="308" t="s">
        <v>387</v>
      </c>
      <c r="X176" s="18"/>
      <c r="Y176" s="18"/>
      <c r="Z176" s="18"/>
    </row>
    <row r="177" spans="1:26" ht="12.75" customHeight="1">
      <c r="A177" s="18"/>
      <c r="B177" s="18"/>
      <c r="C177" s="18"/>
      <c r="D177" s="18"/>
      <c r="E177" s="18"/>
      <c r="F177" s="18"/>
      <c r="G177" s="18"/>
      <c r="H177" s="310" t="s">
        <v>649</v>
      </c>
      <c r="I177" s="18" t="s">
        <v>650</v>
      </c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306" t="s">
        <v>651</v>
      </c>
      <c r="V177" s="307">
        <v>265</v>
      </c>
      <c r="W177" s="308" t="s">
        <v>390</v>
      </c>
      <c r="X177" s="18"/>
      <c r="Y177" s="18"/>
      <c r="Z177" s="18"/>
    </row>
    <row r="178" spans="1:26" ht="12.75" customHeight="1">
      <c r="A178" s="18"/>
      <c r="B178" s="18"/>
      <c r="C178" s="18"/>
      <c r="D178" s="18"/>
      <c r="E178" s="18"/>
      <c r="F178" s="18"/>
      <c r="G178" s="18"/>
      <c r="H178" s="310" t="s">
        <v>652</v>
      </c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306" t="s">
        <v>653</v>
      </c>
      <c r="V178" s="307">
        <v>10.3</v>
      </c>
      <c r="W178" s="308" t="s">
        <v>392</v>
      </c>
      <c r="X178" s="18"/>
      <c r="Y178" s="18"/>
      <c r="Z178" s="18"/>
    </row>
    <row r="179" spans="1:26" ht="12.75" customHeight="1">
      <c r="A179" s="18"/>
      <c r="B179" s="18"/>
      <c r="C179" s="18"/>
      <c r="D179" s="18"/>
      <c r="E179" s="18"/>
      <c r="F179" s="18"/>
      <c r="G179" s="18"/>
      <c r="H179" s="310" t="s">
        <v>654</v>
      </c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306" t="s">
        <v>655</v>
      </c>
      <c r="V179" s="307">
        <v>4008</v>
      </c>
      <c r="W179" s="308" t="s">
        <v>387</v>
      </c>
      <c r="X179" s="18"/>
      <c r="Y179" s="18"/>
      <c r="Z179" s="18"/>
    </row>
    <row r="180" spans="1:26" ht="12.75" customHeight="1">
      <c r="A180" s="18"/>
      <c r="B180" s="18"/>
      <c r="C180" s="18"/>
      <c r="D180" s="18"/>
      <c r="E180" s="18"/>
      <c r="F180" s="18"/>
      <c r="G180" s="18"/>
      <c r="H180" s="310" t="s">
        <v>656</v>
      </c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306" t="s">
        <v>657</v>
      </c>
      <c r="V180" s="307">
        <v>308</v>
      </c>
      <c r="W180" s="308" t="s">
        <v>390</v>
      </c>
      <c r="X180" s="18"/>
      <c r="Y180" s="18"/>
      <c r="Z180" s="18"/>
    </row>
    <row r="181" spans="1:26" ht="12.75" customHeight="1">
      <c r="A181" s="18"/>
      <c r="B181" s="18"/>
      <c r="C181" s="18"/>
      <c r="D181" s="18"/>
      <c r="E181" s="18"/>
      <c r="F181" s="18"/>
      <c r="G181" s="18"/>
      <c r="H181" s="310" t="s">
        <v>658</v>
      </c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306" t="s">
        <v>659</v>
      </c>
      <c r="V181" s="307">
        <v>10.5</v>
      </c>
      <c r="W181" s="308" t="s">
        <v>392</v>
      </c>
      <c r="X181" s="18"/>
      <c r="Y181" s="18"/>
      <c r="Z181" s="18"/>
    </row>
    <row r="182" spans="1:26" ht="12.75" customHeight="1">
      <c r="A182" s="18"/>
      <c r="B182" s="18"/>
      <c r="C182" s="18"/>
      <c r="D182" s="18"/>
      <c r="E182" s="18"/>
      <c r="F182" s="18"/>
      <c r="G182" s="18"/>
      <c r="H182" s="310" t="s">
        <v>660</v>
      </c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306" t="s">
        <v>661</v>
      </c>
      <c r="V182" s="307">
        <v>3688</v>
      </c>
      <c r="W182" s="308" t="s">
        <v>387</v>
      </c>
      <c r="X182" s="18"/>
      <c r="Y182" s="18"/>
      <c r="Z182" s="18"/>
    </row>
    <row r="183" spans="1:26" ht="12.75" customHeight="1">
      <c r="A183" s="18"/>
      <c r="B183" s="18"/>
      <c r="C183" s="18"/>
      <c r="D183" s="18"/>
      <c r="E183" s="18"/>
      <c r="F183" s="18"/>
      <c r="G183" s="18"/>
      <c r="H183" s="310" t="s">
        <v>662</v>
      </c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306" t="s">
        <v>663</v>
      </c>
      <c r="V183" s="307">
        <v>243</v>
      </c>
      <c r="W183" s="308" t="s">
        <v>390</v>
      </c>
      <c r="X183" s="18"/>
      <c r="Y183" s="18"/>
      <c r="Z183" s="18"/>
    </row>
    <row r="184" spans="1:26" ht="12.75" customHeight="1">
      <c r="A184" s="18"/>
      <c r="B184" s="18"/>
      <c r="C184" s="18"/>
      <c r="D184" s="18"/>
      <c r="E184" s="18"/>
      <c r="F184" s="18"/>
      <c r="G184" s="18"/>
      <c r="H184" s="310" t="s">
        <v>664</v>
      </c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306" t="s">
        <v>665</v>
      </c>
      <c r="V184" s="307">
        <v>11.7</v>
      </c>
      <c r="W184" s="308" t="s">
        <v>392</v>
      </c>
      <c r="X184" s="18"/>
      <c r="Y184" s="18"/>
      <c r="Z184" s="18"/>
    </row>
    <row r="185" spans="1:26" ht="12.75" customHeight="1">
      <c r="A185" s="18"/>
      <c r="B185" s="18"/>
      <c r="C185" s="18"/>
      <c r="D185" s="18"/>
      <c r="E185" s="18"/>
      <c r="F185" s="18"/>
      <c r="G185" s="18"/>
      <c r="H185" s="310" t="s">
        <v>666</v>
      </c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306" t="s">
        <v>667</v>
      </c>
      <c r="V185" s="307">
        <v>4287</v>
      </c>
      <c r="W185" s="308" t="s">
        <v>387</v>
      </c>
      <c r="X185" s="18"/>
      <c r="Y185" s="18"/>
      <c r="Z185" s="18"/>
    </row>
    <row r="186" spans="1:26" ht="12.75" customHeight="1">
      <c r="A186" s="18"/>
      <c r="B186" s="18"/>
      <c r="C186" s="18"/>
      <c r="D186" s="18"/>
      <c r="E186" s="18"/>
      <c r="F186" s="18"/>
      <c r="G186" s="18"/>
      <c r="H186" s="310" t="s">
        <v>668</v>
      </c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306" t="s">
        <v>669</v>
      </c>
      <c r="V186" s="307">
        <v>280</v>
      </c>
      <c r="W186" s="308" t="s">
        <v>390</v>
      </c>
      <c r="X186" s="18"/>
      <c r="Y186" s="18"/>
      <c r="Z186" s="18"/>
    </row>
    <row r="187" spans="1:26" ht="12.75" customHeight="1">
      <c r="A187" s="18"/>
      <c r="B187" s="18"/>
      <c r="C187" s="18"/>
      <c r="D187" s="18"/>
      <c r="E187" s="18"/>
      <c r="F187" s="18"/>
      <c r="G187" s="18"/>
      <c r="H187" s="310" t="s">
        <v>670</v>
      </c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306" t="s">
        <v>671</v>
      </c>
      <c r="V187" s="307">
        <v>11.9</v>
      </c>
      <c r="W187" s="308" t="s">
        <v>392</v>
      </c>
      <c r="X187" s="18"/>
      <c r="Y187" s="18"/>
      <c r="Z187" s="18"/>
    </row>
    <row r="188" spans="1:26" ht="12.75" customHeight="1">
      <c r="A188" s="18"/>
      <c r="B188" s="18"/>
      <c r="C188" s="18"/>
      <c r="D188" s="18"/>
      <c r="E188" s="18"/>
      <c r="F188" s="18"/>
      <c r="G188" s="18"/>
      <c r="H188" s="310" t="s">
        <v>672</v>
      </c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306" t="s">
        <v>673</v>
      </c>
      <c r="V188" s="307">
        <v>5411</v>
      </c>
      <c r="W188" s="308" t="s">
        <v>387</v>
      </c>
      <c r="X188" s="18"/>
      <c r="Y188" s="18"/>
      <c r="Z188" s="18"/>
    </row>
    <row r="189" spans="1:26" ht="12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306" t="s">
        <v>674</v>
      </c>
      <c r="V189" s="307">
        <v>349</v>
      </c>
      <c r="W189" s="308" t="s">
        <v>390</v>
      </c>
      <c r="X189" s="18"/>
      <c r="Y189" s="18"/>
      <c r="Z189" s="18"/>
    </row>
    <row r="190" spans="1:26" ht="12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306" t="s">
        <v>675</v>
      </c>
      <c r="V190" s="307">
        <v>12.2</v>
      </c>
      <c r="W190" s="308" t="s">
        <v>392</v>
      </c>
      <c r="X190" s="18"/>
      <c r="Y190" s="18"/>
      <c r="Z190" s="18"/>
    </row>
    <row r="191" spans="1:26" ht="12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306" t="s">
        <v>676</v>
      </c>
      <c r="V191" s="307">
        <v>6493</v>
      </c>
      <c r="W191" s="308" t="s">
        <v>387</v>
      </c>
      <c r="X191" s="18"/>
      <c r="Y191" s="18"/>
      <c r="Z191" s="18"/>
    </row>
    <row r="192" spans="1:26" ht="12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306" t="s">
        <v>677</v>
      </c>
      <c r="V192" s="307">
        <v>416</v>
      </c>
      <c r="W192" s="308" t="s">
        <v>390</v>
      </c>
      <c r="X192" s="18"/>
      <c r="Y192" s="18"/>
      <c r="Z192" s="18"/>
    </row>
    <row r="193" spans="1:26" ht="12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306" t="s">
        <v>678</v>
      </c>
      <c r="V193" s="307">
        <v>12.5</v>
      </c>
      <c r="W193" s="308" t="s">
        <v>392</v>
      </c>
      <c r="X193" s="18"/>
      <c r="Y193" s="18"/>
      <c r="Z193" s="18"/>
    </row>
    <row r="194" spans="1:26" ht="12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306" t="s">
        <v>679</v>
      </c>
      <c r="V194" s="307">
        <v>8283</v>
      </c>
      <c r="W194" s="308" t="s">
        <v>387</v>
      </c>
      <c r="X194" s="18"/>
      <c r="Y194" s="18"/>
      <c r="Z194" s="18"/>
    </row>
    <row r="195" spans="1:26" ht="12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306" t="s">
        <v>680</v>
      </c>
      <c r="V195" s="307">
        <v>475</v>
      </c>
      <c r="W195" s="308" t="s">
        <v>390</v>
      </c>
      <c r="X195" s="18"/>
      <c r="Y195" s="18"/>
      <c r="Z195" s="18"/>
    </row>
    <row r="196" spans="1:26" ht="12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306" t="s">
        <v>681</v>
      </c>
      <c r="V196" s="307">
        <v>14.1</v>
      </c>
      <c r="W196" s="308" t="s">
        <v>392</v>
      </c>
      <c r="X196" s="18"/>
      <c r="Y196" s="18"/>
      <c r="Z196" s="18"/>
    </row>
    <row r="197" spans="1:26" ht="12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306" t="s">
        <v>682</v>
      </c>
      <c r="V197" s="307">
        <v>10198</v>
      </c>
      <c r="W197" s="308" t="s">
        <v>387</v>
      </c>
      <c r="X197" s="18"/>
      <c r="Y197" s="18"/>
      <c r="Z197" s="18"/>
    </row>
    <row r="198" spans="1:26" ht="12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306" t="s">
        <v>683</v>
      </c>
      <c r="V198" s="307">
        <v>578</v>
      </c>
      <c r="W198" s="308" t="s">
        <v>390</v>
      </c>
      <c r="X198" s="18"/>
      <c r="Y198" s="18"/>
      <c r="Z198" s="18"/>
    </row>
    <row r="199" spans="1:26" ht="12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306" t="s">
        <v>684</v>
      </c>
      <c r="V199" s="307">
        <v>14.4</v>
      </c>
      <c r="W199" s="308" t="s">
        <v>392</v>
      </c>
      <c r="X199" s="18"/>
      <c r="Y199" s="18"/>
      <c r="Z199" s="18"/>
    </row>
    <row r="200" spans="1:26" ht="12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2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2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2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2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2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2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2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2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2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2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2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2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2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2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2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2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2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2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2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2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2.75" customHeight="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2.75" customHeight="1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2.75" customHeight="1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2.75" customHeight="1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2.75" customHeight="1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2.75" customHeight="1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2.75" customHeight="1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2.75" customHeight="1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2.75" customHeight="1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2.75" customHeight="1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2.75" customHeight="1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2.75" customHeight="1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2.75" customHeight="1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2.75" customHeight="1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2.75" customHeight="1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2.75" customHeight="1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2.75" customHeight="1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2.75" customHeight="1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2.75" customHeight="1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2.75" customHeight="1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2.75" customHeight="1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2.75" customHeight="1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2.75" customHeight="1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2.75" customHeight="1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2.75" customHeight="1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2.75" customHeight="1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2.75" customHeight="1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2.75" customHeight="1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2.75" customHeight="1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2.75" customHeight="1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2.75" customHeight="1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2.75" customHeight="1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2.75" customHeight="1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2.75" customHeight="1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2.75" customHeight="1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2.75" customHeight="1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2.75" customHeight="1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2.75" customHeight="1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2.75" customHeight="1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2.75" customHeight="1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2.75" customHeight="1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2.75" customHeight="1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2.75" customHeight="1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2.75" customHeight="1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2.75" customHeight="1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2.75" customHeight="1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2.75" customHeight="1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2.75" customHeight="1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2.75" customHeight="1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2.75" customHeight="1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2.75" customHeight="1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2.75" customHeight="1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2.75" customHeight="1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2.75" customHeight="1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2.75" customHeight="1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2.75" customHeight="1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2.75" customHeight="1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2.75" customHeight="1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2.75" customHeight="1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2.75" customHeight="1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2.75" customHeight="1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2.75" customHeight="1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2.75" customHeight="1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2.75" customHeight="1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2.75" customHeight="1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2.75" customHeight="1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2.75" customHeight="1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2.75" customHeight="1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2.75" customHeight="1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2.75" customHeight="1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2.75" customHeight="1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2.75" customHeight="1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2.75" customHeight="1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2.75" customHeight="1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2.75" customHeight="1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2.75" customHeight="1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2.75" customHeight="1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2.75" customHeight="1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2.75" customHeight="1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2.75" customHeight="1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2.75" customHeight="1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2.75" customHeight="1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2.75" customHeight="1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2.75" customHeight="1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2.75" customHeight="1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2.75" customHeight="1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2.75" customHeight="1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2.75" customHeight="1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2.75" customHeight="1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2.75" customHeight="1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2.75" customHeight="1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2.75" customHeight="1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2.75" customHeight="1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2.75" customHeight="1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2.75" customHeight="1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2.75" customHeight="1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2.75" customHeight="1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2.75" customHeight="1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2.75" customHeight="1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2.75" customHeight="1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2.75" customHeight="1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2.75" customHeight="1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2.75" customHeight="1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2.75" customHeight="1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2.75" customHeight="1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2.75" customHeight="1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2.75" customHeight="1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2.75" customHeight="1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2.75" customHeight="1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2.75" customHeight="1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2.75" customHeight="1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2.75" customHeight="1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2.75" customHeight="1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2.75" customHeight="1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2.75" customHeight="1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2.75" customHeight="1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2.75" customHeight="1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2.75" customHeight="1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2.75" customHeight="1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2.75" customHeight="1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2.75" customHeight="1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2.75" customHeight="1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2.75" customHeight="1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2.75" customHeight="1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2.75" customHeight="1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2.75" customHeight="1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2.75" customHeight="1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2.75" customHeight="1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2.75" customHeight="1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2.75" customHeight="1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2.75" customHeight="1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2.75" customHeight="1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2.75" customHeight="1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2.75" customHeight="1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2.75" customHeight="1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2.75" customHeight="1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2.75" customHeight="1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2.75" customHeight="1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2.75" customHeight="1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2.75" customHeight="1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2.75" customHeight="1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2.75" customHeight="1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2.75" customHeight="1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2.75" customHeight="1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2.75" customHeight="1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2.75" customHeight="1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2.75" customHeight="1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2.75" customHeight="1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2.75" customHeight="1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2.75" customHeight="1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2.75" customHeight="1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2.75" customHeight="1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2.75" customHeight="1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2.75" customHeight="1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2.75" customHeight="1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2.75" customHeight="1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2.75" customHeight="1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2.75" customHeight="1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2.75" customHeight="1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2.75" customHeight="1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2.75" customHeight="1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2.75" customHeight="1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2.75" customHeight="1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2.75" customHeight="1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2.75" customHeight="1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2.75" customHeight="1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2.75" customHeight="1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2.75" customHeight="1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2.75" customHeight="1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2.75" customHeight="1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2.75" customHeight="1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2.75" customHeight="1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2.75" customHeight="1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2.75" customHeight="1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2.75" customHeight="1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2.75" customHeight="1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2.75" customHeight="1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2.75" customHeight="1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2.75" customHeight="1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V27:W27"/>
    <mergeCell ref="V28:W28"/>
  </mergeCells>
  <conditionalFormatting sqref="D16:D17">
    <cfRule type="cellIs" dxfId="3" priority="1" stopIfTrue="1" operator="equal">
      <formula>"FALLA"</formula>
    </cfRule>
  </conditionalFormatting>
  <conditionalFormatting sqref="D16:D17">
    <cfRule type="cellIs" dxfId="2" priority="2" stopIfTrue="1" operator="equal">
      <formula>"OK"</formula>
    </cfRule>
  </conditionalFormatting>
  <dataValidations count="1">
    <dataValidation type="list" allowBlank="1" showErrorMessage="1" sqref="D6" xr:uid="{6545767F-C7BC-46EB-BFB1-CC40E716F000}">
      <formula1>$I$171:$I$173</formula1>
    </dataValidation>
  </dataValidations>
  <printOptions horizontalCentered="1" verticalCentered="1"/>
  <pageMargins left="0.78740157480314965" right="0.78740157480314965" top="0.98425196850393704" bottom="0.98425196850393704" header="0" footer="0"/>
  <pageSetup scale="1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AJ1000"/>
  <sheetViews>
    <sheetView workbookViewId="0">
      <selection activeCell="C13" sqref="C13"/>
    </sheetView>
  </sheetViews>
  <sheetFormatPr baseColWidth="10" defaultColWidth="14.44140625" defaultRowHeight="15" customHeight="1"/>
  <cols>
    <col min="1" max="1" width="3.33203125" customWidth="1"/>
    <col min="2" max="5" width="11.44140625" customWidth="1"/>
    <col min="6" max="6" width="13.33203125" customWidth="1"/>
    <col min="7" max="7" width="5.33203125" customWidth="1"/>
    <col min="8" max="8" width="6.33203125" customWidth="1"/>
    <col min="9" max="11" width="11.44140625" customWidth="1"/>
    <col min="12" max="12" width="5.6640625" customWidth="1"/>
    <col min="13" max="36" width="11.44140625" customWidth="1"/>
  </cols>
  <sheetData>
    <row r="1" spans="1:36" ht="14.4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14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21">
      <c r="A3" s="2"/>
      <c r="B3" s="2"/>
      <c r="C3" s="2"/>
      <c r="D3" s="2"/>
      <c r="E3" s="14" t="s">
        <v>136</v>
      </c>
      <c r="F3" s="14"/>
      <c r="G3" s="14"/>
      <c r="H3" s="14"/>
      <c r="I3" s="15"/>
      <c r="J3" s="2"/>
      <c r="K3" s="2"/>
      <c r="L3" s="2"/>
      <c r="M3" s="2"/>
      <c r="N3" s="2"/>
      <c r="O3" s="2"/>
      <c r="P3" s="2"/>
      <c r="Q3" t="s">
        <v>38</v>
      </c>
      <c r="R3" s="7" t="s">
        <v>45</v>
      </c>
      <c r="S3" s="7" t="s">
        <v>10</v>
      </c>
      <c r="T3" s="7" t="s">
        <v>46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4">
        <v>1050</v>
      </c>
      <c r="R4" s="10">
        <v>5500</v>
      </c>
      <c r="S4" s="10">
        <v>10200</v>
      </c>
      <c r="T4" s="10">
        <v>14100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4">
        <v>1200</v>
      </c>
      <c r="R5" s="10">
        <v>4750</v>
      </c>
      <c r="S5" s="10">
        <v>9900</v>
      </c>
      <c r="T5" s="10">
        <v>13700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4">
        <v>1350</v>
      </c>
      <c r="R6" s="10">
        <v>4000</v>
      </c>
      <c r="S6" s="10">
        <v>9500</v>
      </c>
      <c r="T6" s="10">
        <v>13300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4">
      <c r="A7" s="2"/>
      <c r="B7" s="16" t="s">
        <v>137</v>
      </c>
      <c r="C7" s="17" t="str">
        <f>'Calculador Selectivo'!E5</f>
        <v>ZM2</v>
      </c>
      <c r="D7" s="2"/>
      <c r="E7" s="2"/>
      <c r="F7" s="1104" t="s">
        <v>138</v>
      </c>
      <c r="G7" s="1105"/>
      <c r="H7" s="2"/>
      <c r="I7" s="2"/>
      <c r="J7" s="2"/>
      <c r="K7" s="2"/>
      <c r="L7" s="2"/>
      <c r="M7" s="2"/>
      <c r="N7" s="2"/>
      <c r="O7" s="2"/>
      <c r="P7" s="2"/>
      <c r="Q7" s="4">
        <v>1500</v>
      </c>
      <c r="R7" s="10">
        <v>3250</v>
      </c>
      <c r="S7" s="10">
        <v>9000</v>
      </c>
      <c r="T7" s="10">
        <v>12800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4">
        <v>1650</v>
      </c>
      <c r="R8" s="10">
        <v>2700</v>
      </c>
      <c r="S8" s="10">
        <v>8500</v>
      </c>
      <c r="T8" s="10">
        <v>12100</v>
      </c>
      <c r="U8" s="2"/>
      <c r="V8" s="2"/>
      <c r="W8" s="2"/>
      <c r="X8" s="18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4">
      <c r="A9" s="2"/>
      <c r="B9" s="16" t="s">
        <v>139</v>
      </c>
      <c r="C9" s="19">
        <f>'Calculador Selectivo'!AS25</f>
        <v>3556</v>
      </c>
      <c r="D9" s="2" t="s">
        <v>140</v>
      </c>
      <c r="E9" s="2"/>
      <c r="F9" s="20" t="s">
        <v>141</v>
      </c>
      <c r="G9" s="21">
        <f>'Calculador Selectivo'!E12</f>
        <v>14</v>
      </c>
      <c r="H9" s="2"/>
      <c r="I9" s="2"/>
      <c r="J9" s="2"/>
      <c r="K9" s="2"/>
      <c r="L9" s="2"/>
      <c r="M9" s="2"/>
      <c r="N9" s="2"/>
      <c r="O9" s="2"/>
      <c r="P9" s="2"/>
      <c r="Q9" s="4">
        <v>1800</v>
      </c>
      <c r="R9" s="10">
        <v>2250</v>
      </c>
      <c r="S9" s="10">
        <v>7900</v>
      </c>
      <c r="T9" s="10">
        <v>11500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4">
      <c r="A10" s="2"/>
      <c r="B10" s="16" t="s">
        <v>142</v>
      </c>
      <c r="C10" s="19">
        <f>'Calculador Selectivo'!E7</f>
        <v>0</v>
      </c>
      <c r="D10" s="2" t="s">
        <v>140</v>
      </c>
      <c r="E10" s="2"/>
      <c r="F10" s="20" t="s">
        <v>143</v>
      </c>
      <c r="G10" s="22">
        <f>'Calculador Selectivo'!E13</f>
        <v>14</v>
      </c>
      <c r="H10" s="2"/>
      <c r="I10" s="2"/>
      <c r="J10" s="2"/>
      <c r="K10" s="2"/>
      <c r="L10" s="2"/>
      <c r="M10" s="2"/>
      <c r="N10" s="2"/>
      <c r="O10" s="2"/>
      <c r="P10" s="2"/>
      <c r="Q10" s="4">
        <v>1950</v>
      </c>
      <c r="R10" s="10">
        <v>1950</v>
      </c>
      <c r="S10" s="10">
        <v>7400</v>
      </c>
      <c r="T10" s="10">
        <v>10700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4">
        <v>2100</v>
      </c>
      <c r="R11" s="10">
        <v>1650</v>
      </c>
      <c r="S11" s="10">
        <v>6900</v>
      </c>
      <c r="T11" s="10">
        <v>10100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3">
        <f>+O13</f>
        <v>31.444730145231972</v>
      </c>
      <c r="P12" s="2"/>
      <c r="Q12" s="4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4">
      <c r="A13" s="2"/>
      <c r="B13" s="2" t="s">
        <v>144</v>
      </c>
      <c r="C13" s="21" t="str">
        <f>IF('Calculador Selectivo'!E8&gt;0,"SI","NO")</f>
        <v>NO</v>
      </c>
      <c r="D13" s="2"/>
      <c r="E13" s="2"/>
      <c r="F13" s="2"/>
      <c r="G13" s="2"/>
      <c r="H13" s="2"/>
      <c r="I13" s="2"/>
      <c r="J13" s="2"/>
      <c r="K13" s="2"/>
      <c r="L13" s="2"/>
      <c r="M13" s="23">
        <f>IFERROR(F17,0)</f>
        <v>31.444730145231972</v>
      </c>
      <c r="N13" s="23">
        <f>IFERROR(I17,0)</f>
        <v>0</v>
      </c>
      <c r="O13" s="23">
        <f>M13+N13</f>
        <v>31.444730145231972</v>
      </c>
      <c r="P13" s="2"/>
      <c r="Q13" s="4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4">
      <c r="A14" s="2"/>
      <c r="B14" s="16" t="s">
        <v>139</v>
      </c>
      <c r="C14" s="19">
        <f>'Calculador Selectivo'!E8</f>
        <v>0</v>
      </c>
      <c r="D14" s="2" t="s">
        <v>140</v>
      </c>
      <c r="E14" s="2"/>
      <c r="F14" s="2"/>
      <c r="G14" s="2"/>
      <c r="H14" s="2"/>
      <c r="I14" s="2"/>
      <c r="J14" s="2"/>
      <c r="K14" s="2"/>
      <c r="L14" s="2"/>
      <c r="M14" s="23">
        <f>IFERROR(F18,0)</f>
        <v>14.708320000000001</v>
      </c>
      <c r="N14" s="23">
        <f>IFERROR(I18,0)</f>
        <v>0</v>
      </c>
      <c r="O14" s="23">
        <f>M14+N14</f>
        <v>14.708320000000001</v>
      </c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4">
      <c r="A16" s="2"/>
      <c r="B16" s="2"/>
      <c r="C16" s="2"/>
      <c r="D16" s="2"/>
      <c r="E16" s="2"/>
      <c r="F16" s="2" t="s">
        <v>145</v>
      </c>
      <c r="G16" s="2"/>
      <c r="H16" s="2"/>
      <c r="I16" s="2" t="s">
        <v>146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5.6">
      <c r="A17" s="2"/>
      <c r="B17" s="2"/>
      <c r="C17" s="2"/>
      <c r="D17" s="24"/>
      <c r="E17" s="25" t="s">
        <v>147</v>
      </c>
      <c r="F17" s="26">
        <f>+$I$66</f>
        <v>31.444730145231972</v>
      </c>
      <c r="G17" s="27" t="s">
        <v>148</v>
      </c>
      <c r="H17" s="2"/>
      <c r="I17" s="23" t="e">
        <f>'Marco Estructural'!J33</f>
        <v>#N/A</v>
      </c>
      <c r="J17" s="2"/>
      <c r="K17" s="2"/>
      <c r="L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5.6">
      <c r="A18" s="2"/>
      <c r="B18" s="2"/>
      <c r="C18" s="2"/>
      <c r="D18" s="2"/>
      <c r="E18" s="25" t="s">
        <v>149</v>
      </c>
      <c r="F18" s="26">
        <f>+K60</f>
        <v>14.708320000000001</v>
      </c>
      <c r="G18" s="27" t="s">
        <v>148</v>
      </c>
      <c r="H18" s="2"/>
      <c r="I18" s="23" t="e">
        <f>'Marco Estructural'!J34</f>
        <v>#N/A</v>
      </c>
      <c r="J18" s="23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5.75" customHeight="1">
      <c r="A22" s="2"/>
      <c r="B22" s="2"/>
      <c r="C22" s="2"/>
      <c r="D22" s="2"/>
      <c r="E22" s="2"/>
      <c r="F22" s="2"/>
      <c r="G22" s="28">
        <f>IF(E152=1,VLOOKUP($C$9,AD51:AJ264,7,1),0)</f>
        <v>0</v>
      </c>
      <c r="H22" s="29" t="s">
        <v>150</v>
      </c>
      <c r="I22" s="30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5.75" customHeight="1">
      <c r="A23" s="2"/>
      <c r="B23" s="31"/>
      <c r="C23" s="31"/>
      <c r="D23" s="31"/>
      <c r="E23" s="31"/>
      <c r="F23" s="31"/>
      <c r="G23" s="31"/>
      <c r="H23" s="31"/>
      <c r="I23" s="31"/>
      <c r="J23" s="31"/>
      <c r="K23" s="2"/>
      <c r="L23" s="2"/>
      <c r="M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32"/>
      <c r="N36" s="32"/>
      <c r="O36" s="32"/>
      <c r="P36" s="33" t="s">
        <v>151</v>
      </c>
      <c r="Q36" s="32"/>
      <c r="R36" s="32"/>
      <c r="S36" s="3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32"/>
      <c r="N37" s="32"/>
      <c r="O37" s="32"/>
      <c r="P37" s="32"/>
      <c r="Q37" s="32"/>
      <c r="R37" s="32"/>
      <c r="S37" s="3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5.75" customHeight="1">
      <c r="A38" s="2"/>
      <c r="B38" s="32"/>
      <c r="C38" s="32"/>
      <c r="D38" s="34" t="s">
        <v>152</v>
      </c>
      <c r="E38" s="35" t="s">
        <v>153</v>
      </c>
      <c r="F38" s="36" t="s">
        <v>154</v>
      </c>
      <c r="G38" s="2"/>
      <c r="H38" s="2"/>
      <c r="I38" s="2"/>
      <c r="J38" s="2"/>
      <c r="K38" s="2"/>
      <c r="L38" s="2"/>
      <c r="M38" s="35" t="s">
        <v>3</v>
      </c>
      <c r="N38" s="35" t="s">
        <v>155</v>
      </c>
      <c r="O38" s="35" t="s">
        <v>156</v>
      </c>
      <c r="P38" s="35" t="s">
        <v>157</v>
      </c>
      <c r="Q38" s="35" t="s">
        <v>158</v>
      </c>
      <c r="R38" s="35" t="s">
        <v>159</v>
      </c>
      <c r="S38" s="36" t="s">
        <v>160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5.75" customHeight="1">
      <c r="A39" s="2"/>
      <c r="B39" s="37"/>
      <c r="C39" s="38" t="s">
        <v>161</v>
      </c>
      <c r="D39" s="39" t="s">
        <v>162</v>
      </c>
      <c r="E39" s="40">
        <f>$C$10</f>
        <v>0</v>
      </c>
      <c r="F39" s="41">
        <f>E39/25.4</f>
        <v>0</v>
      </c>
      <c r="G39" s="2"/>
      <c r="H39" s="2"/>
      <c r="I39" s="2"/>
      <c r="J39" s="2"/>
      <c r="K39" s="2"/>
      <c r="L39" s="2"/>
      <c r="M39" s="42" t="s">
        <v>163</v>
      </c>
      <c r="N39" s="42" t="s">
        <v>163</v>
      </c>
      <c r="O39" s="42" t="s">
        <v>163</v>
      </c>
      <c r="P39" s="42" t="s">
        <v>153</v>
      </c>
      <c r="Q39" s="42" t="s">
        <v>153</v>
      </c>
      <c r="R39" s="42" t="s">
        <v>153</v>
      </c>
      <c r="S39" s="43" t="s">
        <v>153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5.75" customHeight="1">
      <c r="A40" s="2"/>
      <c r="B40" s="44"/>
      <c r="C40" s="45" t="s">
        <v>164</v>
      </c>
      <c r="D40" s="46" t="s">
        <v>165</v>
      </c>
      <c r="E40" s="47">
        <f>VLOOKUP(CONCATENATE($C$7,D40),$B$50:$C$115,2,FALSE)</f>
        <v>69.7</v>
      </c>
      <c r="F40" s="48">
        <f>E40/25.4</f>
        <v>2.7440944881889768</v>
      </c>
      <c r="G40" s="2"/>
      <c r="H40" s="2"/>
      <c r="I40" s="2"/>
      <c r="J40" s="2"/>
      <c r="K40" s="2"/>
      <c r="L40" s="2"/>
      <c r="M40" s="49"/>
      <c r="N40" s="49"/>
      <c r="O40" s="49"/>
      <c r="P40" s="49"/>
      <c r="Q40" s="49"/>
      <c r="R40" s="49" t="s">
        <v>166</v>
      </c>
      <c r="S40" s="50" t="s">
        <v>167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5.75" customHeight="1">
      <c r="A41" s="2"/>
      <c r="B41" s="44"/>
      <c r="C41" s="45" t="s">
        <v>168</v>
      </c>
      <c r="D41" s="46" t="s">
        <v>169</v>
      </c>
      <c r="E41" s="47">
        <f>VLOOKUP(CONCATENATE($C$7,D41),$B$50:$C$115,2,FALSE)</f>
        <v>1160</v>
      </c>
      <c r="F41" s="48">
        <f>E41/25.4</f>
        <v>45.669291338582681</v>
      </c>
      <c r="G41" s="2"/>
      <c r="H41" s="2"/>
      <c r="I41" s="2"/>
      <c r="J41" s="2"/>
      <c r="K41" s="2"/>
      <c r="L41" s="2"/>
      <c r="M41" s="39" t="s">
        <v>45</v>
      </c>
      <c r="N41" s="51" t="s">
        <v>170</v>
      </c>
      <c r="O41" s="51" t="s">
        <v>171</v>
      </c>
      <c r="P41" s="51">
        <v>125</v>
      </c>
      <c r="Q41" s="51">
        <v>950</v>
      </c>
      <c r="R41" s="51">
        <v>950</v>
      </c>
      <c r="S41" s="52">
        <v>325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5.75" customHeight="1">
      <c r="A42" s="2"/>
      <c r="B42" s="44"/>
      <c r="C42" s="45" t="s">
        <v>172</v>
      </c>
      <c r="D42" s="46" t="s">
        <v>173</v>
      </c>
      <c r="E42" s="47">
        <f>VLOOKUP(CONCATENATE($C$7,D42),$B$50:$C$115,2,FALSE)</f>
        <v>25</v>
      </c>
      <c r="F42" s="48">
        <f>E42/25.4</f>
        <v>0.98425196850393704</v>
      </c>
      <c r="G42" s="2"/>
      <c r="H42" s="2"/>
      <c r="I42" s="2"/>
      <c r="J42" s="2"/>
      <c r="K42" s="2"/>
      <c r="L42" s="2"/>
      <c r="M42" s="46" t="s">
        <v>174</v>
      </c>
      <c r="N42" s="53" t="s">
        <v>175</v>
      </c>
      <c r="O42" s="53" t="s">
        <v>171</v>
      </c>
      <c r="P42" s="53">
        <v>170</v>
      </c>
      <c r="Q42" s="53">
        <v>1160</v>
      </c>
      <c r="R42" s="53">
        <v>1160</v>
      </c>
      <c r="S42" s="54">
        <v>480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customHeight="1">
      <c r="A43" s="2"/>
      <c r="B43" s="55"/>
      <c r="C43" s="56" t="s">
        <v>176</v>
      </c>
      <c r="D43" s="57" t="s">
        <v>177</v>
      </c>
      <c r="E43" s="58">
        <f>VLOOKUP(CONCATENATE($C$7,D43),$B$50:$C$115,2,FALSE)</f>
        <v>25</v>
      </c>
      <c r="F43" s="59">
        <f>E43/25.4</f>
        <v>0.98425196850393704</v>
      </c>
      <c r="G43" s="2"/>
      <c r="H43" s="2"/>
      <c r="I43" s="2"/>
      <c r="J43" s="2"/>
      <c r="K43" s="2"/>
      <c r="L43" s="2"/>
      <c r="M43" s="57"/>
      <c r="N43" s="60"/>
      <c r="O43" s="60"/>
      <c r="P43" s="60"/>
      <c r="Q43" s="60"/>
      <c r="R43" s="60"/>
      <c r="S43" s="6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1106" t="s">
        <v>178</v>
      </c>
      <c r="O47" s="1107"/>
      <c r="P47" s="1107"/>
      <c r="Q47" s="1107"/>
      <c r="R47" s="1108"/>
      <c r="S47" s="2"/>
      <c r="T47" s="2"/>
      <c r="U47" s="2"/>
      <c r="V47" s="1106" t="s">
        <v>179</v>
      </c>
      <c r="W47" s="1107"/>
      <c r="X47" s="1107"/>
      <c r="Y47" s="1107"/>
      <c r="Z47" s="1108"/>
      <c r="AA47" s="2"/>
      <c r="AB47" s="2"/>
      <c r="AC47" s="2"/>
      <c r="AD47" s="1106" t="s">
        <v>180</v>
      </c>
      <c r="AE47" s="1107"/>
      <c r="AF47" s="1107"/>
      <c r="AG47" s="1108"/>
      <c r="AH47" s="2"/>
      <c r="AI47" s="2"/>
      <c r="AJ47" s="2"/>
    </row>
    <row r="48" spans="1:36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5.75" customHeight="1">
      <c r="A49" s="2"/>
      <c r="B49" s="2"/>
      <c r="C49" s="2"/>
      <c r="D49" s="2"/>
      <c r="E49" s="1109" t="s">
        <v>181</v>
      </c>
      <c r="F49" s="1110"/>
      <c r="G49" s="1110"/>
      <c r="H49" s="1110"/>
      <c r="I49" s="1110"/>
      <c r="J49" s="1110"/>
      <c r="K49" s="1110"/>
      <c r="L49" s="2"/>
      <c r="M49" s="2"/>
      <c r="N49" s="35" t="s">
        <v>15</v>
      </c>
      <c r="O49" s="35" t="s">
        <v>159</v>
      </c>
      <c r="P49" s="35" t="s">
        <v>160</v>
      </c>
      <c r="Q49" s="35" t="s">
        <v>182</v>
      </c>
      <c r="R49" s="35" t="s">
        <v>182</v>
      </c>
      <c r="S49" s="2"/>
      <c r="T49" s="2"/>
      <c r="U49" s="2"/>
      <c r="V49" s="35" t="s">
        <v>15</v>
      </c>
      <c r="W49" s="35" t="s">
        <v>159</v>
      </c>
      <c r="X49" s="35" t="s">
        <v>160</v>
      </c>
      <c r="Y49" s="35" t="s">
        <v>182</v>
      </c>
      <c r="Z49" s="35" t="s">
        <v>182</v>
      </c>
      <c r="AA49" s="2"/>
      <c r="AB49" s="2"/>
      <c r="AC49" s="2"/>
      <c r="AD49" s="35" t="s">
        <v>15</v>
      </c>
      <c r="AE49" s="35" t="s">
        <v>182</v>
      </c>
      <c r="AF49" s="35" t="s">
        <v>182</v>
      </c>
      <c r="AG49" s="35" t="s">
        <v>182</v>
      </c>
      <c r="AH49" s="2"/>
      <c r="AI49" s="2"/>
      <c r="AJ49" s="2"/>
    </row>
    <row r="50" spans="1:36" ht="15.75" customHeight="1">
      <c r="A50" s="2"/>
      <c r="B50" s="62" t="s">
        <v>183</v>
      </c>
      <c r="C50" s="62" t="s">
        <v>184</v>
      </c>
      <c r="D50" s="2"/>
      <c r="E50" s="63" t="s">
        <v>185</v>
      </c>
      <c r="F50" s="64"/>
      <c r="G50" s="64"/>
      <c r="H50" s="64"/>
      <c r="I50" s="64"/>
      <c r="J50" s="64"/>
      <c r="K50" s="64"/>
      <c r="L50" s="65"/>
      <c r="M50" s="2"/>
      <c r="N50" s="49" t="s">
        <v>186</v>
      </c>
      <c r="O50" s="49" t="s">
        <v>153</v>
      </c>
      <c r="P50" s="49" t="s">
        <v>153</v>
      </c>
      <c r="Q50" s="49" t="s">
        <v>155</v>
      </c>
      <c r="R50" s="49" t="s">
        <v>156</v>
      </c>
      <c r="S50" s="2"/>
      <c r="T50" s="2"/>
      <c r="U50" s="2"/>
      <c r="V50" s="49" t="s">
        <v>186</v>
      </c>
      <c r="W50" s="49" t="s">
        <v>153</v>
      </c>
      <c r="X50" s="49" t="s">
        <v>153</v>
      </c>
      <c r="Y50" s="49" t="s">
        <v>155</v>
      </c>
      <c r="Z50" s="49" t="s">
        <v>156</v>
      </c>
      <c r="AA50" s="2"/>
      <c r="AB50" s="2"/>
      <c r="AC50" s="2"/>
      <c r="AD50" s="42" t="s">
        <v>186</v>
      </c>
      <c r="AE50" s="42" t="s">
        <v>155</v>
      </c>
      <c r="AF50" s="42" t="s">
        <v>156</v>
      </c>
      <c r="AG50" s="42" t="s">
        <v>187</v>
      </c>
      <c r="AH50" s="2"/>
      <c r="AI50" s="2"/>
      <c r="AJ50" s="2"/>
    </row>
    <row r="51" spans="1:36" ht="15.75" customHeight="1">
      <c r="A51" s="2"/>
      <c r="B51" s="66"/>
      <c r="C51" s="67" t="s">
        <v>153</v>
      </c>
      <c r="D51" s="2"/>
      <c r="E51" s="68"/>
      <c r="F51" s="69" t="s">
        <v>188</v>
      </c>
      <c r="G51" s="70">
        <f>+$E$39</f>
        <v>0</v>
      </c>
      <c r="H51" s="33" t="s">
        <v>132</v>
      </c>
      <c r="I51" s="71">
        <f>2*$E$40</f>
        <v>139.4</v>
      </c>
      <c r="J51" s="71" t="s">
        <v>189</v>
      </c>
      <c r="K51" s="72">
        <f>$G$51-$I$51+5*2</f>
        <v>-129.4</v>
      </c>
      <c r="L51" s="73" t="s">
        <v>140</v>
      </c>
      <c r="M51" s="2"/>
      <c r="N51" s="74">
        <v>1099</v>
      </c>
      <c r="O51" s="75">
        <f t="shared" ref="O51:O229" si="0">IF(N51-$P$41-($Q$41*R51)&gt;$S$41,N51-$P$41-($Q$41*R51)-40,0)</f>
        <v>0</v>
      </c>
      <c r="P51" s="75">
        <f t="shared" ref="P51:P229" si="1">N51-$P$41-($Q$41*R51)-O51</f>
        <v>24</v>
      </c>
      <c r="Q51" s="75">
        <f t="shared" ref="Q51:Q229" si="2">ROUNDUP((N51/$Q$41),0)-IF(N51-$P$41-($Q$41*(ROUNDUP((N51/$Q$41),0)-1))&lt;0,1,0)+IF(O51&lt;&gt;0,1,0)</f>
        <v>2</v>
      </c>
      <c r="R51" s="76">
        <f t="shared" ref="R51:R229" si="3">ROUNDUP((N51/$Q$41),0)-IF(N51-$P$41-($Q$41*(ROUNDUP((N51/$Q$41),0)-1))&lt;0,2,1)</f>
        <v>1</v>
      </c>
      <c r="S51" s="2"/>
      <c r="T51" s="2"/>
      <c r="U51" s="2"/>
      <c r="V51" s="46">
        <v>1350</v>
      </c>
      <c r="W51" s="77">
        <f t="shared" ref="W51:W264" si="4">IF(V51-$P$42-($Q$42*Z51)&gt;$S$42,V51-$P$42-($Q$42*Z51)-100,0)</f>
        <v>0</v>
      </c>
      <c r="X51" s="77">
        <f t="shared" ref="X51:X264" si="5">V51-$P$42-($Q$42*Z51)-W51</f>
        <v>20</v>
      </c>
      <c r="Y51" s="77">
        <f t="shared" ref="Y51:Y264" si="6">ROUNDUP((V51/$Q$42),0)-IF(V51-$P$42-($Q$42*(ROUNDUP((V51/$Q$42),0)-1))&lt;0,1,0)+IF(W51&lt;&gt;0,1,0)</f>
        <v>2</v>
      </c>
      <c r="Z51" s="78">
        <f t="shared" ref="Z51:Z264" si="7">ROUNDUP((V51/$Q$42),0)-IF(V51-$P$42-($Q$42*(ROUNDUP((V51/$Q$42),0)-1))&lt;0,2,1)</f>
        <v>1</v>
      </c>
      <c r="AA51" s="2"/>
      <c r="AB51" s="2"/>
      <c r="AC51" s="2"/>
      <c r="AD51" s="39">
        <v>1350</v>
      </c>
      <c r="AE51" s="77">
        <v>2</v>
      </c>
      <c r="AF51" s="78">
        <v>0</v>
      </c>
      <c r="AG51" s="79">
        <v>1</v>
      </c>
      <c r="AH51" s="2"/>
      <c r="AI51" s="2"/>
      <c r="AJ51" s="80">
        <f t="shared" ref="AJ51:AJ264" si="8">SUM(AE51:AG51)*4</f>
        <v>12</v>
      </c>
    </row>
    <row r="52" spans="1:36" ht="15.75" customHeight="1">
      <c r="A52" s="2"/>
      <c r="B52" s="81" t="s">
        <v>190</v>
      </c>
      <c r="C52" s="82">
        <v>30</v>
      </c>
      <c r="D52" s="2"/>
      <c r="E52" s="68"/>
      <c r="F52" s="2"/>
      <c r="G52" s="2"/>
      <c r="H52" s="2"/>
      <c r="I52" s="2"/>
      <c r="J52" s="2"/>
      <c r="K52" s="2"/>
      <c r="L52" s="73"/>
      <c r="M52" s="2"/>
      <c r="N52" s="46">
        <v>1132</v>
      </c>
      <c r="O52" s="77">
        <f t="shared" si="0"/>
        <v>0</v>
      </c>
      <c r="P52" s="77">
        <f t="shared" si="1"/>
        <v>57</v>
      </c>
      <c r="Q52" s="77">
        <f t="shared" si="2"/>
        <v>2</v>
      </c>
      <c r="R52" s="78">
        <f t="shared" si="3"/>
        <v>1</v>
      </c>
      <c r="S52" s="2"/>
      <c r="T52" s="2"/>
      <c r="U52" s="2"/>
      <c r="V52" s="46">
        <v>1400</v>
      </c>
      <c r="W52" s="77">
        <f t="shared" si="4"/>
        <v>0</v>
      </c>
      <c r="X52" s="77">
        <f t="shared" si="5"/>
        <v>70</v>
      </c>
      <c r="Y52" s="77">
        <f t="shared" si="6"/>
        <v>2</v>
      </c>
      <c r="Z52" s="78">
        <f t="shared" si="7"/>
        <v>1</v>
      </c>
      <c r="AA52" s="2"/>
      <c r="AB52" s="2"/>
      <c r="AC52" s="2"/>
      <c r="AD52" s="46">
        <v>1400</v>
      </c>
      <c r="AE52" s="77">
        <v>2</v>
      </c>
      <c r="AF52" s="78">
        <v>0</v>
      </c>
      <c r="AG52" s="78">
        <v>1</v>
      </c>
      <c r="AH52" s="2"/>
      <c r="AI52" s="2"/>
      <c r="AJ52" s="80">
        <f t="shared" si="8"/>
        <v>12</v>
      </c>
    </row>
    <row r="53" spans="1:36" ht="15.75" customHeight="1">
      <c r="A53" s="2"/>
      <c r="B53" s="83" t="s">
        <v>191</v>
      </c>
      <c r="C53" s="84">
        <v>950</v>
      </c>
      <c r="D53" s="2"/>
      <c r="E53" s="85" t="s">
        <v>192</v>
      </c>
      <c r="F53" s="2"/>
      <c r="G53" s="2"/>
      <c r="H53" s="2"/>
      <c r="I53" s="2"/>
      <c r="J53" s="2"/>
      <c r="K53" s="2"/>
      <c r="L53" s="73"/>
      <c r="M53" s="2"/>
      <c r="N53" s="46">
        <v>1166</v>
      </c>
      <c r="O53" s="77">
        <f t="shared" si="0"/>
        <v>0</v>
      </c>
      <c r="P53" s="77">
        <f t="shared" si="1"/>
        <v>91</v>
      </c>
      <c r="Q53" s="77">
        <f t="shared" si="2"/>
        <v>2</v>
      </c>
      <c r="R53" s="78">
        <f t="shared" si="3"/>
        <v>1</v>
      </c>
      <c r="S53" s="2"/>
      <c r="T53" s="2"/>
      <c r="U53" s="2"/>
      <c r="V53" s="46">
        <v>1450</v>
      </c>
      <c r="W53" s="77">
        <f t="shared" si="4"/>
        <v>0</v>
      </c>
      <c r="X53" s="77">
        <f t="shared" si="5"/>
        <v>120</v>
      </c>
      <c r="Y53" s="77">
        <f t="shared" si="6"/>
        <v>2</v>
      </c>
      <c r="Z53" s="78">
        <f t="shared" si="7"/>
        <v>1</v>
      </c>
      <c r="AA53" s="2"/>
      <c r="AB53" s="2"/>
      <c r="AC53" s="2"/>
      <c r="AD53" s="46">
        <v>1450</v>
      </c>
      <c r="AE53" s="77">
        <v>2</v>
      </c>
      <c r="AF53" s="78">
        <v>0</v>
      </c>
      <c r="AG53" s="78">
        <v>1</v>
      </c>
      <c r="AH53" s="2"/>
      <c r="AI53" s="2"/>
      <c r="AJ53" s="80">
        <f t="shared" si="8"/>
        <v>12</v>
      </c>
    </row>
    <row r="54" spans="1:36" ht="15.75" customHeight="1">
      <c r="A54" s="2"/>
      <c r="B54" s="83" t="s">
        <v>193</v>
      </c>
      <c r="C54" s="84">
        <v>25</v>
      </c>
      <c r="D54" s="2"/>
      <c r="E54" s="86"/>
      <c r="F54" s="2"/>
      <c r="G54" s="2"/>
      <c r="H54" s="2"/>
      <c r="I54" s="2"/>
      <c r="J54" s="2"/>
      <c r="K54" s="2"/>
      <c r="L54" s="73"/>
      <c r="M54" s="2"/>
      <c r="N54" s="46">
        <v>1199</v>
      </c>
      <c r="O54" s="77">
        <f t="shared" si="0"/>
        <v>0</v>
      </c>
      <c r="P54" s="77">
        <f t="shared" si="1"/>
        <v>124</v>
      </c>
      <c r="Q54" s="77">
        <f t="shared" si="2"/>
        <v>2</v>
      </c>
      <c r="R54" s="78">
        <f t="shared" si="3"/>
        <v>1</v>
      </c>
      <c r="S54" s="2"/>
      <c r="T54" s="2"/>
      <c r="U54" s="2"/>
      <c r="V54" s="46">
        <v>1500</v>
      </c>
      <c r="W54" s="77">
        <f t="shared" si="4"/>
        <v>0</v>
      </c>
      <c r="X54" s="77">
        <f t="shared" si="5"/>
        <v>170</v>
      </c>
      <c r="Y54" s="77">
        <f t="shared" si="6"/>
        <v>2</v>
      </c>
      <c r="Z54" s="78">
        <f t="shared" si="7"/>
        <v>1</v>
      </c>
      <c r="AA54" s="2"/>
      <c r="AB54" s="2"/>
      <c r="AC54" s="2"/>
      <c r="AD54" s="46">
        <v>1500</v>
      </c>
      <c r="AE54" s="77">
        <v>2</v>
      </c>
      <c r="AF54" s="78">
        <v>0</v>
      </c>
      <c r="AG54" s="78">
        <v>1</v>
      </c>
      <c r="AH54" s="2"/>
      <c r="AI54" s="2"/>
      <c r="AJ54" s="80">
        <f t="shared" si="8"/>
        <v>12</v>
      </c>
    </row>
    <row r="55" spans="1:36" ht="15.75" customHeight="1">
      <c r="A55" s="2"/>
      <c r="B55" s="83" t="s">
        <v>194</v>
      </c>
      <c r="C55" s="84">
        <v>20</v>
      </c>
      <c r="D55" s="2"/>
      <c r="E55" s="86"/>
      <c r="F55" s="69" t="s">
        <v>195</v>
      </c>
      <c r="G55" s="71">
        <f>($K$51-5*2)^2</f>
        <v>19432.36</v>
      </c>
      <c r="H55" s="71" t="s">
        <v>196</v>
      </c>
      <c r="I55" s="71">
        <f>($E$41-$E$42-40)^2</f>
        <v>1199025</v>
      </c>
      <c r="J55" s="71" t="s">
        <v>189</v>
      </c>
      <c r="K55" s="87">
        <f>SQRT($G$55+$I$55)</f>
        <v>1103.8375605133213</v>
      </c>
      <c r="L55" s="73" t="s">
        <v>140</v>
      </c>
      <c r="M55" s="2"/>
      <c r="N55" s="46">
        <v>1232</v>
      </c>
      <c r="O55" s="77">
        <f t="shared" si="0"/>
        <v>0</v>
      </c>
      <c r="P55" s="77">
        <f t="shared" si="1"/>
        <v>157</v>
      </c>
      <c r="Q55" s="77">
        <f t="shared" si="2"/>
        <v>2</v>
      </c>
      <c r="R55" s="78">
        <f t="shared" si="3"/>
        <v>1</v>
      </c>
      <c r="S55" s="2"/>
      <c r="T55" s="2"/>
      <c r="U55" s="2"/>
      <c r="V55" s="46">
        <v>1550</v>
      </c>
      <c r="W55" s="77">
        <f t="shared" si="4"/>
        <v>0</v>
      </c>
      <c r="X55" s="77">
        <f t="shared" si="5"/>
        <v>220</v>
      </c>
      <c r="Y55" s="77">
        <f t="shared" si="6"/>
        <v>2</v>
      </c>
      <c r="Z55" s="78">
        <f t="shared" si="7"/>
        <v>1</v>
      </c>
      <c r="AA55" s="2"/>
      <c r="AB55" s="2"/>
      <c r="AC55" s="2"/>
      <c r="AD55" s="46">
        <v>1550</v>
      </c>
      <c r="AE55" s="77">
        <v>2</v>
      </c>
      <c r="AF55" s="78">
        <v>0</v>
      </c>
      <c r="AG55" s="78">
        <v>1</v>
      </c>
      <c r="AH55" s="2"/>
      <c r="AI55" s="2"/>
      <c r="AJ55" s="80">
        <f t="shared" si="8"/>
        <v>12</v>
      </c>
    </row>
    <row r="56" spans="1:36" ht="15.75" customHeight="1">
      <c r="A56" s="2"/>
      <c r="B56" s="83" t="s">
        <v>197</v>
      </c>
      <c r="C56" s="84">
        <f>IF($G$9=$H$103,$I$103,IF($G$9=$H$104,$I$104,IF($G$9=$H$105,$I$105,$I$106)))</f>
        <v>1.8</v>
      </c>
      <c r="D56" s="2"/>
      <c r="E56" s="88"/>
      <c r="F56" s="89"/>
      <c r="G56" s="90"/>
      <c r="H56" s="90"/>
      <c r="I56" s="90"/>
      <c r="J56" s="90"/>
      <c r="K56" s="90"/>
      <c r="L56" s="91"/>
      <c r="M56" s="2"/>
      <c r="N56" s="46">
        <v>1266</v>
      </c>
      <c r="O56" s="77">
        <f t="shared" si="0"/>
        <v>0</v>
      </c>
      <c r="P56" s="77">
        <f t="shared" si="1"/>
        <v>191</v>
      </c>
      <c r="Q56" s="77">
        <f t="shared" si="2"/>
        <v>2</v>
      </c>
      <c r="R56" s="78">
        <f t="shared" si="3"/>
        <v>1</v>
      </c>
      <c r="S56" s="2"/>
      <c r="T56" s="2"/>
      <c r="U56" s="2"/>
      <c r="V56" s="46">
        <v>1600</v>
      </c>
      <c r="W56" s="77">
        <f t="shared" si="4"/>
        <v>0</v>
      </c>
      <c r="X56" s="77">
        <f t="shared" si="5"/>
        <v>270</v>
      </c>
      <c r="Y56" s="77">
        <f t="shared" si="6"/>
        <v>2</v>
      </c>
      <c r="Z56" s="78">
        <f t="shared" si="7"/>
        <v>1</v>
      </c>
      <c r="AA56" s="2"/>
      <c r="AB56" s="2"/>
      <c r="AC56" s="2"/>
      <c r="AD56" s="46">
        <v>1600</v>
      </c>
      <c r="AE56" s="77">
        <v>2</v>
      </c>
      <c r="AF56" s="78">
        <v>0</v>
      </c>
      <c r="AG56" s="78">
        <v>1</v>
      </c>
      <c r="AH56" s="2"/>
      <c r="AI56" s="2"/>
      <c r="AJ56" s="80">
        <f t="shared" si="8"/>
        <v>12</v>
      </c>
    </row>
    <row r="57" spans="1:36" ht="15.75" customHeight="1">
      <c r="A57" s="2"/>
      <c r="B57" s="83" t="s">
        <v>198</v>
      </c>
      <c r="C57" s="84">
        <v>0.3</v>
      </c>
      <c r="D57" s="2"/>
      <c r="E57" s="71"/>
      <c r="F57" s="32"/>
      <c r="G57" s="2"/>
      <c r="H57" s="2"/>
      <c r="I57" s="2"/>
      <c r="J57" s="2"/>
      <c r="K57" s="2"/>
      <c r="L57" s="2"/>
      <c r="M57" s="2"/>
      <c r="N57" s="46">
        <v>1299</v>
      </c>
      <c r="O57" s="77">
        <f t="shared" si="0"/>
        <v>0</v>
      </c>
      <c r="P57" s="77">
        <f t="shared" si="1"/>
        <v>224</v>
      </c>
      <c r="Q57" s="77">
        <f t="shared" si="2"/>
        <v>2</v>
      </c>
      <c r="R57" s="78">
        <f t="shared" si="3"/>
        <v>1</v>
      </c>
      <c r="S57" s="2"/>
      <c r="T57" s="2"/>
      <c r="U57" s="2"/>
      <c r="V57" s="46">
        <v>1650</v>
      </c>
      <c r="W57" s="77">
        <f t="shared" si="4"/>
        <v>0</v>
      </c>
      <c r="X57" s="77">
        <f t="shared" si="5"/>
        <v>320</v>
      </c>
      <c r="Y57" s="77">
        <f t="shared" si="6"/>
        <v>2</v>
      </c>
      <c r="Z57" s="78">
        <f t="shared" si="7"/>
        <v>1</v>
      </c>
      <c r="AA57" s="2"/>
      <c r="AB57" s="2"/>
      <c r="AC57" s="2"/>
      <c r="AD57" s="46">
        <v>1650</v>
      </c>
      <c r="AE57" s="77">
        <v>2</v>
      </c>
      <c r="AF57" s="78">
        <v>1</v>
      </c>
      <c r="AG57" s="78">
        <v>0</v>
      </c>
      <c r="AH57" s="2"/>
      <c r="AI57" s="2"/>
      <c r="AJ57" s="80">
        <f t="shared" si="8"/>
        <v>12</v>
      </c>
    </row>
    <row r="58" spans="1:36" ht="15.75" customHeight="1">
      <c r="A58" s="2"/>
      <c r="B58" s="92" t="s">
        <v>199</v>
      </c>
      <c r="C58" s="93">
        <f>IF($G$10=$H$88,$I$88,IF($G$10=$H$89,$I$89,$I$90))</f>
        <v>1.3</v>
      </c>
      <c r="D58" s="2"/>
      <c r="E58" s="94" t="s">
        <v>200</v>
      </c>
      <c r="F58" s="95" t="str">
        <f>$C$7</f>
        <v>ZM2</v>
      </c>
      <c r="G58" s="2"/>
      <c r="H58" s="2"/>
      <c r="I58" s="2"/>
      <c r="J58" s="2"/>
      <c r="K58" s="2"/>
      <c r="L58" s="2"/>
      <c r="M58" s="2"/>
      <c r="N58" s="46">
        <v>1332</v>
      </c>
      <c r="O58" s="77">
        <f t="shared" si="0"/>
        <v>0</v>
      </c>
      <c r="P58" s="77">
        <f t="shared" si="1"/>
        <v>257</v>
      </c>
      <c r="Q58" s="77">
        <f t="shared" si="2"/>
        <v>2</v>
      </c>
      <c r="R58" s="78">
        <f t="shared" si="3"/>
        <v>1</v>
      </c>
      <c r="S58" s="2"/>
      <c r="T58" s="2"/>
      <c r="U58" s="2"/>
      <c r="V58" s="46">
        <v>1700</v>
      </c>
      <c r="W58" s="77">
        <f t="shared" si="4"/>
        <v>0</v>
      </c>
      <c r="X58" s="77">
        <f t="shared" si="5"/>
        <v>370</v>
      </c>
      <c r="Y58" s="77">
        <f t="shared" si="6"/>
        <v>2</v>
      </c>
      <c r="Z58" s="78">
        <f t="shared" si="7"/>
        <v>1</v>
      </c>
      <c r="AA58" s="2"/>
      <c r="AB58" s="2"/>
      <c r="AC58" s="2"/>
      <c r="AD58" s="46">
        <v>1700</v>
      </c>
      <c r="AE58" s="77">
        <v>2</v>
      </c>
      <c r="AF58" s="78">
        <v>1</v>
      </c>
      <c r="AG58" s="78">
        <v>0</v>
      </c>
      <c r="AH58" s="2"/>
      <c r="AI58" s="2"/>
      <c r="AJ58" s="80">
        <f t="shared" si="8"/>
        <v>12</v>
      </c>
    </row>
    <row r="59" spans="1:36" ht="15.75" customHeight="1">
      <c r="A59" s="2"/>
      <c r="B59" s="96" t="s">
        <v>201</v>
      </c>
      <c r="C59" s="97">
        <f>IF($G$10=$H$88,$I$88,IF($G$10=$H$89,$I$89,$I$90))</f>
        <v>1.3</v>
      </c>
      <c r="D59" s="2"/>
      <c r="E59" s="71"/>
      <c r="F59" s="71"/>
      <c r="G59" s="2"/>
      <c r="H59" s="2"/>
      <c r="I59" s="2"/>
      <c r="J59" s="2"/>
      <c r="K59" s="98">
        <f>+I60+I61+I65</f>
        <v>29.416640000000001</v>
      </c>
      <c r="L59" s="2"/>
      <c r="M59" s="2"/>
      <c r="N59" s="46">
        <v>1365</v>
      </c>
      <c r="O59" s="77">
        <f t="shared" si="0"/>
        <v>0</v>
      </c>
      <c r="P59" s="77">
        <f t="shared" si="1"/>
        <v>290</v>
      </c>
      <c r="Q59" s="77">
        <f t="shared" si="2"/>
        <v>2</v>
      </c>
      <c r="R59" s="78">
        <f t="shared" si="3"/>
        <v>1</v>
      </c>
      <c r="S59" s="2"/>
      <c r="T59" s="2"/>
      <c r="U59" s="2"/>
      <c r="V59" s="46">
        <v>1750</v>
      </c>
      <c r="W59" s="77">
        <f t="shared" si="4"/>
        <v>0</v>
      </c>
      <c r="X59" s="77">
        <f t="shared" si="5"/>
        <v>420</v>
      </c>
      <c r="Y59" s="77">
        <f t="shared" si="6"/>
        <v>2</v>
      </c>
      <c r="Z59" s="78">
        <f t="shared" si="7"/>
        <v>1</v>
      </c>
      <c r="AA59" s="2"/>
      <c r="AB59" s="2"/>
      <c r="AC59" s="2"/>
      <c r="AD59" s="46">
        <v>1750</v>
      </c>
      <c r="AE59" s="77">
        <v>2</v>
      </c>
      <c r="AF59" s="78">
        <v>1</v>
      </c>
      <c r="AG59" s="78">
        <v>0</v>
      </c>
      <c r="AH59" s="2"/>
      <c r="AI59" s="2"/>
      <c r="AJ59" s="80">
        <f t="shared" si="8"/>
        <v>12</v>
      </c>
    </row>
    <row r="60" spans="1:36" ht="15.75" customHeight="1">
      <c r="A60" s="2"/>
      <c r="B60" s="81" t="s">
        <v>202</v>
      </c>
      <c r="C60" s="82">
        <v>40.4</v>
      </c>
      <c r="D60" s="2"/>
      <c r="E60" s="69" t="s">
        <v>32</v>
      </c>
      <c r="F60" s="99" t="s">
        <v>203</v>
      </c>
      <c r="G60" s="100">
        <f>VLOOKUP(CONCATENATE($F$58,E60),$B$50:$C$115,2,FALSE)</f>
        <v>3.72</v>
      </c>
      <c r="H60" s="71" t="s">
        <v>189</v>
      </c>
      <c r="I60" s="101">
        <f>2*$G$60*($C$9/1000)</f>
        <v>26.45664</v>
      </c>
      <c r="J60" s="102" t="s">
        <v>204</v>
      </c>
      <c r="K60" s="2">
        <f>+K59/2</f>
        <v>14.708320000000001</v>
      </c>
      <c r="L60" s="2"/>
      <c r="M60" s="2"/>
      <c r="N60" s="46">
        <v>1399</v>
      </c>
      <c r="O60" s="77">
        <f t="shared" si="0"/>
        <v>0</v>
      </c>
      <c r="P60" s="77">
        <f t="shared" si="1"/>
        <v>324</v>
      </c>
      <c r="Q60" s="77">
        <f t="shared" si="2"/>
        <v>2</v>
      </c>
      <c r="R60" s="78">
        <f t="shared" si="3"/>
        <v>1</v>
      </c>
      <c r="S60" s="2"/>
      <c r="T60" s="2"/>
      <c r="U60" s="2"/>
      <c r="V60" s="46">
        <v>1800</v>
      </c>
      <c r="W60" s="77">
        <f t="shared" si="4"/>
        <v>0</v>
      </c>
      <c r="X60" s="77">
        <f t="shared" si="5"/>
        <v>470</v>
      </c>
      <c r="Y60" s="77">
        <f t="shared" si="6"/>
        <v>2</v>
      </c>
      <c r="Z60" s="78">
        <f t="shared" si="7"/>
        <v>1</v>
      </c>
      <c r="AA60" s="2"/>
      <c r="AB60" s="2"/>
      <c r="AC60" s="2"/>
      <c r="AD60" s="46">
        <v>1800</v>
      </c>
      <c r="AE60" s="77">
        <v>2</v>
      </c>
      <c r="AF60" s="78">
        <v>1</v>
      </c>
      <c r="AG60" s="78">
        <v>0</v>
      </c>
      <c r="AH60" s="2"/>
      <c r="AI60" s="2"/>
      <c r="AJ60" s="80">
        <f t="shared" si="8"/>
        <v>12</v>
      </c>
    </row>
    <row r="61" spans="1:36" ht="15.75" customHeight="1">
      <c r="A61" s="2"/>
      <c r="B61" s="83" t="s">
        <v>205</v>
      </c>
      <c r="C61" s="84">
        <v>1160</v>
      </c>
      <c r="D61" s="2"/>
      <c r="E61" s="69" t="s">
        <v>206</v>
      </c>
      <c r="F61" s="99" t="s">
        <v>207</v>
      </c>
      <c r="G61" s="100">
        <f>VLOOKUP(CONCATENATE($F$58,E61),$B$50:$C$115,2,FALSE)</f>
        <v>1.48</v>
      </c>
      <c r="H61" s="71" t="s">
        <v>189</v>
      </c>
      <c r="I61" s="101">
        <f>+G61*2</f>
        <v>2.96</v>
      </c>
      <c r="J61" s="102" t="s">
        <v>204</v>
      </c>
      <c r="K61" s="2"/>
      <c r="L61" s="2"/>
      <c r="M61" s="2"/>
      <c r="N61" s="46">
        <v>1432</v>
      </c>
      <c r="O61" s="77">
        <f t="shared" si="0"/>
        <v>317</v>
      </c>
      <c r="P61" s="77">
        <f t="shared" si="1"/>
        <v>40</v>
      </c>
      <c r="Q61" s="77">
        <f t="shared" si="2"/>
        <v>3</v>
      </c>
      <c r="R61" s="78">
        <f t="shared" si="3"/>
        <v>1</v>
      </c>
      <c r="S61" s="2"/>
      <c r="T61" s="2"/>
      <c r="U61" s="2"/>
      <c r="V61" s="46">
        <v>1850</v>
      </c>
      <c r="W61" s="77">
        <f t="shared" si="4"/>
        <v>420</v>
      </c>
      <c r="X61" s="77">
        <f t="shared" si="5"/>
        <v>100</v>
      </c>
      <c r="Y61" s="77">
        <f t="shared" si="6"/>
        <v>3</v>
      </c>
      <c r="Z61" s="78">
        <f t="shared" si="7"/>
        <v>1</v>
      </c>
      <c r="AA61" s="2"/>
      <c r="AB61" s="2"/>
      <c r="AC61" s="2"/>
      <c r="AD61" s="46">
        <v>1850</v>
      </c>
      <c r="AE61" s="77">
        <v>2</v>
      </c>
      <c r="AF61" s="78">
        <v>1</v>
      </c>
      <c r="AG61" s="78">
        <v>0</v>
      </c>
      <c r="AH61" s="2"/>
      <c r="AI61" s="2"/>
      <c r="AJ61" s="80">
        <f t="shared" si="8"/>
        <v>12</v>
      </c>
    </row>
    <row r="62" spans="1:36" ht="15.75" customHeight="1">
      <c r="A62" s="2"/>
      <c r="B62" s="83" t="s">
        <v>208</v>
      </c>
      <c r="C62" s="84">
        <v>25</v>
      </c>
      <c r="D62" s="2"/>
      <c r="E62" s="69" t="s">
        <v>155</v>
      </c>
      <c r="F62" s="99" t="s">
        <v>209</v>
      </c>
      <c r="G62" s="100">
        <f>VLOOKUP(CONCATENATE($F$58,E62),$B$50:$C$115,2,FALSE)</f>
        <v>1.2</v>
      </c>
      <c r="H62" s="71" t="s">
        <v>189</v>
      </c>
      <c r="I62" s="101">
        <f>IF($E$152=0,($G$62*($K$51/1000))*VLOOKUP($C$9,IF(F58="ZMM",N51:R229,V51:Z264),4,1),($G$62*($K$156/1000))*VLOOKUP($C$9,AD51:AG264,2,1))</f>
        <v>-0.62112000000000001</v>
      </c>
      <c r="J62" s="102" t="s">
        <v>204</v>
      </c>
      <c r="K62" s="2"/>
      <c r="L62" s="2"/>
      <c r="M62" s="2"/>
      <c r="N62" s="46">
        <v>1465</v>
      </c>
      <c r="O62" s="77">
        <f t="shared" si="0"/>
        <v>350</v>
      </c>
      <c r="P62" s="77">
        <f t="shared" si="1"/>
        <v>40</v>
      </c>
      <c r="Q62" s="77">
        <f t="shared" si="2"/>
        <v>3</v>
      </c>
      <c r="R62" s="78">
        <f t="shared" si="3"/>
        <v>1</v>
      </c>
      <c r="S62" s="2"/>
      <c r="T62" s="2"/>
      <c r="U62" s="2"/>
      <c r="V62" s="46">
        <v>1900</v>
      </c>
      <c r="W62" s="77">
        <f t="shared" si="4"/>
        <v>470</v>
      </c>
      <c r="X62" s="77">
        <f t="shared" si="5"/>
        <v>100</v>
      </c>
      <c r="Y62" s="77">
        <f t="shared" si="6"/>
        <v>3</v>
      </c>
      <c r="Z62" s="78">
        <f t="shared" si="7"/>
        <v>1</v>
      </c>
      <c r="AA62" s="2"/>
      <c r="AB62" s="2"/>
      <c r="AC62" s="2"/>
      <c r="AD62" s="46">
        <v>1900</v>
      </c>
      <c r="AE62" s="77">
        <v>3</v>
      </c>
      <c r="AF62" s="78">
        <v>1</v>
      </c>
      <c r="AG62" s="78">
        <v>0</v>
      </c>
      <c r="AH62" s="2"/>
      <c r="AI62" s="2"/>
      <c r="AJ62" s="80">
        <f t="shared" si="8"/>
        <v>16</v>
      </c>
    </row>
    <row r="63" spans="1:36" ht="15.75" customHeight="1">
      <c r="A63" s="2"/>
      <c r="B63" s="83" t="s">
        <v>210</v>
      </c>
      <c r="C63" s="84">
        <v>25</v>
      </c>
      <c r="D63" s="2"/>
      <c r="E63" s="69" t="s">
        <v>156</v>
      </c>
      <c r="F63" s="99" t="s">
        <v>211</v>
      </c>
      <c r="G63" s="100">
        <f>VLOOKUP(CONCATENATE($F$58,E63),$B$50:$C$115,2,FALSE)</f>
        <v>1.2</v>
      </c>
      <c r="H63" s="71" t="s">
        <v>189</v>
      </c>
      <c r="I63" s="101">
        <f>IF($E$152=0,($G$63*($K$55/1000))*VLOOKUP(C9,IF(F58="ZMM",N51:R229,V51:Z264),5,1),$G$63*(K160/1000)*VLOOKUP(C9,AD51:AG264,3,1))</f>
        <v>2.649210145231971</v>
      </c>
      <c r="J63" s="102" t="s">
        <v>204</v>
      </c>
      <c r="K63" s="2"/>
      <c r="L63" s="2"/>
      <c r="M63" s="2"/>
      <c r="N63" s="46">
        <v>1499</v>
      </c>
      <c r="O63" s="77">
        <f t="shared" si="0"/>
        <v>384</v>
      </c>
      <c r="P63" s="77">
        <f t="shared" si="1"/>
        <v>40</v>
      </c>
      <c r="Q63" s="77">
        <f t="shared" si="2"/>
        <v>3</v>
      </c>
      <c r="R63" s="78">
        <f t="shared" si="3"/>
        <v>1</v>
      </c>
      <c r="S63" s="2"/>
      <c r="T63" s="2"/>
      <c r="U63" s="2"/>
      <c r="V63" s="46">
        <v>1950</v>
      </c>
      <c r="W63" s="77">
        <f t="shared" si="4"/>
        <v>520</v>
      </c>
      <c r="X63" s="77">
        <f t="shared" si="5"/>
        <v>100</v>
      </c>
      <c r="Y63" s="77">
        <f t="shared" si="6"/>
        <v>3</v>
      </c>
      <c r="Z63" s="78">
        <f t="shared" si="7"/>
        <v>1</v>
      </c>
      <c r="AA63" s="2"/>
      <c r="AB63" s="2"/>
      <c r="AC63" s="2"/>
      <c r="AD63" s="46">
        <v>1950</v>
      </c>
      <c r="AE63" s="77">
        <v>3</v>
      </c>
      <c r="AF63" s="78">
        <v>1</v>
      </c>
      <c r="AG63" s="78">
        <v>0</v>
      </c>
      <c r="AH63" s="2"/>
      <c r="AI63" s="2"/>
      <c r="AJ63" s="80">
        <f t="shared" si="8"/>
        <v>16</v>
      </c>
    </row>
    <row r="64" spans="1:36" ht="15.75" customHeight="1">
      <c r="A64" s="2"/>
      <c r="B64" s="83" t="s">
        <v>212</v>
      </c>
      <c r="C64" s="84">
        <f>IF($G$9=$H$107,$I$107,IF($G$9=$H$108,$I$108,IF($G$9=$H$109,$I$109,$I$110)))-0.45</f>
        <v>2.36</v>
      </c>
      <c r="D64" s="2"/>
      <c r="E64" s="69" t="s">
        <v>187</v>
      </c>
      <c r="F64" s="99" t="s">
        <v>211</v>
      </c>
      <c r="G64" s="100">
        <f>VLOOKUP(CONCATENATE($F$58,E63),$B$50:$C$115,2,FALSE)</f>
        <v>1.2</v>
      </c>
      <c r="H64" s="71" t="s">
        <v>189</v>
      </c>
      <c r="I64" s="103" t="str">
        <f>+IF(E152=0,"0",$G$64*($K$164/1000)*VLOOKUP(C9,AD51:AG264,4,1))</f>
        <v>0</v>
      </c>
      <c r="J64" s="32"/>
      <c r="K64" s="2"/>
      <c r="L64" s="104"/>
      <c r="M64" s="32"/>
      <c r="N64" s="46">
        <v>1532</v>
      </c>
      <c r="O64" s="77">
        <f t="shared" si="0"/>
        <v>417</v>
      </c>
      <c r="P64" s="77">
        <f t="shared" si="1"/>
        <v>40</v>
      </c>
      <c r="Q64" s="77">
        <f t="shared" si="2"/>
        <v>3</v>
      </c>
      <c r="R64" s="78">
        <f t="shared" si="3"/>
        <v>1</v>
      </c>
      <c r="S64" s="2"/>
      <c r="T64" s="2"/>
      <c r="U64" s="2"/>
      <c r="V64" s="46">
        <v>2000</v>
      </c>
      <c r="W64" s="77">
        <f t="shared" si="4"/>
        <v>570</v>
      </c>
      <c r="X64" s="77">
        <f t="shared" si="5"/>
        <v>100</v>
      </c>
      <c r="Y64" s="77">
        <f t="shared" si="6"/>
        <v>3</v>
      </c>
      <c r="Z64" s="78">
        <f t="shared" si="7"/>
        <v>1</v>
      </c>
      <c r="AA64" s="2"/>
      <c r="AB64" s="2"/>
      <c r="AC64" s="2"/>
      <c r="AD64" s="46">
        <v>2000</v>
      </c>
      <c r="AE64" s="77">
        <v>3</v>
      </c>
      <c r="AF64" s="78">
        <v>1</v>
      </c>
      <c r="AG64" s="78">
        <v>0</v>
      </c>
      <c r="AH64" s="2"/>
      <c r="AI64" s="2"/>
      <c r="AJ64" s="80">
        <f t="shared" si="8"/>
        <v>16</v>
      </c>
    </row>
    <row r="65" spans="1:36" ht="15.75" customHeight="1">
      <c r="A65" s="2"/>
      <c r="B65" s="83" t="s">
        <v>213</v>
      </c>
      <c r="C65" s="84">
        <f>IF(C13="si",J76,I76)</f>
        <v>1</v>
      </c>
      <c r="D65" s="2"/>
      <c r="E65" s="69" t="s">
        <v>214</v>
      </c>
      <c r="F65" s="99" t="s">
        <v>215</v>
      </c>
      <c r="G65" s="100">
        <f>IF(C13="SI",VLOOKUP(CONCATENATE($F$58,E60),$B$50:$C$115,2,FALSE),0)</f>
        <v>0</v>
      </c>
      <c r="H65" s="71" t="s">
        <v>189</v>
      </c>
      <c r="I65" s="101">
        <f>2*$G$65*($C$14/1000)</f>
        <v>0</v>
      </c>
      <c r="J65" s="2"/>
      <c r="K65" s="2"/>
      <c r="L65" s="2"/>
      <c r="M65" s="32"/>
      <c r="N65" s="46">
        <v>1565</v>
      </c>
      <c r="O65" s="77">
        <f t="shared" si="0"/>
        <v>450</v>
      </c>
      <c r="P65" s="77">
        <f t="shared" si="1"/>
        <v>40</v>
      </c>
      <c r="Q65" s="77">
        <f t="shared" si="2"/>
        <v>3</v>
      </c>
      <c r="R65" s="78">
        <f t="shared" si="3"/>
        <v>1</v>
      </c>
      <c r="S65" s="2"/>
      <c r="T65" s="2"/>
      <c r="U65" s="2"/>
      <c r="V65" s="46">
        <v>2050</v>
      </c>
      <c r="W65" s="77">
        <f t="shared" si="4"/>
        <v>620</v>
      </c>
      <c r="X65" s="77">
        <f t="shared" si="5"/>
        <v>100</v>
      </c>
      <c r="Y65" s="77">
        <f t="shared" si="6"/>
        <v>3</v>
      </c>
      <c r="Z65" s="78">
        <f t="shared" si="7"/>
        <v>1</v>
      </c>
      <c r="AA65" s="2"/>
      <c r="AB65" s="2"/>
      <c r="AC65" s="2"/>
      <c r="AD65" s="46">
        <v>2050</v>
      </c>
      <c r="AE65" s="77">
        <v>3</v>
      </c>
      <c r="AF65" s="78">
        <v>1</v>
      </c>
      <c r="AG65" s="78">
        <v>0</v>
      </c>
      <c r="AH65" s="2"/>
      <c r="AI65" s="2"/>
      <c r="AJ65" s="80">
        <f t="shared" si="8"/>
        <v>16</v>
      </c>
    </row>
    <row r="66" spans="1:36" ht="15.75" customHeight="1">
      <c r="A66" s="2"/>
      <c r="B66" s="92" t="s">
        <v>216</v>
      </c>
      <c r="C66" s="93">
        <f>IF($G$10=$H$91,$I$91,IF($G$10=$H$92,$I$92,$I$93))</f>
        <v>1.1399999999999999</v>
      </c>
      <c r="D66" s="2"/>
      <c r="E66" s="69"/>
      <c r="F66" s="105"/>
      <c r="G66" s="106"/>
      <c r="H66" s="107" t="s">
        <v>217</v>
      </c>
      <c r="I66" s="108">
        <f>SUM($I$60:$I$65)</f>
        <v>31.444730145231972</v>
      </c>
      <c r="J66" s="109" t="s">
        <v>204</v>
      </c>
      <c r="K66" s="106"/>
      <c r="L66" s="110"/>
      <c r="M66" s="32"/>
      <c r="N66" s="46">
        <v>1599</v>
      </c>
      <c r="O66" s="77">
        <f t="shared" si="0"/>
        <v>484</v>
      </c>
      <c r="P66" s="77">
        <f t="shared" si="1"/>
        <v>40</v>
      </c>
      <c r="Q66" s="77">
        <f t="shared" si="2"/>
        <v>3</v>
      </c>
      <c r="R66" s="78">
        <f t="shared" si="3"/>
        <v>1</v>
      </c>
      <c r="S66" s="2"/>
      <c r="T66" s="2"/>
      <c r="U66" s="2"/>
      <c r="V66" s="46">
        <v>2100</v>
      </c>
      <c r="W66" s="77">
        <f t="shared" si="4"/>
        <v>670</v>
      </c>
      <c r="X66" s="77">
        <f t="shared" si="5"/>
        <v>100</v>
      </c>
      <c r="Y66" s="77">
        <f t="shared" si="6"/>
        <v>3</v>
      </c>
      <c r="Z66" s="78">
        <f t="shared" si="7"/>
        <v>1</v>
      </c>
      <c r="AA66" s="2"/>
      <c r="AB66" s="2"/>
      <c r="AC66" s="2"/>
      <c r="AD66" s="46">
        <v>2100</v>
      </c>
      <c r="AE66" s="77">
        <v>3</v>
      </c>
      <c r="AF66" s="78">
        <v>1</v>
      </c>
      <c r="AG66" s="78">
        <v>0</v>
      </c>
      <c r="AH66" s="2"/>
      <c r="AI66" s="2"/>
      <c r="AJ66" s="80">
        <f t="shared" si="8"/>
        <v>16</v>
      </c>
    </row>
    <row r="67" spans="1:36" ht="15.75" customHeight="1">
      <c r="A67" s="2"/>
      <c r="B67" s="96" t="s">
        <v>218</v>
      </c>
      <c r="C67" s="97">
        <f>IF($G$10=$H$91,$I$91,IF($G$10=$H$92,$I$92,$I$93))</f>
        <v>1.1399999999999999</v>
      </c>
      <c r="D67" s="2"/>
      <c r="E67" s="69"/>
      <c r="F67" s="32"/>
      <c r="G67" s="32"/>
      <c r="H67" s="32"/>
      <c r="I67" s="32"/>
      <c r="J67" s="32"/>
      <c r="K67" s="32"/>
      <c r="L67" s="32"/>
      <c r="M67" s="32"/>
      <c r="N67" s="46">
        <v>1632</v>
      </c>
      <c r="O67" s="77">
        <f t="shared" si="0"/>
        <v>517</v>
      </c>
      <c r="P67" s="77">
        <f t="shared" si="1"/>
        <v>40</v>
      </c>
      <c r="Q67" s="77">
        <f t="shared" si="2"/>
        <v>3</v>
      </c>
      <c r="R67" s="78">
        <f t="shared" si="3"/>
        <v>1</v>
      </c>
      <c r="S67" s="2"/>
      <c r="T67" s="2"/>
      <c r="U67" s="2"/>
      <c r="V67" s="46">
        <v>2150</v>
      </c>
      <c r="W67" s="77">
        <f t="shared" si="4"/>
        <v>720</v>
      </c>
      <c r="X67" s="77">
        <f t="shared" si="5"/>
        <v>100</v>
      </c>
      <c r="Y67" s="77">
        <f t="shared" si="6"/>
        <v>3</v>
      </c>
      <c r="Z67" s="78">
        <f t="shared" si="7"/>
        <v>1</v>
      </c>
      <c r="AA67" s="2"/>
      <c r="AB67" s="2"/>
      <c r="AC67" s="2"/>
      <c r="AD67" s="46">
        <v>2150</v>
      </c>
      <c r="AE67" s="77">
        <v>3</v>
      </c>
      <c r="AF67" s="78">
        <v>1</v>
      </c>
      <c r="AG67" s="78">
        <v>0</v>
      </c>
      <c r="AH67" s="2"/>
      <c r="AI67" s="2"/>
      <c r="AJ67" s="80">
        <f t="shared" si="8"/>
        <v>16</v>
      </c>
    </row>
    <row r="68" spans="1:36" ht="15.75" customHeight="1">
      <c r="A68" s="2"/>
      <c r="B68" s="111" t="s">
        <v>219</v>
      </c>
      <c r="C68" s="112">
        <v>69.7</v>
      </c>
      <c r="D68" s="2"/>
      <c r="E68" s="113" t="s">
        <v>220</v>
      </c>
      <c r="F68" s="32"/>
      <c r="G68" s="32"/>
      <c r="H68" s="2"/>
      <c r="I68" s="2"/>
      <c r="J68" s="2"/>
      <c r="K68" s="2"/>
      <c r="L68" s="2"/>
      <c r="M68" s="2"/>
      <c r="N68" s="46">
        <v>1665</v>
      </c>
      <c r="O68" s="77">
        <f t="shared" si="0"/>
        <v>550</v>
      </c>
      <c r="P68" s="77">
        <f t="shared" si="1"/>
        <v>40</v>
      </c>
      <c r="Q68" s="77">
        <f t="shared" si="2"/>
        <v>3</v>
      </c>
      <c r="R68" s="78">
        <f t="shared" si="3"/>
        <v>1</v>
      </c>
      <c r="S68" s="2"/>
      <c r="T68" s="2"/>
      <c r="U68" s="2"/>
      <c r="V68" s="46">
        <v>2200</v>
      </c>
      <c r="W68" s="77">
        <f t="shared" si="4"/>
        <v>770</v>
      </c>
      <c r="X68" s="77">
        <f t="shared" si="5"/>
        <v>100</v>
      </c>
      <c r="Y68" s="77">
        <f t="shared" si="6"/>
        <v>3</v>
      </c>
      <c r="Z68" s="78">
        <f t="shared" si="7"/>
        <v>1</v>
      </c>
      <c r="AA68" s="2"/>
      <c r="AB68" s="2"/>
      <c r="AC68" s="2"/>
      <c r="AD68" s="46">
        <v>2200</v>
      </c>
      <c r="AE68" s="77">
        <v>3</v>
      </c>
      <c r="AF68" s="78">
        <v>1</v>
      </c>
      <c r="AG68" s="78">
        <v>0</v>
      </c>
      <c r="AH68" s="2"/>
      <c r="AI68" s="2"/>
      <c r="AJ68" s="80">
        <f t="shared" si="8"/>
        <v>16</v>
      </c>
    </row>
    <row r="69" spans="1:36" ht="15.75" customHeight="1">
      <c r="A69" s="2"/>
      <c r="B69" s="83" t="s">
        <v>221</v>
      </c>
      <c r="C69" s="84">
        <v>1160</v>
      </c>
      <c r="D69" s="2"/>
      <c r="E69" s="114" t="s">
        <v>222</v>
      </c>
      <c r="F69" s="114"/>
      <c r="G69" s="32"/>
      <c r="H69" s="2"/>
      <c r="I69" s="2"/>
      <c r="J69" s="2"/>
      <c r="K69" s="2"/>
      <c r="L69" s="2"/>
      <c r="M69" s="2"/>
      <c r="N69" s="46">
        <v>1698</v>
      </c>
      <c r="O69" s="77">
        <f t="shared" si="0"/>
        <v>583</v>
      </c>
      <c r="P69" s="77">
        <f t="shared" si="1"/>
        <v>40</v>
      </c>
      <c r="Q69" s="77">
        <f t="shared" si="2"/>
        <v>3</v>
      </c>
      <c r="R69" s="78">
        <f t="shared" si="3"/>
        <v>1</v>
      </c>
      <c r="S69" s="2"/>
      <c r="T69" s="2"/>
      <c r="U69" s="2"/>
      <c r="V69" s="46">
        <v>2250</v>
      </c>
      <c r="W69" s="77">
        <f t="shared" si="4"/>
        <v>820</v>
      </c>
      <c r="X69" s="77">
        <f t="shared" si="5"/>
        <v>100</v>
      </c>
      <c r="Y69" s="77">
        <f t="shared" si="6"/>
        <v>3</v>
      </c>
      <c r="Z69" s="78">
        <f t="shared" si="7"/>
        <v>1</v>
      </c>
      <c r="AA69" s="2"/>
      <c r="AB69" s="2"/>
      <c r="AC69" s="2"/>
      <c r="AD69" s="46">
        <v>2250</v>
      </c>
      <c r="AE69" s="77">
        <v>3</v>
      </c>
      <c r="AF69" s="78">
        <v>1</v>
      </c>
      <c r="AG69" s="78">
        <v>0</v>
      </c>
      <c r="AH69" s="2"/>
      <c r="AI69" s="2"/>
      <c r="AJ69" s="80">
        <f t="shared" si="8"/>
        <v>16</v>
      </c>
    </row>
    <row r="70" spans="1:36" ht="15.75" customHeight="1">
      <c r="A70" s="2"/>
      <c r="B70" s="83" t="s">
        <v>223</v>
      </c>
      <c r="C70" s="84">
        <v>25</v>
      </c>
      <c r="D70" s="2"/>
      <c r="E70" s="114" t="s">
        <v>224</v>
      </c>
      <c r="F70" s="114"/>
      <c r="G70" s="32"/>
      <c r="H70" s="2"/>
      <c r="I70" s="2"/>
      <c r="J70" s="2"/>
      <c r="K70" s="2"/>
      <c r="L70" s="2"/>
      <c r="M70" s="2"/>
      <c r="N70" s="46">
        <v>1732</v>
      </c>
      <c r="O70" s="77">
        <f t="shared" si="0"/>
        <v>617</v>
      </c>
      <c r="P70" s="77">
        <f t="shared" si="1"/>
        <v>40</v>
      </c>
      <c r="Q70" s="77">
        <f t="shared" si="2"/>
        <v>3</v>
      </c>
      <c r="R70" s="78">
        <f t="shared" si="3"/>
        <v>1</v>
      </c>
      <c r="S70" s="2"/>
      <c r="T70" s="2"/>
      <c r="U70" s="2"/>
      <c r="V70" s="46">
        <v>2300</v>
      </c>
      <c r="W70" s="77">
        <f t="shared" si="4"/>
        <v>870</v>
      </c>
      <c r="X70" s="77">
        <f t="shared" si="5"/>
        <v>100</v>
      </c>
      <c r="Y70" s="77">
        <f t="shared" si="6"/>
        <v>3</v>
      </c>
      <c r="Z70" s="78">
        <f t="shared" si="7"/>
        <v>1</v>
      </c>
      <c r="AA70" s="2"/>
      <c r="AB70" s="2"/>
      <c r="AC70" s="2"/>
      <c r="AD70" s="46">
        <v>2300</v>
      </c>
      <c r="AE70" s="77">
        <v>3</v>
      </c>
      <c r="AF70" s="78">
        <v>1</v>
      </c>
      <c r="AG70" s="78">
        <v>0</v>
      </c>
      <c r="AH70" s="2"/>
      <c r="AI70" s="2"/>
      <c r="AJ70" s="80">
        <f t="shared" si="8"/>
        <v>16</v>
      </c>
    </row>
    <row r="71" spans="1:36" ht="15.75" customHeight="1">
      <c r="A71" s="2"/>
      <c r="B71" s="83" t="s">
        <v>225</v>
      </c>
      <c r="C71" s="84">
        <v>25</v>
      </c>
      <c r="D71" s="2"/>
      <c r="E71" s="69"/>
      <c r="F71" s="114"/>
      <c r="G71" s="32"/>
      <c r="H71" s="2"/>
      <c r="I71" s="2"/>
      <c r="J71" s="2"/>
      <c r="K71" s="2"/>
      <c r="L71" s="2"/>
      <c r="M71" s="2"/>
      <c r="N71" s="46">
        <v>1765</v>
      </c>
      <c r="O71" s="77">
        <f t="shared" si="0"/>
        <v>650</v>
      </c>
      <c r="P71" s="77">
        <f t="shared" si="1"/>
        <v>40</v>
      </c>
      <c r="Q71" s="77">
        <f t="shared" si="2"/>
        <v>3</v>
      </c>
      <c r="R71" s="78">
        <f t="shared" si="3"/>
        <v>1</v>
      </c>
      <c r="S71" s="2"/>
      <c r="T71" s="2"/>
      <c r="U71" s="2"/>
      <c r="V71" s="46">
        <v>2350</v>
      </c>
      <c r="W71" s="77">
        <f t="shared" si="4"/>
        <v>920</v>
      </c>
      <c r="X71" s="77">
        <f t="shared" si="5"/>
        <v>100</v>
      </c>
      <c r="Y71" s="77">
        <f t="shared" si="6"/>
        <v>3</v>
      </c>
      <c r="Z71" s="78">
        <f t="shared" si="7"/>
        <v>1</v>
      </c>
      <c r="AA71" s="2"/>
      <c r="AB71" s="2"/>
      <c r="AC71" s="2"/>
      <c r="AD71" s="46">
        <v>2350</v>
      </c>
      <c r="AE71" s="77">
        <v>3</v>
      </c>
      <c r="AF71" s="78">
        <v>1</v>
      </c>
      <c r="AG71" s="78">
        <v>0</v>
      </c>
      <c r="AH71" s="2"/>
      <c r="AI71" s="2"/>
      <c r="AJ71" s="80">
        <f t="shared" si="8"/>
        <v>16</v>
      </c>
    </row>
    <row r="72" spans="1:36" ht="15.75" customHeight="1">
      <c r="A72" s="2"/>
      <c r="B72" s="83" t="s">
        <v>226</v>
      </c>
      <c r="C72" s="84">
        <f>IF($G$9=$H$111,$I$111,IF($G$9=$H$112,$I$112,IF($G$9=$H$113,$I$113,$I$114)))</f>
        <v>3.72</v>
      </c>
      <c r="D72" s="2"/>
      <c r="E72" s="2"/>
      <c r="F72" s="2"/>
      <c r="G72" s="2"/>
      <c r="H72" s="2"/>
      <c r="I72" s="2"/>
      <c r="J72" s="2"/>
      <c r="K72" s="2"/>
      <c r="L72" s="2"/>
      <c r="M72" s="2"/>
      <c r="N72" s="46">
        <v>1798</v>
      </c>
      <c r="O72" s="77">
        <f t="shared" si="0"/>
        <v>683</v>
      </c>
      <c r="P72" s="77">
        <f t="shared" si="1"/>
        <v>40</v>
      </c>
      <c r="Q72" s="77">
        <f t="shared" si="2"/>
        <v>3</v>
      </c>
      <c r="R72" s="78">
        <f t="shared" si="3"/>
        <v>1</v>
      </c>
      <c r="S72" s="2"/>
      <c r="T72" s="2"/>
      <c r="U72" s="2"/>
      <c r="V72" s="46">
        <v>2400</v>
      </c>
      <c r="W72" s="77">
        <f t="shared" si="4"/>
        <v>970</v>
      </c>
      <c r="X72" s="77">
        <f t="shared" si="5"/>
        <v>100</v>
      </c>
      <c r="Y72" s="77">
        <f t="shared" si="6"/>
        <v>3</v>
      </c>
      <c r="Z72" s="78">
        <f t="shared" si="7"/>
        <v>1</v>
      </c>
      <c r="AA72" s="2"/>
      <c r="AB72" s="2"/>
      <c r="AC72" s="2"/>
      <c r="AD72" s="46">
        <v>2400</v>
      </c>
      <c r="AE72" s="77">
        <v>3</v>
      </c>
      <c r="AF72" s="78">
        <v>1</v>
      </c>
      <c r="AG72" s="78">
        <v>0</v>
      </c>
      <c r="AH72" s="2"/>
      <c r="AI72" s="2"/>
      <c r="AJ72" s="80">
        <f t="shared" si="8"/>
        <v>16</v>
      </c>
    </row>
    <row r="73" spans="1:36" ht="15.75" customHeight="1">
      <c r="A73" s="2"/>
      <c r="B73" s="83" t="s">
        <v>227</v>
      </c>
      <c r="C73" s="84">
        <f>IF($C$13="si",J77,I77)</f>
        <v>1.48</v>
      </c>
      <c r="D73" s="2"/>
      <c r="E73" s="2"/>
      <c r="F73" s="2"/>
      <c r="G73" s="2"/>
      <c r="H73" s="2"/>
      <c r="I73" s="2"/>
      <c r="J73" s="2"/>
      <c r="K73" s="2"/>
      <c r="L73" s="2"/>
      <c r="M73" s="2"/>
      <c r="N73" s="46">
        <v>1832</v>
      </c>
      <c r="O73" s="77">
        <f t="shared" si="0"/>
        <v>717</v>
      </c>
      <c r="P73" s="77">
        <f t="shared" si="1"/>
        <v>40</v>
      </c>
      <c r="Q73" s="77">
        <f t="shared" si="2"/>
        <v>3</v>
      </c>
      <c r="R73" s="78">
        <f t="shared" si="3"/>
        <v>1</v>
      </c>
      <c r="S73" s="2"/>
      <c r="T73" s="2"/>
      <c r="U73" s="2"/>
      <c r="V73" s="46">
        <v>2450</v>
      </c>
      <c r="W73" s="77">
        <f t="shared" si="4"/>
        <v>1020</v>
      </c>
      <c r="X73" s="77">
        <f t="shared" si="5"/>
        <v>100</v>
      </c>
      <c r="Y73" s="77">
        <f t="shared" si="6"/>
        <v>3</v>
      </c>
      <c r="Z73" s="78">
        <f t="shared" si="7"/>
        <v>1</v>
      </c>
      <c r="AA73" s="2"/>
      <c r="AB73" s="2"/>
      <c r="AC73" s="2"/>
      <c r="AD73" s="46">
        <v>2450</v>
      </c>
      <c r="AE73" s="77">
        <v>3</v>
      </c>
      <c r="AF73" s="78">
        <v>1</v>
      </c>
      <c r="AG73" s="78">
        <v>0</v>
      </c>
      <c r="AH73" s="2"/>
      <c r="AI73" s="2"/>
      <c r="AJ73" s="80">
        <f t="shared" si="8"/>
        <v>16</v>
      </c>
    </row>
    <row r="74" spans="1:36" ht="15.75" customHeight="1">
      <c r="A74" s="2"/>
      <c r="B74" s="92" t="s">
        <v>228</v>
      </c>
      <c r="C74" s="93">
        <f>IF($G$10=$H$94,$I$94,IF($G$10=$H$95,$I$95,$I$96))</f>
        <v>1.2</v>
      </c>
      <c r="D74" s="2"/>
      <c r="E74" s="2"/>
      <c r="F74" s="2"/>
      <c r="G74" s="2"/>
      <c r="H74" s="2"/>
      <c r="I74" s="115" t="s">
        <v>229</v>
      </c>
      <c r="J74" s="116" t="s">
        <v>230</v>
      </c>
      <c r="K74" s="2"/>
      <c r="L74" s="2"/>
      <c r="M74" s="2"/>
      <c r="N74" s="46">
        <v>1865</v>
      </c>
      <c r="O74" s="77">
        <f t="shared" si="0"/>
        <v>750</v>
      </c>
      <c r="P74" s="77">
        <f t="shared" si="1"/>
        <v>40</v>
      </c>
      <c r="Q74" s="77">
        <f t="shared" si="2"/>
        <v>3</v>
      </c>
      <c r="R74" s="78">
        <f t="shared" si="3"/>
        <v>1</v>
      </c>
      <c r="S74" s="2"/>
      <c r="T74" s="2"/>
      <c r="U74" s="2"/>
      <c r="V74" s="46">
        <v>2500</v>
      </c>
      <c r="W74" s="77">
        <f t="shared" si="4"/>
        <v>0</v>
      </c>
      <c r="X74" s="77">
        <f t="shared" si="5"/>
        <v>10</v>
      </c>
      <c r="Y74" s="77">
        <f t="shared" si="6"/>
        <v>3</v>
      </c>
      <c r="Z74" s="78">
        <f t="shared" si="7"/>
        <v>2</v>
      </c>
      <c r="AA74" s="2"/>
      <c r="AB74" s="2"/>
      <c r="AC74" s="2"/>
      <c r="AD74" s="46">
        <v>2500</v>
      </c>
      <c r="AE74" s="77">
        <v>3</v>
      </c>
      <c r="AF74" s="78">
        <v>1</v>
      </c>
      <c r="AG74" s="78">
        <v>1</v>
      </c>
      <c r="AH74" s="2"/>
      <c r="AI74" s="2"/>
      <c r="AJ74" s="80">
        <f t="shared" si="8"/>
        <v>20</v>
      </c>
    </row>
    <row r="75" spans="1:36" ht="15.75" customHeight="1">
      <c r="A75" s="2"/>
      <c r="B75" s="96" t="s">
        <v>231</v>
      </c>
      <c r="C75" s="97">
        <f>IF($G$10=$H$94,$I$94,IF($G$10=$H$95,$I$95,$I$96))</f>
        <v>1.2</v>
      </c>
      <c r="D75" s="2"/>
      <c r="E75" s="117" t="s">
        <v>45</v>
      </c>
      <c r="F75" s="2"/>
      <c r="G75" s="117" t="s">
        <v>45</v>
      </c>
      <c r="H75" s="118">
        <v>12</v>
      </c>
      <c r="I75" s="119">
        <v>0.3</v>
      </c>
      <c r="J75" s="119" t="s">
        <v>232</v>
      </c>
      <c r="K75" s="2"/>
      <c r="L75" s="2"/>
      <c r="M75" s="2"/>
      <c r="N75" s="46">
        <v>1898</v>
      </c>
      <c r="O75" s="77">
        <f t="shared" si="0"/>
        <v>783</v>
      </c>
      <c r="P75" s="77">
        <f t="shared" si="1"/>
        <v>40</v>
      </c>
      <c r="Q75" s="77">
        <f t="shared" si="2"/>
        <v>3</v>
      </c>
      <c r="R75" s="78">
        <f t="shared" si="3"/>
        <v>1</v>
      </c>
      <c r="S75" s="2"/>
      <c r="T75" s="2"/>
      <c r="U75" s="2"/>
      <c r="V75" s="46">
        <v>2550</v>
      </c>
      <c r="W75" s="77">
        <f t="shared" si="4"/>
        <v>0</v>
      </c>
      <c r="X75" s="77">
        <f t="shared" si="5"/>
        <v>60</v>
      </c>
      <c r="Y75" s="77">
        <f t="shared" si="6"/>
        <v>3</v>
      </c>
      <c r="Z75" s="78">
        <f t="shared" si="7"/>
        <v>2</v>
      </c>
      <c r="AA75" s="2"/>
      <c r="AB75" s="2"/>
      <c r="AC75" s="2"/>
      <c r="AD75" s="46">
        <v>2550</v>
      </c>
      <c r="AE75" s="77">
        <v>3</v>
      </c>
      <c r="AF75" s="78">
        <v>1</v>
      </c>
      <c r="AG75" s="78">
        <v>1</v>
      </c>
      <c r="AH75" s="2"/>
      <c r="AI75" s="2"/>
      <c r="AJ75" s="80">
        <f t="shared" si="8"/>
        <v>20</v>
      </c>
    </row>
    <row r="76" spans="1:36" ht="15.75" customHeight="1">
      <c r="A76" s="2"/>
      <c r="B76" s="111" t="s">
        <v>233</v>
      </c>
      <c r="C76" s="112">
        <v>70</v>
      </c>
      <c r="D76" s="2"/>
      <c r="E76" s="120" t="s">
        <v>10</v>
      </c>
      <c r="F76" s="2"/>
      <c r="G76" s="120" t="s">
        <v>10</v>
      </c>
      <c r="H76" s="121">
        <v>13</v>
      </c>
      <c r="I76" s="122">
        <v>1</v>
      </c>
      <c r="J76" s="122">
        <v>1.72</v>
      </c>
      <c r="K76" s="2"/>
      <c r="L76" s="2"/>
      <c r="M76" s="2"/>
      <c r="N76" s="46">
        <v>1932</v>
      </c>
      <c r="O76" s="77">
        <f t="shared" si="0"/>
        <v>817</v>
      </c>
      <c r="P76" s="77">
        <f t="shared" si="1"/>
        <v>40</v>
      </c>
      <c r="Q76" s="77">
        <f t="shared" si="2"/>
        <v>3</v>
      </c>
      <c r="R76" s="78">
        <f t="shared" si="3"/>
        <v>1</v>
      </c>
      <c r="S76" s="2"/>
      <c r="T76" s="2"/>
      <c r="U76" s="2"/>
      <c r="V76" s="46">
        <v>2600</v>
      </c>
      <c r="W76" s="77">
        <f t="shared" si="4"/>
        <v>0</v>
      </c>
      <c r="X76" s="77">
        <f t="shared" si="5"/>
        <v>110</v>
      </c>
      <c r="Y76" s="77">
        <f t="shared" si="6"/>
        <v>3</v>
      </c>
      <c r="Z76" s="78">
        <f t="shared" si="7"/>
        <v>2</v>
      </c>
      <c r="AA76" s="2"/>
      <c r="AB76" s="2"/>
      <c r="AC76" s="2"/>
      <c r="AD76" s="46">
        <v>2600</v>
      </c>
      <c r="AE76" s="77">
        <v>3</v>
      </c>
      <c r="AF76" s="78">
        <v>1</v>
      </c>
      <c r="AG76" s="78">
        <v>1</v>
      </c>
      <c r="AH76" s="2"/>
      <c r="AI76" s="2"/>
      <c r="AJ76" s="80">
        <f t="shared" si="8"/>
        <v>20</v>
      </c>
    </row>
    <row r="77" spans="1:36" ht="15.75" customHeight="1">
      <c r="A77" s="2"/>
      <c r="B77" s="83" t="s">
        <v>234</v>
      </c>
      <c r="C77" s="84">
        <v>1160</v>
      </c>
      <c r="D77" s="2"/>
      <c r="E77" s="120" t="s">
        <v>46</v>
      </c>
      <c r="F77" s="2"/>
      <c r="G77" s="120" t="s">
        <v>46</v>
      </c>
      <c r="H77" s="121">
        <v>14</v>
      </c>
      <c r="I77" s="122">
        <v>1.48</v>
      </c>
      <c r="J77" s="122">
        <v>2.23</v>
      </c>
      <c r="K77" s="2"/>
      <c r="L77" s="2"/>
      <c r="M77" s="2"/>
      <c r="N77" s="46">
        <v>1965</v>
      </c>
      <c r="O77" s="77">
        <f t="shared" si="0"/>
        <v>850</v>
      </c>
      <c r="P77" s="77">
        <f t="shared" si="1"/>
        <v>40</v>
      </c>
      <c r="Q77" s="77">
        <f t="shared" si="2"/>
        <v>3</v>
      </c>
      <c r="R77" s="78">
        <f t="shared" si="3"/>
        <v>1</v>
      </c>
      <c r="S77" s="2"/>
      <c r="T77" s="2"/>
      <c r="U77" s="2"/>
      <c r="V77" s="46">
        <v>2650</v>
      </c>
      <c r="W77" s="77">
        <f t="shared" si="4"/>
        <v>0</v>
      </c>
      <c r="X77" s="77">
        <f t="shared" si="5"/>
        <v>160</v>
      </c>
      <c r="Y77" s="77">
        <f t="shared" si="6"/>
        <v>3</v>
      </c>
      <c r="Z77" s="78">
        <f t="shared" si="7"/>
        <v>2</v>
      </c>
      <c r="AA77" s="2"/>
      <c r="AB77" s="2"/>
      <c r="AC77" s="2"/>
      <c r="AD77" s="46">
        <v>2650</v>
      </c>
      <c r="AE77" s="77">
        <v>3</v>
      </c>
      <c r="AF77" s="78">
        <v>1</v>
      </c>
      <c r="AG77" s="78">
        <v>1</v>
      </c>
      <c r="AH77" s="2"/>
      <c r="AI77" s="2"/>
      <c r="AJ77" s="80">
        <f t="shared" si="8"/>
        <v>20</v>
      </c>
    </row>
    <row r="78" spans="1:36" ht="15.75" customHeight="1">
      <c r="A78" s="2"/>
      <c r="B78" s="83" t="s">
        <v>235</v>
      </c>
      <c r="C78" s="84">
        <v>30</v>
      </c>
      <c r="D78" s="2"/>
      <c r="E78" s="120" t="s">
        <v>77</v>
      </c>
      <c r="F78" s="2"/>
      <c r="G78" s="120" t="s">
        <v>77</v>
      </c>
      <c r="H78" s="121">
        <v>15</v>
      </c>
      <c r="I78" s="122">
        <v>1.48</v>
      </c>
      <c r="J78" s="122">
        <v>2.23</v>
      </c>
      <c r="K78" s="2"/>
      <c r="L78" s="2"/>
      <c r="M78" s="2"/>
      <c r="N78" s="46">
        <v>1998</v>
      </c>
      <c r="O78" s="77">
        <f t="shared" si="0"/>
        <v>883</v>
      </c>
      <c r="P78" s="77">
        <f t="shared" si="1"/>
        <v>40</v>
      </c>
      <c r="Q78" s="77">
        <f t="shared" si="2"/>
        <v>3</v>
      </c>
      <c r="R78" s="78">
        <f t="shared" si="3"/>
        <v>1</v>
      </c>
      <c r="S78" s="2"/>
      <c r="T78" s="2"/>
      <c r="U78" s="2"/>
      <c r="V78" s="46">
        <v>2700</v>
      </c>
      <c r="W78" s="77">
        <f t="shared" si="4"/>
        <v>0</v>
      </c>
      <c r="X78" s="77">
        <f t="shared" si="5"/>
        <v>210</v>
      </c>
      <c r="Y78" s="77">
        <f t="shared" si="6"/>
        <v>3</v>
      </c>
      <c r="Z78" s="78">
        <f t="shared" si="7"/>
        <v>2</v>
      </c>
      <c r="AA78" s="2"/>
      <c r="AB78" s="2"/>
      <c r="AC78" s="2"/>
      <c r="AD78" s="46">
        <v>2700</v>
      </c>
      <c r="AE78" s="77">
        <v>3</v>
      </c>
      <c r="AF78" s="78">
        <v>1</v>
      </c>
      <c r="AG78" s="78">
        <v>1</v>
      </c>
      <c r="AH78" s="2"/>
      <c r="AI78" s="2"/>
      <c r="AJ78" s="80">
        <f t="shared" si="8"/>
        <v>20</v>
      </c>
    </row>
    <row r="79" spans="1:36" ht="15.75" customHeight="1">
      <c r="A79" s="2"/>
      <c r="B79" s="83" t="s">
        <v>236</v>
      </c>
      <c r="C79" s="84">
        <v>30</v>
      </c>
      <c r="D79" s="2"/>
      <c r="E79" s="120" t="s">
        <v>82</v>
      </c>
      <c r="F79" s="2"/>
      <c r="G79" s="120" t="s">
        <v>82</v>
      </c>
      <c r="H79" s="121">
        <v>16</v>
      </c>
      <c r="I79" s="122">
        <v>0.82</v>
      </c>
      <c r="J79" s="122">
        <v>1.72</v>
      </c>
      <c r="K79" s="2"/>
      <c r="L79" s="2"/>
      <c r="M79" s="2"/>
      <c r="N79" s="46">
        <v>2031</v>
      </c>
      <c r="O79" s="77">
        <f t="shared" si="0"/>
        <v>0</v>
      </c>
      <c r="P79" s="77">
        <f t="shared" si="1"/>
        <v>6</v>
      </c>
      <c r="Q79" s="77">
        <f t="shared" si="2"/>
        <v>3</v>
      </c>
      <c r="R79" s="78">
        <f t="shared" si="3"/>
        <v>2</v>
      </c>
      <c r="S79" s="2"/>
      <c r="T79" s="2"/>
      <c r="U79" s="2"/>
      <c r="V79" s="46">
        <v>2750</v>
      </c>
      <c r="W79" s="77">
        <f t="shared" si="4"/>
        <v>0</v>
      </c>
      <c r="X79" s="77">
        <f t="shared" si="5"/>
        <v>260</v>
      </c>
      <c r="Y79" s="77">
        <f t="shared" si="6"/>
        <v>3</v>
      </c>
      <c r="Z79" s="78">
        <f t="shared" si="7"/>
        <v>2</v>
      </c>
      <c r="AA79" s="2"/>
      <c r="AB79" s="2"/>
      <c r="AC79" s="2"/>
      <c r="AD79" s="46">
        <v>2750</v>
      </c>
      <c r="AE79" s="77">
        <v>3</v>
      </c>
      <c r="AF79" s="78">
        <v>1</v>
      </c>
      <c r="AG79" s="78">
        <v>1</v>
      </c>
      <c r="AH79" s="2"/>
      <c r="AI79" s="2"/>
      <c r="AJ79" s="80">
        <f t="shared" si="8"/>
        <v>20</v>
      </c>
    </row>
    <row r="80" spans="1:36" ht="15.75" customHeight="1">
      <c r="A80" s="2"/>
      <c r="B80" s="83" t="s">
        <v>237</v>
      </c>
      <c r="C80" s="93">
        <f>IF($G$9=$H$115,$I$115,IF($G$9=$H$116,$I$116,IF($G$9=$H$117,$I$117,$I$118)))</f>
        <v>4.24</v>
      </c>
      <c r="D80" s="2"/>
      <c r="E80" s="120" t="s">
        <v>85</v>
      </c>
      <c r="F80" s="2"/>
      <c r="G80" s="120" t="s">
        <v>85</v>
      </c>
      <c r="H80" s="121"/>
      <c r="I80" s="122">
        <v>0.82</v>
      </c>
      <c r="J80" s="122">
        <v>2.23</v>
      </c>
      <c r="K80" s="2"/>
      <c r="L80" s="2"/>
      <c r="M80" s="2"/>
      <c r="N80" s="46">
        <v>2065</v>
      </c>
      <c r="O80" s="77">
        <f t="shared" si="0"/>
        <v>0</v>
      </c>
      <c r="P80" s="77">
        <f t="shared" si="1"/>
        <v>40</v>
      </c>
      <c r="Q80" s="77">
        <f t="shared" si="2"/>
        <v>3</v>
      </c>
      <c r="R80" s="78">
        <f t="shared" si="3"/>
        <v>2</v>
      </c>
      <c r="S80" s="2"/>
      <c r="T80" s="2"/>
      <c r="U80" s="2"/>
      <c r="V80" s="46">
        <v>2800</v>
      </c>
      <c r="W80" s="77">
        <f t="shared" si="4"/>
        <v>0</v>
      </c>
      <c r="X80" s="77">
        <f t="shared" si="5"/>
        <v>310</v>
      </c>
      <c r="Y80" s="77">
        <f t="shared" si="6"/>
        <v>3</v>
      </c>
      <c r="Z80" s="78">
        <f t="shared" si="7"/>
        <v>2</v>
      </c>
      <c r="AA80" s="2"/>
      <c r="AB80" s="2"/>
      <c r="AC80" s="2"/>
      <c r="AD80" s="46">
        <v>2800</v>
      </c>
      <c r="AE80" s="77">
        <v>3</v>
      </c>
      <c r="AF80" s="78">
        <v>1</v>
      </c>
      <c r="AG80" s="78">
        <v>1</v>
      </c>
      <c r="AH80" s="2"/>
      <c r="AI80" s="2"/>
      <c r="AJ80" s="80">
        <f t="shared" si="8"/>
        <v>20</v>
      </c>
    </row>
    <row r="81" spans="1:36" ht="15.75" customHeight="1">
      <c r="A81" s="2"/>
      <c r="B81" s="83" t="s">
        <v>238</v>
      </c>
      <c r="C81" s="84">
        <f>IF($C$13="si",J78,I78)</f>
        <v>1.48</v>
      </c>
      <c r="D81" s="2"/>
      <c r="E81" s="123" t="s">
        <v>89</v>
      </c>
      <c r="F81" s="2"/>
      <c r="G81" s="123" t="s">
        <v>89</v>
      </c>
      <c r="H81" s="124"/>
      <c r="I81" s="122">
        <v>1.5</v>
      </c>
      <c r="J81" s="122">
        <v>2.23</v>
      </c>
      <c r="K81" s="2"/>
      <c r="L81" s="2"/>
      <c r="M81" s="2"/>
      <c r="N81" s="46">
        <v>2098</v>
      </c>
      <c r="O81" s="77">
        <f t="shared" si="0"/>
        <v>0</v>
      </c>
      <c r="P81" s="77">
        <f t="shared" si="1"/>
        <v>73</v>
      </c>
      <c r="Q81" s="77">
        <f t="shared" si="2"/>
        <v>3</v>
      </c>
      <c r="R81" s="78">
        <f t="shared" si="3"/>
        <v>2</v>
      </c>
      <c r="S81" s="2"/>
      <c r="T81" s="2"/>
      <c r="U81" s="2"/>
      <c r="V81" s="46">
        <v>2850</v>
      </c>
      <c r="W81" s="77">
        <f t="shared" si="4"/>
        <v>0</v>
      </c>
      <c r="X81" s="77">
        <f t="shared" si="5"/>
        <v>360</v>
      </c>
      <c r="Y81" s="77">
        <f t="shared" si="6"/>
        <v>3</v>
      </c>
      <c r="Z81" s="78">
        <f t="shared" si="7"/>
        <v>2</v>
      </c>
      <c r="AA81" s="2"/>
      <c r="AB81" s="2"/>
      <c r="AC81" s="2"/>
      <c r="AD81" s="46">
        <v>2850</v>
      </c>
      <c r="AE81" s="77">
        <v>3</v>
      </c>
      <c r="AF81" s="78">
        <v>1</v>
      </c>
      <c r="AG81" s="78">
        <v>1</v>
      </c>
      <c r="AH81" s="2"/>
      <c r="AI81" s="2"/>
      <c r="AJ81" s="80">
        <f t="shared" si="8"/>
        <v>20</v>
      </c>
    </row>
    <row r="82" spans="1:36" ht="15.75" customHeight="1">
      <c r="A82" s="2"/>
      <c r="B82" s="92" t="s">
        <v>239</v>
      </c>
      <c r="C82" s="93">
        <f>IF($G$10=$H$97,$I$97,IF($G$10=$H$98,$I$98,$I$99))</f>
        <v>1.8</v>
      </c>
      <c r="D82" s="2"/>
      <c r="E82" s="125" t="s">
        <v>93</v>
      </c>
      <c r="F82" s="2"/>
      <c r="G82" s="125" t="s">
        <v>93</v>
      </c>
      <c r="H82" s="126"/>
      <c r="I82" s="127">
        <v>1.55</v>
      </c>
      <c r="J82" s="127">
        <v>2.67</v>
      </c>
      <c r="K82" s="2"/>
      <c r="L82" s="2"/>
      <c r="M82" s="2"/>
      <c r="N82" s="46">
        <v>2131</v>
      </c>
      <c r="O82" s="77">
        <f t="shared" si="0"/>
        <v>0</v>
      </c>
      <c r="P82" s="77">
        <f t="shared" si="1"/>
        <v>106</v>
      </c>
      <c r="Q82" s="77">
        <f t="shared" si="2"/>
        <v>3</v>
      </c>
      <c r="R82" s="78">
        <f t="shared" si="3"/>
        <v>2</v>
      </c>
      <c r="S82" s="2"/>
      <c r="T82" s="2"/>
      <c r="U82" s="2"/>
      <c r="V82" s="46">
        <v>2900</v>
      </c>
      <c r="W82" s="77">
        <f t="shared" si="4"/>
        <v>0</v>
      </c>
      <c r="X82" s="77">
        <f t="shared" si="5"/>
        <v>410</v>
      </c>
      <c r="Y82" s="77">
        <f t="shared" si="6"/>
        <v>3</v>
      </c>
      <c r="Z82" s="78">
        <f t="shared" si="7"/>
        <v>2</v>
      </c>
      <c r="AA82" s="2"/>
      <c r="AB82" s="2"/>
      <c r="AC82" s="2"/>
      <c r="AD82" s="46">
        <v>2900</v>
      </c>
      <c r="AE82" s="77">
        <v>3</v>
      </c>
      <c r="AF82" s="78">
        <v>1</v>
      </c>
      <c r="AG82" s="78">
        <v>1</v>
      </c>
      <c r="AH82" s="2"/>
      <c r="AI82" s="2"/>
      <c r="AJ82" s="80">
        <f t="shared" si="8"/>
        <v>20</v>
      </c>
    </row>
    <row r="83" spans="1:36" ht="15.75" customHeight="1">
      <c r="A83" s="2"/>
      <c r="B83" s="96" t="s">
        <v>240</v>
      </c>
      <c r="C83" s="97">
        <f>IF($G$10=$H$97,$I$97,IF($G$10=$H$98,$I$98,$I$99))</f>
        <v>1.8</v>
      </c>
      <c r="D83" s="2"/>
      <c r="E83" s="2" t="s">
        <v>98</v>
      </c>
      <c r="F83" s="2"/>
      <c r="G83" s="2" t="s">
        <v>98</v>
      </c>
      <c r="H83" s="2"/>
      <c r="I83" s="2"/>
      <c r="J83" s="2"/>
      <c r="K83" s="2"/>
      <c r="L83" s="2"/>
      <c r="M83" s="2"/>
      <c r="N83" s="46">
        <v>2165</v>
      </c>
      <c r="O83" s="77">
        <f t="shared" si="0"/>
        <v>0</v>
      </c>
      <c r="P83" s="77">
        <f t="shared" si="1"/>
        <v>140</v>
      </c>
      <c r="Q83" s="77">
        <f t="shared" si="2"/>
        <v>3</v>
      </c>
      <c r="R83" s="78">
        <f t="shared" si="3"/>
        <v>2</v>
      </c>
      <c r="S83" s="2"/>
      <c r="T83" s="2"/>
      <c r="U83" s="2"/>
      <c r="V83" s="46">
        <v>2950</v>
      </c>
      <c r="W83" s="77">
        <f t="shared" si="4"/>
        <v>0</v>
      </c>
      <c r="X83" s="77">
        <f t="shared" si="5"/>
        <v>460</v>
      </c>
      <c r="Y83" s="77">
        <f t="shared" si="6"/>
        <v>3</v>
      </c>
      <c r="Z83" s="78">
        <f t="shared" si="7"/>
        <v>2</v>
      </c>
      <c r="AA83" s="2"/>
      <c r="AB83" s="2"/>
      <c r="AC83" s="2"/>
      <c r="AD83" s="46">
        <v>2950</v>
      </c>
      <c r="AE83" s="77">
        <v>3</v>
      </c>
      <c r="AF83" s="78">
        <v>1</v>
      </c>
      <c r="AG83" s="78">
        <v>1</v>
      </c>
      <c r="AH83" s="2"/>
      <c r="AI83" s="2"/>
      <c r="AJ83" s="80">
        <f t="shared" si="8"/>
        <v>20</v>
      </c>
    </row>
    <row r="84" spans="1:36" ht="15.75" customHeight="1">
      <c r="A84" s="2"/>
      <c r="B84" s="81" t="s">
        <v>241</v>
      </c>
      <c r="C84" s="82">
        <v>59</v>
      </c>
      <c r="D84" s="2"/>
      <c r="E84" s="2" t="s">
        <v>101</v>
      </c>
      <c r="F84" s="2"/>
      <c r="G84" s="2" t="s">
        <v>101</v>
      </c>
      <c r="H84" s="2"/>
      <c r="I84" s="2"/>
      <c r="J84" s="2"/>
      <c r="K84" s="2"/>
      <c r="L84" s="2"/>
      <c r="M84" s="2"/>
      <c r="N84" s="46">
        <v>2198</v>
      </c>
      <c r="O84" s="77">
        <f t="shared" si="0"/>
        <v>0</v>
      </c>
      <c r="P84" s="77">
        <f t="shared" si="1"/>
        <v>173</v>
      </c>
      <c r="Q84" s="77">
        <f t="shared" si="2"/>
        <v>3</v>
      </c>
      <c r="R84" s="78">
        <f t="shared" si="3"/>
        <v>2</v>
      </c>
      <c r="S84" s="2"/>
      <c r="T84" s="2"/>
      <c r="U84" s="2"/>
      <c r="V84" s="46">
        <v>3000</v>
      </c>
      <c r="W84" s="77">
        <f t="shared" si="4"/>
        <v>410</v>
      </c>
      <c r="X84" s="77">
        <f t="shared" si="5"/>
        <v>100</v>
      </c>
      <c r="Y84" s="77">
        <f t="shared" si="6"/>
        <v>4</v>
      </c>
      <c r="Z84" s="78">
        <f t="shared" si="7"/>
        <v>2</v>
      </c>
      <c r="AA84" s="2"/>
      <c r="AB84" s="2"/>
      <c r="AC84" s="2"/>
      <c r="AD84" s="46">
        <v>3000</v>
      </c>
      <c r="AE84" s="77">
        <v>3</v>
      </c>
      <c r="AF84" s="78">
        <v>1</v>
      </c>
      <c r="AG84" s="78">
        <v>1</v>
      </c>
      <c r="AH84" s="2"/>
      <c r="AI84" s="2"/>
      <c r="AJ84" s="80">
        <f t="shared" si="8"/>
        <v>20</v>
      </c>
    </row>
    <row r="85" spans="1:36" ht="15.75" customHeight="1">
      <c r="A85" s="2"/>
      <c r="B85" s="83" t="s">
        <v>242</v>
      </c>
      <c r="C85" s="84">
        <v>1200</v>
      </c>
      <c r="D85" s="2"/>
      <c r="E85" s="2" t="s">
        <v>105</v>
      </c>
      <c r="F85" s="2"/>
      <c r="G85" s="2" t="s">
        <v>105</v>
      </c>
      <c r="H85" s="2"/>
      <c r="I85" s="2"/>
      <c r="J85" s="2"/>
      <c r="K85" s="2"/>
      <c r="L85" s="2"/>
      <c r="M85" s="2"/>
      <c r="N85" s="46">
        <v>2231</v>
      </c>
      <c r="O85" s="77">
        <f t="shared" si="0"/>
        <v>0</v>
      </c>
      <c r="P85" s="77">
        <f t="shared" si="1"/>
        <v>206</v>
      </c>
      <c r="Q85" s="77">
        <f t="shared" si="2"/>
        <v>3</v>
      </c>
      <c r="R85" s="78">
        <f t="shared" si="3"/>
        <v>2</v>
      </c>
      <c r="S85" s="2"/>
      <c r="T85" s="2"/>
      <c r="U85" s="2"/>
      <c r="V85" s="46">
        <v>3050</v>
      </c>
      <c r="W85" s="77">
        <f t="shared" si="4"/>
        <v>460</v>
      </c>
      <c r="X85" s="77">
        <f t="shared" si="5"/>
        <v>100</v>
      </c>
      <c r="Y85" s="77">
        <f t="shared" si="6"/>
        <v>4</v>
      </c>
      <c r="Z85" s="78">
        <f t="shared" si="7"/>
        <v>2</v>
      </c>
      <c r="AA85" s="2"/>
      <c r="AB85" s="2"/>
      <c r="AC85" s="2"/>
      <c r="AD85" s="46">
        <v>3050</v>
      </c>
      <c r="AE85" s="77">
        <v>3</v>
      </c>
      <c r="AF85" s="78">
        <v>2</v>
      </c>
      <c r="AG85" s="78">
        <v>0</v>
      </c>
      <c r="AH85" s="2"/>
      <c r="AI85" s="2"/>
      <c r="AJ85" s="80">
        <f t="shared" si="8"/>
        <v>20</v>
      </c>
    </row>
    <row r="86" spans="1:36" ht="15.75" customHeight="1">
      <c r="A86" s="2"/>
      <c r="B86" s="83" t="s">
        <v>243</v>
      </c>
      <c r="C86" s="84">
        <v>900</v>
      </c>
      <c r="D86" s="2"/>
      <c r="E86" s="2" t="s">
        <v>109</v>
      </c>
      <c r="F86" s="2"/>
      <c r="G86" s="1111" t="s">
        <v>244</v>
      </c>
      <c r="H86" s="1112"/>
      <c r="I86" s="1113"/>
      <c r="J86" s="2"/>
      <c r="K86" s="2"/>
      <c r="L86" s="2"/>
      <c r="M86" s="2"/>
      <c r="N86" s="46">
        <v>2265</v>
      </c>
      <c r="O86" s="77">
        <f t="shared" si="0"/>
        <v>0</v>
      </c>
      <c r="P86" s="77">
        <f t="shared" si="1"/>
        <v>240</v>
      </c>
      <c r="Q86" s="77">
        <f t="shared" si="2"/>
        <v>3</v>
      </c>
      <c r="R86" s="78">
        <f t="shared" si="3"/>
        <v>2</v>
      </c>
      <c r="S86" s="2"/>
      <c r="T86" s="2"/>
      <c r="U86" s="2"/>
      <c r="V86" s="46">
        <v>3100</v>
      </c>
      <c r="W86" s="77">
        <f t="shared" si="4"/>
        <v>510</v>
      </c>
      <c r="X86" s="77">
        <f t="shared" si="5"/>
        <v>100</v>
      </c>
      <c r="Y86" s="77">
        <f t="shared" si="6"/>
        <v>4</v>
      </c>
      <c r="Z86" s="78">
        <f t="shared" si="7"/>
        <v>2</v>
      </c>
      <c r="AA86" s="2"/>
      <c r="AB86" s="2"/>
      <c r="AC86" s="2"/>
      <c r="AD86" s="46">
        <v>3100</v>
      </c>
      <c r="AE86" s="77">
        <v>3</v>
      </c>
      <c r="AF86" s="78">
        <v>2</v>
      </c>
      <c r="AG86" s="78">
        <v>0</v>
      </c>
      <c r="AH86" s="2"/>
      <c r="AI86" s="2"/>
      <c r="AJ86" s="80">
        <f t="shared" si="8"/>
        <v>20</v>
      </c>
    </row>
    <row r="87" spans="1:36" ht="15.75" customHeight="1">
      <c r="A87" s="2"/>
      <c r="B87" s="83" t="s">
        <v>245</v>
      </c>
      <c r="C87" s="84">
        <v>30</v>
      </c>
      <c r="D87" s="2"/>
      <c r="E87" s="2"/>
      <c r="F87" s="2"/>
      <c r="G87" s="2"/>
      <c r="H87" s="2"/>
      <c r="I87" s="2"/>
      <c r="J87" s="2"/>
      <c r="K87" s="2"/>
      <c r="L87" s="2"/>
      <c r="M87" s="2"/>
      <c r="N87" s="46">
        <v>2298</v>
      </c>
      <c r="O87" s="77">
        <f t="shared" si="0"/>
        <v>0</v>
      </c>
      <c r="P87" s="77">
        <f t="shared" si="1"/>
        <v>273</v>
      </c>
      <c r="Q87" s="77">
        <f t="shared" si="2"/>
        <v>3</v>
      </c>
      <c r="R87" s="78">
        <f t="shared" si="3"/>
        <v>2</v>
      </c>
      <c r="S87" s="2"/>
      <c r="T87" s="2"/>
      <c r="U87" s="2"/>
      <c r="V87" s="46">
        <v>3150</v>
      </c>
      <c r="W87" s="77">
        <f t="shared" si="4"/>
        <v>560</v>
      </c>
      <c r="X87" s="77">
        <f t="shared" si="5"/>
        <v>100</v>
      </c>
      <c r="Y87" s="77">
        <f t="shared" si="6"/>
        <v>4</v>
      </c>
      <c r="Z87" s="78">
        <f t="shared" si="7"/>
        <v>2</v>
      </c>
      <c r="AA87" s="2"/>
      <c r="AB87" s="2"/>
      <c r="AC87" s="2"/>
      <c r="AD87" s="46">
        <v>3150</v>
      </c>
      <c r="AE87" s="77">
        <v>3</v>
      </c>
      <c r="AF87" s="78">
        <v>2</v>
      </c>
      <c r="AG87" s="78">
        <v>0</v>
      </c>
      <c r="AH87" s="2"/>
      <c r="AI87" s="2"/>
      <c r="AJ87" s="80">
        <f t="shared" si="8"/>
        <v>20</v>
      </c>
    </row>
    <row r="88" spans="1:36" ht="15.75" customHeight="1">
      <c r="A88" s="2"/>
      <c r="B88" s="83" t="s">
        <v>246</v>
      </c>
      <c r="C88" s="93">
        <f>IF($G$9=$H$136,$I$136,IF($G$9=$H$137,$I$137,IF($G$9=$H$138,$I$138,$I$139)))</f>
        <v>3.28</v>
      </c>
      <c r="D88" s="2"/>
      <c r="E88" s="2"/>
      <c r="F88" s="2"/>
      <c r="G88" s="1114" t="s">
        <v>45</v>
      </c>
      <c r="H88" s="128">
        <v>14</v>
      </c>
      <c r="I88" s="129">
        <v>1.3</v>
      </c>
      <c r="J88" s="2"/>
      <c r="K88" s="2"/>
      <c r="L88" s="2"/>
      <c r="M88" s="2"/>
      <c r="N88" s="46">
        <v>2331</v>
      </c>
      <c r="O88" s="77">
        <f t="shared" si="0"/>
        <v>0</v>
      </c>
      <c r="P88" s="77">
        <f t="shared" si="1"/>
        <v>306</v>
      </c>
      <c r="Q88" s="77">
        <f t="shared" si="2"/>
        <v>3</v>
      </c>
      <c r="R88" s="78">
        <f t="shared" si="3"/>
        <v>2</v>
      </c>
      <c r="S88" s="2"/>
      <c r="T88" s="2"/>
      <c r="U88" s="2"/>
      <c r="V88" s="46">
        <v>3200</v>
      </c>
      <c r="W88" s="77">
        <f t="shared" si="4"/>
        <v>610</v>
      </c>
      <c r="X88" s="77">
        <f t="shared" si="5"/>
        <v>100</v>
      </c>
      <c r="Y88" s="77">
        <f t="shared" si="6"/>
        <v>4</v>
      </c>
      <c r="Z88" s="78">
        <f t="shared" si="7"/>
        <v>2</v>
      </c>
      <c r="AA88" s="2"/>
      <c r="AB88" s="2"/>
      <c r="AC88" s="2"/>
      <c r="AD88" s="46">
        <v>3200</v>
      </c>
      <c r="AE88" s="77">
        <v>3</v>
      </c>
      <c r="AF88" s="78">
        <v>2</v>
      </c>
      <c r="AG88" s="78">
        <v>0</v>
      </c>
      <c r="AH88" s="2"/>
      <c r="AI88" s="2"/>
      <c r="AJ88" s="80">
        <f t="shared" si="8"/>
        <v>20</v>
      </c>
    </row>
    <row r="89" spans="1:36" ht="15.75" customHeight="1">
      <c r="A89" s="2"/>
      <c r="B89" s="83" t="s">
        <v>247</v>
      </c>
      <c r="C89" s="84">
        <f>IF($C$13="si",J79,I79)</f>
        <v>0.82</v>
      </c>
      <c r="D89" s="2"/>
      <c r="E89" s="2"/>
      <c r="F89" s="2"/>
      <c r="G89" s="1115"/>
      <c r="H89" s="120">
        <v>15</v>
      </c>
      <c r="I89" s="130">
        <v>1.17</v>
      </c>
      <c r="J89" s="2"/>
      <c r="K89" s="2"/>
      <c r="L89" s="2"/>
      <c r="M89" s="2"/>
      <c r="N89" s="46">
        <v>2364</v>
      </c>
      <c r="O89" s="77">
        <f t="shared" si="0"/>
        <v>299</v>
      </c>
      <c r="P89" s="77">
        <f t="shared" si="1"/>
        <v>40</v>
      </c>
      <c r="Q89" s="77">
        <f t="shared" si="2"/>
        <v>4</v>
      </c>
      <c r="R89" s="78">
        <f t="shared" si="3"/>
        <v>2</v>
      </c>
      <c r="S89" s="2"/>
      <c r="T89" s="2"/>
      <c r="U89" s="2"/>
      <c r="V89" s="46">
        <v>3250</v>
      </c>
      <c r="W89" s="77">
        <f t="shared" si="4"/>
        <v>660</v>
      </c>
      <c r="X89" s="77">
        <f t="shared" si="5"/>
        <v>100</v>
      </c>
      <c r="Y89" s="77">
        <f t="shared" si="6"/>
        <v>4</v>
      </c>
      <c r="Z89" s="78">
        <f t="shared" si="7"/>
        <v>2</v>
      </c>
      <c r="AA89" s="2"/>
      <c r="AB89" s="2"/>
      <c r="AC89" s="2"/>
      <c r="AD89" s="46">
        <v>3250</v>
      </c>
      <c r="AE89" s="77">
        <v>3</v>
      </c>
      <c r="AF89" s="78">
        <v>2</v>
      </c>
      <c r="AG89" s="78">
        <v>0</v>
      </c>
      <c r="AH89" s="2"/>
      <c r="AI89" s="2"/>
      <c r="AJ89" s="80">
        <f t="shared" si="8"/>
        <v>20</v>
      </c>
    </row>
    <row r="90" spans="1:36" ht="15.75" customHeight="1">
      <c r="A90" s="2"/>
      <c r="B90" s="92" t="s">
        <v>248</v>
      </c>
      <c r="C90" s="93">
        <f>IF($G$10=$H$121,$I$121,IF($G$10=$H$122,$I$122,$I$123))</f>
        <v>1.76</v>
      </c>
      <c r="D90" s="2"/>
      <c r="E90" s="2"/>
      <c r="F90" s="2"/>
      <c r="G90" s="1116"/>
      <c r="H90" s="131">
        <v>16</v>
      </c>
      <c r="I90" s="132">
        <v>1.04</v>
      </c>
      <c r="J90" s="2"/>
      <c r="K90" s="2"/>
      <c r="L90" s="2"/>
      <c r="M90" s="2"/>
      <c r="N90" s="46">
        <v>2398</v>
      </c>
      <c r="O90" s="77">
        <f t="shared" si="0"/>
        <v>333</v>
      </c>
      <c r="P90" s="77">
        <f t="shared" si="1"/>
        <v>40</v>
      </c>
      <c r="Q90" s="77">
        <f t="shared" si="2"/>
        <v>4</v>
      </c>
      <c r="R90" s="78">
        <f t="shared" si="3"/>
        <v>2</v>
      </c>
      <c r="S90" s="2"/>
      <c r="T90" s="2"/>
      <c r="U90" s="2"/>
      <c r="V90" s="46">
        <v>3300</v>
      </c>
      <c r="W90" s="77">
        <f t="shared" si="4"/>
        <v>710</v>
      </c>
      <c r="X90" s="77">
        <f t="shared" si="5"/>
        <v>100</v>
      </c>
      <c r="Y90" s="77">
        <f t="shared" si="6"/>
        <v>4</v>
      </c>
      <c r="Z90" s="78">
        <f t="shared" si="7"/>
        <v>2</v>
      </c>
      <c r="AA90" s="2"/>
      <c r="AB90" s="2"/>
      <c r="AC90" s="2"/>
      <c r="AD90" s="46">
        <v>3300</v>
      </c>
      <c r="AE90" s="77">
        <v>4</v>
      </c>
      <c r="AF90" s="78">
        <v>2</v>
      </c>
      <c r="AG90" s="78">
        <v>0</v>
      </c>
      <c r="AH90" s="2"/>
      <c r="AI90" s="2"/>
      <c r="AJ90" s="80">
        <f t="shared" si="8"/>
        <v>24</v>
      </c>
    </row>
    <row r="91" spans="1:36" ht="15.75" customHeight="1">
      <c r="A91" s="2"/>
      <c r="B91" s="96" t="s">
        <v>249</v>
      </c>
      <c r="C91" s="97">
        <f>IF($G$10=$H$121,$I$121,IF($G$10=$H$122,$I$122,$I$123))</f>
        <v>1.76</v>
      </c>
      <c r="D91" s="2"/>
      <c r="E91" s="2"/>
      <c r="F91" s="2"/>
      <c r="G91" s="1117" t="s">
        <v>10</v>
      </c>
      <c r="H91" s="133">
        <v>14</v>
      </c>
      <c r="I91" s="134">
        <v>1.1399999999999999</v>
      </c>
      <c r="J91" s="2"/>
      <c r="K91" s="2"/>
      <c r="L91" s="2"/>
      <c r="M91" s="2"/>
      <c r="N91" s="46">
        <v>2431</v>
      </c>
      <c r="O91" s="77">
        <f t="shared" si="0"/>
        <v>366</v>
      </c>
      <c r="P91" s="77">
        <f t="shared" si="1"/>
        <v>40</v>
      </c>
      <c r="Q91" s="77">
        <f t="shared" si="2"/>
        <v>4</v>
      </c>
      <c r="R91" s="78">
        <f t="shared" si="3"/>
        <v>2</v>
      </c>
      <c r="S91" s="2"/>
      <c r="T91" s="2"/>
      <c r="U91" s="2"/>
      <c r="V91" s="46">
        <v>3350</v>
      </c>
      <c r="W91" s="77">
        <f t="shared" si="4"/>
        <v>760</v>
      </c>
      <c r="X91" s="77">
        <f t="shared" si="5"/>
        <v>100</v>
      </c>
      <c r="Y91" s="77">
        <f t="shared" si="6"/>
        <v>4</v>
      </c>
      <c r="Z91" s="78">
        <f t="shared" si="7"/>
        <v>2</v>
      </c>
      <c r="AA91" s="2"/>
      <c r="AB91" s="2"/>
      <c r="AC91" s="2"/>
      <c r="AD91" s="46">
        <v>3350</v>
      </c>
      <c r="AE91" s="77">
        <v>4</v>
      </c>
      <c r="AF91" s="78">
        <v>2</v>
      </c>
      <c r="AG91" s="78">
        <v>0</v>
      </c>
      <c r="AH91" s="2"/>
      <c r="AI91" s="2"/>
      <c r="AJ91" s="80">
        <f t="shared" si="8"/>
        <v>24</v>
      </c>
    </row>
    <row r="92" spans="1:36" ht="15.75" customHeight="1">
      <c r="A92" s="2"/>
      <c r="B92" s="111" t="s">
        <v>250</v>
      </c>
      <c r="C92" s="112">
        <v>59</v>
      </c>
      <c r="D92" s="2"/>
      <c r="E92" s="2"/>
      <c r="F92" s="2"/>
      <c r="G92" s="1115"/>
      <c r="H92" s="135">
        <v>15</v>
      </c>
      <c r="I92" s="136">
        <v>1.02</v>
      </c>
      <c r="J92" s="2"/>
      <c r="K92" s="2"/>
      <c r="L92" s="2"/>
      <c r="M92" s="2"/>
      <c r="N92" s="46">
        <v>2464</v>
      </c>
      <c r="O92" s="77">
        <f t="shared" si="0"/>
        <v>399</v>
      </c>
      <c r="P92" s="77">
        <f t="shared" si="1"/>
        <v>40</v>
      </c>
      <c r="Q92" s="77">
        <f t="shared" si="2"/>
        <v>4</v>
      </c>
      <c r="R92" s="78">
        <f t="shared" si="3"/>
        <v>2</v>
      </c>
      <c r="S92" s="2"/>
      <c r="T92" s="2"/>
      <c r="U92" s="2"/>
      <c r="V92" s="46">
        <v>3400</v>
      </c>
      <c r="W92" s="77">
        <f t="shared" si="4"/>
        <v>810</v>
      </c>
      <c r="X92" s="77">
        <f t="shared" si="5"/>
        <v>100</v>
      </c>
      <c r="Y92" s="77">
        <f t="shared" si="6"/>
        <v>4</v>
      </c>
      <c r="Z92" s="78">
        <f t="shared" si="7"/>
        <v>2</v>
      </c>
      <c r="AA92" s="2"/>
      <c r="AB92" s="2"/>
      <c r="AC92" s="2"/>
      <c r="AD92" s="46">
        <v>3400</v>
      </c>
      <c r="AE92" s="77">
        <v>4</v>
      </c>
      <c r="AF92" s="78">
        <v>2</v>
      </c>
      <c r="AG92" s="78">
        <v>0</v>
      </c>
      <c r="AH92" s="2"/>
      <c r="AI92" s="2"/>
      <c r="AJ92" s="80">
        <f t="shared" si="8"/>
        <v>24</v>
      </c>
    </row>
    <row r="93" spans="1:36" ht="15.75" customHeight="1">
      <c r="A93" s="2"/>
      <c r="B93" s="83" t="s">
        <v>251</v>
      </c>
      <c r="C93" s="84">
        <v>1200</v>
      </c>
      <c r="D93" s="2"/>
      <c r="E93" s="2"/>
      <c r="F93" s="2"/>
      <c r="G93" s="1116"/>
      <c r="H93" s="137">
        <v>16</v>
      </c>
      <c r="I93" s="138">
        <v>0.91</v>
      </c>
      <c r="J93" s="2"/>
      <c r="K93" s="2"/>
      <c r="L93" s="2"/>
      <c r="M93" s="2"/>
      <c r="N93" s="46">
        <v>2498</v>
      </c>
      <c r="O93" s="77">
        <f t="shared" si="0"/>
        <v>433</v>
      </c>
      <c r="P93" s="77">
        <f t="shared" si="1"/>
        <v>40</v>
      </c>
      <c r="Q93" s="77">
        <f t="shared" si="2"/>
        <v>4</v>
      </c>
      <c r="R93" s="78">
        <f t="shared" si="3"/>
        <v>2</v>
      </c>
      <c r="S93" s="2"/>
      <c r="T93" s="2"/>
      <c r="U93" s="2"/>
      <c r="V93" s="46">
        <v>3450</v>
      </c>
      <c r="W93" s="77">
        <f t="shared" si="4"/>
        <v>860</v>
      </c>
      <c r="X93" s="77">
        <f t="shared" si="5"/>
        <v>100</v>
      </c>
      <c r="Y93" s="77">
        <f t="shared" si="6"/>
        <v>4</v>
      </c>
      <c r="Z93" s="78">
        <f t="shared" si="7"/>
        <v>2</v>
      </c>
      <c r="AA93" s="2"/>
      <c r="AB93" s="2"/>
      <c r="AC93" s="2"/>
      <c r="AD93" s="46">
        <v>3450</v>
      </c>
      <c r="AE93" s="77">
        <v>4</v>
      </c>
      <c r="AF93" s="78">
        <v>2</v>
      </c>
      <c r="AG93" s="78">
        <v>0</v>
      </c>
      <c r="AH93" s="2"/>
      <c r="AI93" s="2"/>
      <c r="AJ93" s="80">
        <f t="shared" si="8"/>
        <v>24</v>
      </c>
    </row>
    <row r="94" spans="1:36" ht="15.75" customHeight="1">
      <c r="A94" s="2"/>
      <c r="B94" s="83" t="s">
        <v>252</v>
      </c>
      <c r="C94" s="84">
        <v>900</v>
      </c>
      <c r="D94" s="2"/>
      <c r="E94" s="2"/>
      <c r="F94" s="2"/>
      <c r="G94" s="1114" t="s">
        <v>46</v>
      </c>
      <c r="H94" s="128">
        <v>14</v>
      </c>
      <c r="I94" s="129">
        <v>1.2</v>
      </c>
      <c r="J94" s="2"/>
      <c r="K94" s="2"/>
      <c r="L94" s="2"/>
      <c r="M94" s="2"/>
      <c r="N94" s="46">
        <v>2531</v>
      </c>
      <c r="O94" s="77">
        <f t="shared" si="0"/>
        <v>466</v>
      </c>
      <c r="P94" s="77">
        <f t="shared" si="1"/>
        <v>40</v>
      </c>
      <c r="Q94" s="77">
        <f t="shared" si="2"/>
        <v>4</v>
      </c>
      <c r="R94" s="78">
        <f t="shared" si="3"/>
        <v>2</v>
      </c>
      <c r="S94" s="2"/>
      <c r="T94" s="2"/>
      <c r="U94" s="2"/>
      <c r="V94" s="46">
        <v>3500</v>
      </c>
      <c r="W94" s="77">
        <f t="shared" si="4"/>
        <v>910</v>
      </c>
      <c r="X94" s="77">
        <f t="shared" si="5"/>
        <v>100</v>
      </c>
      <c r="Y94" s="77">
        <f t="shared" si="6"/>
        <v>4</v>
      </c>
      <c r="Z94" s="78">
        <f t="shared" si="7"/>
        <v>2</v>
      </c>
      <c r="AA94" s="2"/>
      <c r="AB94" s="2"/>
      <c r="AC94" s="2"/>
      <c r="AD94" s="46">
        <v>3500</v>
      </c>
      <c r="AE94" s="77">
        <v>4</v>
      </c>
      <c r="AF94" s="78">
        <v>2</v>
      </c>
      <c r="AG94" s="78">
        <v>0</v>
      </c>
      <c r="AH94" s="2"/>
      <c r="AI94" s="2"/>
      <c r="AJ94" s="80">
        <f t="shared" si="8"/>
        <v>24</v>
      </c>
    </row>
    <row r="95" spans="1:36" ht="15.75" customHeight="1">
      <c r="A95" s="2"/>
      <c r="B95" s="83" t="s">
        <v>253</v>
      </c>
      <c r="C95" s="84">
        <v>30</v>
      </c>
      <c r="D95" s="2"/>
      <c r="E95" s="2"/>
      <c r="F95" s="2"/>
      <c r="G95" s="1115"/>
      <c r="H95" s="120">
        <v>15</v>
      </c>
      <c r="I95" s="130">
        <v>1.08</v>
      </c>
      <c r="J95" s="2"/>
      <c r="K95" s="2"/>
      <c r="L95" s="2"/>
      <c r="M95" s="2"/>
      <c r="N95" s="46">
        <v>2564</v>
      </c>
      <c r="O95" s="77">
        <f t="shared" si="0"/>
        <v>499</v>
      </c>
      <c r="P95" s="77">
        <f t="shared" si="1"/>
        <v>40</v>
      </c>
      <c r="Q95" s="77">
        <f t="shared" si="2"/>
        <v>4</v>
      </c>
      <c r="R95" s="78">
        <f t="shared" si="3"/>
        <v>2</v>
      </c>
      <c r="S95" s="2"/>
      <c r="T95" s="2"/>
      <c r="U95" s="2"/>
      <c r="V95" s="46">
        <v>3550</v>
      </c>
      <c r="W95" s="77">
        <f t="shared" si="4"/>
        <v>960</v>
      </c>
      <c r="X95" s="77">
        <f t="shared" si="5"/>
        <v>100</v>
      </c>
      <c r="Y95" s="77">
        <f t="shared" si="6"/>
        <v>4</v>
      </c>
      <c r="Z95" s="78">
        <f t="shared" si="7"/>
        <v>2</v>
      </c>
      <c r="AA95" s="2"/>
      <c r="AB95" s="2"/>
      <c r="AC95" s="2"/>
      <c r="AD95" s="46">
        <v>3550</v>
      </c>
      <c r="AE95" s="77">
        <v>4</v>
      </c>
      <c r="AF95" s="78">
        <v>2</v>
      </c>
      <c r="AG95" s="78">
        <v>0</v>
      </c>
      <c r="AH95" s="2"/>
      <c r="AI95" s="2"/>
      <c r="AJ95" s="80">
        <f t="shared" si="8"/>
        <v>24</v>
      </c>
    </row>
    <row r="96" spans="1:36" ht="15.75" customHeight="1">
      <c r="A96" s="2"/>
      <c r="B96" s="83" t="s">
        <v>254</v>
      </c>
      <c r="C96" s="93">
        <f>IF($G$9=$H$140,$I$140,IF($G$9=$H$141,$I$141,IF($G$9=$H$142,$I$142,$I$143)))</f>
        <v>3.66</v>
      </c>
      <c r="D96" s="2"/>
      <c r="E96" s="2"/>
      <c r="F96" s="2"/>
      <c r="G96" s="1116"/>
      <c r="H96" s="131">
        <v>16</v>
      </c>
      <c r="I96" s="132">
        <v>0.96</v>
      </c>
      <c r="J96" s="2"/>
      <c r="K96" s="2"/>
      <c r="L96" s="2"/>
      <c r="M96" s="2"/>
      <c r="N96" s="46">
        <v>2598</v>
      </c>
      <c r="O96" s="77">
        <f t="shared" si="0"/>
        <v>533</v>
      </c>
      <c r="P96" s="77">
        <f t="shared" si="1"/>
        <v>40</v>
      </c>
      <c r="Q96" s="77">
        <f t="shared" si="2"/>
        <v>4</v>
      </c>
      <c r="R96" s="78">
        <f t="shared" si="3"/>
        <v>2</v>
      </c>
      <c r="S96" s="2"/>
      <c r="T96" s="2"/>
      <c r="U96" s="2"/>
      <c r="V96" s="46">
        <v>3600</v>
      </c>
      <c r="W96" s="77">
        <f t="shared" si="4"/>
        <v>1010</v>
      </c>
      <c r="X96" s="77">
        <f t="shared" si="5"/>
        <v>100</v>
      </c>
      <c r="Y96" s="77">
        <f t="shared" si="6"/>
        <v>4</v>
      </c>
      <c r="Z96" s="78">
        <f t="shared" si="7"/>
        <v>2</v>
      </c>
      <c r="AA96" s="2"/>
      <c r="AB96" s="2"/>
      <c r="AC96" s="2"/>
      <c r="AD96" s="46">
        <v>3600</v>
      </c>
      <c r="AE96" s="77">
        <v>4</v>
      </c>
      <c r="AF96" s="78">
        <v>2</v>
      </c>
      <c r="AG96" s="78">
        <v>0</v>
      </c>
      <c r="AH96" s="2"/>
      <c r="AI96" s="2"/>
      <c r="AJ96" s="80">
        <f t="shared" si="8"/>
        <v>24</v>
      </c>
    </row>
    <row r="97" spans="1:36" ht="15.75" customHeight="1">
      <c r="A97" s="2"/>
      <c r="B97" s="83" t="s">
        <v>255</v>
      </c>
      <c r="C97" s="84">
        <f>IF($C$13="si",J80,I80)</f>
        <v>0.82</v>
      </c>
      <c r="D97" s="2"/>
      <c r="E97" s="2"/>
      <c r="F97" s="2"/>
      <c r="G97" s="1117" t="s">
        <v>77</v>
      </c>
      <c r="H97" s="133">
        <v>14</v>
      </c>
      <c r="I97" s="134">
        <v>1.8</v>
      </c>
      <c r="J97" s="2"/>
      <c r="K97" s="2"/>
      <c r="L97" s="2"/>
      <c r="M97" s="2"/>
      <c r="N97" s="46">
        <v>2631</v>
      </c>
      <c r="O97" s="77">
        <f t="shared" si="0"/>
        <v>566</v>
      </c>
      <c r="P97" s="77">
        <f t="shared" si="1"/>
        <v>40</v>
      </c>
      <c r="Q97" s="77">
        <f t="shared" si="2"/>
        <v>4</v>
      </c>
      <c r="R97" s="78">
        <f t="shared" si="3"/>
        <v>2</v>
      </c>
      <c r="S97" s="2"/>
      <c r="T97" s="2"/>
      <c r="U97" s="2"/>
      <c r="V97" s="46">
        <v>3650</v>
      </c>
      <c r="W97" s="77">
        <f t="shared" si="4"/>
        <v>0</v>
      </c>
      <c r="X97" s="77">
        <f t="shared" si="5"/>
        <v>0</v>
      </c>
      <c r="Y97" s="77">
        <f t="shared" si="6"/>
        <v>4</v>
      </c>
      <c r="Z97" s="78">
        <f t="shared" si="7"/>
        <v>3</v>
      </c>
      <c r="AA97" s="2"/>
      <c r="AB97" s="2"/>
      <c r="AC97" s="2"/>
      <c r="AD97" s="46">
        <v>3650</v>
      </c>
      <c r="AE97" s="77">
        <v>4</v>
      </c>
      <c r="AF97" s="78">
        <v>2</v>
      </c>
      <c r="AG97" s="78">
        <v>0</v>
      </c>
      <c r="AH97" s="2"/>
      <c r="AI97" s="2"/>
      <c r="AJ97" s="80">
        <f t="shared" si="8"/>
        <v>24</v>
      </c>
    </row>
    <row r="98" spans="1:36" ht="15.75" customHeight="1">
      <c r="A98" s="2"/>
      <c r="B98" s="92" t="s">
        <v>256</v>
      </c>
      <c r="C98" s="93">
        <f>IF($G$10=$H$124,$I$124,IF($G$10=$H$125,$I$125,$I$126))</f>
        <v>1.76</v>
      </c>
      <c r="D98" s="2"/>
      <c r="E98" s="2"/>
      <c r="F98" s="2"/>
      <c r="G98" s="1115"/>
      <c r="H98" s="135">
        <v>15</v>
      </c>
      <c r="I98" s="136">
        <v>1.62</v>
      </c>
      <c r="J98" s="2"/>
      <c r="K98" s="2"/>
      <c r="L98" s="2"/>
      <c r="M98" s="2"/>
      <c r="N98" s="46">
        <v>2664</v>
      </c>
      <c r="O98" s="77">
        <f t="shared" si="0"/>
        <v>599</v>
      </c>
      <c r="P98" s="77">
        <f t="shared" si="1"/>
        <v>40</v>
      </c>
      <c r="Q98" s="77">
        <f t="shared" si="2"/>
        <v>4</v>
      </c>
      <c r="R98" s="78">
        <f t="shared" si="3"/>
        <v>2</v>
      </c>
      <c r="S98" s="2"/>
      <c r="T98" s="2"/>
      <c r="U98" s="2"/>
      <c r="V98" s="46">
        <v>3700</v>
      </c>
      <c r="W98" s="77">
        <f t="shared" si="4"/>
        <v>0</v>
      </c>
      <c r="X98" s="77">
        <f t="shared" si="5"/>
        <v>50</v>
      </c>
      <c r="Y98" s="77">
        <f t="shared" si="6"/>
        <v>4</v>
      </c>
      <c r="Z98" s="78">
        <f t="shared" si="7"/>
        <v>3</v>
      </c>
      <c r="AA98" s="2"/>
      <c r="AB98" s="2"/>
      <c r="AC98" s="2"/>
      <c r="AD98" s="46">
        <v>3700</v>
      </c>
      <c r="AE98" s="77">
        <v>4</v>
      </c>
      <c r="AF98" s="78">
        <v>2</v>
      </c>
      <c r="AG98" s="78">
        <v>0</v>
      </c>
      <c r="AH98" s="2"/>
      <c r="AI98" s="2"/>
      <c r="AJ98" s="80">
        <f t="shared" si="8"/>
        <v>24</v>
      </c>
    </row>
    <row r="99" spans="1:36" ht="15.75" customHeight="1">
      <c r="A99" s="2"/>
      <c r="B99" s="96" t="s">
        <v>257</v>
      </c>
      <c r="C99" s="97">
        <f>IF($G$10=$H$124,$I$124,IF($G$10=$H$125,$I$125,$I$126))</f>
        <v>1.76</v>
      </c>
      <c r="D99" s="2"/>
      <c r="E99" s="2"/>
      <c r="F99" s="2"/>
      <c r="G99" s="1116"/>
      <c r="H99" s="137">
        <v>16</v>
      </c>
      <c r="I99" s="138">
        <v>1.44</v>
      </c>
      <c r="J99" s="2"/>
      <c r="K99" s="2"/>
      <c r="L99" s="2"/>
      <c r="M99" s="2"/>
      <c r="N99" s="46">
        <v>2697</v>
      </c>
      <c r="O99" s="77">
        <f t="shared" si="0"/>
        <v>632</v>
      </c>
      <c r="P99" s="77">
        <f t="shared" si="1"/>
        <v>40</v>
      </c>
      <c r="Q99" s="77">
        <f t="shared" si="2"/>
        <v>4</v>
      </c>
      <c r="R99" s="78">
        <f t="shared" si="3"/>
        <v>2</v>
      </c>
      <c r="S99" s="2"/>
      <c r="T99" s="2"/>
      <c r="U99" s="2"/>
      <c r="V99" s="46">
        <v>3750</v>
      </c>
      <c r="W99" s="77">
        <f t="shared" si="4"/>
        <v>0</v>
      </c>
      <c r="X99" s="77">
        <f t="shared" si="5"/>
        <v>100</v>
      </c>
      <c r="Y99" s="77">
        <f t="shared" si="6"/>
        <v>4</v>
      </c>
      <c r="Z99" s="78">
        <f t="shared" si="7"/>
        <v>3</v>
      </c>
      <c r="AA99" s="2"/>
      <c r="AB99" s="2"/>
      <c r="AC99" s="2"/>
      <c r="AD99" s="46">
        <v>3750</v>
      </c>
      <c r="AE99" s="77">
        <v>4</v>
      </c>
      <c r="AF99" s="78">
        <v>2</v>
      </c>
      <c r="AG99" s="78">
        <v>0</v>
      </c>
      <c r="AH99" s="2"/>
      <c r="AI99" s="2"/>
      <c r="AJ99" s="80">
        <f t="shared" si="8"/>
        <v>24</v>
      </c>
    </row>
    <row r="100" spans="1:36" ht="15.75" customHeight="1">
      <c r="A100" s="2"/>
      <c r="B100" s="111" t="s">
        <v>258</v>
      </c>
      <c r="C100" s="112">
        <v>59</v>
      </c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46">
        <v>2731</v>
      </c>
      <c r="O100" s="77">
        <f t="shared" si="0"/>
        <v>666</v>
      </c>
      <c r="P100" s="77">
        <f t="shared" si="1"/>
        <v>40</v>
      </c>
      <c r="Q100" s="77">
        <f t="shared" si="2"/>
        <v>4</v>
      </c>
      <c r="R100" s="78">
        <f t="shared" si="3"/>
        <v>2</v>
      </c>
      <c r="S100" s="2"/>
      <c r="T100" s="2"/>
      <c r="U100" s="2"/>
      <c r="V100" s="46">
        <v>3800</v>
      </c>
      <c r="W100" s="77">
        <f t="shared" si="4"/>
        <v>0</v>
      </c>
      <c r="X100" s="77">
        <f t="shared" si="5"/>
        <v>150</v>
      </c>
      <c r="Y100" s="77">
        <f t="shared" si="6"/>
        <v>4</v>
      </c>
      <c r="Z100" s="78">
        <f t="shared" si="7"/>
        <v>3</v>
      </c>
      <c r="AA100" s="2"/>
      <c r="AB100" s="2"/>
      <c r="AC100" s="2"/>
      <c r="AD100" s="46">
        <v>3800</v>
      </c>
      <c r="AE100" s="77">
        <v>4</v>
      </c>
      <c r="AF100" s="78">
        <v>2</v>
      </c>
      <c r="AG100" s="78">
        <v>0</v>
      </c>
      <c r="AH100" s="2"/>
      <c r="AI100" s="2"/>
      <c r="AJ100" s="80">
        <f t="shared" si="8"/>
        <v>24</v>
      </c>
    </row>
    <row r="101" spans="1:36" ht="15.75" customHeight="1">
      <c r="A101" s="2"/>
      <c r="B101" s="83" t="s">
        <v>259</v>
      </c>
      <c r="C101" s="84">
        <v>1200</v>
      </c>
      <c r="D101" s="2"/>
      <c r="E101" s="2"/>
      <c r="F101" s="2"/>
      <c r="G101" s="1111" t="s">
        <v>260</v>
      </c>
      <c r="H101" s="1112"/>
      <c r="I101" s="1113"/>
      <c r="J101" s="2"/>
      <c r="K101" s="2"/>
      <c r="L101" s="2"/>
      <c r="M101" s="2"/>
      <c r="N101" s="46">
        <v>2764</v>
      </c>
      <c r="O101" s="77">
        <f t="shared" si="0"/>
        <v>699</v>
      </c>
      <c r="P101" s="77">
        <f t="shared" si="1"/>
        <v>40</v>
      </c>
      <c r="Q101" s="77">
        <f t="shared" si="2"/>
        <v>4</v>
      </c>
      <c r="R101" s="78">
        <f t="shared" si="3"/>
        <v>2</v>
      </c>
      <c r="S101" s="2"/>
      <c r="T101" s="2"/>
      <c r="U101" s="2"/>
      <c r="V101" s="46">
        <v>3850</v>
      </c>
      <c r="W101" s="77">
        <f t="shared" si="4"/>
        <v>0</v>
      </c>
      <c r="X101" s="77">
        <f t="shared" si="5"/>
        <v>200</v>
      </c>
      <c r="Y101" s="77">
        <f t="shared" si="6"/>
        <v>4</v>
      </c>
      <c r="Z101" s="78">
        <f t="shared" si="7"/>
        <v>3</v>
      </c>
      <c r="AA101" s="2"/>
      <c r="AB101" s="2"/>
      <c r="AC101" s="2"/>
      <c r="AD101" s="46">
        <v>3850</v>
      </c>
      <c r="AE101" s="77">
        <v>4</v>
      </c>
      <c r="AF101" s="78">
        <v>2</v>
      </c>
      <c r="AG101" s="78">
        <v>0</v>
      </c>
      <c r="AH101" s="2"/>
      <c r="AI101" s="2"/>
      <c r="AJ101" s="80">
        <f t="shared" si="8"/>
        <v>24</v>
      </c>
    </row>
    <row r="102" spans="1:36" ht="15.75" customHeight="1">
      <c r="A102" s="2"/>
      <c r="B102" s="83" t="s">
        <v>261</v>
      </c>
      <c r="C102" s="84">
        <v>900</v>
      </c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46">
        <v>2797</v>
      </c>
      <c r="O102" s="77">
        <f t="shared" si="0"/>
        <v>732</v>
      </c>
      <c r="P102" s="77">
        <f t="shared" si="1"/>
        <v>40</v>
      </c>
      <c r="Q102" s="77">
        <f t="shared" si="2"/>
        <v>4</v>
      </c>
      <c r="R102" s="78">
        <f t="shared" si="3"/>
        <v>2</v>
      </c>
      <c r="S102" s="2"/>
      <c r="T102" s="2"/>
      <c r="U102" s="2"/>
      <c r="V102" s="46">
        <v>3900</v>
      </c>
      <c r="W102" s="77">
        <f t="shared" si="4"/>
        <v>0</v>
      </c>
      <c r="X102" s="77">
        <f t="shared" si="5"/>
        <v>250</v>
      </c>
      <c r="Y102" s="77">
        <f t="shared" si="6"/>
        <v>4</v>
      </c>
      <c r="Z102" s="78">
        <f t="shared" si="7"/>
        <v>3</v>
      </c>
      <c r="AA102" s="2"/>
      <c r="AB102" s="2"/>
      <c r="AC102" s="2"/>
      <c r="AD102" s="46">
        <v>3900</v>
      </c>
      <c r="AE102" s="77">
        <v>4</v>
      </c>
      <c r="AF102" s="78">
        <v>2</v>
      </c>
      <c r="AG102" s="78">
        <v>1</v>
      </c>
      <c r="AH102" s="2"/>
      <c r="AI102" s="2"/>
      <c r="AJ102" s="80">
        <f t="shared" si="8"/>
        <v>28</v>
      </c>
    </row>
    <row r="103" spans="1:36" ht="15.75" customHeight="1">
      <c r="A103" s="2"/>
      <c r="B103" s="83" t="s">
        <v>262</v>
      </c>
      <c r="C103" s="84">
        <v>30</v>
      </c>
      <c r="D103" s="2"/>
      <c r="E103" s="2"/>
      <c r="F103" s="2"/>
      <c r="G103" s="1118" t="s">
        <v>45</v>
      </c>
      <c r="H103" s="139">
        <v>12</v>
      </c>
      <c r="I103" s="140">
        <v>2.52</v>
      </c>
      <c r="J103" s="2"/>
      <c r="K103" s="2"/>
      <c r="L103" s="2"/>
      <c r="M103" s="2"/>
      <c r="N103" s="46">
        <v>2831</v>
      </c>
      <c r="O103" s="77">
        <f t="shared" si="0"/>
        <v>766</v>
      </c>
      <c r="P103" s="77">
        <f t="shared" si="1"/>
        <v>40</v>
      </c>
      <c r="Q103" s="77">
        <f t="shared" si="2"/>
        <v>4</v>
      </c>
      <c r="R103" s="78">
        <f t="shared" si="3"/>
        <v>2</v>
      </c>
      <c r="S103" s="2"/>
      <c r="T103" s="2"/>
      <c r="U103" s="2"/>
      <c r="V103" s="46">
        <v>3950</v>
      </c>
      <c r="W103" s="77">
        <f t="shared" si="4"/>
        <v>0</v>
      </c>
      <c r="X103" s="77">
        <f t="shared" si="5"/>
        <v>300</v>
      </c>
      <c r="Y103" s="77">
        <f t="shared" si="6"/>
        <v>4</v>
      </c>
      <c r="Z103" s="78">
        <f t="shared" si="7"/>
        <v>3</v>
      </c>
      <c r="AA103" s="2"/>
      <c r="AB103" s="2"/>
      <c r="AC103" s="2"/>
      <c r="AD103" s="46">
        <v>3950</v>
      </c>
      <c r="AE103" s="77">
        <v>4</v>
      </c>
      <c r="AF103" s="78">
        <v>2</v>
      </c>
      <c r="AG103" s="78">
        <v>1</v>
      </c>
      <c r="AH103" s="2"/>
      <c r="AI103" s="2"/>
      <c r="AJ103" s="80">
        <f t="shared" si="8"/>
        <v>28</v>
      </c>
    </row>
    <row r="104" spans="1:36" ht="15.75" customHeight="1">
      <c r="A104" s="2"/>
      <c r="B104" s="83" t="s">
        <v>263</v>
      </c>
      <c r="C104" s="93">
        <f>IF($G$9=$H$144,$I$144,IF($G$9=$H$145,$I$145,IF($G$9=$H$146,$I$146,$I$147)))</f>
        <v>4.05</v>
      </c>
      <c r="D104" s="2"/>
      <c r="E104" s="2"/>
      <c r="F104" s="2"/>
      <c r="G104" s="1119"/>
      <c r="H104" s="141">
        <v>13</v>
      </c>
      <c r="I104" s="142">
        <v>2.16</v>
      </c>
      <c r="J104" s="2"/>
      <c r="K104" s="2"/>
      <c r="L104" s="2"/>
      <c r="M104" s="2"/>
      <c r="N104" s="46">
        <v>2864</v>
      </c>
      <c r="O104" s="77">
        <f t="shared" si="0"/>
        <v>799</v>
      </c>
      <c r="P104" s="77">
        <f t="shared" si="1"/>
        <v>40</v>
      </c>
      <c r="Q104" s="77">
        <f t="shared" si="2"/>
        <v>4</v>
      </c>
      <c r="R104" s="78">
        <f t="shared" si="3"/>
        <v>2</v>
      </c>
      <c r="S104" s="2"/>
      <c r="T104" s="2"/>
      <c r="U104" s="2"/>
      <c r="V104" s="46">
        <v>4000</v>
      </c>
      <c r="W104" s="77">
        <f t="shared" si="4"/>
        <v>0</v>
      </c>
      <c r="X104" s="77">
        <f t="shared" si="5"/>
        <v>350</v>
      </c>
      <c r="Y104" s="77">
        <f t="shared" si="6"/>
        <v>4</v>
      </c>
      <c r="Z104" s="78">
        <f t="shared" si="7"/>
        <v>3</v>
      </c>
      <c r="AA104" s="2"/>
      <c r="AB104" s="2"/>
      <c r="AC104" s="2"/>
      <c r="AD104" s="46">
        <v>4000</v>
      </c>
      <c r="AE104" s="77">
        <v>4</v>
      </c>
      <c r="AF104" s="78">
        <v>2</v>
      </c>
      <c r="AG104" s="78">
        <v>1</v>
      </c>
      <c r="AH104" s="2"/>
      <c r="AI104" s="2"/>
      <c r="AJ104" s="80">
        <f t="shared" si="8"/>
        <v>28</v>
      </c>
    </row>
    <row r="105" spans="1:36" ht="15.75" customHeight="1">
      <c r="A105" s="2"/>
      <c r="B105" s="83" t="s">
        <v>264</v>
      </c>
      <c r="C105" s="84">
        <f>IF($C$13="si",J81,I81)</f>
        <v>1.5</v>
      </c>
      <c r="D105" s="2"/>
      <c r="E105" s="2"/>
      <c r="F105" s="2"/>
      <c r="G105" s="1119"/>
      <c r="H105" s="141">
        <v>14</v>
      </c>
      <c r="I105" s="142">
        <v>1.8</v>
      </c>
      <c r="J105" s="2"/>
      <c r="K105" s="2"/>
      <c r="L105" s="2"/>
      <c r="M105" s="2"/>
      <c r="N105" s="46">
        <v>2897</v>
      </c>
      <c r="O105" s="77">
        <f t="shared" si="0"/>
        <v>832</v>
      </c>
      <c r="P105" s="77">
        <f t="shared" si="1"/>
        <v>40</v>
      </c>
      <c r="Q105" s="77">
        <f t="shared" si="2"/>
        <v>4</v>
      </c>
      <c r="R105" s="78">
        <f t="shared" si="3"/>
        <v>2</v>
      </c>
      <c r="S105" s="2"/>
      <c r="T105" s="2"/>
      <c r="U105" s="2"/>
      <c r="V105" s="46">
        <v>4050</v>
      </c>
      <c r="W105" s="77">
        <f t="shared" si="4"/>
        <v>0</v>
      </c>
      <c r="X105" s="77">
        <f t="shared" si="5"/>
        <v>400</v>
      </c>
      <c r="Y105" s="77">
        <f t="shared" si="6"/>
        <v>4</v>
      </c>
      <c r="Z105" s="78">
        <f t="shared" si="7"/>
        <v>3</v>
      </c>
      <c r="AA105" s="2"/>
      <c r="AB105" s="2"/>
      <c r="AC105" s="2"/>
      <c r="AD105" s="46">
        <v>4050</v>
      </c>
      <c r="AE105" s="77">
        <v>4</v>
      </c>
      <c r="AF105" s="78">
        <v>2</v>
      </c>
      <c r="AG105" s="78">
        <v>1</v>
      </c>
      <c r="AH105" s="2"/>
      <c r="AI105" s="2"/>
      <c r="AJ105" s="80">
        <f t="shared" si="8"/>
        <v>28</v>
      </c>
    </row>
    <row r="106" spans="1:36" ht="15.75" customHeight="1">
      <c r="A106" s="2"/>
      <c r="B106" s="92" t="s">
        <v>265</v>
      </c>
      <c r="C106" s="93">
        <f>IF($G$10=$H$127,$I$127,IF($G$10=$H$128,$I$128,$I$129))</f>
        <v>2.4900000000000002</v>
      </c>
      <c r="D106" s="2"/>
      <c r="E106" s="2"/>
      <c r="F106" s="2"/>
      <c r="G106" s="1120"/>
      <c r="H106" s="141">
        <v>15</v>
      </c>
      <c r="I106" s="142">
        <v>1.62</v>
      </c>
      <c r="J106" s="2"/>
      <c r="K106" s="2"/>
      <c r="L106" s="2"/>
      <c r="M106" s="2"/>
      <c r="N106" s="46">
        <v>2931</v>
      </c>
      <c r="O106" s="77">
        <f t="shared" si="0"/>
        <v>866</v>
      </c>
      <c r="P106" s="77">
        <f t="shared" si="1"/>
        <v>40</v>
      </c>
      <c r="Q106" s="77">
        <f t="shared" si="2"/>
        <v>4</v>
      </c>
      <c r="R106" s="78">
        <f t="shared" si="3"/>
        <v>2</v>
      </c>
      <c r="S106" s="2"/>
      <c r="T106" s="2"/>
      <c r="U106" s="2"/>
      <c r="V106" s="46">
        <v>4100</v>
      </c>
      <c r="W106" s="77">
        <f t="shared" si="4"/>
        <v>0</v>
      </c>
      <c r="X106" s="77">
        <f t="shared" si="5"/>
        <v>450</v>
      </c>
      <c r="Y106" s="77">
        <f t="shared" si="6"/>
        <v>4</v>
      </c>
      <c r="Z106" s="78">
        <f t="shared" si="7"/>
        <v>3</v>
      </c>
      <c r="AA106" s="2"/>
      <c r="AB106" s="2"/>
      <c r="AC106" s="2"/>
      <c r="AD106" s="46">
        <v>4100</v>
      </c>
      <c r="AE106" s="77">
        <v>4</v>
      </c>
      <c r="AF106" s="78">
        <v>2</v>
      </c>
      <c r="AG106" s="78">
        <v>1</v>
      </c>
      <c r="AH106" s="2"/>
      <c r="AI106" s="2"/>
      <c r="AJ106" s="80">
        <f t="shared" si="8"/>
        <v>28</v>
      </c>
    </row>
    <row r="107" spans="1:36" ht="15.75" customHeight="1">
      <c r="A107" s="2"/>
      <c r="B107" s="96" t="s">
        <v>266</v>
      </c>
      <c r="C107" s="97">
        <f>IF($G$10=$H$127,$I$127,IF($G$10=$H$128,$I$128,$I$129))</f>
        <v>2.4900000000000002</v>
      </c>
      <c r="D107" s="2"/>
      <c r="E107" s="2"/>
      <c r="F107" s="2"/>
      <c r="G107" s="1121" t="s">
        <v>10</v>
      </c>
      <c r="H107" s="143">
        <v>12</v>
      </c>
      <c r="I107" s="144">
        <v>3.93</v>
      </c>
      <c r="J107" s="2"/>
      <c r="K107" s="2"/>
      <c r="L107" s="2"/>
      <c r="M107" s="2"/>
      <c r="N107" s="46">
        <v>2964</v>
      </c>
      <c r="O107" s="77">
        <f t="shared" si="0"/>
        <v>899</v>
      </c>
      <c r="P107" s="77">
        <f t="shared" si="1"/>
        <v>40</v>
      </c>
      <c r="Q107" s="77">
        <f t="shared" si="2"/>
        <v>4</v>
      </c>
      <c r="R107" s="78">
        <f t="shared" si="3"/>
        <v>2</v>
      </c>
      <c r="S107" s="2"/>
      <c r="T107" s="2"/>
      <c r="U107" s="2"/>
      <c r="V107" s="46">
        <v>4150</v>
      </c>
      <c r="W107" s="77">
        <f t="shared" si="4"/>
        <v>400</v>
      </c>
      <c r="X107" s="77">
        <f t="shared" si="5"/>
        <v>100</v>
      </c>
      <c r="Y107" s="77">
        <f t="shared" si="6"/>
        <v>5</v>
      </c>
      <c r="Z107" s="78">
        <f t="shared" si="7"/>
        <v>3</v>
      </c>
      <c r="AA107" s="2"/>
      <c r="AB107" s="2"/>
      <c r="AC107" s="2"/>
      <c r="AD107" s="46">
        <v>4150</v>
      </c>
      <c r="AE107" s="77">
        <v>4</v>
      </c>
      <c r="AF107" s="78">
        <v>2</v>
      </c>
      <c r="AG107" s="78">
        <v>1</v>
      </c>
      <c r="AH107" s="2"/>
      <c r="AI107" s="2"/>
      <c r="AJ107" s="80">
        <f t="shared" si="8"/>
        <v>28</v>
      </c>
    </row>
    <row r="108" spans="1:36" ht="15.75" customHeight="1">
      <c r="A108" s="2"/>
      <c r="B108" s="111" t="s">
        <v>267</v>
      </c>
      <c r="C108" s="112">
        <v>68</v>
      </c>
      <c r="D108" s="2"/>
      <c r="E108" s="2"/>
      <c r="F108" s="2"/>
      <c r="G108" s="1119"/>
      <c r="H108" s="143">
        <v>13</v>
      </c>
      <c r="I108" s="144">
        <v>3.37</v>
      </c>
      <c r="J108" s="2"/>
      <c r="K108" s="2"/>
      <c r="L108" s="2"/>
      <c r="M108" s="2"/>
      <c r="N108" s="46">
        <v>2997</v>
      </c>
      <c r="O108" s="77">
        <f t="shared" si="0"/>
        <v>0</v>
      </c>
      <c r="P108" s="77">
        <f t="shared" si="1"/>
        <v>22</v>
      </c>
      <c r="Q108" s="77">
        <f t="shared" si="2"/>
        <v>4</v>
      </c>
      <c r="R108" s="78">
        <f t="shared" si="3"/>
        <v>3</v>
      </c>
      <c r="S108" s="2"/>
      <c r="T108" s="2"/>
      <c r="U108" s="2"/>
      <c r="V108" s="46">
        <v>4200</v>
      </c>
      <c r="W108" s="77">
        <f t="shared" si="4"/>
        <v>450</v>
      </c>
      <c r="X108" s="77">
        <f t="shared" si="5"/>
        <v>100</v>
      </c>
      <c r="Y108" s="77">
        <f t="shared" si="6"/>
        <v>5</v>
      </c>
      <c r="Z108" s="78">
        <f t="shared" si="7"/>
        <v>3</v>
      </c>
      <c r="AA108" s="2"/>
      <c r="AB108" s="2"/>
      <c r="AC108" s="2"/>
      <c r="AD108" s="46">
        <v>4200</v>
      </c>
      <c r="AE108" s="77">
        <v>4</v>
      </c>
      <c r="AF108" s="78">
        <v>2</v>
      </c>
      <c r="AG108" s="78">
        <v>1</v>
      </c>
      <c r="AH108" s="2"/>
      <c r="AI108" s="2"/>
      <c r="AJ108" s="80">
        <f t="shared" si="8"/>
        <v>28</v>
      </c>
    </row>
    <row r="109" spans="1:36" ht="15.75" customHeight="1">
      <c r="A109" s="2"/>
      <c r="B109" s="83" t="s">
        <v>268</v>
      </c>
      <c r="C109" s="84">
        <v>1200</v>
      </c>
      <c r="D109" s="2"/>
      <c r="E109" s="2"/>
      <c r="F109" s="2"/>
      <c r="G109" s="1119"/>
      <c r="H109" s="143">
        <v>14</v>
      </c>
      <c r="I109" s="144">
        <v>2.81</v>
      </c>
      <c r="J109" s="2"/>
      <c r="K109" s="2"/>
      <c r="L109" s="2"/>
      <c r="M109" s="2"/>
      <c r="N109" s="46">
        <v>3030</v>
      </c>
      <c r="O109" s="77">
        <f t="shared" si="0"/>
        <v>0</v>
      </c>
      <c r="P109" s="77">
        <f t="shared" si="1"/>
        <v>55</v>
      </c>
      <c r="Q109" s="77">
        <f t="shared" si="2"/>
        <v>4</v>
      </c>
      <c r="R109" s="78">
        <f t="shared" si="3"/>
        <v>3</v>
      </c>
      <c r="S109" s="2"/>
      <c r="T109" s="2"/>
      <c r="U109" s="2"/>
      <c r="V109" s="46">
        <v>4250</v>
      </c>
      <c r="W109" s="77">
        <f t="shared" si="4"/>
        <v>500</v>
      </c>
      <c r="X109" s="77">
        <f t="shared" si="5"/>
        <v>100</v>
      </c>
      <c r="Y109" s="77">
        <f t="shared" si="6"/>
        <v>5</v>
      </c>
      <c r="Z109" s="78">
        <f t="shared" si="7"/>
        <v>3</v>
      </c>
      <c r="AA109" s="2"/>
      <c r="AB109" s="2"/>
      <c r="AC109" s="2"/>
      <c r="AD109" s="46">
        <v>4250</v>
      </c>
      <c r="AE109" s="77">
        <v>4</v>
      </c>
      <c r="AF109" s="78">
        <v>2</v>
      </c>
      <c r="AG109" s="78">
        <v>1</v>
      </c>
      <c r="AH109" s="2"/>
      <c r="AI109" s="2"/>
      <c r="AJ109" s="80">
        <f t="shared" si="8"/>
        <v>28</v>
      </c>
    </row>
    <row r="110" spans="1:36" ht="15.75" customHeight="1">
      <c r="A110" s="2"/>
      <c r="B110" s="83" t="s">
        <v>269</v>
      </c>
      <c r="C110" s="84">
        <v>900</v>
      </c>
      <c r="D110" s="2"/>
      <c r="E110" s="2"/>
      <c r="F110" s="2"/>
      <c r="G110" s="1120"/>
      <c r="H110" s="143">
        <v>15</v>
      </c>
      <c r="I110" s="144">
        <v>2.52</v>
      </c>
      <c r="J110" s="2"/>
      <c r="K110" s="2"/>
      <c r="L110" s="2"/>
      <c r="M110" s="2"/>
      <c r="N110" s="46">
        <v>3064</v>
      </c>
      <c r="O110" s="77">
        <f t="shared" si="0"/>
        <v>0</v>
      </c>
      <c r="P110" s="77">
        <f t="shared" si="1"/>
        <v>89</v>
      </c>
      <c r="Q110" s="77">
        <f t="shared" si="2"/>
        <v>4</v>
      </c>
      <c r="R110" s="78">
        <f t="shared" si="3"/>
        <v>3</v>
      </c>
      <c r="S110" s="2"/>
      <c r="T110" s="2"/>
      <c r="U110" s="2"/>
      <c r="V110" s="46">
        <v>4300</v>
      </c>
      <c r="W110" s="77">
        <f t="shared" si="4"/>
        <v>550</v>
      </c>
      <c r="X110" s="77">
        <f t="shared" si="5"/>
        <v>100</v>
      </c>
      <c r="Y110" s="77">
        <f t="shared" si="6"/>
        <v>5</v>
      </c>
      <c r="Z110" s="78">
        <f t="shared" si="7"/>
        <v>3</v>
      </c>
      <c r="AA110" s="2"/>
      <c r="AB110" s="2"/>
      <c r="AC110" s="2"/>
      <c r="AD110" s="46">
        <v>4300</v>
      </c>
      <c r="AE110" s="77">
        <v>4</v>
      </c>
      <c r="AF110" s="78">
        <v>2</v>
      </c>
      <c r="AG110" s="78">
        <v>1</v>
      </c>
      <c r="AH110" s="2"/>
      <c r="AI110" s="2"/>
      <c r="AJ110" s="80">
        <f t="shared" si="8"/>
        <v>28</v>
      </c>
    </row>
    <row r="111" spans="1:36" ht="15.75" customHeight="1">
      <c r="A111" s="2"/>
      <c r="B111" s="83" t="s">
        <v>270</v>
      </c>
      <c r="C111" s="84">
        <v>30</v>
      </c>
      <c r="D111" s="2"/>
      <c r="E111" s="2"/>
      <c r="F111" s="2"/>
      <c r="G111" s="1122" t="s">
        <v>46</v>
      </c>
      <c r="H111" s="141">
        <v>12</v>
      </c>
      <c r="I111" s="142">
        <v>5.2</v>
      </c>
      <c r="J111" s="2"/>
      <c r="K111" s="2"/>
      <c r="L111" s="2"/>
      <c r="M111" s="2"/>
      <c r="N111" s="46">
        <v>3097</v>
      </c>
      <c r="O111" s="77">
        <f t="shared" si="0"/>
        <v>0</v>
      </c>
      <c r="P111" s="77">
        <f t="shared" si="1"/>
        <v>122</v>
      </c>
      <c r="Q111" s="77">
        <f t="shared" si="2"/>
        <v>4</v>
      </c>
      <c r="R111" s="78">
        <f t="shared" si="3"/>
        <v>3</v>
      </c>
      <c r="S111" s="2"/>
      <c r="T111" s="2"/>
      <c r="U111" s="2"/>
      <c r="V111" s="46">
        <v>4350</v>
      </c>
      <c r="W111" s="77">
        <f t="shared" si="4"/>
        <v>600</v>
      </c>
      <c r="X111" s="77">
        <f t="shared" si="5"/>
        <v>100</v>
      </c>
      <c r="Y111" s="77">
        <f t="shared" si="6"/>
        <v>5</v>
      </c>
      <c r="Z111" s="78">
        <f t="shared" si="7"/>
        <v>3</v>
      </c>
      <c r="AA111" s="2"/>
      <c r="AB111" s="2"/>
      <c r="AC111" s="2"/>
      <c r="AD111" s="46">
        <v>4350</v>
      </c>
      <c r="AE111" s="77">
        <v>4</v>
      </c>
      <c r="AF111" s="78">
        <v>3</v>
      </c>
      <c r="AG111" s="78">
        <v>0</v>
      </c>
      <c r="AH111" s="2"/>
      <c r="AI111" s="2"/>
      <c r="AJ111" s="80">
        <f t="shared" si="8"/>
        <v>28</v>
      </c>
    </row>
    <row r="112" spans="1:36" ht="15.75" customHeight="1">
      <c r="A112" s="2"/>
      <c r="B112" s="83" t="s">
        <v>271</v>
      </c>
      <c r="C112" s="93">
        <f>IF($G$9=$H$148,$I$148,IF($G$9=$H$149,$I$149,IF($G$9=$H$150,$I$150,$I$151)))</f>
        <v>4.82</v>
      </c>
      <c r="D112" s="2"/>
      <c r="E112" s="2"/>
      <c r="F112" s="2"/>
      <c r="G112" s="1119"/>
      <c r="H112" s="141">
        <v>13</v>
      </c>
      <c r="I112" s="142">
        <v>4.46</v>
      </c>
      <c r="J112" s="2"/>
      <c r="K112" s="2"/>
      <c r="L112" s="2"/>
      <c r="M112" s="2"/>
      <c r="N112" s="46">
        <v>3130</v>
      </c>
      <c r="O112" s="77">
        <f t="shared" si="0"/>
        <v>0</v>
      </c>
      <c r="P112" s="77">
        <f t="shared" si="1"/>
        <v>155</v>
      </c>
      <c r="Q112" s="77">
        <f t="shared" si="2"/>
        <v>4</v>
      </c>
      <c r="R112" s="78">
        <f t="shared" si="3"/>
        <v>3</v>
      </c>
      <c r="S112" s="2"/>
      <c r="T112" s="2"/>
      <c r="U112" s="2"/>
      <c r="V112" s="46">
        <v>4400</v>
      </c>
      <c r="W112" s="77">
        <f t="shared" si="4"/>
        <v>650</v>
      </c>
      <c r="X112" s="77">
        <f t="shared" si="5"/>
        <v>100</v>
      </c>
      <c r="Y112" s="77">
        <f t="shared" si="6"/>
        <v>5</v>
      </c>
      <c r="Z112" s="78">
        <f t="shared" si="7"/>
        <v>3</v>
      </c>
      <c r="AA112" s="2"/>
      <c r="AB112" s="2"/>
      <c r="AC112" s="2"/>
      <c r="AD112" s="46">
        <v>4400</v>
      </c>
      <c r="AE112" s="77">
        <v>4</v>
      </c>
      <c r="AF112" s="78">
        <v>3</v>
      </c>
      <c r="AG112" s="78">
        <v>0</v>
      </c>
      <c r="AH112" s="2"/>
      <c r="AI112" s="2"/>
      <c r="AJ112" s="80">
        <f t="shared" si="8"/>
        <v>28</v>
      </c>
    </row>
    <row r="113" spans="1:36" ht="15.75" customHeight="1">
      <c r="A113" s="2"/>
      <c r="B113" s="83" t="s">
        <v>272</v>
      </c>
      <c r="C113" s="84">
        <f>IF($C$13="si",J82,I82)</f>
        <v>1.55</v>
      </c>
      <c r="D113" s="2"/>
      <c r="E113" s="2"/>
      <c r="F113" s="2"/>
      <c r="G113" s="1119"/>
      <c r="H113" s="141">
        <v>14</v>
      </c>
      <c r="I113" s="142">
        <v>3.72</v>
      </c>
      <c r="J113" s="2"/>
      <c r="K113" s="2"/>
      <c r="L113" s="2"/>
      <c r="M113" s="2"/>
      <c r="N113" s="46">
        <v>3164</v>
      </c>
      <c r="O113" s="77">
        <f t="shared" si="0"/>
        <v>0</v>
      </c>
      <c r="P113" s="77">
        <f t="shared" si="1"/>
        <v>189</v>
      </c>
      <c r="Q113" s="77">
        <f t="shared" si="2"/>
        <v>4</v>
      </c>
      <c r="R113" s="78">
        <f t="shared" si="3"/>
        <v>3</v>
      </c>
      <c r="S113" s="2"/>
      <c r="T113" s="2"/>
      <c r="U113" s="2"/>
      <c r="V113" s="46">
        <v>4450</v>
      </c>
      <c r="W113" s="77">
        <f t="shared" si="4"/>
        <v>700</v>
      </c>
      <c r="X113" s="77">
        <f t="shared" si="5"/>
        <v>100</v>
      </c>
      <c r="Y113" s="77">
        <f t="shared" si="6"/>
        <v>5</v>
      </c>
      <c r="Z113" s="78">
        <f t="shared" si="7"/>
        <v>3</v>
      </c>
      <c r="AA113" s="2"/>
      <c r="AB113" s="2"/>
      <c r="AC113" s="2"/>
      <c r="AD113" s="46">
        <v>4450</v>
      </c>
      <c r="AE113" s="77">
        <v>4</v>
      </c>
      <c r="AF113" s="78">
        <v>3</v>
      </c>
      <c r="AG113" s="78">
        <v>0</v>
      </c>
      <c r="AH113" s="2"/>
      <c r="AI113" s="2"/>
      <c r="AJ113" s="80">
        <f t="shared" si="8"/>
        <v>28</v>
      </c>
    </row>
    <row r="114" spans="1:36" ht="15.75" customHeight="1">
      <c r="A114" s="2"/>
      <c r="B114" s="92" t="s">
        <v>273</v>
      </c>
      <c r="C114" s="93">
        <f>IF($G$10=$H$130,$I$130,IF($G$10=$H$131,$I$131,$I$132))</f>
        <v>2.4500000000000002</v>
      </c>
      <c r="D114" s="2"/>
      <c r="E114" s="2"/>
      <c r="F114" s="2"/>
      <c r="G114" s="1120"/>
      <c r="H114" s="141">
        <v>15</v>
      </c>
      <c r="I114" s="142">
        <v>3.34</v>
      </c>
      <c r="J114" s="2"/>
      <c r="K114" s="2"/>
      <c r="L114" s="2"/>
      <c r="M114" s="2"/>
      <c r="N114" s="46">
        <v>3197</v>
      </c>
      <c r="O114" s="77">
        <f t="shared" si="0"/>
        <v>0</v>
      </c>
      <c r="P114" s="77">
        <f t="shared" si="1"/>
        <v>222</v>
      </c>
      <c r="Q114" s="77">
        <f t="shared" si="2"/>
        <v>4</v>
      </c>
      <c r="R114" s="78">
        <f t="shared" si="3"/>
        <v>3</v>
      </c>
      <c r="S114" s="2"/>
      <c r="T114" s="2"/>
      <c r="U114" s="2"/>
      <c r="V114" s="46">
        <v>4500</v>
      </c>
      <c r="W114" s="77">
        <f t="shared" si="4"/>
        <v>750</v>
      </c>
      <c r="X114" s="77">
        <f t="shared" si="5"/>
        <v>100</v>
      </c>
      <c r="Y114" s="77">
        <f t="shared" si="6"/>
        <v>5</v>
      </c>
      <c r="Z114" s="78">
        <f t="shared" si="7"/>
        <v>3</v>
      </c>
      <c r="AA114" s="2"/>
      <c r="AB114" s="2"/>
      <c r="AC114" s="2"/>
      <c r="AD114" s="46">
        <v>4500</v>
      </c>
      <c r="AE114" s="77">
        <v>4</v>
      </c>
      <c r="AF114" s="78">
        <v>3</v>
      </c>
      <c r="AG114" s="78">
        <v>0</v>
      </c>
      <c r="AH114" s="2"/>
      <c r="AI114" s="2"/>
      <c r="AJ114" s="80">
        <f t="shared" si="8"/>
        <v>28</v>
      </c>
    </row>
    <row r="115" spans="1:36" ht="15.75" customHeight="1">
      <c r="A115" s="2"/>
      <c r="B115" s="96" t="s">
        <v>274</v>
      </c>
      <c r="C115" s="97">
        <f>IF($G$10=$H$130,$I$130,IF($G$10=$H$131,$I$131,$I$132))</f>
        <v>2.4500000000000002</v>
      </c>
      <c r="D115" s="2"/>
      <c r="E115" s="2"/>
      <c r="F115" s="2"/>
      <c r="G115" s="1121" t="s">
        <v>77</v>
      </c>
      <c r="H115" s="143">
        <v>12</v>
      </c>
      <c r="I115" s="144">
        <v>5.93</v>
      </c>
      <c r="J115" s="2"/>
      <c r="K115" s="2"/>
      <c r="L115" s="2"/>
      <c r="M115" s="2"/>
      <c r="N115" s="46">
        <v>3230</v>
      </c>
      <c r="O115" s="77">
        <f t="shared" si="0"/>
        <v>0</v>
      </c>
      <c r="P115" s="77">
        <f t="shared" si="1"/>
        <v>255</v>
      </c>
      <c r="Q115" s="77">
        <f t="shared" si="2"/>
        <v>4</v>
      </c>
      <c r="R115" s="78">
        <f t="shared" si="3"/>
        <v>3</v>
      </c>
      <c r="S115" s="2"/>
      <c r="T115" s="2"/>
      <c r="U115" s="2"/>
      <c r="V115" s="46">
        <v>4550</v>
      </c>
      <c r="W115" s="77">
        <f t="shared" si="4"/>
        <v>800</v>
      </c>
      <c r="X115" s="77">
        <f t="shared" si="5"/>
        <v>100</v>
      </c>
      <c r="Y115" s="77">
        <f t="shared" si="6"/>
        <v>5</v>
      </c>
      <c r="Z115" s="78">
        <f t="shared" si="7"/>
        <v>3</v>
      </c>
      <c r="AA115" s="2"/>
      <c r="AB115" s="2"/>
      <c r="AC115" s="2"/>
      <c r="AD115" s="46">
        <v>4550</v>
      </c>
      <c r="AE115" s="77">
        <v>4</v>
      </c>
      <c r="AF115" s="78">
        <v>3</v>
      </c>
      <c r="AG115" s="78">
        <v>0</v>
      </c>
      <c r="AH115" s="2"/>
      <c r="AI115" s="2"/>
      <c r="AJ115" s="80">
        <f t="shared" si="8"/>
        <v>28</v>
      </c>
    </row>
    <row r="116" spans="1:36" ht="15.75" customHeight="1">
      <c r="A116" s="2"/>
      <c r="B116" s="2"/>
      <c r="C116" s="2"/>
      <c r="D116" s="2"/>
      <c r="E116" s="2"/>
      <c r="F116" s="2"/>
      <c r="G116" s="1119"/>
      <c r="H116" s="143">
        <v>13</v>
      </c>
      <c r="I116" s="144">
        <v>5.08</v>
      </c>
      <c r="J116" s="2"/>
      <c r="K116" s="2"/>
      <c r="L116" s="2"/>
      <c r="M116" s="2"/>
      <c r="N116" s="46">
        <v>3264</v>
      </c>
      <c r="O116" s="77">
        <f t="shared" si="0"/>
        <v>0</v>
      </c>
      <c r="P116" s="77">
        <f t="shared" si="1"/>
        <v>289</v>
      </c>
      <c r="Q116" s="77">
        <f t="shared" si="2"/>
        <v>4</v>
      </c>
      <c r="R116" s="78">
        <f t="shared" si="3"/>
        <v>3</v>
      </c>
      <c r="S116" s="2"/>
      <c r="T116" s="2"/>
      <c r="U116" s="2"/>
      <c r="V116" s="46">
        <v>4600</v>
      </c>
      <c r="W116" s="77">
        <f t="shared" si="4"/>
        <v>850</v>
      </c>
      <c r="X116" s="77">
        <f t="shared" si="5"/>
        <v>100</v>
      </c>
      <c r="Y116" s="77">
        <f t="shared" si="6"/>
        <v>5</v>
      </c>
      <c r="Z116" s="78">
        <f t="shared" si="7"/>
        <v>3</v>
      </c>
      <c r="AA116" s="2"/>
      <c r="AB116" s="2"/>
      <c r="AC116" s="2"/>
      <c r="AD116" s="46">
        <v>4600</v>
      </c>
      <c r="AE116" s="77">
        <v>4</v>
      </c>
      <c r="AF116" s="78">
        <v>3</v>
      </c>
      <c r="AG116" s="78">
        <v>0</v>
      </c>
      <c r="AH116" s="2"/>
      <c r="AI116" s="2"/>
      <c r="AJ116" s="80">
        <f t="shared" si="8"/>
        <v>28</v>
      </c>
    </row>
    <row r="117" spans="1:36" ht="15.75" customHeight="1">
      <c r="A117" s="2"/>
      <c r="B117" s="2"/>
      <c r="C117" s="2"/>
      <c r="D117" s="2"/>
      <c r="E117" s="2"/>
      <c r="F117" s="2"/>
      <c r="G117" s="1119"/>
      <c r="H117" s="143">
        <v>14</v>
      </c>
      <c r="I117" s="144">
        <v>4.24</v>
      </c>
      <c r="J117" s="2"/>
      <c r="K117" s="2"/>
      <c r="L117" s="2"/>
      <c r="M117" s="2"/>
      <c r="N117" s="46">
        <v>3297</v>
      </c>
      <c r="O117" s="77">
        <f t="shared" si="0"/>
        <v>0</v>
      </c>
      <c r="P117" s="77">
        <f t="shared" si="1"/>
        <v>322</v>
      </c>
      <c r="Q117" s="77">
        <f t="shared" si="2"/>
        <v>4</v>
      </c>
      <c r="R117" s="78">
        <f t="shared" si="3"/>
        <v>3</v>
      </c>
      <c r="S117" s="2"/>
      <c r="T117" s="2"/>
      <c r="U117" s="2"/>
      <c r="V117" s="46">
        <v>4650</v>
      </c>
      <c r="W117" s="77">
        <f t="shared" si="4"/>
        <v>900</v>
      </c>
      <c r="X117" s="77">
        <f t="shared" si="5"/>
        <v>100</v>
      </c>
      <c r="Y117" s="77">
        <f t="shared" si="6"/>
        <v>5</v>
      </c>
      <c r="Z117" s="78">
        <f t="shared" si="7"/>
        <v>3</v>
      </c>
      <c r="AA117" s="2"/>
      <c r="AB117" s="2"/>
      <c r="AC117" s="2"/>
      <c r="AD117" s="46">
        <v>4650</v>
      </c>
      <c r="AE117" s="77">
        <v>5</v>
      </c>
      <c r="AF117" s="78">
        <v>3</v>
      </c>
      <c r="AG117" s="78">
        <v>0</v>
      </c>
      <c r="AH117" s="2"/>
      <c r="AI117" s="2"/>
      <c r="AJ117" s="80">
        <f t="shared" si="8"/>
        <v>32</v>
      </c>
    </row>
    <row r="118" spans="1:36" ht="15.75" customHeight="1">
      <c r="A118" s="2"/>
      <c r="B118" s="2"/>
      <c r="C118" s="2"/>
      <c r="D118" s="2"/>
      <c r="E118" s="2"/>
      <c r="F118" s="2"/>
      <c r="G118" s="1123"/>
      <c r="H118" s="145">
        <v>15</v>
      </c>
      <c r="I118" s="146">
        <v>3.81</v>
      </c>
      <c r="J118" s="2"/>
      <c r="K118" s="2"/>
      <c r="L118" s="2"/>
      <c r="M118" s="2"/>
      <c r="N118" s="46">
        <v>3330</v>
      </c>
      <c r="O118" s="77">
        <f t="shared" si="0"/>
        <v>315</v>
      </c>
      <c r="P118" s="77">
        <f t="shared" si="1"/>
        <v>40</v>
      </c>
      <c r="Q118" s="77">
        <f t="shared" si="2"/>
        <v>5</v>
      </c>
      <c r="R118" s="78">
        <f t="shared" si="3"/>
        <v>3</v>
      </c>
      <c r="S118" s="2"/>
      <c r="T118" s="2"/>
      <c r="U118" s="2"/>
      <c r="V118" s="46">
        <v>4700</v>
      </c>
      <c r="W118" s="77">
        <f t="shared" si="4"/>
        <v>950</v>
      </c>
      <c r="X118" s="77">
        <f t="shared" si="5"/>
        <v>100</v>
      </c>
      <c r="Y118" s="77">
        <f t="shared" si="6"/>
        <v>5</v>
      </c>
      <c r="Z118" s="78">
        <f t="shared" si="7"/>
        <v>3</v>
      </c>
      <c r="AA118" s="2"/>
      <c r="AB118" s="2"/>
      <c r="AC118" s="2"/>
      <c r="AD118" s="46">
        <v>4700</v>
      </c>
      <c r="AE118" s="77">
        <v>5</v>
      </c>
      <c r="AF118" s="78">
        <v>3</v>
      </c>
      <c r="AG118" s="78">
        <v>0</v>
      </c>
      <c r="AH118" s="2"/>
      <c r="AI118" s="2"/>
      <c r="AJ118" s="80">
        <f t="shared" si="8"/>
        <v>32</v>
      </c>
    </row>
    <row r="119" spans="1:36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46">
        <v>3363</v>
      </c>
      <c r="O119" s="77">
        <f t="shared" si="0"/>
        <v>348</v>
      </c>
      <c r="P119" s="77">
        <f t="shared" si="1"/>
        <v>40</v>
      </c>
      <c r="Q119" s="77">
        <f t="shared" si="2"/>
        <v>5</v>
      </c>
      <c r="R119" s="78">
        <f t="shared" si="3"/>
        <v>3</v>
      </c>
      <c r="S119" s="2"/>
      <c r="T119" s="2"/>
      <c r="U119" s="2"/>
      <c r="V119" s="46">
        <v>4750</v>
      </c>
      <c r="W119" s="77">
        <f t="shared" si="4"/>
        <v>1000</v>
      </c>
      <c r="X119" s="77">
        <f t="shared" si="5"/>
        <v>100</v>
      </c>
      <c r="Y119" s="77">
        <f t="shared" si="6"/>
        <v>5</v>
      </c>
      <c r="Z119" s="78">
        <f t="shared" si="7"/>
        <v>3</v>
      </c>
      <c r="AA119" s="2"/>
      <c r="AB119" s="2"/>
      <c r="AC119" s="2"/>
      <c r="AD119" s="46">
        <v>4750</v>
      </c>
      <c r="AE119" s="77">
        <v>5</v>
      </c>
      <c r="AF119" s="78">
        <v>3</v>
      </c>
      <c r="AG119" s="78">
        <v>0</v>
      </c>
      <c r="AH119" s="2"/>
      <c r="AI119" s="2"/>
      <c r="AJ119" s="80">
        <f t="shared" si="8"/>
        <v>32</v>
      </c>
    </row>
    <row r="120" spans="1:36" ht="15.75" customHeight="1">
      <c r="A120" s="2"/>
      <c r="B120" s="2"/>
      <c r="C120" s="2"/>
      <c r="D120" s="2"/>
      <c r="E120" s="2"/>
      <c r="F120" s="2"/>
      <c r="G120" s="1111" t="s">
        <v>244</v>
      </c>
      <c r="H120" s="1112"/>
      <c r="I120" s="1113"/>
      <c r="J120" s="2"/>
      <c r="K120" s="2"/>
      <c r="L120" s="2"/>
      <c r="M120" s="2"/>
      <c r="N120" s="46">
        <v>3397</v>
      </c>
      <c r="O120" s="77">
        <f t="shared" si="0"/>
        <v>382</v>
      </c>
      <c r="P120" s="77">
        <f t="shared" si="1"/>
        <v>40</v>
      </c>
      <c r="Q120" s="77">
        <f t="shared" si="2"/>
        <v>5</v>
      </c>
      <c r="R120" s="78">
        <f t="shared" si="3"/>
        <v>3</v>
      </c>
      <c r="S120" s="2"/>
      <c r="T120" s="2"/>
      <c r="U120" s="2"/>
      <c r="V120" s="46">
        <v>4800</v>
      </c>
      <c r="W120" s="77">
        <f t="shared" si="4"/>
        <v>1050</v>
      </c>
      <c r="X120" s="77">
        <f t="shared" si="5"/>
        <v>100</v>
      </c>
      <c r="Y120" s="77">
        <f t="shared" si="6"/>
        <v>5</v>
      </c>
      <c r="Z120" s="78">
        <f t="shared" si="7"/>
        <v>3</v>
      </c>
      <c r="AA120" s="2"/>
      <c r="AB120" s="2"/>
      <c r="AC120" s="2"/>
      <c r="AD120" s="46">
        <v>4800</v>
      </c>
      <c r="AE120" s="77">
        <v>5</v>
      </c>
      <c r="AF120" s="78">
        <v>3</v>
      </c>
      <c r="AG120" s="78">
        <v>0</v>
      </c>
      <c r="AH120" s="2"/>
      <c r="AI120" s="2"/>
      <c r="AJ120" s="80">
        <f t="shared" si="8"/>
        <v>32</v>
      </c>
    </row>
    <row r="121" spans="1:36" ht="15.75" customHeight="1">
      <c r="A121" s="2"/>
      <c r="B121" s="2"/>
      <c r="C121" s="2"/>
      <c r="D121" s="2"/>
      <c r="E121" s="2"/>
      <c r="F121" s="2"/>
      <c r="G121" s="1114" t="s">
        <v>82</v>
      </c>
      <c r="H121" s="128">
        <v>14</v>
      </c>
      <c r="I121" s="129">
        <v>1.76</v>
      </c>
      <c r="J121" s="2"/>
      <c r="K121" s="2"/>
      <c r="L121" s="2"/>
      <c r="M121" s="2"/>
      <c r="N121" s="46">
        <v>3430</v>
      </c>
      <c r="O121" s="77">
        <f t="shared" si="0"/>
        <v>415</v>
      </c>
      <c r="P121" s="77">
        <f t="shared" si="1"/>
        <v>40</v>
      </c>
      <c r="Q121" s="77">
        <f t="shared" si="2"/>
        <v>5</v>
      </c>
      <c r="R121" s="78">
        <f t="shared" si="3"/>
        <v>3</v>
      </c>
      <c r="S121" s="2"/>
      <c r="T121" s="2"/>
      <c r="U121" s="2"/>
      <c r="V121" s="46">
        <v>4850</v>
      </c>
      <c r="W121" s="77">
        <f t="shared" si="4"/>
        <v>0</v>
      </c>
      <c r="X121" s="77">
        <f t="shared" si="5"/>
        <v>40</v>
      </c>
      <c r="Y121" s="77">
        <f t="shared" si="6"/>
        <v>5</v>
      </c>
      <c r="Z121" s="78">
        <f t="shared" si="7"/>
        <v>4</v>
      </c>
      <c r="AA121" s="2"/>
      <c r="AB121" s="2"/>
      <c r="AC121" s="2"/>
      <c r="AD121" s="46">
        <v>4850</v>
      </c>
      <c r="AE121" s="77">
        <v>5</v>
      </c>
      <c r="AF121" s="78">
        <v>3</v>
      </c>
      <c r="AG121" s="78">
        <v>0</v>
      </c>
      <c r="AH121" s="2"/>
      <c r="AI121" s="2"/>
      <c r="AJ121" s="80">
        <f t="shared" si="8"/>
        <v>32</v>
      </c>
    </row>
    <row r="122" spans="1:36" ht="15.75" customHeight="1">
      <c r="A122" s="2"/>
      <c r="B122" s="2"/>
      <c r="C122" s="2"/>
      <c r="D122" s="2"/>
      <c r="E122" s="2"/>
      <c r="F122" s="2"/>
      <c r="G122" s="1115"/>
      <c r="H122" s="120">
        <v>15</v>
      </c>
      <c r="I122" s="130">
        <v>1.59</v>
      </c>
      <c r="J122" s="2"/>
      <c r="K122" s="2"/>
      <c r="L122" s="2"/>
      <c r="M122" s="2"/>
      <c r="N122" s="46">
        <v>3463</v>
      </c>
      <c r="O122" s="77">
        <f t="shared" si="0"/>
        <v>448</v>
      </c>
      <c r="P122" s="77">
        <f t="shared" si="1"/>
        <v>40</v>
      </c>
      <c r="Q122" s="77">
        <f t="shared" si="2"/>
        <v>5</v>
      </c>
      <c r="R122" s="78">
        <f t="shared" si="3"/>
        <v>3</v>
      </c>
      <c r="S122" s="2"/>
      <c r="T122" s="2"/>
      <c r="U122" s="2"/>
      <c r="V122" s="46">
        <v>4900</v>
      </c>
      <c r="W122" s="77">
        <f t="shared" si="4"/>
        <v>0</v>
      </c>
      <c r="X122" s="77">
        <f t="shared" si="5"/>
        <v>90</v>
      </c>
      <c r="Y122" s="77">
        <f t="shared" si="6"/>
        <v>5</v>
      </c>
      <c r="Z122" s="78">
        <f t="shared" si="7"/>
        <v>4</v>
      </c>
      <c r="AA122" s="2"/>
      <c r="AB122" s="2"/>
      <c r="AC122" s="2"/>
      <c r="AD122" s="46">
        <v>4900</v>
      </c>
      <c r="AE122" s="77">
        <v>5</v>
      </c>
      <c r="AF122" s="78">
        <v>3</v>
      </c>
      <c r="AG122" s="78">
        <v>0</v>
      </c>
      <c r="AH122" s="2"/>
      <c r="AI122" s="2"/>
      <c r="AJ122" s="80">
        <f t="shared" si="8"/>
        <v>32</v>
      </c>
    </row>
    <row r="123" spans="1:36" ht="15.75" customHeight="1">
      <c r="A123" s="2"/>
      <c r="B123" s="2"/>
      <c r="C123" s="2"/>
      <c r="D123" s="2"/>
      <c r="E123" s="2"/>
      <c r="F123" s="2"/>
      <c r="G123" s="1116"/>
      <c r="H123" s="131">
        <v>16</v>
      </c>
      <c r="I123" s="132">
        <v>1.43</v>
      </c>
      <c r="J123" s="2"/>
      <c r="K123" s="2"/>
      <c r="L123" s="2"/>
      <c r="M123" s="2"/>
      <c r="N123" s="46">
        <v>3497</v>
      </c>
      <c r="O123" s="77">
        <f t="shared" si="0"/>
        <v>482</v>
      </c>
      <c r="P123" s="77">
        <f t="shared" si="1"/>
        <v>40</v>
      </c>
      <c r="Q123" s="77">
        <f t="shared" si="2"/>
        <v>5</v>
      </c>
      <c r="R123" s="78">
        <f t="shared" si="3"/>
        <v>3</v>
      </c>
      <c r="S123" s="2"/>
      <c r="T123" s="2"/>
      <c r="U123" s="2"/>
      <c r="V123" s="46">
        <v>4950</v>
      </c>
      <c r="W123" s="77">
        <f t="shared" si="4"/>
        <v>0</v>
      </c>
      <c r="X123" s="77">
        <f t="shared" si="5"/>
        <v>140</v>
      </c>
      <c r="Y123" s="77">
        <f t="shared" si="6"/>
        <v>5</v>
      </c>
      <c r="Z123" s="78">
        <f t="shared" si="7"/>
        <v>4</v>
      </c>
      <c r="AA123" s="2"/>
      <c r="AB123" s="2"/>
      <c r="AC123" s="2"/>
      <c r="AD123" s="46">
        <v>4950</v>
      </c>
      <c r="AE123" s="77">
        <v>5</v>
      </c>
      <c r="AF123" s="78">
        <v>3</v>
      </c>
      <c r="AG123" s="78">
        <v>0</v>
      </c>
      <c r="AH123" s="2"/>
      <c r="AI123" s="2"/>
      <c r="AJ123" s="80">
        <f t="shared" si="8"/>
        <v>32</v>
      </c>
    </row>
    <row r="124" spans="1:36" ht="15.75" customHeight="1">
      <c r="A124" s="2"/>
      <c r="B124" s="2"/>
      <c r="C124" s="2"/>
      <c r="D124" s="2"/>
      <c r="E124" s="2"/>
      <c r="F124" s="2"/>
      <c r="G124" s="1117" t="s">
        <v>85</v>
      </c>
      <c r="H124" s="133">
        <v>14</v>
      </c>
      <c r="I124" s="134">
        <v>1.76</v>
      </c>
      <c r="J124" s="2"/>
      <c r="K124" s="2"/>
      <c r="L124" s="2"/>
      <c r="M124" s="2"/>
      <c r="N124" s="46">
        <v>3530</v>
      </c>
      <c r="O124" s="77">
        <f t="shared" si="0"/>
        <v>515</v>
      </c>
      <c r="P124" s="77">
        <f t="shared" si="1"/>
        <v>40</v>
      </c>
      <c r="Q124" s="77">
        <f t="shared" si="2"/>
        <v>5</v>
      </c>
      <c r="R124" s="78">
        <f t="shared" si="3"/>
        <v>3</v>
      </c>
      <c r="S124" s="2"/>
      <c r="T124" s="2"/>
      <c r="U124" s="2"/>
      <c r="V124" s="46">
        <v>5000</v>
      </c>
      <c r="W124" s="77">
        <f t="shared" si="4"/>
        <v>0</v>
      </c>
      <c r="X124" s="77">
        <f t="shared" si="5"/>
        <v>190</v>
      </c>
      <c r="Y124" s="77">
        <f t="shared" si="6"/>
        <v>5</v>
      </c>
      <c r="Z124" s="78">
        <f t="shared" si="7"/>
        <v>4</v>
      </c>
      <c r="AA124" s="2"/>
      <c r="AB124" s="2"/>
      <c r="AC124" s="2"/>
      <c r="AD124" s="46">
        <v>5000</v>
      </c>
      <c r="AE124" s="77">
        <v>5</v>
      </c>
      <c r="AF124" s="78">
        <v>3</v>
      </c>
      <c r="AG124" s="78">
        <v>0</v>
      </c>
      <c r="AH124" s="2"/>
      <c r="AI124" s="2"/>
      <c r="AJ124" s="80">
        <f t="shared" si="8"/>
        <v>32</v>
      </c>
    </row>
    <row r="125" spans="1:36" ht="15.75" customHeight="1">
      <c r="A125" s="2"/>
      <c r="B125" s="2"/>
      <c r="C125" s="2"/>
      <c r="D125" s="2"/>
      <c r="E125" s="2"/>
      <c r="F125" s="2"/>
      <c r="G125" s="1115"/>
      <c r="H125" s="135">
        <v>15</v>
      </c>
      <c r="I125" s="136">
        <v>1.59</v>
      </c>
      <c r="J125" s="2"/>
      <c r="K125" s="2"/>
      <c r="L125" s="2"/>
      <c r="M125" s="2"/>
      <c r="N125" s="46">
        <v>3563</v>
      </c>
      <c r="O125" s="77">
        <f t="shared" si="0"/>
        <v>548</v>
      </c>
      <c r="P125" s="77">
        <f t="shared" si="1"/>
        <v>40</v>
      </c>
      <c r="Q125" s="77">
        <f t="shared" si="2"/>
        <v>5</v>
      </c>
      <c r="R125" s="78">
        <f t="shared" si="3"/>
        <v>3</v>
      </c>
      <c r="S125" s="2"/>
      <c r="T125" s="2"/>
      <c r="U125" s="2"/>
      <c r="V125" s="46">
        <v>5050</v>
      </c>
      <c r="W125" s="77">
        <f t="shared" si="4"/>
        <v>0</v>
      </c>
      <c r="X125" s="77">
        <f t="shared" si="5"/>
        <v>240</v>
      </c>
      <c r="Y125" s="77">
        <f t="shared" si="6"/>
        <v>5</v>
      </c>
      <c r="Z125" s="78">
        <f t="shared" si="7"/>
        <v>4</v>
      </c>
      <c r="AA125" s="2"/>
      <c r="AB125" s="2"/>
      <c r="AC125" s="2"/>
      <c r="AD125" s="46">
        <v>5050</v>
      </c>
      <c r="AE125" s="77">
        <v>5</v>
      </c>
      <c r="AF125" s="78">
        <v>3</v>
      </c>
      <c r="AG125" s="78">
        <v>0</v>
      </c>
      <c r="AH125" s="2"/>
      <c r="AI125" s="2"/>
      <c r="AJ125" s="80">
        <f t="shared" si="8"/>
        <v>32</v>
      </c>
    </row>
    <row r="126" spans="1:36" ht="15.75" customHeight="1">
      <c r="A126" s="2"/>
      <c r="B126" s="2"/>
      <c r="C126" s="2"/>
      <c r="D126" s="2"/>
      <c r="E126" s="2"/>
      <c r="F126" s="2"/>
      <c r="G126" s="1116"/>
      <c r="H126" s="137">
        <v>16</v>
      </c>
      <c r="I126" s="138">
        <v>1.43</v>
      </c>
      <c r="J126" s="2"/>
      <c r="K126" s="2"/>
      <c r="L126" s="2"/>
      <c r="M126" s="2"/>
      <c r="N126" s="46">
        <v>3597</v>
      </c>
      <c r="O126" s="77">
        <f t="shared" si="0"/>
        <v>582</v>
      </c>
      <c r="P126" s="77">
        <f t="shared" si="1"/>
        <v>40</v>
      </c>
      <c r="Q126" s="77">
        <f t="shared" si="2"/>
        <v>5</v>
      </c>
      <c r="R126" s="78">
        <f t="shared" si="3"/>
        <v>3</v>
      </c>
      <c r="S126" s="2"/>
      <c r="T126" s="2"/>
      <c r="U126" s="2"/>
      <c r="V126" s="46">
        <v>5100</v>
      </c>
      <c r="W126" s="77">
        <f t="shared" si="4"/>
        <v>0</v>
      </c>
      <c r="X126" s="77">
        <f t="shared" si="5"/>
        <v>290</v>
      </c>
      <c r="Y126" s="77">
        <f t="shared" si="6"/>
        <v>5</v>
      </c>
      <c r="Z126" s="78">
        <f t="shared" si="7"/>
        <v>4</v>
      </c>
      <c r="AA126" s="2"/>
      <c r="AB126" s="2"/>
      <c r="AC126" s="2"/>
      <c r="AD126" s="46">
        <v>5100</v>
      </c>
      <c r="AE126" s="77">
        <v>5</v>
      </c>
      <c r="AF126" s="78">
        <v>3</v>
      </c>
      <c r="AG126" s="78">
        <v>0</v>
      </c>
      <c r="AH126" s="2"/>
      <c r="AI126" s="2"/>
      <c r="AJ126" s="80">
        <f t="shared" si="8"/>
        <v>32</v>
      </c>
    </row>
    <row r="127" spans="1:36" ht="15.75" customHeight="1">
      <c r="A127" s="2"/>
      <c r="B127" s="2"/>
      <c r="C127" s="2"/>
      <c r="D127" s="2"/>
      <c r="E127" s="2"/>
      <c r="F127" s="2"/>
      <c r="G127" s="1114" t="s">
        <v>89</v>
      </c>
      <c r="H127" s="128">
        <v>14</v>
      </c>
      <c r="I127" s="129">
        <v>2.4900000000000002</v>
      </c>
      <c r="J127" s="2"/>
      <c r="K127" s="2"/>
      <c r="L127" s="2"/>
      <c r="M127" s="2"/>
      <c r="N127" s="46">
        <v>3630</v>
      </c>
      <c r="O127" s="77">
        <f t="shared" si="0"/>
        <v>615</v>
      </c>
      <c r="P127" s="77">
        <f t="shared" si="1"/>
        <v>40</v>
      </c>
      <c r="Q127" s="77">
        <f t="shared" si="2"/>
        <v>5</v>
      </c>
      <c r="R127" s="78">
        <f t="shared" si="3"/>
        <v>3</v>
      </c>
      <c r="S127" s="2"/>
      <c r="T127" s="2"/>
      <c r="U127" s="2"/>
      <c r="V127" s="46">
        <v>5150</v>
      </c>
      <c r="W127" s="77">
        <f t="shared" si="4"/>
        <v>0</v>
      </c>
      <c r="X127" s="77">
        <f t="shared" si="5"/>
        <v>340</v>
      </c>
      <c r="Y127" s="77">
        <f t="shared" si="6"/>
        <v>5</v>
      </c>
      <c r="Z127" s="78">
        <f t="shared" si="7"/>
        <v>4</v>
      </c>
      <c r="AA127" s="2"/>
      <c r="AB127" s="2"/>
      <c r="AC127" s="2"/>
      <c r="AD127" s="46">
        <v>5150</v>
      </c>
      <c r="AE127" s="77">
        <v>5</v>
      </c>
      <c r="AF127" s="78">
        <v>3</v>
      </c>
      <c r="AG127" s="78">
        <v>0</v>
      </c>
      <c r="AH127" s="2"/>
      <c r="AI127" s="2"/>
      <c r="AJ127" s="80">
        <f t="shared" si="8"/>
        <v>32</v>
      </c>
    </row>
    <row r="128" spans="1:36" ht="15.75" customHeight="1">
      <c r="A128" s="2"/>
      <c r="B128" s="2"/>
      <c r="C128" s="2"/>
      <c r="D128" s="2"/>
      <c r="E128" s="2"/>
      <c r="F128" s="2"/>
      <c r="G128" s="1115"/>
      <c r="H128" s="120">
        <v>15</v>
      </c>
      <c r="I128" s="130">
        <v>2.2400000000000002</v>
      </c>
      <c r="J128" s="2"/>
      <c r="K128" s="2"/>
      <c r="L128" s="2"/>
      <c r="M128" s="2"/>
      <c r="N128" s="46">
        <v>3663</v>
      </c>
      <c r="O128" s="77">
        <f t="shared" si="0"/>
        <v>648</v>
      </c>
      <c r="P128" s="77">
        <f t="shared" si="1"/>
        <v>40</v>
      </c>
      <c r="Q128" s="77">
        <f t="shared" si="2"/>
        <v>5</v>
      </c>
      <c r="R128" s="78">
        <f t="shared" si="3"/>
        <v>3</v>
      </c>
      <c r="S128" s="2"/>
      <c r="T128" s="2"/>
      <c r="U128" s="2"/>
      <c r="V128" s="46">
        <v>5200</v>
      </c>
      <c r="W128" s="77">
        <f t="shared" si="4"/>
        <v>0</v>
      </c>
      <c r="X128" s="77">
        <f t="shared" si="5"/>
        <v>390</v>
      </c>
      <c r="Y128" s="77">
        <f t="shared" si="6"/>
        <v>5</v>
      </c>
      <c r="Z128" s="78">
        <f t="shared" si="7"/>
        <v>4</v>
      </c>
      <c r="AA128" s="2"/>
      <c r="AB128" s="2"/>
      <c r="AC128" s="2"/>
      <c r="AD128" s="46">
        <v>5200</v>
      </c>
      <c r="AE128" s="77">
        <v>5</v>
      </c>
      <c r="AF128" s="78">
        <v>3</v>
      </c>
      <c r="AG128" s="78">
        <v>0</v>
      </c>
      <c r="AH128" s="2"/>
      <c r="AI128" s="2"/>
      <c r="AJ128" s="80">
        <f t="shared" si="8"/>
        <v>32</v>
      </c>
    </row>
    <row r="129" spans="1:36" ht="15.75" customHeight="1">
      <c r="A129" s="2"/>
      <c r="B129" s="2"/>
      <c r="C129" s="2"/>
      <c r="D129" s="2"/>
      <c r="E129" s="2"/>
      <c r="F129" s="2"/>
      <c r="G129" s="1116"/>
      <c r="H129" s="131">
        <v>16</v>
      </c>
      <c r="I129" s="132">
        <v>1.96</v>
      </c>
      <c r="J129" s="2"/>
      <c r="K129" s="2"/>
      <c r="L129" s="2"/>
      <c r="M129" s="2"/>
      <c r="N129" s="46">
        <v>3696</v>
      </c>
      <c r="O129" s="77">
        <f t="shared" si="0"/>
        <v>681</v>
      </c>
      <c r="P129" s="77">
        <f t="shared" si="1"/>
        <v>40</v>
      </c>
      <c r="Q129" s="77">
        <f t="shared" si="2"/>
        <v>5</v>
      </c>
      <c r="R129" s="78">
        <f t="shared" si="3"/>
        <v>3</v>
      </c>
      <c r="S129" s="2"/>
      <c r="T129" s="2"/>
      <c r="U129" s="2"/>
      <c r="V129" s="46">
        <v>5250</v>
      </c>
      <c r="W129" s="77">
        <f t="shared" si="4"/>
        <v>0</v>
      </c>
      <c r="X129" s="77">
        <f t="shared" si="5"/>
        <v>440</v>
      </c>
      <c r="Y129" s="77">
        <f t="shared" si="6"/>
        <v>5</v>
      </c>
      <c r="Z129" s="78">
        <f t="shared" si="7"/>
        <v>4</v>
      </c>
      <c r="AA129" s="2"/>
      <c r="AB129" s="2"/>
      <c r="AC129" s="2"/>
      <c r="AD129" s="46">
        <v>5250</v>
      </c>
      <c r="AE129" s="77">
        <v>5</v>
      </c>
      <c r="AF129" s="78">
        <v>3</v>
      </c>
      <c r="AG129" s="78">
        <v>0</v>
      </c>
      <c r="AH129" s="2"/>
      <c r="AI129" s="2"/>
      <c r="AJ129" s="80">
        <f t="shared" si="8"/>
        <v>32</v>
      </c>
    </row>
    <row r="130" spans="1:36" ht="15.75" customHeight="1">
      <c r="A130" s="2"/>
      <c r="B130" s="2"/>
      <c r="C130" s="2"/>
      <c r="D130" s="2"/>
      <c r="E130" s="2"/>
      <c r="F130" s="2"/>
      <c r="G130" s="1117" t="s">
        <v>93</v>
      </c>
      <c r="H130" s="133">
        <v>14</v>
      </c>
      <c r="I130" s="134">
        <v>2.4500000000000002</v>
      </c>
      <c r="J130" s="2"/>
      <c r="K130" s="2"/>
      <c r="L130" s="2"/>
      <c r="M130" s="2"/>
      <c r="N130" s="46">
        <v>3730</v>
      </c>
      <c r="O130" s="77">
        <f t="shared" si="0"/>
        <v>715</v>
      </c>
      <c r="P130" s="77">
        <f t="shared" si="1"/>
        <v>40</v>
      </c>
      <c r="Q130" s="77">
        <f t="shared" si="2"/>
        <v>5</v>
      </c>
      <c r="R130" s="78">
        <f t="shared" si="3"/>
        <v>3</v>
      </c>
      <c r="S130" s="2"/>
      <c r="T130" s="2"/>
      <c r="U130" s="2"/>
      <c r="V130" s="46">
        <v>5300</v>
      </c>
      <c r="W130" s="77">
        <f t="shared" si="4"/>
        <v>390</v>
      </c>
      <c r="X130" s="77">
        <f t="shared" si="5"/>
        <v>100</v>
      </c>
      <c r="Y130" s="77">
        <f t="shared" si="6"/>
        <v>6</v>
      </c>
      <c r="Z130" s="78">
        <f t="shared" si="7"/>
        <v>4</v>
      </c>
      <c r="AA130" s="2"/>
      <c r="AB130" s="2"/>
      <c r="AC130" s="2"/>
      <c r="AD130" s="46">
        <v>5300</v>
      </c>
      <c r="AE130" s="77">
        <v>5</v>
      </c>
      <c r="AF130" s="78">
        <v>3</v>
      </c>
      <c r="AG130" s="78">
        <v>0</v>
      </c>
      <c r="AH130" s="2"/>
      <c r="AI130" s="2"/>
      <c r="AJ130" s="80">
        <f t="shared" si="8"/>
        <v>32</v>
      </c>
    </row>
    <row r="131" spans="1:36" ht="15.75" customHeight="1">
      <c r="A131" s="2"/>
      <c r="B131" s="2"/>
      <c r="C131" s="2"/>
      <c r="D131" s="2"/>
      <c r="E131" s="2"/>
      <c r="F131" s="2"/>
      <c r="G131" s="1115"/>
      <c r="H131" s="135">
        <v>15</v>
      </c>
      <c r="I131" s="136">
        <v>2.2000000000000002</v>
      </c>
      <c r="J131" s="2"/>
      <c r="K131" s="2"/>
      <c r="L131" s="2"/>
      <c r="M131" s="2"/>
      <c r="N131" s="46">
        <v>3763</v>
      </c>
      <c r="O131" s="77">
        <f t="shared" si="0"/>
        <v>748</v>
      </c>
      <c r="P131" s="77">
        <f t="shared" si="1"/>
        <v>40</v>
      </c>
      <c r="Q131" s="77">
        <f t="shared" si="2"/>
        <v>5</v>
      </c>
      <c r="R131" s="78">
        <f t="shared" si="3"/>
        <v>3</v>
      </c>
      <c r="S131" s="2"/>
      <c r="T131" s="2"/>
      <c r="U131" s="2"/>
      <c r="V131" s="46">
        <v>5350</v>
      </c>
      <c r="W131" s="77">
        <f t="shared" si="4"/>
        <v>440</v>
      </c>
      <c r="X131" s="77">
        <f t="shared" si="5"/>
        <v>100</v>
      </c>
      <c r="Y131" s="77">
        <f t="shared" si="6"/>
        <v>6</v>
      </c>
      <c r="Z131" s="78">
        <f t="shared" si="7"/>
        <v>4</v>
      </c>
      <c r="AA131" s="2"/>
      <c r="AB131" s="2"/>
      <c r="AC131" s="2"/>
      <c r="AD131" s="46">
        <v>5350</v>
      </c>
      <c r="AE131" s="77">
        <v>5</v>
      </c>
      <c r="AF131" s="78">
        <v>3</v>
      </c>
      <c r="AG131" s="78">
        <v>1</v>
      </c>
      <c r="AH131" s="2"/>
      <c r="AI131" s="2"/>
      <c r="AJ131" s="80">
        <f t="shared" si="8"/>
        <v>36</v>
      </c>
    </row>
    <row r="132" spans="1:36" ht="15.75" customHeight="1">
      <c r="A132" s="2"/>
      <c r="B132" s="2"/>
      <c r="C132" s="2"/>
      <c r="D132" s="2"/>
      <c r="E132" s="2"/>
      <c r="F132" s="2"/>
      <c r="G132" s="1116"/>
      <c r="H132" s="137">
        <v>16</v>
      </c>
      <c r="I132" s="138">
        <v>1.96</v>
      </c>
      <c r="J132" s="2"/>
      <c r="K132" s="2"/>
      <c r="L132" s="2"/>
      <c r="M132" s="2"/>
      <c r="N132" s="46">
        <v>3796</v>
      </c>
      <c r="O132" s="77">
        <f t="shared" si="0"/>
        <v>781</v>
      </c>
      <c r="P132" s="77">
        <f t="shared" si="1"/>
        <v>40</v>
      </c>
      <c r="Q132" s="77">
        <f t="shared" si="2"/>
        <v>5</v>
      </c>
      <c r="R132" s="78">
        <f t="shared" si="3"/>
        <v>3</v>
      </c>
      <c r="S132" s="2"/>
      <c r="T132" s="2"/>
      <c r="U132" s="2"/>
      <c r="V132" s="46">
        <v>5400</v>
      </c>
      <c r="W132" s="77">
        <f t="shared" si="4"/>
        <v>490</v>
      </c>
      <c r="X132" s="77">
        <f t="shared" si="5"/>
        <v>100</v>
      </c>
      <c r="Y132" s="77">
        <f t="shared" si="6"/>
        <v>6</v>
      </c>
      <c r="Z132" s="78">
        <f t="shared" si="7"/>
        <v>4</v>
      </c>
      <c r="AA132" s="2"/>
      <c r="AB132" s="2"/>
      <c r="AC132" s="2"/>
      <c r="AD132" s="46">
        <v>5400</v>
      </c>
      <c r="AE132" s="77">
        <v>5</v>
      </c>
      <c r="AF132" s="78">
        <v>3</v>
      </c>
      <c r="AG132" s="78">
        <v>1</v>
      </c>
      <c r="AH132" s="2"/>
      <c r="AI132" s="2"/>
      <c r="AJ132" s="80">
        <f t="shared" si="8"/>
        <v>36</v>
      </c>
    </row>
    <row r="133" spans="1:36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46">
        <v>3830</v>
      </c>
      <c r="O133" s="77">
        <f t="shared" si="0"/>
        <v>815</v>
      </c>
      <c r="P133" s="77">
        <f t="shared" si="1"/>
        <v>40</v>
      </c>
      <c r="Q133" s="77">
        <f t="shared" si="2"/>
        <v>5</v>
      </c>
      <c r="R133" s="78">
        <f t="shared" si="3"/>
        <v>3</v>
      </c>
      <c r="S133" s="2"/>
      <c r="T133" s="2"/>
      <c r="U133" s="2"/>
      <c r="V133" s="46">
        <v>5450</v>
      </c>
      <c r="W133" s="77">
        <f t="shared" si="4"/>
        <v>540</v>
      </c>
      <c r="X133" s="77">
        <f t="shared" si="5"/>
        <v>100</v>
      </c>
      <c r="Y133" s="77">
        <f t="shared" si="6"/>
        <v>6</v>
      </c>
      <c r="Z133" s="78">
        <f t="shared" si="7"/>
        <v>4</v>
      </c>
      <c r="AA133" s="2"/>
      <c r="AB133" s="2"/>
      <c r="AC133" s="2"/>
      <c r="AD133" s="46">
        <v>5450</v>
      </c>
      <c r="AE133" s="77">
        <v>5</v>
      </c>
      <c r="AF133" s="78">
        <v>3</v>
      </c>
      <c r="AG133" s="78">
        <v>1</v>
      </c>
      <c r="AH133" s="2"/>
      <c r="AI133" s="2"/>
      <c r="AJ133" s="80">
        <f t="shared" si="8"/>
        <v>36</v>
      </c>
    </row>
    <row r="134" spans="1:36" ht="15.75" customHeight="1">
      <c r="A134" s="2"/>
      <c r="B134" s="2"/>
      <c r="C134" s="2"/>
      <c r="D134" s="2"/>
      <c r="E134" s="2"/>
      <c r="F134" s="2"/>
      <c r="G134" s="1111" t="s">
        <v>260</v>
      </c>
      <c r="H134" s="1112"/>
      <c r="I134" s="1113"/>
      <c r="J134" s="2"/>
      <c r="K134" s="2"/>
      <c r="L134" s="2"/>
      <c r="M134" s="2"/>
      <c r="N134" s="46">
        <v>3863</v>
      </c>
      <c r="O134" s="77">
        <f t="shared" si="0"/>
        <v>848</v>
      </c>
      <c r="P134" s="77">
        <f t="shared" si="1"/>
        <v>40</v>
      </c>
      <c r="Q134" s="77">
        <f t="shared" si="2"/>
        <v>5</v>
      </c>
      <c r="R134" s="78">
        <f t="shared" si="3"/>
        <v>3</v>
      </c>
      <c r="S134" s="2"/>
      <c r="T134" s="2"/>
      <c r="U134" s="2"/>
      <c r="V134" s="46">
        <v>5500</v>
      </c>
      <c r="W134" s="77">
        <f t="shared" si="4"/>
        <v>590</v>
      </c>
      <c r="X134" s="77">
        <f t="shared" si="5"/>
        <v>100</v>
      </c>
      <c r="Y134" s="77">
        <f t="shared" si="6"/>
        <v>6</v>
      </c>
      <c r="Z134" s="78">
        <f t="shared" si="7"/>
        <v>4</v>
      </c>
      <c r="AA134" s="2"/>
      <c r="AB134" s="2"/>
      <c r="AC134" s="2"/>
      <c r="AD134" s="46">
        <v>5500</v>
      </c>
      <c r="AE134" s="77">
        <v>5</v>
      </c>
      <c r="AF134" s="78">
        <v>3</v>
      </c>
      <c r="AG134" s="78">
        <v>1</v>
      </c>
      <c r="AH134" s="2"/>
      <c r="AI134" s="2"/>
      <c r="AJ134" s="80">
        <f t="shared" si="8"/>
        <v>36</v>
      </c>
    </row>
    <row r="135" spans="1:36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46">
        <v>3896</v>
      </c>
      <c r="O135" s="77">
        <f t="shared" si="0"/>
        <v>881</v>
      </c>
      <c r="P135" s="77">
        <f t="shared" si="1"/>
        <v>40</v>
      </c>
      <c r="Q135" s="77">
        <f t="shared" si="2"/>
        <v>5</v>
      </c>
      <c r="R135" s="78">
        <f t="shared" si="3"/>
        <v>3</v>
      </c>
      <c r="S135" s="2"/>
      <c r="T135" s="2"/>
      <c r="U135" s="2"/>
      <c r="V135" s="46">
        <v>5550</v>
      </c>
      <c r="W135" s="77">
        <f t="shared" si="4"/>
        <v>640</v>
      </c>
      <c r="X135" s="77">
        <f t="shared" si="5"/>
        <v>100</v>
      </c>
      <c r="Y135" s="77">
        <f t="shared" si="6"/>
        <v>6</v>
      </c>
      <c r="Z135" s="78">
        <f t="shared" si="7"/>
        <v>4</v>
      </c>
      <c r="AA135" s="2"/>
      <c r="AB135" s="2"/>
      <c r="AC135" s="2"/>
      <c r="AD135" s="46">
        <v>5550</v>
      </c>
      <c r="AE135" s="77">
        <v>5</v>
      </c>
      <c r="AF135" s="78">
        <v>3</v>
      </c>
      <c r="AG135" s="78">
        <v>1</v>
      </c>
      <c r="AH135" s="2"/>
      <c r="AI135" s="2"/>
      <c r="AJ135" s="80">
        <f t="shared" si="8"/>
        <v>36</v>
      </c>
    </row>
    <row r="136" spans="1:36" ht="15.75" customHeight="1">
      <c r="A136" s="2"/>
      <c r="B136" s="2"/>
      <c r="C136" s="2"/>
      <c r="D136" s="2"/>
      <c r="E136" s="2" t="s">
        <v>275</v>
      </c>
      <c r="F136" s="2"/>
      <c r="G136" s="1118" t="s">
        <v>82</v>
      </c>
      <c r="H136" s="139">
        <v>12</v>
      </c>
      <c r="I136" s="140">
        <v>4.5999999999999996</v>
      </c>
      <c r="J136" s="2"/>
      <c r="K136" s="2"/>
      <c r="L136" s="2"/>
      <c r="M136" s="2"/>
      <c r="N136" s="46">
        <v>3930</v>
      </c>
      <c r="O136" s="77">
        <f t="shared" si="0"/>
        <v>0</v>
      </c>
      <c r="P136" s="77">
        <f t="shared" si="1"/>
        <v>5</v>
      </c>
      <c r="Q136" s="77">
        <f t="shared" si="2"/>
        <v>5</v>
      </c>
      <c r="R136" s="78">
        <f t="shared" si="3"/>
        <v>4</v>
      </c>
      <c r="S136" s="2"/>
      <c r="T136" s="2"/>
      <c r="U136" s="2"/>
      <c r="V136" s="46">
        <v>5600</v>
      </c>
      <c r="W136" s="77">
        <f t="shared" si="4"/>
        <v>690</v>
      </c>
      <c r="X136" s="77">
        <f t="shared" si="5"/>
        <v>100</v>
      </c>
      <c r="Y136" s="77">
        <f t="shared" si="6"/>
        <v>6</v>
      </c>
      <c r="Z136" s="78">
        <f t="shared" si="7"/>
        <v>4</v>
      </c>
      <c r="AA136" s="2"/>
      <c r="AB136" s="2"/>
      <c r="AC136" s="2"/>
      <c r="AD136" s="46">
        <v>5600</v>
      </c>
      <c r="AE136" s="77">
        <v>5</v>
      </c>
      <c r="AF136" s="78">
        <v>3</v>
      </c>
      <c r="AG136" s="78">
        <v>1</v>
      </c>
      <c r="AH136" s="2"/>
      <c r="AI136" s="2"/>
      <c r="AJ136" s="80">
        <f t="shared" si="8"/>
        <v>36</v>
      </c>
    </row>
    <row r="137" spans="1:36" ht="15.75" customHeight="1">
      <c r="A137" s="2"/>
      <c r="B137" s="2"/>
      <c r="C137" s="2"/>
      <c r="D137" s="2"/>
      <c r="E137" s="2" t="s">
        <v>276</v>
      </c>
      <c r="F137" s="2"/>
      <c r="G137" s="1119"/>
      <c r="H137" s="141">
        <v>13</v>
      </c>
      <c r="I137" s="142">
        <v>3.94</v>
      </c>
      <c r="J137" s="2"/>
      <c r="K137" s="2"/>
      <c r="L137" s="2"/>
      <c r="M137" s="2"/>
      <c r="N137" s="46">
        <v>3963</v>
      </c>
      <c r="O137" s="77">
        <f t="shared" si="0"/>
        <v>0</v>
      </c>
      <c r="P137" s="77">
        <f t="shared" si="1"/>
        <v>38</v>
      </c>
      <c r="Q137" s="77">
        <f t="shared" si="2"/>
        <v>5</v>
      </c>
      <c r="R137" s="78">
        <f t="shared" si="3"/>
        <v>4</v>
      </c>
      <c r="S137" s="2"/>
      <c r="T137" s="2"/>
      <c r="U137" s="2"/>
      <c r="V137" s="46">
        <v>5650</v>
      </c>
      <c r="W137" s="77">
        <f t="shared" si="4"/>
        <v>740</v>
      </c>
      <c r="X137" s="77">
        <f t="shared" si="5"/>
        <v>100</v>
      </c>
      <c r="Y137" s="77">
        <f t="shared" si="6"/>
        <v>6</v>
      </c>
      <c r="Z137" s="78">
        <f t="shared" si="7"/>
        <v>4</v>
      </c>
      <c r="AA137" s="2"/>
      <c r="AB137" s="2"/>
      <c r="AC137" s="2"/>
      <c r="AD137" s="46">
        <v>5650</v>
      </c>
      <c r="AE137" s="77">
        <v>5</v>
      </c>
      <c r="AF137" s="78">
        <v>3</v>
      </c>
      <c r="AG137" s="78">
        <v>1</v>
      </c>
      <c r="AH137" s="2"/>
      <c r="AI137" s="2"/>
      <c r="AJ137" s="80">
        <f t="shared" si="8"/>
        <v>36</v>
      </c>
    </row>
    <row r="138" spans="1:36" ht="15.75" customHeight="1">
      <c r="A138" s="2"/>
      <c r="B138" s="2"/>
      <c r="C138" s="2"/>
      <c r="D138" s="2"/>
      <c r="E138" s="2"/>
      <c r="F138" s="2"/>
      <c r="G138" s="1119"/>
      <c r="H138" s="141">
        <v>14</v>
      </c>
      <c r="I138" s="142">
        <v>3.28</v>
      </c>
      <c r="J138" s="2"/>
      <c r="K138" s="2"/>
      <c r="L138" s="2"/>
      <c r="M138" s="2"/>
      <c r="N138" s="46">
        <v>3996</v>
      </c>
      <c r="O138" s="77">
        <f t="shared" si="0"/>
        <v>0</v>
      </c>
      <c r="P138" s="77">
        <f t="shared" si="1"/>
        <v>71</v>
      </c>
      <c r="Q138" s="77">
        <f t="shared" si="2"/>
        <v>5</v>
      </c>
      <c r="R138" s="78">
        <f t="shared" si="3"/>
        <v>4</v>
      </c>
      <c r="S138" s="2"/>
      <c r="T138" s="2"/>
      <c r="U138" s="2"/>
      <c r="V138" s="46">
        <v>5700</v>
      </c>
      <c r="W138" s="77">
        <f t="shared" si="4"/>
        <v>790</v>
      </c>
      <c r="X138" s="77">
        <f t="shared" si="5"/>
        <v>100</v>
      </c>
      <c r="Y138" s="77">
        <f t="shared" si="6"/>
        <v>6</v>
      </c>
      <c r="Z138" s="78">
        <f t="shared" si="7"/>
        <v>4</v>
      </c>
      <c r="AA138" s="2"/>
      <c r="AB138" s="2"/>
      <c r="AC138" s="2"/>
      <c r="AD138" s="46">
        <v>5700</v>
      </c>
      <c r="AE138" s="77">
        <v>5</v>
      </c>
      <c r="AF138" s="78">
        <v>4</v>
      </c>
      <c r="AG138" s="78">
        <v>0</v>
      </c>
      <c r="AH138" s="2"/>
      <c r="AI138" s="2"/>
      <c r="AJ138" s="80">
        <f t="shared" si="8"/>
        <v>36</v>
      </c>
    </row>
    <row r="139" spans="1:36" ht="15.75" customHeight="1">
      <c r="A139" s="2"/>
      <c r="B139" s="2"/>
      <c r="C139" s="2"/>
      <c r="D139" s="2"/>
      <c r="E139" s="2"/>
      <c r="F139" s="2"/>
      <c r="G139" s="1120"/>
      <c r="H139" s="141">
        <v>15</v>
      </c>
      <c r="I139" s="142">
        <v>2.95</v>
      </c>
      <c r="J139" s="2"/>
      <c r="K139" s="2"/>
      <c r="L139" s="2"/>
      <c r="M139" s="2"/>
      <c r="N139" s="46">
        <v>4029</v>
      </c>
      <c r="O139" s="77">
        <f t="shared" si="0"/>
        <v>0</v>
      </c>
      <c r="P139" s="77">
        <f t="shared" si="1"/>
        <v>104</v>
      </c>
      <c r="Q139" s="77">
        <f t="shared" si="2"/>
        <v>5</v>
      </c>
      <c r="R139" s="78">
        <f t="shared" si="3"/>
        <v>4</v>
      </c>
      <c r="S139" s="2"/>
      <c r="T139" s="2"/>
      <c r="U139" s="2"/>
      <c r="V139" s="46">
        <v>5750</v>
      </c>
      <c r="W139" s="77">
        <f t="shared" si="4"/>
        <v>840</v>
      </c>
      <c r="X139" s="77">
        <f t="shared" si="5"/>
        <v>100</v>
      </c>
      <c r="Y139" s="77">
        <f t="shared" si="6"/>
        <v>6</v>
      </c>
      <c r="Z139" s="78">
        <f t="shared" si="7"/>
        <v>4</v>
      </c>
      <c r="AA139" s="2"/>
      <c r="AB139" s="2"/>
      <c r="AC139" s="2"/>
      <c r="AD139" s="46">
        <v>5750</v>
      </c>
      <c r="AE139" s="77">
        <v>5</v>
      </c>
      <c r="AF139" s="78">
        <v>4</v>
      </c>
      <c r="AG139" s="78">
        <v>0</v>
      </c>
      <c r="AH139" s="2"/>
      <c r="AI139" s="2"/>
      <c r="AJ139" s="80">
        <f t="shared" si="8"/>
        <v>36</v>
      </c>
    </row>
    <row r="140" spans="1:36" ht="15.75" customHeight="1">
      <c r="A140" s="2"/>
      <c r="B140" s="2"/>
      <c r="C140" s="2"/>
      <c r="D140" s="2"/>
      <c r="E140" s="2"/>
      <c r="F140" s="2"/>
      <c r="G140" s="1121" t="s">
        <v>85</v>
      </c>
      <c r="H140" s="143">
        <v>12</v>
      </c>
      <c r="I140" s="144">
        <v>4.91</v>
      </c>
      <c r="J140" s="2"/>
      <c r="K140" s="2"/>
      <c r="L140" s="2"/>
      <c r="M140" s="2"/>
      <c r="N140" s="46">
        <v>4063</v>
      </c>
      <c r="O140" s="77">
        <f t="shared" si="0"/>
        <v>0</v>
      </c>
      <c r="P140" s="77">
        <f t="shared" si="1"/>
        <v>138</v>
      </c>
      <c r="Q140" s="77">
        <f t="shared" si="2"/>
        <v>5</v>
      </c>
      <c r="R140" s="78">
        <f t="shared" si="3"/>
        <v>4</v>
      </c>
      <c r="S140" s="2"/>
      <c r="T140" s="2"/>
      <c r="U140" s="2"/>
      <c r="V140" s="46">
        <v>5800</v>
      </c>
      <c r="W140" s="77">
        <f t="shared" si="4"/>
        <v>890</v>
      </c>
      <c r="X140" s="77">
        <f t="shared" si="5"/>
        <v>100</v>
      </c>
      <c r="Y140" s="77">
        <f t="shared" si="6"/>
        <v>6</v>
      </c>
      <c r="Z140" s="78">
        <f t="shared" si="7"/>
        <v>4</v>
      </c>
      <c r="AA140" s="2"/>
      <c r="AB140" s="2"/>
      <c r="AC140" s="2"/>
      <c r="AD140" s="46">
        <v>5800</v>
      </c>
      <c r="AE140" s="77">
        <v>5</v>
      </c>
      <c r="AF140" s="78">
        <v>4</v>
      </c>
      <c r="AG140" s="78">
        <v>0</v>
      </c>
      <c r="AH140" s="2"/>
      <c r="AI140" s="2"/>
      <c r="AJ140" s="80">
        <f t="shared" si="8"/>
        <v>36</v>
      </c>
    </row>
    <row r="141" spans="1:36" ht="15.75" customHeight="1">
      <c r="A141" s="2"/>
      <c r="B141" s="2"/>
      <c r="C141" s="2"/>
      <c r="D141" s="2"/>
      <c r="E141" s="2"/>
      <c r="F141" s="2"/>
      <c r="G141" s="1119"/>
      <c r="H141" s="143">
        <v>13</v>
      </c>
      <c r="I141" s="144">
        <v>4.4000000000000004</v>
      </c>
      <c r="J141" s="2"/>
      <c r="K141" s="2"/>
      <c r="L141" s="2"/>
      <c r="M141" s="2"/>
      <c r="N141" s="46">
        <v>4096</v>
      </c>
      <c r="O141" s="77">
        <f t="shared" si="0"/>
        <v>0</v>
      </c>
      <c r="P141" s="77">
        <f t="shared" si="1"/>
        <v>171</v>
      </c>
      <c r="Q141" s="77">
        <f t="shared" si="2"/>
        <v>5</v>
      </c>
      <c r="R141" s="78">
        <f t="shared" si="3"/>
        <v>4</v>
      </c>
      <c r="S141" s="2"/>
      <c r="T141" s="2"/>
      <c r="U141" s="2"/>
      <c r="V141" s="46">
        <v>5850</v>
      </c>
      <c r="W141" s="77">
        <f t="shared" si="4"/>
        <v>940</v>
      </c>
      <c r="X141" s="77">
        <f t="shared" si="5"/>
        <v>100</v>
      </c>
      <c r="Y141" s="77">
        <f t="shared" si="6"/>
        <v>6</v>
      </c>
      <c r="Z141" s="78">
        <f t="shared" si="7"/>
        <v>4</v>
      </c>
      <c r="AA141" s="2"/>
      <c r="AB141" s="2"/>
      <c r="AC141" s="2"/>
      <c r="AD141" s="46">
        <v>5850</v>
      </c>
      <c r="AE141" s="77">
        <v>5</v>
      </c>
      <c r="AF141" s="78">
        <v>4</v>
      </c>
      <c r="AG141" s="78">
        <v>0</v>
      </c>
      <c r="AH141" s="2"/>
      <c r="AI141" s="2"/>
      <c r="AJ141" s="80">
        <f t="shared" si="8"/>
        <v>36</v>
      </c>
    </row>
    <row r="142" spans="1:36" ht="15.75" customHeight="1">
      <c r="A142" s="2"/>
      <c r="B142" s="2"/>
      <c r="C142" s="2"/>
      <c r="D142" s="2"/>
      <c r="E142" s="2"/>
      <c r="F142" s="2"/>
      <c r="G142" s="1119"/>
      <c r="H142" s="143">
        <v>14</v>
      </c>
      <c r="I142" s="144">
        <v>3.66</v>
      </c>
      <c r="J142" s="2"/>
      <c r="K142" s="2"/>
      <c r="L142" s="2"/>
      <c r="M142" s="2"/>
      <c r="N142" s="46">
        <v>4129</v>
      </c>
      <c r="O142" s="77">
        <f t="shared" si="0"/>
        <v>0</v>
      </c>
      <c r="P142" s="77">
        <f t="shared" si="1"/>
        <v>204</v>
      </c>
      <c r="Q142" s="77">
        <f t="shared" si="2"/>
        <v>5</v>
      </c>
      <c r="R142" s="78">
        <f t="shared" si="3"/>
        <v>4</v>
      </c>
      <c r="S142" s="2"/>
      <c r="T142" s="2"/>
      <c r="U142" s="2"/>
      <c r="V142" s="46">
        <v>5900</v>
      </c>
      <c r="W142" s="77">
        <f t="shared" si="4"/>
        <v>990</v>
      </c>
      <c r="X142" s="77">
        <f t="shared" si="5"/>
        <v>100</v>
      </c>
      <c r="Y142" s="77">
        <f t="shared" si="6"/>
        <v>6</v>
      </c>
      <c r="Z142" s="78">
        <f t="shared" si="7"/>
        <v>4</v>
      </c>
      <c r="AA142" s="2"/>
      <c r="AB142" s="2"/>
      <c r="AC142" s="2"/>
      <c r="AD142" s="46">
        <v>5900</v>
      </c>
      <c r="AE142" s="77">
        <v>5</v>
      </c>
      <c r="AF142" s="78">
        <v>4</v>
      </c>
      <c r="AG142" s="78">
        <v>0</v>
      </c>
      <c r="AH142" s="2"/>
      <c r="AI142" s="2"/>
      <c r="AJ142" s="80">
        <f t="shared" si="8"/>
        <v>36</v>
      </c>
    </row>
    <row r="143" spans="1:36" ht="15.75" customHeight="1">
      <c r="A143" s="2"/>
      <c r="B143" s="2"/>
      <c r="C143" s="2"/>
      <c r="D143" s="2"/>
      <c r="E143" s="2"/>
      <c r="F143" s="2"/>
      <c r="G143" s="1120"/>
      <c r="H143" s="143">
        <v>15</v>
      </c>
      <c r="I143" s="144">
        <v>3.16</v>
      </c>
      <c r="J143" s="2"/>
      <c r="K143" s="2"/>
      <c r="L143" s="2"/>
      <c r="M143" s="2"/>
      <c r="N143" s="46">
        <v>4163</v>
      </c>
      <c r="O143" s="77">
        <f t="shared" si="0"/>
        <v>0</v>
      </c>
      <c r="P143" s="77">
        <f t="shared" si="1"/>
        <v>238</v>
      </c>
      <c r="Q143" s="77">
        <f t="shared" si="2"/>
        <v>5</v>
      </c>
      <c r="R143" s="78">
        <f t="shared" si="3"/>
        <v>4</v>
      </c>
      <c r="S143" s="2"/>
      <c r="T143" s="2"/>
      <c r="U143" s="2"/>
      <c r="V143" s="46">
        <v>5950</v>
      </c>
      <c r="W143" s="77">
        <f t="shared" si="4"/>
        <v>1040</v>
      </c>
      <c r="X143" s="77">
        <f t="shared" si="5"/>
        <v>100</v>
      </c>
      <c r="Y143" s="77">
        <f t="shared" si="6"/>
        <v>6</v>
      </c>
      <c r="Z143" s="78">
        <f t="shared" si="7"/>
        <v>4</v>
      </c>
      <c r="AA143" s="2"/>
      <c r="AB143" s="2"/>
      <c r="AC143" s="2"/>
      <c r="AD143" s="46">
        <v>5950</v>
      </c>
      <c r="AE143" s="77">
        <v>5</v>
      </c>
      <c r="AF143" s="78">
        <v>4</v>
      </c>
      <c r="AG143" s="78">
        <v>0</v>
      </c>
      <c r="AH143" s="2"/>
      <c r="AI143" s="2"/>
      <c r="AJ143" s="80">
        <f t="shared" si="8"/>
        <v>36</v>
      </c>
    </row>
    <row r="144" spans="1:36" ht="15.75" customHeight="1">
      <c r="A144" s="2"/>
      <c r="B144" s="2"/>
      <c r="C144" s="2"/>
      <c r="D144" s="2"/>
      <c r="E144" s="2"/>
      <c r="F144" s="2"/>
      <c r="G144" s="1122" t="s">
        <v>89</v>
      </c>
      <c r="H144" s="141">
        <v>12</v>
      </c>
      <c r="I144" s="142">
        <v>5.46</v>
      </c>
      <c r="J144" s="2"/>
      <c r="K144" s="2"/>
      <c r="L144" s="2"/>
      <c r="M144" s="2"/>
      <c r="N144" s="46">
        <v>4196</v>
      </c>
      <c r="O144" s="77">
        <f t="shared" si="0"/>
        <v>0</v>
      </c>
      <c r="P144" s="77">
        <f t="shared" si="1"/>
        <v>271</v>
      </c>
      <c r="Q144" s="77">
        <f t="shared" si="2"/>
        <v>5</v>
      </c>
      <c r="R144" s="78">
        <f t="shared" si="3"/>
        <v>4</v>
      </c>
      <c r="S144" s="2"/>
      <c r="T144" s="2"/>
      <c r="U144" s="2"/>
      <c r="V144" s="46">
        <v>6000</v>
      </c>
      <c r="W144" s="77">
        <f t="shared" si="4"/>
        <v>0</v>
      </c>
      <c r="X144" s="77">
        <f t="shared" si="5"/>
        <v>30</v>
      </c>
      <c r="Y144" s="77">
        <f t="shared" si="6"/>
        <v>6</v>
      </c>
      <c r="Z144" s="78">
        <f t="shared" si="7"/>
        <v>5</v>
      </c>
      <c r="AA144" s="2"/>
      <c r="AB144" s="2"/>
      <c r="AC144" s="2"/>
      <c r="AD144" s="46">
        <v>6000</v>
      </c>
      <c r="AE144" s="77">
        <v>5</v>
      </c>
      <c r="AF144" s="78">
        <v>4</v>
      </c>
      <c r="AG144" s="78">
        <v>0</v>
      </c>
      <c r="AH144" s="2"/>
      <c r="AI144" s="2"/>
      <c r="AJ144" s="80">
        <f t="shared" si="8"/>
        <v>36</v>
      </c>
    </row>
    <row r="145" spans="1:36" ht="15.75" customHeight="1">
      <c r="A145" s="2"/>
      <c r="B145" s="2"/>
      <c r="C145" s="2"/>
      <c r="D145" s="2"/>
      <c r="E145" s="2"/>
      <c r="F145" s="2"/>
      <c r="G145" s="1119"/>
      <c r="H145" s="141">
        <v>13</v>
      </c>
      <c r="I145" s="142">
        <v>4.7</v>
      </c>
      <c r="J145" s="2"/>
      <c r="K145" s="2"/>
      <c r="L145" s="2"/>
      <c r="M145" s="2"/>
      <c r="N145" s="46">
        <v>4229</v>
      </c>
      <c r="O145" s="77">
        <f t="shared" si="0"/>
        <v>0</v>
      </c>
      <c r="P145" s="77">
        <f t="shared" si="1"/>
        <v>304</v>
      </c>
      <c r="Q145" s="77">
        <f t="shared" si="2"/>
        <v>5</v>
      </c>
      <c r="R145" s="78">
        <f t="shared" si="3"/>
        <v>4</v>
      </c>
      <c r="S145" s="2"/>
      <c r="T145" s="2"/>
      <c r="U145" s="2"/>
      <c r="V145" s="46">
        <v>6050</v>
      </c>
      <c r="W145" s="77">
        <f t="shared" si="4"/>
        <v>0</v>
      </c>
      <c r="X145" s="77">
        <f t="shared" si="5"/>
        <v>80</v>
      </c>
      <c r="Y145" s="77">
        <f t="shared" si="6"/>
        <v>6</v>
      </c>
      <c r="Z145" s="78">
        <f t="shared" si="7"/>
        <v>5</v>
      </c>
      <c r="AA145" s="2"/>
      <c r="AB145" s="2"/>
      <c r="AC145" s="2"/>
      <c r="AD145" s="46">
        <v>6050</v>
      </c>
      <c r="AE145" s="77">
        <v>5</v>
      </c>
      <c r="AF145" s="78">
        <v>4</v>
      </c>
      <c r="AG145" s="78">
        <v>0</v>
      </c>
      <c r="AH145" s="2"/>
      <c r="AI145" s="2"/>
      <c r="AJ145" s="80">
        <f t="shared" si="8"/>
        <v>36</v>
      </c>
    </row>
    <row r="146" spans="1:36" ht="15.75" customHeight="1">
      <c r="A146" s="2"/>
      <c r="B146" s="2"/>
      <c r="C146" s="2"/>
      <c r="D146" s="2"/>
      <c r="E146" s="2"/>
      <c r="F146" s="2"/>
      <c r="G146" s="1119"/>
      <c r="H146" s="141">
        <v>14</v>
      </c>
      <c r="I146" s="142">
        <v>4.05</v>
      </c>
      <c r="J146" s="2"/>
      <c r="K146" s="2"/>
      <c r="L146" s="2"/>
      <c r="M146" s="2"/>
      <c r="N146" s="46">
        <v>4263</v>
      </c>
      <c r="O146" s="77">
        <f t="shared" si="0"/>
        <v>298</v>
      </c>
      <c r="P146" s="77">
        <f t="shared" si="1"/>
        <v>40</v>
      </c>
      <c r="Q146" s="77">
        <f t="shared" si="2"/>
        <v>6</v>
      </c>
      <c r="R146" s="78">
        <f t="shared" si="3"/>
        <v>4</v>
      </c>
      <c r="S146" s="2"/>
      <c r="T146" s="2"/>
      <c r="U146" s="2"/>
      <c r="V146" s="46">
        <v>6100</v>
      </c>
      <c r="W146" s="77">
        <f t="shared" si="4"/>
        <v>0</v>
      </c>
      <c r="X146" s="77">
        <f t="shared" si="5"/>
        <v>130</v>
      </c>
      <c r="Y146" s="77">
        <f t="shared" si="6"/>
        <v>6</v>
      </c>
      <c r="Z146" s="78">
        <f t="shared" si="7"/>
        <v>5</v>
      </c>
      <c r="AA146" s="2"/>
      <c r="AB146" s="2"/>
      <c r="AC146" s="2"/>
      <c r="AD146" s="46">
        <v>6100</v>
      </c>
      <c r="AE146" s="77">
        <v>5</v>
      </c>
      <c r="AF146" s="78">
        <v>4</v>
      </c>
      <c r="AG146" s="78">
        <v>0</v>
      </c>
      <c r="AH146" s="2"/>
      <c r="AI146" s="2"/>
      <c r="AJ146" s="80">
        <f t="shared" si="8"/>
        <v>36</v>
      </c>
    </row>
    <row r="147" spans="1:36" ht="15.75" customHeight="1">
      <c r="A147" s="2"/>
      <c r="B147" s="2"/>
      <c r="C147" s="2"/>
      <c r="D147" s="2"/>
      <c r="E147" s="2"/>
      <c r="F147" s="2"/>
      <c r="G147" s="1120"/>
      <c r="H147" s="141">
        <v>15</v>
      </c>
      <c r="I147" s="142">
        <v>3.65</v>
      </c>
      <c r="J147" s="2"/>
      <c r="K147" s="2"/>
      <c r="L147" s="2"/>
      <c r="M147" s="2"/>
      <c r="N147" s="46">
        <v>4296</v>
      </c>
      <c r="O147" s="77">
        <f t="shared" si="0"/>
        <v>331</v>
      </c>
      <c r="P147" s="77">
        <f t="shared" si="1"/>
        <v>40</v>
      </c>
      <c r="Q147" s="77">
        <f t="shared" si="2"/>
        <v>6</v>
      </c>
      <c r="R147" s="78">
        <f t="shared" si="3"/>
        <v>4</v>
      </c>
      <c r="S147" s="2"/>
      <c r="T147" s="2"/>
      <c r="U147" s="2"/>
      <c r="V147" s="46">
        <v>6150</v>
      </c>
      <c r="W147" s="77">
        <f t="shared" si="4"/>
        <v>0</v>
      </c>
      <c r="X147" s="77">
        <f t="shared" si="5"/>
        <v>180</v>
      </c>
      <c r="Y147" s="77">
        <f t="shared" si="6"/>
        <v>6</v>
      </c>
      <c r="Z147" s="78">
        <f t="shared" si="7"/>
        <v>5</v>
      </c>
      <c r="AA147" s="2"/>
      <c r="AB147" s="2"/>
      <c r="AC147" s="2"/>
      <c r="AD147" s="46">
        <v>6150</v>
      </c>
      <c r="AE147" s="77">
        <v>5</v>
      </c>
      <c r="AF147" s="78">
        <v>4</v>
      </c>
      <c r="AG147" s="78">
        <v>0</v>
      </c>
      <c r="AH147" s="2"/>
      <c r="AI147" s="2"/>
      <c r="AJ147" s="80">
        <f t="shared" si="8"/>
        <v>36</v>
      </c>
    </row>
    <row r="148" spans="1:36" ht="15.75" customHeight="1">
      <c r="A148" s="2"/>
      <c r="B148" s="2">
        <f>+IF($C$7="ZMA1",1,0)</f>
        <v>0</v>
      </c>
      <c r="C148" s="2"/>
      <c r="D148" s="2"/>
      <c r="E148" s="2"/>
      <c r="F148" s="2"/>
      <c r="G148" s="1121" t="s">
        <v>93</v>
      </c>
      <c r="H148" s="143">
        <v>12</v>
      </c>
      <c r="I148" s="144">
        <v>6.58</v>
      </c>
      <c r="J148" s="2"/>
      <c r="K148" s="2"/>
      <c r="L148" s="2"/>
      <c r="M148" s="2"/>
      <c r="N148" s="46">
        <v>4329</v>
      </c>
      <c r="O148" s="77">
        <f t="shared" si="0"/>
        <v>364</v>
      </c>
      <c r="P148" s="77">
        <f t="shared" si="1"/>
        <v>40</v>
      </c>
      <c r="Q148" s="77">
        <f t="shared" si="2"/>
        <v>6</v>
      </c>
      <c r="R148" s="78">
        <f t="shared" si="3"/>
        <v>4</v>
      </c>
      <c r="S148" s="2"/>
      <c r="T148" s="2"/>
      <c r="U148" s="2"/>
      <c r="V148" s="46">
        <v>6200</v>
      </c>
      <c r="W148" s="77">
        <f t="shared" si="4"/>
        <v>0</v>
      </c>
      <c r="X148" s="77">
        <f t="shared" si="5"/>
        <v>230</v>
      </c>
      <c r="Y148" s="77">
        <f t="shared" si="6"/>
        <v>6</v>
      </c>
      <c r="Z148" s="78">
        <f t="shared" si="7"/>
        <v>5</v>
      </c>
      <c r="AA148" s="2"/>
      <c r="AB148" s="2"/>
      <c r="AC148" s="2"/>
      <c r="AD148" s="46">
        <v>6200</v>
      </c>
      <c r="AE148" s="77">
        <v>6</v>
      </c>
      <c r="AF148" s="78">
        <v>4</v>
      </c>
      <c r="AG148" s="78">
        <v>0</v>
      </c>
      <c r="AH148" s="2"/>
      <c r="AI148" s="2"/>
      <c r="AJ148" s="80">
        <f t="shared" si="8"/>
        <v>40</v>
      </c>
    </row>
    <row r="149" spans="1:36" ht="15.75" customHeight="1">
      <c r="A149" s="2"/>
      <c r="B149" s="2">
        <f>+IF($C$7="ZMA2",1,0)</f>
        <v>0</v>
      </c>
      <c r="C149" s="2"/>
      <c r="D149" s="2"/>
      <c r="E149" s="2"/>
      <c r="F149" s="2"/>
      <c r="G149" s="1119"/>
      <c r="H149" s="143">
        <v>13</v>
      </c>
      <c r="I149" s="144">
        <v>5.8</v>
      </c>
      <c r="J149" s="2"/>
      <c r="K149" s="2"/>
      <c r="L149" s="2"/>
      <c r="M149" s="2"/>
      <c r="N149" s="46">
        <v>4362</v>
      </c>
      <c r="O149" s="77">
        <f t="shared" si="0"/>
        <v>397</v>
      </c>
      <c r="P149" s="77">
        <f t="shared" si="1"/>
        <v>40</v>
      </c>
      <c r="Q149" s="77">
        <f t="shared" si="2"/>
        <v>6</v>
      </c>
      <c r="R149" s="78">
        <f t="shared" si="3"/>
        <v>4</v>
      </c>
      <c r="S149" s="2"/>
      <c r="T149" s="2"/>
      <c r="U149" s="2"/>
      <c r="V149" s="46">
        <v>6250</v>
      </c>
      <c r="W149" s="77">
        <f t="shared" si="4"/>
        <v>0</v>
      </c>
      <c r="X149" s="77">
        <f t="shared" si="5"/>
        <v>280</v>
      </c>
      <c r="Y149" s="77">
        <f t="shared" si="6"/>
        <v>6</v>
      </c>
      <c r="Z149" s="78">
        <f t="shared" si="7"/>
        <v>5</v>
      </c>
      <c r="AA149" s="2"/>
      <c r="AB149" s="2"/>
      <c r="AC149" s="2"/>
      <c r="AD149" s="46">
        <v>6250</v>
      </c>
      <c r="AE149" s="77">
        <v>6</v>
      </c>
      <c r="AF149" s="78">
        <v>4</v>
      </c>
      <c r="AG149" s="78">
        <v>0</v>
      </c>
      <c r="AH149" s="2"/>
      <c r="AI149" s="2"/>
      <c r="AJ149" s="80">
        <f t="shared" si="8"/>
        <v>40</v>
      </c>
    </row>
    <row r="150" spans="1:36" ht="15.75" customHeight="1">
      <c r="A150" s="2"/>
      <c r="B150" s="2">
        <f>+IF($C$7="ZMA3",1,0)</f>
        <v>0</v>
      </c>
      <c r="C150" s="2"/>
      <c r="D150" s="2"/>
      <c r="E150" s="2"/>
      <c r="F150" s="2"/>
      <c r="G150" s="1119"/>
      <c r="H150" s="143">
        <v>14</v>
      </c>
      <c r="I150" s="144">
        <v>4.82</v>
      </c>
      <c r="J150" s="2"/>
      <c r="K150" s="2"/>
      <c r="L150" s="2"/>
      <c r="M150" s="2"/>
      <c r="N150" s="46">
        <v>4396</v>
      </c>
      <c r="O150" s="77">
        <f t="shared" si="0"/>
        <v>431</v>
      </c>
      <c r="P150" s="77">
        <f t="shared" si="1"/>
        <v>40</v>
      </c>
      <c r="Q150" s="77">
        <f t="shared" si="2"/>
        <v>6</v>
      </c>
      <c r="R150" s="78">
        <f t="shared" si="3"/>
        <v>4</v>
      </c>
      <c r="S150" s="2"/>
      <c r="T150" s="2"/>
      <c r="U150" s="2"/>
      <c r="V150" s="46">
        <v>6300</v>
      </c>
      <c r="W150" s="77">
        <f t="shared" si="4"/>
        <v>0</v>
      </c>
      <c r="X150" s="77">
        <f t="shared" si="5"/>
        <v>330</v>
      </c>
      <c r="Y150" s="77">
        <f t="shared" si="6"/>
        <v>6</v>
      </c>
      <c r="Z150" s="78">
        <f t="shared" si="7"/>
        <v>5</v>
      </c>
      <c r="AA150" s="2"/>
      <c r="AB150" s="2"/>
      <c r="AC150" s="2"/>
      <c r="AD150" s="46">
        <v>6300</v>
      </c>
      <c r="AE150" s="77">
        <v>6</v>
      </c>
      <c r="AF150" s="78">
        <v>4</v>
      </c>
      <c r="AG150" s="78">
        <v>0</v>
      </c>
      <c r="AH150" s="2"/>
      <c r="AI150" s="2"/>
      <c r="AJ150" s="80">
        <f t="shared" si="8"/>
        <v>40</v>
      </c>
    </row>
    <row r="151" spans="1:36" ht="15.75" customHeight="1">
      <c r="A151" s="2"/>
      <c r="B151" s="2">
        <f>+IF($C$7="ZMA4",1,0)</f>
        <v>0</v>
      </c>
      <c r="C151" s="2"/>
      <c r="D151" s="2"/>
      <c r="E151" s="2"/>
      <c r="F151" s="2"/>
      <c r="G151" s="1123"/>
      <c r="H151" s="145">
        <v>15</v>
      </c>
      <c r="I151" s="146">
        <v>4.3499999999999996</v>
      </c>
      <c r="J151" s="2"/>
      <c r="K151" s="2"/>
      <c r="L151" s="2"/>
      <c r="M151" s="2"/>
      <c r="N151" s="46">
        <v>4429</v>
      </c>
      <c r="O151" s="77">
        <f t="shared" si="0"/>
        <v>464</v>
      </c>
      <c r="P151" s="77">
        <f t="shared" si="1"/>
        <v>40</v>
      </c>
      <c r="Q151" s="77">
        <f t="shared" si="2"/>
        <v>6</v>
      </c>
      <c r="R151" s="78">
        <f t="shared" si="3"/>
        <v>4</v>
      </c>
      <c r="S151" s="2"/>
      <c r="T151" s="2"/>
      <c r="U151" s="2"/>
      <c r="V151" s="46">
        <v>6350</v>
      </c>
      <c r="W151" s="77">
        <f t="shared" si="4"/>
        <v>0</v>
      </c>
      <c r="X151" s="77">
        <f t="shared" si="5"/>
        <v>380</v>
      </c>
      <c r="Y151" s="77">
        <f t="shared" si="6"/>
        <v>6</v>
      </c>
      <c r="Z151" s="78">
        <f t="shared" si="7"/>
        <v>5</v>
      </c>
      <c r="AA151" s="2"/>
      <c r="AB151" s="2"/>
      <c r="AC151" s="2"/>
      <c r="AD151" s="46">
        <v>6350</v>
      </c>
      <c r="AE151" s="77">
        <v>6</v>
      </c>
      <c r="AF151" s="78">
        <v>4</v>
      </c>
      <c r="AG151" s="78">
        <v>0</v>
      </c>
      <c r="AH151" s="2"/>
      <c r="AI151" s="2"/>
      <c r="AJ151" s="80">
        <f t="shared" si="8"/>
        <v>40</v>
      </c>
    </row>
    <row r="152" spans="1:36" ht="15.75" customHeight="1">
      <c r="A152" s="2"/>
      <c r="B152" s="2"/>
      <c r="C152" s="2"/>
      <c r="D152" s="2"/>
      <c r="E152" s="2">
        <f>+SUM(B148:B151)</f>
        <v>0</v>
      </c>
      <c r="F152" s="2"/>
      <c r="G152" s="2"/>
      <c r="H152" s="2"/>
      <c r="I152" s="2"/>
      <c r="J152" s="2"/>
      <c r="K152" s="2"/>
      <c r="L152" s="2"/>
      <c r="M152" s="2"/>
      <c r="N152" s="46">
        <v>4462</v>
      </c>
      <c r="O152" s="77">
        <f t="shared" si="0"/>
        <v>497</v>
      </c>
      <c r="P152" s="77">
        <f t="shared" si="1"/>
        <v>40</v>
      </c>
      <c r="Q152" s="77">
        <f t="shared" si="2"/>
        <v>6</v>
      </c>
      <c r="R152" s="78">
        <f t="shared" si="3"/>
        <v>4</v>
      </c>
      <c r="S152" s="2"/>
      <c r="T152" s="2"/>
      <c r="U152" s="2"/>
      <c r="V152" s="46">
        <v>6400</v>
      </c>
      <c r="W152" s="77">
        <f t="shared" si="4"/>
        <v>0</v>
      </c>
      <c r="X152" s="77">
        <f t="shared" si="5"/>
        <v>430</v>
      </c>
      <c r="Y152" s="77">
        <f t="shared" si="6"/>
        <v>6</v>
      </c>
      <c r="Z152" s="78">
        <f t="shared" si="7"/>
        <v>5</v>
      </c>
      <c r="AA152" s="2"/>
      <c r="AB152" s="2"/>
      <c r="AC152" s="2"/>
      <c r="AD152" s="46">
        <v>6400</v>
      </c>
      <c r="AE152" s="77">
        <v>6</v>
      </c>
      <c r="AF152" s="78">
        <v>4</v>
      </c>
      <c r="AG152" s="78">
        <v>0</v>
      </c>
      <c r="AH152" s="2"/>
      <c r="AI152" s="2"/>
      <c r="AJ152" s="80">
        <f t="shared" si="8"/>
        <v>40</v>
      </c>
    </row>
    <row r="153" spans="1:36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46">
        <v>4496</v>
      </c>
      <c r="O153" s="77">
        <f t="shared" si="0"/>
        <v>531</v>
      </c>
      <c r="P153" s="77">
        <f t="shared" si="1"/>
        <v>40</v>
      </c>
      <c r="Q153" s="77">
        <f t="shared" si="2"/>
        <v>6</v>
      </c>
      <c r="R153" s="78">
        <f t="shared" si="3"/>
        <v>4</v>
      </c>
      <c r="S153" s="2"/>
      <c r="T153" s="2"/>
      <c r="U153" s="2"/>
      <c r="V153" s="46">
        <v>6450</v>
      </c>
      <c r="W153" s="77">
        <f t="shared" si="4"/>
        <v>0</v>
      </c>
      <c r="X153" s="77">
        <f t="shared" si="5"/>
        <v>480</v>
      </c>
      <c r="Y153" s="77">
        <f t="shared" si="6"/>
        <v>6</v>
      </c>
      <c r="Z153" s="78">
        <f t="shared" si="7"/>
        <v>5</v>
      </c>
      <c r="AA153" s="2"/>
      <c r="AB153" s="2"/>
      <c r="AC153" s="2"/>
      <c r="AD153" s="46">
        <v>6450</v>
      </c>
      <c r="AE153" s="77">
        <v>6</v>
      </c>
      <c r="AF153" s="78">
        <v>4</v>
      </c>
      <c r="AG153" s="78">
        <v>0</v>
      </c>
      <c r="AH153" s="2"/>
      <c r="AI153" s="2"/>
      <c r="AJ153" s="80">
        <f t="shared" si="8"/>
        <v>40</v>
      </c>
    </row>
    <row r="154" spans="1:36" ht="15.75" customHeight="1">
      <c r="A154" s="2"/>
      <c r="B154" s="2"/>
      <c r="C154" s="2"/>
      <c r="D154" s="2"/>
      <c r="E154" s="1109" t="s">
        <v>277</v>
      </c>
      <c r="F154" s="1110"/>
      <c r="G154" s="1110"/>
      <c r="H154" s="1110"/>
      <c r="I154" s="1110"/>
      <c r="J154" s="1110"/>
      <c r="K154" s="1110"/>
      <c r="L154" s="2"/>
      <c r="M154" s="2"/>
      <c r="N154" s="46">
        <v>4529</v>
      </c>
      <c r="O154" s="77">
        <f t="shared" si="0"/>
        <v>564</v>
      </c>
      <c r="P154" s="77">
        <f t="shared" si="1"/>
        <v>40</v>
      </c>
      <c r="Q154" s="77">
        <f t="shared" si="2"/>
        <v>6</v>
      </c>
      <c r="R154" s="78">
        <f t="shared" si="3"/>
        <v>4</v>
      </c>
      <c r="S154" s="2"/>
      <c r="T154" s="2"/>
      <c r="U154" s="2"/>
      <c r="V154" s="46">
        <v>6500</v>
      </c>
      <c r="W154" s="77">
        <f t="shared" si="4"/>
        <v>430</v>
      </c>
      <c r="X154" s="77">
        <f t="shared" si="5"/>
        <v>100</v>
      </c>
      <c r="Y154" s="77">
        <f t="shared" si="6"/>
        <v>7</v>
      </c>
      <c r="Z154" s="78">
        <f t="shared" si="7"/>
        <v>5</v>
      </c>
      <c r="AA154" s="2"/>
      <c r="AB154" s="2"/>
      <c r="AC154" s="2"/>
      <c r="AD154" s="46">
        <v>6500</v>
      </c>
      <c r="AE154" s="77">
        <v>6</v>
      </c>
      <c r="AF154" s="78">
        <v>4</v>
      </c>
      <c r="AG154" s="78">
        <v>0</v>
      </c>
      <c r="AH154" s="2"/>
      <c r="AI154" s="2"/>
      <c r="AJ154" s="80">
        <f t="shared" si="8"/>
        <v>40</v>
      </c>
    </row>
    <row r="155" spans="1:36" ht="15.75" customHeight="1">
      <c r="A155" s="2"/>
      <c r="B155" s="2"/>
      <c r="C155" s="2"/>
      <c r="D155" s="2"/>
      <c r="E155" s="63" t="s">
        <v>185</v>
      </c>
      <c r="F155" s="64"/>
      <c r="G155" s="64"/>
      <c r="H155" s="64"/>
      <c r="I155" s="64"/>
      <c r="J155" s="64"/>
      <c r="K155" s="64"/>
      <c r="L155" s="65"/>
      <c r="M155" s="2"/>
      <c r="N155" s="46">
        <v>4562</v>
      </c>
      <c r="O155" s="77">
        <f t="shared" si="0"/>
        <v>597</v>
      </c>
      <c r="P155" s="77">
        <f t="shared" si="1"/>
        <v>40</v>
      </c>
      <c r="Q155" s="77">
        <f t="shared" si="2"/>
        <v>6</v>
      </c>
      <c r="R155" s="78">
        <f t="shared" si="3"/>
        <v>4</v>
      </c>
      <c r="S155" s="2"/>
      <c r="T155" s="2"/>
      <c r="U155" s="2"/>
      <c r="V155" s="46">
        <v>6550</v>
      </c>
      <c r="W155" s="77">
        <f t="shared" si="4"/>
        <v>480</v>
      </c>
      <c r="X155" s="77">
        <f t="shared" si="5"/>
        <v>100</v>
      </c>
      <c r="Y155" s="77">
        <f t="shared" si="6"/>
        <v>7</v>
      </c>
      <c r="Z155" s="78">
        <f t="shared" si="7"/>
        <v>5</v>
      </c>
      <c r="AA155" s="2"/>
      <c r="AB155" s="2"/>
      <c r="AC155" s="2"/>
      <c r="AD155" s="46">
        <v>6550</v>
      </c>
      <c r="AE155" s="77">
        <v>6</v>
      </c>
      <c r="AF155" s="78">
        <v>4</v>
      </c>
      <c r="AG155" s="78">
        <v>0</v>
      </c>
      <c r="AH155" s="2"/>
      <c r="AI155" s="2"/>
      <c r="AJ155" s="80">
        <f t="shared" si="8"/>
        <v>40</v>
      </c>
    </row>
    <row r="156" spans="1:36" ht="15.75" customHeight="1">
      <c r="A156" s="2"/>
      <c r="B156" s="2"/>
      <c r="C156" s="2"/>
      <c r="D156" s="2"/>
      <c r="E156" s="68"/>
      <c r="F156" s="69" t="s">
        <v>188</v>
      </c>
      <c r="G156" s="70">
        <f>+$E$39</f>
        <v>0</v>
      </c>
      <c r="H156" s="33" t="s">
        <v>132</v>
      </c>
      <c r="I156" s="71">
        <f>2*$E$40</f>
        <v>139.4</v>
      </c>
      <c r="J156" s="71" t="s">
        <v>189</v>
      </c>
      <c r="K156" s="72">
        <f>$G$51-$I$51+2*$E$43</f>
        <v>-89.4</v>
      </c>
      <c r="L156" s="73" t="s">
        <v>140</v>
      </c>
      <c r="M156" s="2"/>
      <c r="N156" s="46">
        <v>4596</v>
      </c>
      <c r="O156" s="77">
        <f t="shared" si="0"/>
        <v>631</v>
      </c>
      <c r="P156" s="77">
        <f t="shared" si="1"/>
        <v>40</v>
      </c>
      <c r="Q156" s="77">
        <f t="shared" si="2"/>
        <v>6</v>
      </c>
      <c r="R156" s="78">
        <f t="shared" si="3"/>
        <v>4</v>
      </c>
      <c r="S156" s="2"/>
      <c r="T156" s="2"/>
      <c r="U156" s="2"/>
      <c r="V156" s="46">
        <v>6600</v>
      </c>
      <c r="W156" s="77">
        <f t="shared" si="4"/>
        <v>530</v>
      </c>
      <c r="X156" s="77">
        <f t="shared" si="5"/>
        <v>100</v>
      </c>
      <c r="Y156" s="77">
        <f t="shared" si="6"/>
        <v>7</v>
      </c>
      <c r="Z156" s="78">
        <f t="shared" si="7"/>
        <v>5</v>
      </c>
      <c r="AA156" s="2"/>
      <c r="AB156" s="2"/>
      <c r="AC156" s="2"/>
      <c r="AD156" s="46">
        <v>6600</v>
      </c>
      <c r="AE156" s="77">
        <v>6</v>
      </c>
      <c r="AF156" s="78">
        <v>4</v>
      </c>
      <c r="AG156" s="78">
        <v>0</v>
      </c>
      <c r="AH156" s="2"/>
      <c r="AI156" s="2"/>
      <c r="AJ156" s="80">
        <f t="shared" si="8"/>
        <v>40</v>
      </c>
    </row>
    <row r="157" spans="1:36" ht="15.75" customHeight="1">
      <c r="A157" s="2"/>
      <c r="B157" s="2"/>
      <c r="C157" s="2"/>
      <c r="D157" s="2"/>
      <c r="E157" s="68"/>
      <c r="F157" s="2"/>
      <c r="G157" s="2"/>
      <c r="H157" s="2"/>
      <c r="I157" s="2"/>
      <c r="J157" s="2"/>
      <c r="K157" s="2"/>
      <c r="L157" s="73"/>
      <c r="M157" s="2"/>
      <c r="N157" s="46">
        <v>4629</v>
      </c>
      <c r="O157" s="77">
        <f t="shared" si="0"/>
        <v>664</v>
      </c>
      <c r="P157" s="77">
        <f t="shared" si="1"/>
        <v>40</v>
      </c>
      <c r="Q157" s="77">
        <f t="shared" si="2"/>
        <v>6</v>
      </c>
      <c r="R157" s="78">
        <f t="shared" si="3"/>
        <v>4</v>
      </c>
      <c r="S157" s="2"/>
      <c r="T157" s="2"/>
      <c r="U157" s="2"/>
      <c r="V157" s="46">
        <v>6650</v>
      </c>
      <c r="W157" s="77">
        <f t="shared" si="4"/>
        <v>580</v>
      </c>
      <c r="X157" s="77">
        <f t="shared" si="5"/>
        <v>100</v>
      </c>
      <c r="Y157" s="77">
        <f t="shared" si="6"/>
        <v>7</v>
      </c>
      <c r="Z157" s="78">
        <f t="shared" si="7"/>
        <v>5</v>
      </c>
      <c r="AA157" s="2"/>
      <c r="AB157" s="2"/>
      <c r="AC157" s="2"/>
      <c r="AD157" s="46">
        <v>6650</v>
      </c>
      <c r="AE157" s="77">
        <v>6</v>
      </c>
      <c r="AF157" s="78">
        <v>4</v>
      </c>
      <c r="AG157" s="78">
        <v>0</v>
      </c>
      <c r="AH157" s="2"/>
      <c r="AI157" s="2"/>
      <c r="AJ157" s="80">
        <f t="shared" si="8"/>
        <v>40</v>
      </c>
    </row>
    <row r="158" spans="1:36" ht="15.75" customHeight="1">
      <c r="A158" s="2"/>
      <c r="B158" s="2"/>
      <c r="C158" s="2"/>
      <c r="D158" s="2"/>
      <c r="E158" s="85" t="s">
        <v>192</v>
      </c>
      <c r="F158" s="2"/>
      <c r="G158" s="2"/>
      <c r="H158" s="2"/>
      <c r="I158" s="2"/>
      <c r="J158" s="2"/>
      <c r="K158" s="2"/>
      <c r="L158" s="73"/>
      <c r="M158" s="2"/>
      <c r="N158" s="46">
        <v>4662</v>
      </c>
      <c r="O158" s="77">
        <f t="shared" si="0"/>
        <v>697</v>
      </c>
      <c r="P158" s="77">
        <f t="shared" si="1"/>
        <v>40</v>
      </c>
      <c r="Q158" s="77">
        <f t="shared" si="2"/>
        <v>6</v>
      </c>
      <c r="R158" s="78">
        <f t="shared" si="3"/>
        <v>4</v>
      </c>
      <c r="S158" s="2"/>
      <c r="T158" s="2"/>
      <c r="U158" s="2"/>
      <c r="V158" s="46">
        <v>6700</v>
      </c>
      <c r="W158" s="77">
        <f t="shared" si="4"/>
        <v>630</v>
      </c>
      <c r="X158" s="77">
        <f t="shared" si="5"/>
        <v>100</v>
      </c>
      <c r="Y158" s="77">
        <f t="shared" si="6"/>
        <v>7</v>
      </c>
      <c r="Z158" s="78">
        <f t="shared" si="7"/>
        <v>5</v>
      </c>
      <c r="AA158" s="2"/>
      <c r="AB158" s="2"/>
      <c r="AC158" s="2"/>
      <c r="AD158" s="46">
        <v>6700</v>
      </c>
      <c r="AE158" s="77">
        <v>6</v>
      </c>
      <c r="AF158" s="78">
        <v>4</v>
      </c>
      <c r="AG158" s="78">
        <v>0</v>
      </c>
      <c r="AH158" s="2"/>
      <c r="AI158" s="2"/>
      <c r="AJ158" s="80">
        <f t="shared" si="8"/>
        <v>40</v>
      </c>
    </row>
    <row r="159" spans="1:36" ht="15.75" customHeight="1">
      <c r="A159" s="2"/>
      <c r="B159" s="2"/>
      <c r="C159" s="2"/>
      <c r="D159" s="2"/>
      <c r="E159" s="86"/>
      <c r="F159" s="2"/>
      <c r="G159" s="2"/>
      <c r="H159" s="2"/>
      <c r="I159" s="2"/>
      <c r="J159" s="2"/>
      <c r="K159" s="2"/>
      <c r="L159" s="73"/>
      <c r="M159" s="2"/>
      <c r="N159" s="46">
        <v>4695</v>
      </c>
      <c r="O159" s="77">
        <f t="shared" si="0"/>
        <v>730</v>
      </c>
      <c r="P159" s="77">
        <f t="shared" si="1"/>
        <v>40</v>
      </c>
      <c r="Q159" s="77">
        <f t="shared" si="2"/>
        <v>6</v>
      </c>
      <c r="R159" s="78">
        <f t="shared" si="3"/>
        <v>4</v>
      </c>
      <c r="S159" s="2"/>
      <c r="T159" s="2"/>
      <c r="U159" s="2"/>
      <c r="V159" s="46">
        <v>6750</v>
      </c>
      <c r="W159" s="77">
        <f t="shared" si="4"/>
        <v>680</v>
      </c>
      <c r="X159" s="77">
        <f t="shared" si="5"/>
        <v>100</v>
      </c>
      <c r="Y159" s="77">
        <f t="shared" si="6"/>
        <v>7</v>
      </c>
      <c r="Z159" s="78">
        <f t="shared" si="7"/>
        <v>5</v>
      </c>
      <c r="AA159" s="2"/>
      <c r="AB159" s="2"/>
      <c r="AC159" s="2"/>
      <c r="AD159" s="46">
        <v>6750</v>
      </c>
      <c r="AE159" s="77">
        <v>6</v>
      </c>
      <c r="AF159" s="78">
        <v>4</v>
      </c>
      <c r="AG159" s="78">
        <v>0</v>
      </c>
      <c r="AH159" s="2"/>
      <c r="AI159" s="2"/>
      <c r="AJ159" s="80">
        <f t="shared" si="8"/>
        <v>40</v>
      </c>
    </row>
    <row r="160" spans="1:36" ht="15.75" customHeight="1">
      <c r="A160" s="2"/>
      <c r="B160" s="2"/>
      <c r="C160" s="2"/>
      <c r="D160" s="2"/>
      <c r="E160" s="86"/>
      <c r="F160" s="69" t="s">
        <v>195</v>
      </c>
      <c r="G160" s="71">
        <f>($E$39-2*$E$40)^2</f>
        <v>19432.36</v>
      </c>
      <c r="H160" s="71" t="s">
        <v>196</v>
      </c>
      <c r="I160" s="71">
        <f>(E41)^2</f>
        <v>1345600</v>
      </c>
      <c r="J160" s="71" t="s">
        <v>189</v>
      </c>
      <c r="K160" s="147">
        <f>(SQRT($G$160+$I$160))+2*$E$43</f>
        <v>1218.3459932742526</v>
      </c>
      <c r="L160" s="73" t="s">
        <v>140</v>
      </c>
      <c r="M160" s="2"/>
      <c r="N160" s="46">
        <v>4729</v>
      </c>
      <c r="O160" s="77">
        <f t="shared" si="0"/>
        <v>764</v>
      </c>
      <c r="P160" s="77">
        <f t="shared" si="1"/>
        <v>40</v>
      </c>
      <c r="Q160" s="77">
        <f t="shared" si="2"/>
        <v>6</v>
      </c>
      <c r="R160" s="78">
        <f t="shared" si="3"/>
        <v>4</v>
      </c>
      <c r="S160" s="2"/>
      <c r="T160" s="2"/>
      <c r="U160" s="2"/>
      <c r="V160" s="46">
        <v>6800</v>
      </c>
      <c r="W160" s="77">
        <f t="shared" si="4"/>
        <v>730</v>
      </c>
      <c r="X160" s="77">
        <f t="shared" si="5"/>
        <v>100</v>
      </c>
      <c r="Y160" s="77">
        <f t="shared" si="6"/>
        <v>7</v>
      </c>
      <c r="Z160" s="78">
        <f t="shared" si="7"/>
        <v>5</v>
      </c>
      <c r="AA160" s="2"/>
      <c r="AB160" s="2"/>
      <c r="AC160" s="2"/>
      <c r="AD160" s="46">
        <v>6800</v>
      </c>
      <c r="AE160" s="77">
        <v>6</v>
      </c>
      <c r="AF160" s="78">
        <v>4</v>
      </c>
      <c r="AG160" s="78">
        <v>0</v>
      </c>
      <c r="AH160" s="2"/>
      <c r="AI160" s="2"/>
      <c r="AJ160" s="80">
        <f t="shared" si="8"/>
        <v>40</v>
      </c>
    </row>
    <row r="161" spans="1:36" ht="15.75" customHeight="1">
      <c r="A161" s="2"/>
      <c r="B161" s="2"/>
      <c r="C161" s="2"/>
      <c r="D161" s="2"/>
      <c r="E161" s="88"/>
      <c r="F161" s="89"/>
      <c r="G161" s="90"/>
      <c r="H161" s="90"/>
      <c r="I161" s="90"/>
      <c r="J161" s="90"/>
      <c r="K161" s="90"/>
      <c r="L161" s="91"/>
      <c r="M161" s="2"/>
      <c r="N161" s="46">
        <v>4762</v>
      </c>
      <c r="O161" s="77">
        <f t="shared" si="0"/>
        <v>797</v>
      </c>
      <c r="P161" s="77">
        <f t="shared" si="1"/>
        <v>40</v>
      </c>
      <c r="Q161" s="77">
        <f t="shared" si="2"/>
        <v>6</v>
      </c>
      <c r="R161" s="78">
        <f t="shared" si="3"/>
        <v>4</v>
      </c>
      <c r="S161" s="2"/>
      <c r="T161" s="2"/>
      <c r="U161" s="2"/>
      <c r="V161" s="46">
        <v>6850</v>
      </c>
      <c r="W161" s="77">
        <f t="shared" si="4"/>
        <v>780</v>
      </c>
      <c r="X161" s="77">
        <f t="shared" si="5"/>
        <v>100</v>
      </c>
      <c r="Y161" s="77">
        <f t="shared" si="6"/>
        <v>7</v>
      </c>
      <c r="Z161" s="78">
        <f t="shared" si="7"/>
        <v>5</v>
      </c>
      <c r="AA161" s="2"/>
      <c r="AB161" s="2"/>
      <c r="AC161" s="2"/>
      <c r="AD161" s="46">
        <v>6850</v>
      </c>
      <c r="AE161" s="77">
        <v>6</v>
      </c>
      <c r="AF161" s="78">
        <v>4</v>
      </c>
      <c r="AG161" s="78">
        <v>1</v>
      </c>
      <c r="AH161" s="2"/>
      <c r="AI161" s="2"/>
      <c r="AJ161" s="80">
        <f t="shared" si="8"/>
        <v>44</v>
      </c>
    </row>
    <row r="162" spans="1:36" ht="15.75" customHeight="1">
      <c r="A162" s="2"/>
      <c r="B162" s="2"/>
      <c r="C162" s="2"/>
      <c r="D162" s="2"/>
      <c r="E162" s="85" t="s">
        <v>192</v>
      </c>
      <c r="F162" s="2"/>
      <c r="G162" s="2"/>
      <c r="H162" s="2"/>
      <c r="I162" s="2"/>
      <c r="J162" s="2"/>
      <c r="K162" s="2"/>
      <c r="L162" s="73"/>
      <c r="M162" s="2"/>
      <c r="N162" s="46">
        <v>4795</v>
      </c>
      <c r="O162" s="77">
        <f t="shared" si="0"/>
        <v>830</v>
      </c>
      <c r="P162" s="77">
        <f t="shared" si="1"/>
        <v>40</v>
      </c>
      <c r="Q162" s="77">
        <f t="shared" si="2"/>
        <v>6</v>
      </c>
      <c r="R162" s="78">
        <f t="shared" si="3"/>
        <v>4</v>
      </c>
      <c r="S162" s="2"/>
      <c r="T162" s="2"/>
      <c r="U162" s="2"/>
      <c r="V162" s="46">
        <v>6900</v>
      </c>
      <c r="W162" s="77">
        <f t="shared" si="4"/>
        <v>830</v>
      </c>
      <c r="X162" s="77">
        <f t="shared" si="5"/>
        <v>100</v>
      </c>
      <c r="Y162" s="77">
        <f t="shared" si="6"/>
        <v>7</v>
      </c>
      <c r="Z162" s="78">
        <f t="shared" si="7"/>
        <v>5</v>
      </c>
      <c r="AA162" s="2"/>
      <c r="AB162" s="2"/>
      <c r="AC162" s="2"/>
      <c r="AD162" s="46">
        <v>6900</v>
      </c>
      <c r="AE162" s="77">
        <v>6</v>
      </c>
      <c r="AF162" s="78">
        <v>4</v>
      </c>
      <c r="AG162" s="78">
        <v>1</v>
      </c>
      <c r="AH162" s="2"/>
      <c r="AI162" s="2"/>
      <c r="AJ162" s="80">
        <f t="shared" si="8"/>
        <v>44</v>
      </c>
    </row>
    <row r="163" spans="1:36" ht="15.75" customHeight="1">
      <c r="A163" s="2"/>
      <c r="B163" s="2"/>
      <c r="C163" s="2"/>
      <c r="D163" s="2"/>
      <c r="E163" s="86"/>
      <c r="F163" s="2"/>
      <c r="G163" s="2"/>
      <c r="H163" s="2"/>
      <c r="I163" s="2"/>
      <c r="J163" s="2"/>
      <c r="K163" s="2"/>
      <c r="L163" s="73"/>
      <c r="M163" s="2"/>
      <c r="N163" s="46">
        <v>4829</v>
      </c>
      <c r="O163" s="77">
        <f t="shared" si="0"/>
        <v>864</v>
      </c>
      <c r="P163" s="77">
        <f t="shared" si="1"/>
        <v>40</v>
      </c>
      <c r="Q163" s="77">
        <f t="shared" si="2"/>
        <v>6</v>
      </c>
      <c r="R163" s="78">
        <f t="shared" si="3"/>
        <v>4</v>
      </c>
      <c r="S163" s="2"/>
      <c r="T163" s="2"/>
      <c r="U163" s="2"/>
      <c r="V163" s="46">
        <v>6950</v>
      </c>
      <c r="W163" s="77">
        <f t="shared" si="4"/>
        <v>880</v>
      </c>
      <c r="X163" s="77">
        <f t="shared" si="5"/>
        <v>100</v>
      </c>
      <c r="Y163" s="77">
        <f t="shared" si="6"/>
        <v>7</v>
      </c>
      <c r="Z163" s="78">
        <f t="shared" si="7"/>
        <v>5</v>
      </c>
      <c r="AA163" s="2"/>
      <c r="AB163" s="2"/>
      <c r="AC163" s="2"/>
      <c r="AD163" s="46">
        <v>6950</v>
      </c>
      <c r="AE163" s="77">
        <v>6</v>
      </c>
      <c r="AF163" s="78">
        <v>4</v>
      </c>
      <c r="AG163" s="78">
        <v>1</v>
      </c>
      <c r="AH163" s="2"/>
      <c r="AI163" s="2"/>
      <c r="AJ163" s="80">
        <f t="shared" si="8"/>
        <v>44</v>
      </c>
    </row>
    <row r="164" spans="1:36" ht="15.75" customHeight="1">
      <c r="A164" s="2"/>
      <c r="B164" s="2"/>
      <c r="C164" s="2"/>
      <c r="D164" s="2"/>
      <c r="E164" s="86"/>
      <c r="F164" s="69" t="s">
        <v>195</v>
      </c>
      <c r="G164" s="71">
        <f>($E$39-2*$E$40)^2</f>
        <v>19432.36</v>
      </c>
      <c r="H164" s="71" t="s">
        <v>196</v>
      </c>
      <c r="I164" s="71">
        <f>(E45)^2</f>
        <v>0</v>
      </c>
      <c r="J164" s="71" t="s">
        <v>189</v>
      </c>
      <c r="K164" s="147">
        <f>SQRT(($E$39-$E$40*2)^2+($E$42)^2)+$E$43*2</f>
        <v>191.62400926396626</v>
      </c>
      <c r="L164" s="73" t="s">
        <v>140</v>
      </c>
      <c r="M164" s="2"/>
      <c r="N164" s="46">
        <v>4862</v>
      </c>
      <c r="O164" s="77">
        <f t="shared" si="0"/>
        <v>897</v>
      </c>
      <c r="P164" s="77">
        <f t="shared" si="1"/>
        <v>40</v>
      </c>
      <c r="Q164" s="77">
        <f t="shared" si="2"/>
        <v>6</v>
      </c>
      <c r="R164" s="78">
        <f t="shared" si="3"/>
        <v>4</v>
      </c>
      <c r="S164" s="2"/>
      <c r="T164" s="2"/>
      <c r="U164" s="2"/>
      <c r="V164" s="46">
        <v>7000</v>
      </c>
      <c r="W164" s="77">
        <f t="shared" si="4"/>
        <v>930</v>
      </c>
      <c r="X164" s="77">
        <f t="shared" si="5"/>
        <v>100</v>
      </c>
      <c r="Y164" s="77">
        <f t="shared" si="6"/>
        <v>7</v>
      </c>
      <c r="Z164" s="78">
        <f t="shared" si="7"/>
        <v>5</v>
      </c>
      <c r="AA164" s="2"/>
      <c r="AB164" s="2"/>
      <c r="AC164" s="2"/>
      <c r="AD164" s="46">
        <v>7000</v>
      </c>
      <c r="AE164" s="77">
        <v>6</v>
      </c>
      <c r="AF164" s="78">
        <v>4</v>
      </c>
      <c r="AG164" s="78">
        <v>1</v>
      </c>
      <c r="AH164" s="2"/>
      <c r="AI164" s="2"/>
      <c r="AJ164" s="80">
        <f t="shared" si="8"/>
        <v>44</v>
      </c>
    </row>
    <row r="165" spans="1:36" ht="15.75" customHeight="1">
      <c r="A165" s="2"/>
      <c r="B165" s="2"/>
      <c r="C165" s="2"/>
      <c r="D165" s="2"/>
      <c r="E165" s="88"/>
      <c r="F165" s="89"/>
      <c r="G165" s="90"/>
      <c r="H165" s="90"/>
      <c r="I165" s="90"/>
      <c r="J165" s="90"/>
      <c r="K165" s="90"/>
      <c r="L165" s="91"/>
      <c r="M165" s="2"/>
      <c r="N165" s="46">
        <v>4895</v>
      </c>
      <c r="O165" s="77">
        <f t="shared" si="0"/>
        <v>0</v>
      </c>
      <c r="P165" s="77">
        <f t="shared" si="1"/>
        <v>20</v>
      </c>
      <c r="Q165" s="77">
        <f t="shared" si="2"/>
        <v>6</v>
      </c>
      <c r="R165" s="78">
        <f t="shared" si="3"/>
        <v>5</v>
      </c>
      <c r="S165" s="2"/>
      <c r="T165" s="2"/>
      <c r="U165" s="2"/>
      <c r="V165" s="46">
        <v>7050</v>
      </c>
      <c r="W165" s="77">
        <f t="shared" si="4"/>
        <v>980</v>
      </c>
      <c r="X165" s="77">
        <f t="shared" si="5"/>
        <v>100</v>
      </c>
      <c r="Y165" s="77">
        <f t="shared" si="6"/>
        <v>7</v>
      </c>
      <c r="Z165" s="78">
        <f t="shared" si="7"/>
        <v>5</v>
      </c>
      <c r="AA165" s="2"/>
      <c r="AB165" s="2"/>
      <c r="AC165" s="2"/>
      <c r="AD165" s="46">
        <v>7050</v>
      </c>
      <c r="AE165" s="77">
        <v>6</v>
      </c>
      <c r="AF165" s="78">
        <v>4</v>
      </c>
      <c r="AG165" s="78">
        <v>1</v>
      </c>
      <c r="AH165" s="2"/>
      <c r="AI165" s="2"/>
      <c r="AJ165" s="80">
        <f t="shared" si="8"/>
        <v>44</v>
      </c>
    </row>
    <row r="166" spans="1:3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46">
        <v>4928</v>
      </c>
      <c r="O166" s="77">
        <f t="shared" si="0"/>
        <v>0</v>
      </c>
      <c r="P166" s="77">
        <f t="shared" si="1"/>
        <v>53</v>
      </c>
      <c r="Q166" s="77">
        <f t="shared" si="2"/>
        <v>6</v>
      </c>
      <c r="R166" s="78">
        <f t="shared" si="3"/>
        <v>5</v>
      </c>
      <c r="S166" s="2"/>
      <c r="T166" s="2"/>
      <c r="U166" s="2"/>
      <c r="V166" s="46">
        <v>7100</v>
      </c>
      <c r="W166" s="77">
        <f t="shared" si="4"/>
        <v>1030</v>
      </c>
      <c r="X166" s="77">
        <f t="shared" si="5"/>
        <v>100</v>
      </c>
      <c r="Y166" s="77">
        <f t="shared" si="6"/>
        <v>7</v>
      </c>
      <c r="Z166" s="78">
        <f t="shared" si="7"/>
        <v>5</v>
      </c>
      <c r="AA166" s="2"/>
      <c r="AB166" s="2"/>
      <c r="AC166" s="2"/>
      <c r="AD166" s="46">
        <v>7100</v>
      </c>
      <c r="AE166" s="77">
        <v>6</v>
      </c>
      <c r="AF166" s="78">
        <v>4</v>
      </c>
      <c r="AG166" s="78">
        <v>1</v>
      </c>
      <c r="AH166" s="2"/>
      <c r="AI166" s="2"/>
      <c r="AJ166" s="80">
        <f t="shared" si="8"/>
        <v>44</v>
      </c>
    </row>
    <row r="167" spans="1:36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46">
        <v>4962</v>
      </c>
      <c r="O167" s="77">
        <f t="shared" si="0"/>
        <v>0</v>
      </c>
      <c r="P167" s="77">
        <f t="shared" si="1"/>
        <v>87</v>
      </c>
      <c r="Q167" s="77">
        <f t="shared" si="2"/>
        <v>6</v>
      </c>
      <c r="R167" s="78">
        <f t="shared" si="3"/>
        <v>5</v>
      </c>
      <c r="S167" s="2"/>
      <c r="T167" s="2"/>
      <c r="U167" s="2"/>
      <c r="V167" s="46">
        <v>7150</v>
      </c>
      <c r="W167" s="77">
        <f t="shared" si="4"/>
        <v>0</v>
      </c>
      <c r="X167" s="77">
        <f t="shared" si="5"/>
        <v>20</v>
      </c>
      <c r="Y167" s="77">
        <f t="shared" si="6"/>
        <v>7</v>
      </c>
      <c r="Z167" s="78">
        <f t="shared" si="7"/>
        <v>6</v>
      </c>
      <c r="AA167" s="2"/>
      <c r="AB167" s="2"/>
      <c r="AC167" s="2"/>
      <c r="AD167" s="46">
        <v>7150</v>
      </c>
      <c r="AE167" s="77">
        <v>6</v>
      </c>
      <c r="AF167" s="78">
        <v>4</v>
      </c>
      <c r="AG167" s="78">
        <v>1</v>
      </c>
      <c r="AH167" s="2"/>
      <c r="AI167" s="2"/>
      <c r="AJ167" s="80">
        <f t="shared" si="8"/>
        <v>44</v>
      </c>
    </row>
    <row r="168" spans="1:36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46">
        <v>4995</v>
      </c>
      <c r="O168" s="77">
        <f t="shared" si="0"/>
        <v>0</v>
      </c>
      <c r="P168" s="77">
        <f t="shared" si="1"/>
        <v>120</v>
      </c>
      <c r="Q168" s="77">
        <f t="shared" si="2"/>
        <v>6</v>
      </c>
      <c r="R168" s="78">
        <f t="shared" si="3"/>
        <v>5</v>
      </c>
      <c r="S168" s="2"/>
      <c r="T168" s="2"/>
      <c r="U168" s="2"/>
      <c r="V168" s="46">
        <v>7200</v>
      </c>
      <c r="W168" s="77">
        <f t="shared" si="4"/>
        <v>0</v>
      </c>
      <c r="X168" s="77">
        <f t="shared" si="5"/>
        <v>70</v>
      </c>
      <c r="Y168" s="77">
        <f t="shared" si="6"/>
        <v>7</v>
      </c>
      <c r="Z168" s="78">
        <f t="shared" si="7"/>
        <v>6</v>
      </c>
      <c r="AA168" s="2"/>
      <c r="AB168" s="2"/>
      <c r="AC168" s="2"/>
      <c r="AD168" s="46">
        <v>7200</v>
      </c>
      <c r="AE168" s="77">
        <v>6</v>
      </c>
      <c r="AF168" s="78">
        <v>5</v>
      </c>
      <c r="AG168" s="78">
        <v>0</v>
      </c>
      <c r="AH168" s="2"/>
      <c r="AI168" s="2"/>
      <c r="AJ168" s="80">
        <f t="shared" si="8"/>
        <v>44</v>
      </c>
    </row>
    <row r="169" spans="1:36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46">
        <v>5028</v>
      </c>
      <c r="O169" s="77">
        <f t="shared" si="0"/>
        <v>0</v>
      </c>
      <c r="P169" s="77">
        <f t="shared" si="1"/>
        <v>153</v>
      </c>
      <c r="Q169" s="77">
        <f t="shared" si="2"/>
        <v>6</v>
      </c>
      <c r="R169" s="78">
        <f t="shared" si="3"/>
        <v>5</v>
      </c>
      <c r="S169" s="2"/>
      <c r="T169" s="2"/>
      <c r="U169" s="2"/>
      <c r="V169" s="46">
        <v>7250</v>
      </c>
      <c r="W169" s="77">
        <f t="shared" si="4"/>
        <v>0</v>
      </c>
      <c r="X169" s="77">
        <f t="shared" si="5"/>
        <v>120</v>
      </c>
      <c r="Y169" s="77">
        <f t="shared" si="6"/>
        <v>7</v>
      </c>
      <c r="Z169" s="78">
        <f t="shared" si="7"/>
        <v>6</v>
      </c>
      <c r="AA169" s="2"/>
      <c r="AB169" s="2"/>
      <c r="AC169" s="2"/>
      <c r="AD169" s="46">
        <v>7250</v>
      </c>
      <c r="AE169" s="77">
        <v>6</v>
      </c>
      <c r="AF169" s="78">
        <v>5</v>
      </c>
      <c r="AG169" s="78">
        <v>0</v>
      </c>
      <c r="AH169" s="2"/>
      <c r="AI169" s="2"/>
      <c r="AJ169" s="80">
        <f t="shared" si="8"/>
        <v>44</v>
      </c>
    </row>
    <row r="170" spans="1:36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46">
        <v>5062</v>
      </c>
      <c r="O170" s="77">
        <f t="shared" si="0"/>
        <v>0</v>
      </c>
      <c r="P170" s="77">
        <f t="shared" si="1"/>
        <v>187</v>
      </c>
      <c r="Q170" s="77">
        <f t="shared" si="2"/>
        <v>6</v>
      </c>
      <c r="R170" s="78">
        <f t="shared" si="3"/>
        <v>5</v>
      </c>
      <c r="S170" s="2"/>
      <c r="T170" s="2"/>
      <c r="U170" s="2"/>
      <c r="V170" s="46">
        <v>7300</v>
      </c>
      <c r="W170" s="77">
        <f t="shared" si="4"/>
        <v>0</v>
      </c>
      <c r="X170" s="77">
        <f t="shared" si="5"/>
        <v>170</v>
      </c>
      <c r="Y170" s="77">
        <f t="shared" si="6"/>
        <v>7</v>
      </c>
      <c r="Z170" s="78">
        <f t="shared" si="7"/>
        <v>6</v>
      </c>
      <c r="AA170" s="2"/>
      <c r="AB170" s="2"/>
      <c r="AC170" s="2"/>
      <c r="AD170" s="46">
        <v>7300</v>
      </c>
      <c r="AE170" s="77">
        <v>6</v>
      </c>
      <c r="AF170" s="78">
        <v>5</v>
      </c>
      <c r="AG170" s="78">
        <v>0</v>
      </c>
      <c r="AH170" s="2"/>
      <c r="AI170" s="2"/>
      <c r="AJ170" s="80">
        <f t="shared" si="8"/>
        <v>44</v>
      </c>
    </row>
    <row r="171" spans="1:36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46">
        <v>5095</v>
      </c>
      <c r="O171" s="77">
        <f t="shared" si="0"/>
        <v>0</v>
      </c>
      <c r="P171" s="77">
        <f t="shared" si="1"/>
        <v>220</v>
      </c>
      <c r="Q171" s="77">
        <f t="shared" si="2"/>
        <v>6</v>
      </c>
      <c r="R171" s="78">
        <f t="shared" si="3"/>
        <v>5</v>
      </c>
      <c r="S171" s="2"/>
      <c r="T171" s="2"/>
      <c r="U171" s="2"/>
      <c r="V171" s="46">
        <v>7350</v>
      </c>
      <c r="W171" s="77">
        <f t="shared" si="4"/>
        <v>0</v>
      </c>
      <c r="X171" s="77">
        <f t="shared" si="5"/>
        <v>220</v>
      </c>
      <c r="Y171" s="77">
        <f t="shared" si="6"/>
        <v>7</v>
      </c>
      <c r="Z171" s="78">
        <f t="shared" si="7"/>
        <v>6</v>
      </c>
      <c r="AA171" s="2"/>
      <c r="AB171" s="2"/>
      <c r="AC171" s="2"/>
      <c r="AD171" s="46">
        <v>7350</v>
      </c>
      <c r="AE171" s="77">
        <v>6</v>
      </c>
      <c r="AF171" s="78">
        <v>5</v>
      </c>
      <c r="AG171" s="78">
        <v>0</v>
      </c>
      <c r="AH171" s="2"/>
      <c r="AI171" s="2"/>
      <c r="AJ171" s="80">
        <f t="shared" si="8"/>
        <v>44</v>
      </c>
    </row>
    <row r="172" spans="1:36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46">
        <v>5128</v>
      </c>
      <c r="O172" s="77">
        <f t="shared" si="0"/>
        <v>0</v>
      </c>
      <c r="P172" s="77">
        <f t="shared" si="1"/>
        <v>253</v>
      </c>
      <c r="Q172" s="77">
        <f t="shared" si="2"/>
        <v>6</v>
      </c>
      <c r="R172" s="78">
        <f t="shared" si="3"/>
        <v>5</v>
      </c>
      <c r="S172" s="2"/>
      <c r="T172" s="2"/>
      <c r="U172" s="2"/>
      <c r="V172" s="46">
        <v>7400</v>
      </c>
      <c r="W172" s="77">
        <f t="shared" si="4"/>
        <v>0</v>
      </c>
      <c r="X172" s="77">
        <f t="shared" si="5"/>
        <v>270</v>
      </c>
      <c r="Y172" s="77">
        <f t="shared" si="6"/>
        <v>7</v>
      </c>
      <c r="Z172" s="78">
        <f t="shared" si="7"/>
        <v>6</v>
      </c>
      <c r="AA172" s="2"/>
      <c r="AB172" s="2"/>
      <c r="AC172" s="2"/>
      <c r="AD172" s="46">
        <v>7400</v>
      </c>
      <c r="AE172" s="77">
        <v>6</v>
      </c>
      <c r="AF172" s="78">
        <v>5</v>
      </c>
      <c r="AG172" s="78">
        <v>0</v>
      </c>
      <c r="AH172" s="2"/>
      <c r="AI172" s="2"/>
      <c r="AJ172" s="80">
        <f t="shared" si="8"/>
        <v>44</v>
      </c>
    </row>
    <row r="173" spans="1:36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46">
        <v>5161</v>
      </c>
      <c r="O173" s="77">
        <f t="shared" si="0"/>
        <v>0</v>
      </c>
      <c r="P173" s="77">
        <f t="shared" si="1"/>
        <v>286</v>
      </c>
      <c r="Q173" s="77">
        <f t="shared" si="2"/>
        <v>6</v>
      </c>
      <c r="R173" s="78">
        <f t="shared" si="3"/>
        <v>5</v>
      </c>
      <c r="S173" s="2"/>
      <c r="T173" s="2"/>
      <c r="U173" s="2"/>
      <c r="V173" s="46">
        <v>7450</v>
      </c>
      <c r="W173" s="77">
        <f t="shared" si="4"/>
        <v>0</v>
      </c>
      <c r="X173" s="77">
        <f t="shared" si="5"/>
        <v>320</v>
      </c>
      <c r="Y173" s="77">
        <f t="shared" si="6"/>
        <v>7</v>
      </c>
      <c r="Z173" s="78">
        <f t="shared" si="7"/>
        <v>6</v>
      </c>
      <c r="AA173" s="2"/>
      <c r="AB173" s="2"/>
      <c r="AC173" s="2"/>
      <c r="AD173" s="46">
        <v>7450</v>
      </c>
      <c r="AE173" s="77">
        <v>6</v>
      </c>
      <c r="AF173" s="78">
        <v>5</v>
      </c>
      <c r="AG173" s="78">
        <v>0</v>
      </c>
      <c r="AH173" s="2"/>
      <c r="AI173" s="2"/>
      <c r="AJ173" s="80">
        <f t="shared" si="8"/>
        <v>44</v>
      </c>
    </row>
    <row r="174" spans="1:36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46">
        <v>5195</v>
      </c>
      <c r="O174" s="77">
        <f t="shared" si="0"/>
        <v>0</v>
      </c>
      <c r="P174" s="77">
        <f t="shared" si="1"/>
        <v>320</v>
      </c>
      <c r="Q174" s="77">
        <f t="shared" si="2"/>
        <v>6</v>
      </c>
      <c r="R174" s="78">
        <f t="shared" si="3"/>
        <v>5</v>
      </c>
      <c r="S174" s="2"/>
      <c r="T174" s="2"/>
      <c r="U174" s="2"/>
      <c r="V174" s="46">
        <v>7500</v>
      </c>
      <c r="W174" s="77">
        <f t="shared" si="4"/>
        <v>0</v>
      </c>
      <c r="X174" s="77">
        <f t="shared" si="5"/>
        <v>370</v>
      </c>
      <c r="Y174" s="77">
        <f t="shared" si="6"/>
        <v>7</v>
      </c>
      <c r="Z174" s="78">
        <f t="shared" si="7"/>
        <v>6</v>
      </c>
      <c r="AA174" s="2"/>
      <c r="AB174" s="2"/>
      <c r="AC174" s="2"/>
      <c r="AD174" s="46">
        <v>7500</v>
      </c>
      <c r="AE174" s="77">
        <v>7</v>
      </c>
      <c r="AF174" s="78">
        <v>5</v>
      </c>
      <c r="AG174" s="78">
        <v>0</v>
      </c>
      <c r="AH174" s="2"/>
      <c r="AI174" s="2"/>
      <c r="AJ174" s="80">
        <f t="shared" si="8"/>
        <v>48</v>
      </c>
    </row>
    <row r="175" spans="1:36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46">
        <v>5228</v>
      </c>
      <c r="O175" s="77">
        <f t="shared" si="0"/>
        <v>313</v>
      </c>
      <c r="P175" s="77">
        <f t="shared" si="1"/>
        <v>40</v>
      </c>
      <c r="Q175" s="77">
        <f t="shared" si="2"/>
        <v>7</v>
      </c>
      <c r="R175" s="78">
        <f t="shared" si="3"/>
        <v>5</v>
      </c>
      <c r="S175" s="2"/>
      <c r="T175" s="2"/>
      <c r="U175" s="2"/>
      <c r="V175" s="46">
        <v>7550</v>
      </c>
      <c r="W175" s="77">
        <f t="shared" si="4"/>
        <v>0</v>
      </c>
      <c r="X175" s="77">
        <f t="shared" si="5"/>
        <v>420</v>
      </c>
      <c r="Y175" s="77">
        <f t="shared" si="6"/>
        <v>7</v>
      </c>
      <c r="Z175" s="78">
        <f t="shared" si="7"/>
        <v>6</v>
      </c>
      <c r="AA175" s="2"/>
      <c r="AB175" s="2"/>
      <c r="AC175" s="2"/>
      <c r="AD175" s="46">
        <v>7550</v>
      </c>
      <c r="AE175" s="77">
        <v>7</v>
      </c>
      <c r="AF175" s="78">
        <v>5</v>
      </c>
      <c r="AG175" s="78">
        <v>0</v>
      </c>
      <c r="AH175" s="2"/>
      <c r="AI175" s="2"/>
      <c r="AJ175" s="80">
        <f t="shared" si="8"/>
        <v>48</v>
      </c>
    </row>
    <row r="176" spans="1:3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46">
        <v>5261</v>
      </c>
      <c r="O176" s="77">
        <f t="shared" si="0"/>
        <v>346</v>
      </c>
      <c r="P176" s="77">
        <f t="shared" si="1"/>
        <v>40</v>
      </c>
      <c r="Q176" s="77">
        <f t="shared" si="2"/>
        <v>7</v>
      </c>
      <c r="R176" s="78">
        <f t="shared" si="3"/>
        <v>5</v>
      </c>
      <c r="S176" s="2"/>
      <c r="T176" s="2"/>
      <c r="U176" s="2"/>
      <c r="V176" s="46">
        <v>7600</v>
      </c>
      <c r="W176" s="77">
        <f t="shared" si="4"/>
        <v>0</v>
      </c>
      <c r="X176" s="77">
        <f t="shared" si="5"/>
        <v>470</v>
      </c>
      <c r="Y176" s="77">
        <f t="shared" si="6"/>
        <v>7</v>
      </c>
      <c r="Z176" s="78">
        <f t="shared" si="7"/>
        <v>6</v>
      </c>
      <c r="AA176" s="2"/>
      <c r="AB176" s="2"/>
      <c r="AC176" s="2"/>
      <c r="AD176" s="46">
        <v>7600</v>
      </c>
      <c r="AE176" s="77">
        <v>7</v>
      </c>
      <c r="AF176" s="78">
        <v>5</v>
      </c>
      <c r="AG176" s="78">
        <v>0</v>
      </c>
      <c r="AH176" s="2"/>
      <c r="AI176" s="2"/>
      <c r="AJ176" s="80">
        <f t="shared" si="8"/>
        <v>48</v>
      </c>
    </row>
    <row r="177" spans="1:36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46">
        <v>5295</v>
      </c>
      <c r="O177" s="77">
        <f t="shared" si="0"/>
        <v>380</v>
      </c>
      <c r="P177" s="77">
        <f t="shared" si="1"/>
        <v>40</v>
      </c>
      <c r="Q177" s="77">
        <f t="shared" si="2"/>
        <v>7</v>
      </c>
      <c r="R177" s="78">
        <f t="shared" si="3"/>
        <v>5</v>
      </c>
      <c r="S177" s="2"/>
      <c r="T177" s="2"/>
      <c r="U177" s="2"/>
      <c r="V177" s="46">
        <v>7650</v>
      </c>
      <c r="W177" s="77">
        <f t="shared" si="4"/>
        <v>420</v>
      </c>
      <c r="X177" s="77">
        <f t="shared" si="5"/>
        <v>100</v>
      </c>
      <c r="Y177" s="77">
        <f t="shared" si="6"/>
        <v>8</v>
      </c>
      <c r="Z177" s="78">
        <f t="shared" si="7"/>
        <v>6</v>
      </c>
      <c r="AA177" s="2"/>
      <c r="AB177" s="2"/>
      <c r="AC177" s="2"/>
      <c r="AD177" s="46">
        <v>7650</v>
      </c>
      <c r="AE177" s="77">
        <v>7</v>
      </c>
      <c r="AF177" s="78">
        <v>5</v>
      </c>
      <c r="AG177" s="78">
        <v>0</v>
      </c>
      <c r="AH177" s="2"/>
      <c r="AI177" s="2"/>
      <c r="AJ177" s="80">
        <f t="shared" si="8"/>
        <v>48</v>
      </c>
    </row>
    <row r="178" spans="1:36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46">
        <v>5328</v>
      </c>
      <c r="O178" s="77">
        <f t="shared" si="0"/>
        <v>413</v>
      </c>
      <c r="P178" s="77">
        <f t="shared" si="1"/>
        <v>40</v>
      </c>
      <c r="Q178" s="77">
        <f t="shared" si="2"/>
        <v>7</v>
      </c>
      <c r="R178" s="78">
        <f t="shared" si="3"/>
        <v>5</v>
      </c>
      <c r="S178" s="2"/>
      <c r="T178" s="2"/>
      <c r="U178" s="2"/>
      <c r="V178" s="46">
        <v>7700</v>
      </c>
      <c r="W178" s="77">
        <f t="shared" si="4"/>
        <v>470</v>
      </c>
      <c r="X178" s="77">
        <f t="shared" si="5"/>
        <v>100</v>
      </c>
      <c r="Y178" s="77">
        <f t="shared" si="6"/>
        <v>8</v>
      </c>
      <c r="Z178" s="78">
        <f t="shared" si="7"/>
        <v>6</v>
      </c>
      <c r="AA178" s="2"/>
      <c r="AB178" s="2"/>
      <c r="AC178" s="2"/>
      <c r="AD178" s="46">
        <v>7700</v>
      </c>
      <c r="AE178" s="77">
        <v>7</v>
      </c>
      <c r="AF178" s="78">
        <v>5</v>
      </c>
      <c r="AG178" s="78">
        <v>0</v>
      </c>
      <c r="AH178" s="2"/>
      <c r="AI178" s="2"/>
      <c r="AJ178" s="80">
        <f t="shared" si="8"/>
        <v>48</v>
      </c>
    </row>
    <row r="179" spans="1:36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46">
        <v>5361</v>
      </c>
      <c r="O179" s="77">
        <f t="shared" si="0"/>
        <v>446</v>
      </c>
      <c r="P179" s="77">
        <f t="shared" si="1"/>
        <v>40</v>
      </c>
      <c r="Q179" s="77">
        <f t="shared" si="2"/>
        <v>7</v>
      </c>
      <c r="R179" s="78">
        <f t="shared" si="3"/>
        <v>5</v>
      </c>
      <c r="S179" s="2"/>
      <c r="T179" s="2"/>
      <c r="U179" s="2"/>
      <c r="V179" s="46">
        <v>7750</v>
      </c>
      <c r="W179" s="77">
        <f t="shared" si="4"/>
        <v>520</v>
      </c>
      <c r="X179" s="77">
        <f t="shared" si="5"/>
        <v>100</v>
      </c>
      <c r="Y179" s="77">
        <f t="shared" si="6"/>
        <v>8</v>
      </c>
      <c r="Z179" s="78">
        <f t="shared" si="7"/>
        <v>6</v>
      </c>
      <c r="AA179" s="2"/>
      <c r="AB179" s="2"/>
      <c r="AC179" s="2"/>
      <c r="AD179" s="46">
        <v>7750</v>
      </c>
      <c r="AE179" s="77">
        <v>7</v>
      </c>
      <c r="AF179" s="78">
        <v>5</v>
      </c>
      <c r="AG179" s="78">
        <v>0</v>
      </c>
      <c r="AH179" s="2"/>
      <c r="AI179" s="2"/>
      <c r="AJ179" s="80">
        <f t="shared" si="8"/>
        <v>48</v>
      </c>
    </row>
    <row r="180" spans="1:36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46">
        <v>5395</v>
      </c>
      <c r="O180" s="77">
        <f t="shared" si="0"/>
        <v>480</v>
      </c>
      <c r="P180" s="77">
        <f t="shared" si="1"/>
        <v>40</v>
      </c>
      <c r="Q180" s="77">
        <f t="shared" si="2"/>
        <v>7</v>
      </c>
      <c r="R180" s="78">
        <f t="shared" si="3"/>
        <v>5</v>
      </c>
      <c r="S180" s="2"/>
      <c r="T180" s="2"/>
      <c r="U180" s="2"/>
      <c r="V180" s="46">
        <v>7800</v>
      </c>
      <c r="W180" s="77">
        <f t="shared" si="4"/>
        <v>570</v>
      </c>
      <c r="X180" s="77">
        <f t="shared" si="5"/>
        <v>100</v>
      </c>
      <c r="Y180" s="77">
        <f t="shared" si="6"/>
        <v>8</v>
      </c>
      <c r="Z180" s="78">
        <f t="shared" si="7"/>
        <v>6</v>
      </c>
      <c r="AA180" s="2"/>
      <c r="AB180" s="2"/>
      <c r="AC180" s="2"/>
      <c r="AD180" s="46">
        <v>7800</v>
      </c>
      <c r="AE180" s="77">
        <v>7</v>
      </c>
      <c r="AF180" s="78">
        <v>5</v>
      </c>
      <c r="AG180" s="78">
        <v>0</v>
      </c>
      <c r="AH180" s="2"/>
      <c r="AI180" s="2"/>
      <c r="AJ180" s="80">
        <f t="shared" si="8"/>
        <v>48</v>
      </c>
    </row>
    <row r="181" spans="1:36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46">
        <v>5428</v>
      </c>
      <c r="O181" s="77">
        <f t="shared" si="0"/>
        <v>513</v>
      </c>
      <c r="P181" s="77">
        <f t="shared" si="1"/>
        <v>40</v>
      </c>
      <c r="Q181" s="77">
        <f t="shared" si="2"/>
        <v>7</v>
      </c>
      <c r="R181" s="78">
        <f t="shared" si="3"/>
        <v>5</v>
      </c>
      <c r="S181" s="2"/>
      <c r="T181" s="2"/>
      <c r="U181" s="2"/>
      <c r="V181" s="46">
        <v>7850</v>
      </c>
      <c r="W181" s="77">
        <f t="shared" si="4"/>
        <v>620</v>
      </c>
      <c r="X181" s="77">
        <f t="shared" si="5"/>
        <v>100</v>
      </c>
      <c r="Y181" s="77">
        <f t="shared" si="6"/>
        <v>8</v>
      </c>
      <c r="Z181" s="78">
        <f t="shared" si="7"/>
        <v>6</v>
      </c>
      <c r="AA181" s="2"/>
      <c r="AB181" s="2"/>
      <c r="AC181" s="2"/>
      <c r="AD181" s="46">
        <v>7850</v>
      </c>
      <c r="AE181" s="77">
        <v>7</v>
      </c>
      <c r="AF181" s="78">
        <v>5</v>
      </c>
      <c r="AG181" s="78">
        <v>0</v>
      </c>
      <c r="AH181" s="2"/>
      <c r="AI181" s="2"/>
      <c r="AJ181" s="80">
        <f t="shared" si="8"/>
        <v>48</v>
      </c>
    </row>
    <row r="182" spans="1:36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46">
        <v>5461</v>
      </c>
      <c r="O182" s="77">
        <f t="shared" si="0"/>
        <v>546</v>
      </c>
      <c r="P182" s="77">
        <f t="shared" si="1"/>
        <v>40</v>
      </c>
      <c r="Q182" s="77">
        <f t="shared" si="2"/>
        <v>7</v>
      </c>
      <c r="R182" s="78">
        <f t="shared" si="3"/>
        <v>5</v>
      </c>
      <c r="S182" s="2"/>
      <c r="T182" s="2"/>
      <c r="U182" s="2"/>
      <c r="V182" s="46">
        <v>7900</v>
      </c>
      <c r="W182" s="77">
        <f t="shared" si="4"/>
        <v>670</v>
      </c>
      <c r="X182" s="77">
        <f t="shared" si="5"/>
        <v>100</v>
      </c>
      <c r="Y182" s="77">
        <f t="shared" si="6"/>
        <v>8</v>
      </c>
      <c r="Z182" s="78">
        <f t="shared" si="7"/>
        <v>6</v>
      </c>
      <c r="AA182" s="2"/>
      <c r="AB182" s="2"/>
      <c r="AC182" s="2"/>
      <c r="AD182" s="46">
        <v>7900</v>
      </c>
      <c r="AE182" s="77">
        <v>7</v>
      </c>
      <c r="AF182" s="78">
        <v>5</v>
      </c>
      <c r="AG182" s="78">
        <v>0</v>
      </c>
      <c r="AH182" s="2"/>
      <c r="AI182" s="2"/>
      <c r="AJ182" s="80">
        <f t="shared" si="8"/>
        <v>48</v>
      </c>
    </row>
    <row r="183" spans="1:36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46">
        <v>5494</v>
      </c>
      <c r="O183" s="77">
        <f t="shared" si="0"/>
        <v>579</v>
      </c>
      <c r="P183" s="77">
        <f t="shared" si="1"/>
        <v>40</v>
      </c>
      <c r="Q183" s="77">
        <f t="shared" si="2"/>
        <v>7</v>
      </c>
      <c r="R183" s="78">
        <f t="shared" si="3"/>
        <v>5</v>
      </c>
      <c r="S183" s="2"/>
      <c r="T183" s="2"/>
      <c r="U183" s="2"/>
      <c r="V183" s="46">
        <v>7950</v>
      </c>
      <c r="W183" s="77">
        <f t="shared" si="4"/>
        <v>720</v>
      </c>
      <c r="X183" s="77">
        <f t="shared" si="5"/>
        <v>100</v>
      </c>
      <c r="Y183" s="77">
        <f t="shared" si="6"/>
        <v>8</v>
      </c>
      <c r="Z183" s="78">
        <f t="shared" si="7"/>
        <v>6</v>
      </c>
      <c r="AA183" s="2"/>
      <c r="AB183" s="2"/>
      <c r="AC183" s="2"/>
      <c r="AD183" s="46">
        <v>7950</v>
      </c>
      <c r="AE183" s="77">
        <v>7</v>
      </c>
      <c r="AF183" s="78">
        <v>5</v>
      </c>
      <c r="AG183" s="78">
        <v>0</v>
      </c>
      <c r="AH183" s="2"/>
      <c r="AI183" s="2"/>
      <c r="AJ183" s="80">
        <f t="shared" si="8"/>
        <v>48</v>
      </c>
    </row>
    <row r="184" spans="1:36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46">
        <v>5528</v>
      </c>
      <c r="O184" s="77">
        <f t="shared" si="0"/>
        <v>613</v>
      </c>
      <c r="P184" s="77">
        <f t="shared" si="1"/>
        <v>40</v>
      </c>
      <c r="Q184" s="77">
        <f t="shared" si="2"/>
        <v>7</v>
      </c>
      <c r="R184" s="78">
        <f t="shared" si="3"/>
        <v>5</v>
      </c>
      <c r="S184" s="2"/>
      <c r="T184" s="2"/>
      <c r="U184" s="2"/>
      <c r="V184" s="46">
        <v>8000</v>
      </c>
      <c r="W184" s="77">
        <f t="shared" si="4"/>
        <v>770</v>
      </c>
      <c r="X184" s="77">
        <f t="shared" si="5"/>
        <v>100</v>
      </c>
      <c r="Y184" s="77">
        <f t="shared" si="6"/>
        <v>8</v>
      </c>
      <c r="Z184" s="78">
        <f t="shared" si="7"/>
        <v>6</v>
      </c>
      <c r="AA184" s="2"/>
      <c r="AB184" s="2"/>
      <c r="AC184" s="2"/>
      <c r="AD184" s="46">
        <v>8000</v>
      </c>
      <c r="AE184" s="77">
        <v>7</v>
      </c>
      <c r="AF184" s="78">
        <v>5</v>
      </c>
      <c r="AG184" s="78">
        <v>0</v>
      </c>
      <c r="AH184" s="2"/>
      <c r="AI184" s="2"/>
      <c r="AJ184" s="80">
        <f t="shared" si="8"/>
        <v>48</v>
      </c>
    </row>
    <row r="185" spans="1:36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46">
        <v>5561</v>
      </c>
      <c r="O185" s="77">
        <f t="shared" si="0"/>
        <v>646</v>
      </c>
      <c r="P185" s="77">
        <f t="shared" si="1"/>
        <v>40</v>
      </c>
      <c r="Q185" s="77">
        <f t="shared" si="2"/>
        <v>7</v>
      </c>
      <c r="R185" s="78">
        <f t="shared" si="3"/>
        <v>5</v>
      </c>
      <c r="S185" s="2"/>
      <c r="T185" s="2"/>
      <c r="U185" s="2"/>
      <c r="V185" s="46">
        <v>8050</v>
      </c>
      <c r="W185" s="77">
        <f t="shared" si="4"/>
        <v>820</v>
      </c>
      <c r="X185" s="77">
        <f t="shared" si="5"/>
        <v>100</v>
      </c>
      <c r="Y185" s="77">
        <f t="shared" si="6"/>
        <v>8</v>
      </c>
      <c r="Z185" s="78">
        <f t="shared" si="7"/>
        <v>6</v>
      </c>
      <c r="AA185" s="2"/>
      <c r="AB185" s="2"/>
      <c r="AC185" s="2"/>
      <c r="AD185" s="46">
        <v>8050</v>
      </c>
      <c r="AE185" s="77">
        <v>7</v>
      </c>
      <c r="AF185" s="78">
        <v>5</v>
      </c>
      <c r="AG185" s="78">
        <v>0</v>
      </c>
      <c r="AH185" s="2"/>
      <c r="AI185" s="2"/>
      <c r="AJ185" s="80">
        <f t="shared" si="8"/>
        <v>48</v>
      </c>
    </row>
    <row r="186" spans="1:3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46">
        <v>5594</v>
      </c>
      <c r="O186" s="77">
        <f t="shared" si="0"/>
        <v>679</v>
      </c>
      <c r="P186" s="77">
        <f t="shared" si="1"/>
        <v>40</v>
      </c>
      <c r="Q186" s="77">
        <f t="shared" si="2"/>
        <v>7</v>
      </c>
      <c r="R186" s="78">
        <f t="shared" si="3"/>
        <v>5</v>
      </c>
      <c r="S186" s="2"/>
      <c r="T186" s="2"/>
      <c r="U186" s="2"/>
      <c r="V186" s="46">
        <v>8100</v>
      </c>
      <c r="W186" s="77">
        <f t="shared" si="4"/>
        <v>870</v>
      </c>
      <c r="X186" s="77">
        <f t="shared" si="5"/>
        <v>100</v>
      </c>
      <c r="Y186" s="77">
        <f t="shared" si="6"/>
        <v>8</v>
      </c>
      <c r="Z186" s="78">
        <f t="shared" si="7"/>
        <v>6</v>
      </c>
      <c r="AA186" s="2"/>
      <c r="AB186" s="2"/>
      <c r="AC186" s="2"/>
      <c r="AD186" s="46">
        <v>8100</v>
      </c>
      <c r="AE186" s="77">
        <v>7</v>
      </c>
      <c r="AF186" s="78">
        <v>5</v>
      </c>
      <c r="AG186" s="78">
        <v>0</v>
      </c>
      <c r="AH186" s="2"/>
      <c r="AI186" s="2"/>
      <c r="AJ186" s="80">
        <f t="shared" si="8"/>
        <v>48</v>
      </c>
    </row>
    <row r="187" spans="1:36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46">
        <v>5628</v>
      </c>
      <c r="O187" s="77">
        <f t="shared" si="0"/>
        <v>713</v>
      </c>
      <c r="P187" s="77">
        <f t="shared" si="1"/>
        <v>40</v>
      </c>
      <c r="Q187" s="77">
        <f t="shared" si="2"/>
        <v>7</v>
      </c>
      <c r="R187" s="78">
        <f t="shared" si="3"/>
        <v>5</v>
      </c>
      <c r="S187" s="2"/>
      <c r="T187" s="2"/>
      <c r="U187" s="2"/>
      <c r="V187" s="46">
        <v>8150</v>
      </c>
      <c r="W187" s="77">
        <f t="shared" si="4"/>
        <v>920</v>
      </c>
      <c r="X187" s="77">
        <f t="shared" si="5"/>
        <v>100</v>
      </c>
      <c r="Y187" s="77">
        <f t="shared" si="6"/>
        <v>8</v>
      </c>
      <c r="Z187" s="78">
        <f t="shared" si="7"/>
        <v>6</v>
      </c>
      <c r="AA187" s="2"/>
      <c r="AB187" s="2"/>
      <c r="AC187" s="2"/>
      <c r="AD187" s="46">
        <v>8150</v>
      </c>
      <c r="AE187" s="77">
        <v>7</v>
      </c>
      <c r="AF187" s="78">
        <v>5</v>
      </c>
      <c r="AG187" s="78">
        <v>0</v>
      </c>
      <c r="AH187" s="2"/>
      <c r="AI187" s="2"/>
      <c r="AJ187" s="80">
        <f t="shared" si="8"/>
        <v>48</v>
      </c>
    </row>
    <row r="188" spans="1:36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46">
        <v>5661</v>
      </c>
      <c r="O188" s="77">
        <f t="shared" si="0"/>
        <v>746</v>
      </c>
      <c r="P188" s="77">
        <f t="shared" si="1"/>
        <v>40</v>
      </c>
      <c r="Q188" s="77">
        <f t="shared" si="2"/>
        <v>7</v>
      </c>
      <c r="R188" s="78">
        <f t="shared" si="3"/>
        <v>5</v>
      </c>
      <c r="S188" s="2"/>
      <c r="T188" s="2"/>
      <c r="U188" s="2"/>
      <c r="V188" s="46">
        <v>8200</v>
      </c>
      <c r="W188" s="77">
        <f t="shared" si="4"/>
        <v>970</v>
      </c>
      <c r="X188" s="77">
        <f t="shared" si="5"/>
        <v>100</v>
      </c>
      <c r="Y188" s="77">
        <f t="shared" si="6"/>
        <v>8</v>
      </c>
      <c r="Z188" s="78">
        <f t="shared" si="7"/>
        <v>6</v>
      </c>
      <c r="AA188" s="2"/>
      <c r="AB188" s="2"/>
      <c r="AC188" s="2"/>
      <c r="AD188" s="46">
        <v>8200</v>
      </c>
      <c r="AE188" s="77">
        <v>7</v>
      </c>
      <c r="AF188" s="78">
        <v>5</v>
      </c>
      <c r="AG188" s="78">
        <v>1</v>
      </c>
      <c r="AH188" s="2"/>
      <c r="AI188" s="2"/>
      <c r="AJ188" s="80">
        <f t="shared" si="8"/>
        <v>52</v>
      </c>
    </row>
    <row r="189" spans="1:36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46">
        <v>5694</v>
      </c>
      <c r="O189" s="77">
        <f t="shared" si="0"/>
        <v>779</v>
      </c>
      <c r="P189" s="77">
        <f t="shared" si="1"/>
        <v>40</v>
      </c>
      <c r="Q189" s="77">
        <f t="shared" si="2"/>
        <v>7</v>
      </c>
      <c r="R189" s="78">
        <f t="shared" si="3"/>
        <v>5</v>
      </c>
      <c r="S189" s="2"/>
      <c r="T189" s="2"/>
      <c r="U189" s="2"/>
      <c r="V189" s="46">
        <v>8250</v>
      </c>
      <c r="W189" s="77">
        <f t="shared" si="4"/>
        <v>1020</v>
      </c>
      <c r="X189" s="77">
        <f t="shared" si="5"/>
        <v>100</v>
      </c>
      <c r="Y189" s="77">
        <f t="shared" si="6"/>
        <v>8</v>
      </c>
      <c r="Z189" s="78">
        <f t="shared" si="7"/>
        <v>6</v>
      </c>
      <c r="AA189" s="2"/>
      <c r="AB189" s="2"/>
      <c r="AC189" s="2"/>
      <c r="AD189" s="46">
        <v>8250</v>
      </c>
      <c r="AE189" s="77">
        <v>7</v>
      </c>
      <c r="AF189" s="78">
        <v>5</v>
      </c>
      <c r="AG189" s="78">
        <v>1</v>
      </c>
      <c r="AH189" s="2"/>
      <c r="AI189" s="2"/>
      <c r="AJ189" s="80">
        <f t="shared" si="8"/>
        <v>52</v>
      </c>
    </row>
    <row r="190" spans="1:36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46">
        <v>5728</v>
      </c>
      <c r="O190" s="77">
        <f t="shared" si="0"/>
        <v>813</v>
      </c>
      <c r="P190" s="77">
        <f t="shared" si="1"/>
        <v>40</v>
      </c>
      <c r="Q190" s="77">
        <f t="shared" si="2"/>
        <v>7</v>
      </c>
      <c r="R190" s="78">
        <f t="shared" si="3"/>
        <v>5</v>
      </c>
      <c r="S190" s="2"/>
      <c r="T190" s="2"/>
      <c r="U190" s="2"/>
      <c r="V190" s="46">
        <v>8300</v>
      </c>
      <c r="W190" s="77">
        <f t="shared" si="4"/>
        <v>0</v>
      </c>
      <c r="X190" s="77">
        <f t="shared" si="5"/>
        <v>10</v>
      </c>
      <c r="Y190" s="77">
        <f t="shared" si="6"/>
        <v>8</v>
      </c>
      <c r="Z190" s="78">
        <f t="shared" si="7"/>
        <v>7</v>
      </c>
      <c r="AA190" s="2"/>
      <c r="AB190" s="2"/>
      <c r="AC190" s="2"/>
      <c r="AD190" s="46">
        <v>8300</v>
      </c>
      <c r="AE190" s="77">
        <v>7</v>
      </c>
      <c r="AF190" s="78">
        <v>5</v>
      </c>
      <c r="AG190" s="78">
        <v>1</v>
      </c>
      <c r="AH190" s="2"/>
      <c r="AI190" s="2"/>
      <c r="AJ190" s="80">
        <f t="shared" si="8"/>
        <v>52</v>
      </c>
    </row>
    <row r="191" spans="1:36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46">
        <v>5761</v>
      </c>
      <c r="O191" s="77">
        <f t="shared" si="0"/>
        <v>846</v>
      </c>
      <c r="P191" s="77">
        <f t="shared" si="1"/>
        <v>40</v>
      </c>
      <c r="Q191" s="77">
        <f t="shared" si="2"/>
        <v>7</v>
      </c>
      <c r="R191" s="78">
        <f t="shared" si="3"/>
        <v>5</v>
      </c>
      <c r="S191" s="2"/>
      <c r="T191" s="2"/>
      <c r="U191" s="2"/>
      <c r="V191" s="46">
        <v>8350</v>
      </c>
      <c r="W191" s="77">
        <f t="shared" si="4"/>
        <v>0</v>
      </c>
      <c r="X191" s="77">
        <f t="shared" si="5"/>
        <v>60</v>
      </c>
      <c r="Y191" s="77">
        <f t="shared" si="6"/>
        <v>8</v>
      </c>
      <c r="Z191" s="78">
        <f t="shared" si="7"/>
        <v>7</v>
      </c>
      <c r="AA191" s="2"/>
      <c r="AB191" s="2"/>
      <c r="AC191" s="2"/>
      <c r="AD191" s="46">
        <v>8350</v>
      </c>
      <c r="AE191" s="77">
        <v>7</v>
      </c>
      <c r="AF191" s="78">
        <v>5</v>
      </c>
      <c r="AG191" s="78">
        <v>1</v>
      </c>
      <c r="AH191" s="2"/>
      <c r="AI191" s="2"/>
      <c r="AJ191" s="80">
        <f t="shared" si="8"/>
        <v>52</v>
      </c>
    </row>
    <row r="192" spans="1:36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46">
        <v>5794</v>
      </c>
      <c r="O192" s="77">
        <f t="shared" si="0"/>
        <v>879</v>
      </c>
      <c r="P192" s="77">
        <f t="shared" si="1"/>
        <v>40</v>
      </c>
      <c r="Q192" s="77">
        <f t="shared" si="2"/>
        <v>7</v>
      </c>
      <c r="R192" s="78">
        <f t="shared" si="3"/>
        <v>5</v>
      </c>
      <c r="S192" s="2"/>
      <c r="T192" s="2"/>
      <c r="U192" s="2"/>
      <c r="V192" s="46">
        <v>8400</v>
      </c>
      <c r="W192" s="77">
        <f t="shared" si="4"/>
        <v>0</v>
      </c>
      <c r="X192" s="77">
        <f t="shared" si="5"/>
        <v>110</v>
      </c>
      <c r="Y192" s="77">
        <f t="shared" si="6"/>
        <v>8</v>
      </c>
      <c r="Z192" s="78">
        <f t="shared" si="7"/>
        <v>7</v>
      </c>
      <c r="AA192" s="2"/>
      <c r="AB192" s="2"/>
      <c r="AC192" s="2"/>
      <c r="AD192" s="46">
        <v>8400</v>
      </c>
      <c r="AE192" s="77">
        <v>7</v>
      </c>
      <c r="AF192" s="78">
        <v>5</v>
      </c>
      <c r="AG192" s="78">
        <v>1</v>
      </c>
      <c r="AH192" s="2"/>
      <c r="AI192" s="2"/>
      <c r="AJ192" s="80">
        <f t="shared" si="8"/>
        <v>52</v>
      </c>
    </row>
    <row r="193" spans="1:36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46">
        <v>5827</v>
      </c>
      <c r="O193" s="77">
        <f t="shared" si="0"/>
        <v>0</v>
      </c>
      <c r="P193" s="77">
        <f t="shared" si="1"/>
        <v>2</v>
      </c>
      <c r="Q193" s="77">
        <f t="shared" si="2"/>
        <v>7</v>
      </c>
      <c r="R193" s="78">
        <f t="shared" si="3"/>
        <v>6</v>
      </c>
      <c r="S193" s="2"/>
      <c r="T193" s="2"/>
      <c r="U193" s="2"/>
      <c r="V193" s="46">
        <v>8450</v>
      </c>
      <c r="W193" s="77">
        <f t="shared" si="4"/>
        <v>0</v>
      </c>
      <c r="X193" s="77">
        <f t="shared" si="5"/>
        <v>160</v>
      </c>
      <c r="Y193" s="77">
        <f t="shared" si="6"/>
        <v>8</v>
      </c>
      <c r="Z193" s="78">
        <f t="shared" si="7"/>
        <v>7</v>
      </c>
      <c r="AA193" s="2"/>
      <c r="AB193" s="2"/>
      <c r="AC193" s="2"/>
      <c r="AD193" s="46">
        <v>8450</v>
      </c>
      <c r="AE193" s="77">
        <v>7</v>
      </c>
      <c r="AF193" s="78">
        <v>5</v>
      </c>
      <c r="AG193" s="78">
        <v>1</v>
      </c>
      <c r="AH193" s="2"/>
      <c r="AI193" s="2"/>
      <c r="AJ193" s="80">
        <f t="shared" si="8"/>
        <v>52</v>
      </c>
    </row>
    <row r="194" spans="1:36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46">
        <v>5860</v>
      </c>
      <c r="O194" s="77">
        <f t="shared" si="0"/>
        <v>0</v>
      </c>
      <c r="P194" s="77">
        <f t="shared" si="1"/>
        <v>35</v>
      </c>
      <c r="Q194" s="77">
        <f t="shared" si="2"/>
        <v>7</v>
      </c>
      <c r="R194" s="78">
        <f t="shared" si="3"/>
        <v>6</v>
      </c>
      <c r="S194" s="2"/>
      <c r="T194" s="2"/>
      <c r="U194" s="2"/>
      <c r="V194" s="46">
        <v>8500</v>
      </c>
      <c r="W194" s="77">
        <f t="shared" si="4"/>
        <v>0</v>
      </c>
      <c r="X194" s="77">
        <f t="shared" si="5"/>
        <v>210</v>
      </c>
      <c r="Y194" s="77">
        <f t="shared" si="6"/>
        <v>8</v>
      </c>
      <c r="Z194" s="78">
        <f t="shared" si="7"/>
        <v>7</v>
      </c>
      <c r="AA194" s="2"/>
      <c r="AB194" s="2"/>
      <c r="AC194" s="2"/>
      <c r="AD194" s="46">
        <v>8500</v>
      </c>
      <c r="AE194" s="77">
        <v>7</v>
      </c>
      <c r="AF194" s="78">
        <v>5</v>
      </c>
      <c r="AG194" s="78">
        <v>1</v>
      </c>
      <c r="AH194" s="2"/>
      <c r="AI194" s="2"/>
      <c r="AJ194" s="80">
        <f t="shared" si="8"/>
        <v>52</v>
      </c>
    </row>
    <row r="195" spans="1:36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46">
        <v>5893</v>
      </c>
      <c r="O195" s="77">
        <f t="shared" si="0"/>
        <v>0</v>
      </c>
      <c r="P195" s="77">
        <f t="shared" si="1"/>
        <v>68</v>
      </c>
      <c r="Q195" s="77">
        <f t="shared" si="2"/>
        <v>7</v>
      </c>
      <c r="R195" s="78">
        <f t="shared" si="3"/>
        <v>6</v>
      </c>
      <c r="S195" s="2"/>
      <c r="T195" s="2"/>
      <c r="U195" s="2"/>
      <c r="V195" s="46">
        <v>8550</v>
      </c>
      <c r="W195" s="77">
        <f t="shared" si="4"/>
        <v>0</v>
      </c>
      <c r="X195" s="77">
        <f t="shared" si="5"/>
        <v>260</v>
      </c>
      <c r="Y195" s="77">
        <f t="shared" si="6"/>
        <v>8</v>
      </c>
      <c r="Z195" s="78">
        <f t="shared" si="7"/>
        <v>7</v>
      </c>
      <c r="AA195" s="2"/>
      <c r="AB195" s="2"/>
      <c r="AC195" s="2"/>
      <c r="AD195" s="46">
        <v>8550</v>
      </c>
      <c r="AE195" s="77">
        <v>7</v>
      </c>
      <c r="AF195" s="78">
        <v>5</v>
      </c>
      <c r="AG195" s="78">
        <v>1</v>
      </c>
      <c r="AH195" s="2"/>
      <c r="AI195" s="2"/>
      <c r="AJ195" s="80">
        <f t="shared" si="8"/>
        <v>52</v>
      </c>
    </row>
    <row r="196" spans="1:3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46">
        <v>5926</v>
      </c>
      <c r="O196" s="77">
        <f t="shared" si="0"/>
        <v>0</v>
      </c>
      <c r="P196" s="77">
        <f t="shared" si="1"/>
        <v>101</v>
      </c>
      <c r="Q196" s="77">
        <f t="shared" si="2"/>
        <v>7</v>
      </c>
      <c r="R196" s="78">
        <f t="shared" si="3"/>
        <v>6</v>
      </c>
      <c r="S196" s="2"/>
      <c r="T196" s="2"/>
      <c r="U196" s="2"/>
      <c r="V196" s="46">
        <v>8600</v>
      </c>
      <c r="W196" s="77">
        <f t="shared" si="4"/>
        <v>0</v>
      </c>
      <c r="X196" s="77">
        <f t="shared" si="5"/>
        <v>310</v>
      </c>
      <c r="Y196" s="77">
        <f t="shared" si="6"/>
        <v>8</v>
      </c>
      <c r="Z196" s="78">
        <f t="shared" si="7"/>
        <v>7</v>
      </c>
      <c r="AA196" s="2"/>
      <c r="AB196" s="2"/>
      <c r="AC196" s="2"/>
      <c r="AD196" s="46">
        <v>8600</v>
      </c>
      <c r="AE196" s="77">
        <v>7</v>
      </c>
      <c r="AF196" s="78">
        <v>6</v>
      </c>
      <c r="AG196" s="78">
        <v>0</v>
      </c>
      <c r="AH196" s="2"/>
      <c r="AI196" s="2"/>
      <c r="AJ196" s="80">
        <f t="shared" si="8"/>
        <v>52</v>
      </c>
    </row>
    <row r="197" spans="1:36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46">
        <v>5959</v>
      </c>
      <c r="O197" s="77">
        <f t="shared" si="0"/>
        <v>0</v>
      </c>
      <c r="P197" s="77">
        <f t="shared" si="1"/>
        <v>134</v>
      </c>
      <c r="Q197" s="77">
        <f t="shared" si="2"/>
        <v>7</v>
      </c>
      <c r="R197" s="78">
        <f t="shared" si="3"/>
        <v>6</v>
      </c>
      <c r="S197" s="2"/>
      <c r="T197" s="2"/>
      <c r="U197" s="2"/>
      <c r="V197" s="46">
        <v>8650</v>
      </c>
      <c r="W197" s="77">
        <f t="shared" si="4"/>
        <v>0</v>
      </c>
      <c r="X197" s="77">
        <f t="shared" si="5"/>
        <v>360</v>
      </c>
      <c r="Y197" s="77">
        <f t="shared" si="6"/>
        <v>8</v>
      </c>
      <c r="Z197" s="78">
        <f t="shared" si="7"/>
        <v>7</v>
      </c>
      <c r="AA197" s="2"/>
      <c r="AB197" s="2"/>
      <c r="AC197" s="2"/>
      <c r="AD197" s="46">
        <v>8650</v>
      </c>
      <c r="AE197" s="77">
        <v>7</v>
      </c>
      <c r="AF197" s="78">
        <v>6</v>
      </c>
      <c r="AG197" s="78">
        <v>0</v>
      </c>
      <c r="AH197" s="2"/>
      <c r="AI197" s="2"/>
      <c r="AJ197" s="80">
        <f t="shared" si="8"/>
        <v>52</v>
      </c>
    </row>
    <row r="198" spans="1:36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46">
        <v>5992</v>
      </c>
      <c r="O198" s="77">
        <f t="shared" si="0"/>
        <v>0</v>
      </c>
      <c r="P198" s="77">
        <f t="shared" si="1"/>
        <v>167</v>
      </c>
      <c r="Q198" s="77">
        <f t="shared" si="2"/>
        <v>7</v>
      </c>
      <c r="R198" s="78">
        <f t="shared" si="3"/>
        <v>6</v>
      </c>
      <c r="S198" s="2"/>
      <c r="T198" s="2"/>
      <c r="U198" s="2"/>
      <c r="V198" s="46">
        <v>8700</v>
      </c>
      <c r="W198" s="77">
        <f t="shared" si="4"/>
        <v>0</v>
      </c>
      <c r="X198" s="77">
        <f t="shared" si="5"/>
        <v>410</v>
      </c>
      <c r="Y198" s="77">
        <f t="shared" si="6"/>
        <v>8</v>
      </c>
      <c r="Z198" s="78">
        <f t="shared" si="7"/>
        <v>7</v>
      </c>
      <c r="AA198" s="2"/>
      <c r="AB198" s="2"/>
      <c r="AC198" s="2"/>
      <c r="AD198" s="46">
        <v>8700</v>
      </c>
      <c r="AE198" s="77">
        <v>7</v>
      </c>
      <c r="AF198" s="78">
        <v>6</v>
      </c>
      <c r="AG198" s="78">
        <v>0</v>
      </c>
      <c r="AH198" s="2"/>
      <c r="AI198" s="2"/>
      <c r="AJ198" s="80">
        <f t="shared" si="8"/>
        <v>52</v>
      </c>
    </row>
    <row r="199" spans="1:36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46">
        <v>6025</v>
      </c>
      <c r="O199" s="77">
        <f t="shared" si="0"/>
        <v>0</v>
      </c>
      <c r="P199" s="77">
        <f t="shared" si="1"/>
        <v>200</v>
      </c>
      <c r="Q199" s="77">
        <f t="shared" si="2"/>
        <v>7</v>
      </c>
      <c r="R199" s="78">
        <f t="shared" si="3"/>
        <v>6</v>
      </c>
      <c r="S199" s="2"/>
      <c r="T199" s="2"/>
      <c r="U199" s="2"/>
      <c r="V199" s="46">
        <v>8750</v>
      </c>
      <c r="W199" s="77">
        <f t="shared" si="4"/>
        <v>0</v>
      </c>
      <c r="X199" s="77">
        <f t="shared" si="5"/>
        <v>460</v>
      </c>
      <c r="Y199" s="77">
        <f t="shared" si="6"/>
        <v>8</v>
      </c>
      <c r="Z199" s="78">
        <f t="shared" si="7"/>
        <v>7</v>
      </c>
      <c r="AA199" s="2"/>
      <c r="AB199" s="2"/>
      <c r="AC199" s="2"/>
      <c r="AD199" s="46">
        <v>8750</v>
      </c>
      <c r="AE199" s="77">
        <v>7</v>
      </c>
      <c r="AF199" s="78">
        <v>6</v>
      </c>
      <c r="AG199" s="78">
        <v>0</v>
      </c>
      <c r="AH199" s="2"/>
      <c r="AI199" s="2"/>
      <c r="AJ199" s="80">
        <f t="shared" si="8"/>
        <v>52</v>
      </c>
    </row>
    <row r="200" spans="1:36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46">
        <v>6058</v>
      </c>
      <c r="O200" s="77">
        <f t="shared" si="0"/>
        <v>0</v>
      </c>
      <c r="P200" s="77">
        <f t="shared" si="1"/>
        <v>233</v>
      </c>
      <c r="Q200" s="77">
        <f t="shared" si="2"/>
        <v>7</v>
      </c>
      <c r="R200" s="78">
        <f t="shared" si="3"/>
        <v>6</v>
      </c>
      <c r="S200" s="2"/>
      <c r="T200" s="2"/>
      <c r="U200" s="2"/>
      <c r="V200" s="46">
        <v>8800</v>
      </c>
      <c r="W200" s="77">
        <f t="shared" si="4"/>
        <v>410</v>
      </c>
      <c r="X200" s="77">
        <f t="shared" si="5"/>
        <v>100</v>
      </c>
      <c r="Y200" s="77">
        <f t="shared" si="6"/>
        <v>9</v>
      </c>
      <c r="Z200" s="78">
        <f t="shared" si="7"/>
        <v>7</v>
      </c>
      <c r="AA200" s="2"/>
      <c r="AB200" s="2"/>
      <c r="AC200" s="2"/>
      <c r="AD200" s="46">
        <v>8800</v>
      </c>
      <c r="AE200" s="77">
        <v>7</v>
      </c>
      <c r="AF200" s="78">
        <v>6</v>
      </c>
      <c r="AG200" s="78">
        <v>0</v>
      </c>
      <c r="AH200" s="2"/>
      <c r="AI200" s="2"/>
      <c r="AJ200" s="80">
        <f t="shared" si="8"/>
        <v>52</v>
      </c>
    </row>
    <row r="201" spans="1:36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46">
        <v>6091</v>
      </c>
      <c r="O201" s="77">
        <f t="shared" si="0"/>
        <v>0</v>
      </c>
      <c r="P201" s="77">
        <f t="shared" si="1"/>
        <v>266</v>
      </c>
      <c r="Q201" s="77">
        <f t="shared" si="2"/>
        <v>7</v>
      </c>
      <c r="R201" s="78">
        <f t="shared" si="3"/>
        <v>6</v>
      </c>
      <c r="S201" s="2"/>
      <c r="T201" s="2"/>
      <c r="U201" s="2"/>
      <c r="V201" s="46">
        <v>8850</v>
      </c>
      <c r="W201" s="77">
        <f t="shared" si="4"/>
        <v>460</v>
      </c>
      <c r="X201" s="77">
        <f t="shared" si="5"/>
        <v>100</v>
      </c>
      <c r="Y201" s="77">
        <f t="shared" si="6"/>
        <v>9</v>
      </c>
      <c r="Z201" s="78">
        <f t="shared" si="7"/>
        <v>7</v>
      </c>
      <c r="AA201" s="2"/>
      <c r="AB201" s="2"/>
      <c r="AC201" s="2"/>
      <c r="AD201" s="46">
        <v>8850</v>
      </c>
      <c r="AE201" s="77">
        <v>7</v>
      </c>
      <c r="AF201" s="78">
        <v>6</v>
      </c>
      <c r="AG201" s="78">
        <v>0</v>
      </c>
      <c r="AH201" s="2"/>
      <c r="AI201" s="2"/>
      <c r="AJ201" s="80">
        <f t="shared" si="8"/>
        <v>52</v>
      </c>
    </row>
    <row r="202" spans="1:36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46">
        <v>6124</v>
      </c>
      <c r="O202" s="77">
        <f t="shared" si="0"/>
        <v>0</v>
      </c>
      <c r="P202" s="77">
        <f t="shared" si="1"/>
        <v>299</v>
      </c>
      <c r="Q202" s="77">
        <f t="shared" si="2"/>
        <v>7</v>
      </c>
      <c r="R202" s="78">
        <f t="shared" si="3"/>
        <v>6</v>
      </c>
      <c r="S202" s="2"/>
      <c r="T202" s="2"/>
      <c r="U202" s="2"/>
      <c r="V202" s="46">
        <v>8900</v>
      </c>
      <c r="W202" s="77">
        <f t="shared" si="4"/>
        <v>510</v>
      </c>
      <c r="X202" s="77">
        <f t="shared" si="5"/>
        <v>100</v>
      </c>
      <c r="Y202" s="77">
        <f t="shared" si="6"/>
        <v>9</v>
      </c>
      <c r="Z202" s="78">
        <f t="shared" si="7"/>
        <v>7</v>
      </c>
      <c r="AA202" s="2"/>
      <c r="AB202" s="2"/>
      <c r="AC202" s="2"/>
      <c r="AD202" s="46">
        <v>8900</v>
      </c>
      <c r="AE202" s="77">
        <v>7</v>
      </c>
      <c r="AF202" s="78">
        <v>6</v>
      </c>
      <c r="AG202" s="78">
        <v>0</v>
      </c>
      <c r="AH202" s="2"/>
      <c r="AI202" s="2"/>
      <c r="AJ202" s="80">
        <f t="shared" si="8"/>
        <v>52</v>
      </c>
    </row>
    <row r="203" spans="1:36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46">
        <v>6157</v>
      </c>
      <c r="O203" s="77">
        <f t="shared" si="0"/>
        <v>292</v>
      </c>
      <c r="P203" s="77">
        <f t="shared" si="1"/>
        <v>40</v>
      </c>
      <c r="Q203" s="77">
        <f t="shared" si="2"/>
        <v>8</v>
      </c>
      <c r="R203" s="78">
        <f t="shared" si="3"/>
        <v>6</v>
      </c>
      <c r="S203" s="2"/>
      <c r="T203" s="2"/>
      <c r="U203" s="2"/>
      <c r="V203" s="46">
        <v>8950</v>
      </c>
      <c r="W203" s="77">
        <f t="shared" si="4"/>
        <v>560</v>
      </c>
      <c r="X203" s="77">
        <f t="shared" si="5"/>
        <v>100</v>
      </c>
      <c r="Y203" s="77">
        <f t="shared" si="6"/>
        <v>9</v>
      </c>
      <c r="Z203" s="78">
        <f t="shared" si="7"/>
        <v>7</v>
      </c>
      <c r="AA203" s="2"/>
      <c r="AB203" s="2"/>
      <c r="AC203" s="2"/>
      <c r="AD203" s="46">
        <v>8950</v>
      </c>
      <c r="AE203" s="77">
        <v>8</v>
      </c>
      <c r="AF203" s="78">
        <v>6</v>
      </c>
      <c r="AG203" s="78">
        <v>0</v>
      </c>
      <c r="AH203" s="2"/>
      <c r="AI203" s="2"/>
      <c r="AJ203" s="80">
        <f t="shared" si="8"/>
        <v>56</v>
      </c>
    </row>
    <row r="204" spans="1:36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46">
        <v>6190</v>
      </c>
      <c r="O204" s="77">
        <f t="shared" si="0"/>
        <v>325</v>
      </c>
      <c r="P204" s="77">
        <f t="shared" si="1"/>
        <v>40</v>
      </c>
      <c r="Q204" s="77">
        <f t="shared" si="2"/>
        <v>8</v>
      </c>
      <c r="R204" s="78">
        <f t="shared" si="3"/>
        <v>6</v>
      </c>
      <c r="S204" s="2"/>
      <c r="T204" s="2"/>
      <c r="U204" s="2"/>
      <c r="V204" s="46">
        <v>9000</v>
      </c>
      <c r="W204" s="77">
        <f t="shared" si="4"/>
        <v>610</v>
      </c>
      <c r="X204" s="77">
        <f t="shared" si="5"/>
        <v>100</v>
      </c>
      <c r="Y204" s="77">
        <f t="shared" si="6"/>
        <v>9</v>
      </c>
      <c r="Z204" s="78">
        <f t="shared" si="7"/>
        <v>7</v>
      </c>
      <c r="AA204" s="2"/>
      <c r="AB204" s="2"/>
      <c r="AC204" s="2"/>
      <c r="AD204" s="46">
        <v>9000</v>
      </c>
      <c r="AE204" s="77">
        <v>8</v>
      </c>
      <c r="AF204" s="78">
        <v>6</v>
      </c>
      <c r="AG204" s="78">
        <v>0</v>
      </c>
      <c r="AH204" s="2"/>
      <c r="AI204" s="2"/>
      <c r="AJ204" s="80">
        <f t="shared" si="8"/>
        <v>56</v>
      </c>
    </row>
    <row r="205" spans="1:36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46">
        <v>6223</v>
      </c>
      <c r="O205" s="77">
        <f t="shared" si="0"/>
        <v>358</v>
      </c>
      <c r="P205" s="77">
        <f t="shared" si="1"/>
        <v>40</v>
      </c>
      <c r="Q205" s="77">
        <f t="shared" si="2"/>
        <v>8</v>
      </c>
      <c r="R205" s="78">
        <f t="shared" si="3"/>
        <v>6</v>
      </c>
      <c r="S205" s="2"/>
      <c r="T205" s="2"/>
      <c r="U205" s="2"/>
      <c r="V205" s="46">
        <v>9050</v>
      </c>
      <c r="W205" s="77">
        <f t="shared" si="4"/>
        <v>660</v>
      </c>
      <c r="X205" s="77">
        <f t="shared" si="5"/>
        <v>100</v>
      </c>
      <c r="Y205" s="77">
        <f t="shared" si="6"/>
        <v>9</v>
      </c>
      <c r="Z205" s="78">
        <f t="shared" si="7"/>
        <v>7</v>
      </c>
      <c r="AA205" s="2"/>
      <c r="AB205" s="2"/>
      <c r="AC205" s="2"/>
      <c r="AD205" s="46">
        <v>9050</v>
      </c>
      <c r="AE205" s="77">
        <v>8</v>
      </c>
      <c r="AF205" s="78">
        <v>6</v>
      </c>
      <c r="AG205" s="78">
        <v>0</v>
      </c>
      <c r="AH205" s="2"/>
      <c r="AI205" s="2"/>
      <c r="AJ205" s="80">
        <f t="shared" si="8"/>
        <v>56</v>
      </c>
    </row>
    <row r="206" spans="1:3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46">
        <v>6256</v>
      </c>
      <c r="O206" s="77">
        <f t="shared" si="0"/>
        <v>391</v>
      </c>
      <c r="P206" s="77">
        <f t="shared" si="1"/>
        <v>40</v>
      </c>
      <c r="Q206" s="77">
        <f t="shared" si="2"/>
        <v>8</v>
      </c>
      <c r="R206" s="78">
        <f t="shared" si="3"/>
        <v>6</v>
      </c>
      <c r="S206" s="2"/>
      <c r="T206" s="2"/>
      <c r="U206" s="2"/>
      <c r="V206" s="46">
        <v>9100</v>
      </c>
      <c r="W206" s="77">
        <f t="shared" si="4"/>
        <v>710</v>
      </c>
      <c r="X206" s="77">
        <f t="shared" si="5"/>
        <v>100</v>
      </c>
      <c r="Y206" s="77">
        <f t="shared" si="6"/>
        <v>9</v>
      </c>
      <c r="Z206" s="78">
        <f t="shared" si="7"/>
        <v>7</v>
      </c>
      <c r="AA206" s="2"/>
      <c r="AB206" s="2"/>
      <c r="AC206" s="2"/>
      <c r="AD206" s="46">
        <v>9100</v>
      </c>
      <c r="AE206" s="77">
        <v>8</v>
      </c>
      <c r="AF206" s="78">
        <v>6</v>
      </c>
      <c r="AG206" s="78">
        <v>0</v>
      </c>
      <c r="AH206" s="2"/>
      <c r="AI206" s="2"/>
      <c r="AJ206" s="80">
        <f t="shared" si="8"/>
        <v>56</v>
      </c>
    </row>
    <row r="207" spans="1:36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46">
        <v>6289</v>
      </c>
      <c r="O207" s="77">
        <f t="shared" si="0"/>
        <v>424</v>
      </c>
      <c r="P207" s="77">
        <f t="shared" si="1"/>
        <v>40</v>
      </c>
      <c r="Q207" s="77">
        <f t="shared" si="2"/>
        <v>8</v>
      </c>
      <c r="R207" s="78">
        <f t="shared" si="3"/>
        <v>6</v>
      </c>
      <c r="S207" s="2"/>
      <c r="T207" s="2"/>
      <c r="U207" s="2"/>
      <c r="V207" s="46">
        <v>9150</v>
      </c>
      <c r="W207" s="77">
        <f t="shared" si="4"/>
        <v>760</v>
      </c>
      <c r="X207" s="77">
        <f t="shared" si="5"/>
        <v>100</v>
      </c>
      <c r="Y207" s="77">
        <f t="shared" si="6"/>
        <v>9</v>
      </c>
      <c r="Z207" s="78">
        <f t="shared" si="7"/>
        <v>7</v>
      </c>
      <c r="AA207" s="2"/>
      <c r="AB207" s="2"/>
      <c r="AC207" s="2"/>
      <c r="AD207" s="46">
        <v>9150</v>
      </c>
      <c r="AE207" s="77">
        <v>8</v>
      </c>
      <c r="AF207" s="78">
        <v>6</v>
      </c>
      <c r="AG207" s="78">
        <v>0</v>
      </c>
      <c r="AH207" s="2"/>
      <c r="AI207" s="2"/>
      <c r="AJ207" s="80">
        <f t="shared" si="8"/>
        <v>56</v>
      </c>
    </row>
    <row r="208" spans="1:36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46">
        <v>6322</v>
      </c>
      <c r="O208" s="77">
        <f t="shared" si="0"/>
        <v>457</v>
      </c>
      <c r="P208" s="77">
        <f t="shared" si="1"/>
        <v>40</v>
      </c>
      <c r="Q208" s="77">
        <f t="shared" si="2"/>
        <v>8</v>
      </c>
      <c r="R208" s="78">
        <f t="shared" si="3"/>
        <v>6</v>
      </c>
      <c r="S208" s="2"/>
      <c r="T208" s="2"/>
      <c r="U208" s="2"/>
      <c r="V208" s="46">
        <v>9200</v>
      </c>
      <c r="W208" s="77">
        <f t="shared" si="4"/>
        <v>810</v>
      </c>
      <c r="X208" s="77">
        <f t="shared" si="5"/>
        <v>100</v>
      </c>
      <c r="Y208" s="77">
        <f t="shared" si="6"/>
        <v>9</v>
      </c>
      <c r="Z208" s="78">
        <f t="shared" si="7"/>
        <v>7</v>
      </c>
      <c r="AA208" s="2"/>
      <c r="AB208" s="2"/>
      <c r="AC208" s="2"/>
      <c r="AD208" s="46">
        <v>9200</v>
      </c>
      <c r="AE208" s="77">
        <v>8</v>
      </c>
      <c r="AF208" s="78">
        <v>6</v>
      </c>
      <c r="AG208" s="78">
        <v>0</v>
      </c>
      <c r="AH208" s="2"/>
      <c r="AI208" s="2"/>
      <c r="AJ208" s="80">
        <f t="shared" si="8"/>
        <v>56</v>
      </c>
    </row>
    <row r="209" spans="1:36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46">
        <v>6355</v>
      </c>
      <c r="O209" s="77">
        <f t="shared" si="0"/>
        <v>490</v>
      </c>
      <c r="P209" s="77">
        <f t="shared" si="1"/>
        <v>40</v>
      </c>
      <c r="Q209" s="77">
        <f t="shared" si="2"/>
        <v>8</v>
      </c>
      <c r="R209" s="78">
        <f t="shared" si="3"/>
        <v>6</v>
      </c>
      <c r="S209" s="2"/>
      <c r="T209" s="2"/>
      <c r="U209" s="2"/>
      <c r="V209" s="46">
        <v>9250</v>
      </c>
      <c r="W209" s="77">
        <f t="shared" si="4"/>
        <v>860</v>
      </c>
      <c r="X209" s="77">
        <f t="shared" si="5"/>
        <v>100</v>
      </c>
      <c r="Y209" s="77">
        <f t="shared" si="6"/>
        <v>9</v>
      </c>
      <c r="Z209" s="78">
        <f t="shared" si="7"/>
        <v>7</v>
      </c>
      <c r="AA209" s="2"/>
      <c r="AB209" s="2"/>
      <c r="AC209" s="2"/>
      <c r="AD209" s="46">
        <v>9250</v>
      </c>
      <c r="AE209" s="77">
        <v>8</v>
      </c>
      <c r="AF209" s="78">
        <v>6</v>
      </c>
      <c r="AG209" s="78">
        <v>0</v>
      </c>
      <c r="AH209" s="2"/>
      <c r="AI209" s="2"/>
      <c r="AJ209" s="80">
        <f t="shared" si="8"/>
        <v>56</v>
      </c>
    </row>
    <row r="210" spans="1:36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46">
        <v>6388</v>
      </c>
      <c r="O210" s="77">
        <f t="shared" si="0"/>
        <v>523</v>
      </c>
      <c r="P210" s="77">
        <f t="shared" si="1"/>
        <v>40</v>
      </c>
      <c r="Q210" s="77">
        <f t="shared" si="2"/>
        <v>8</v>
      </c>
      <c r="R210" s="78">
        <f t="shared" si="3"/>
        <v>6</v>
      </c>
      <c r="S210" s="2"/>
      <c r="T210" s="2"/>
      <c r="U210" s="2"/>
      <c r="V210" s="46">
        <v>9300</v>
      </c>
      <c r="W210" s="77">
        <f t="shared" si="4"/>
        <v>910</v>
      </c>
      <c r="X210" s="77">
        <f t="shared" si="5"/>
        <v>100</v>
      </c>
      <c r="Y210" s="77">
        <f t="shared" si="6"/>
        <v>9</v>
      </c>
      <c r="Z210" s="78">
        <f t="shared" si="7"/>
        <v>7</v>
      </c>
      <c r="AA210" s="2"/>
      <c r="AB210" s="2"/>
      <c r="AC210" s="2"/>
      <c r="AD210" s="46">
        <v>9300</v>
      </c>
      <c r="AE210" s="77">
        <v>8</v>
      </c>
      <c r="AF210" s="78">
        <v>6</v>
      </c>
      <c r="AG210" s="78">
        <v>0</v>
      </c>
      <c r="AH210" s="2"/>
      <c r="AI210" s="2"/>
      <c r="AJ210" s="80">
        <f t="shared" si="8"/>
        <v>56</v>
      </c>
    </row>
    <row r="211" spans="1:36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46">
        <v>6421</v>
      </c>
      <c r="O211" s="77">
        <f t="shared" si="0"/>
        <v>556</v>
      </c>
      <c r="P211" s="77">
        <f t="shared" si="1"/>
        <v>40</v>
      </c>
      <c r="Q211" s="77">
        <f t="shared" si="2"/>
        <v>8</v>
      </c>
      <c r="R211" s="78">
        <f t="shared" si="3"/>
        <v>6</v>
      </c>
      <c r="S211" s="2"/>
      <c r="T211" s="2"/>
      <c r="U211" s="2"/>
      <c r="V211" s="46">
        <v>9350</v>
      </c>
      <c r="W211" s="77">
        <f t="shared" si="4"/>
        <v>960</v>
      </c>
      <c r="X211" s="77">
        <f t="shared" si="5"/>
        <v>100</v>
      </c>
      <c r="Y211" s="77">
        <f t="shared" si="6"/>
        <v>9</v>
      </c>
      <c r="Z211" s="78">
        <f t="shared" si="7"/>
        <v>7</v>
      </c>
      <c r="AA211" s="2"/>
      <c r="AB211" s="2"/>
      <c r="AC211" s="2"/>
      <c r="AD211" s="46">
        <v>9350</v>
      </c>
      <c r="AE211" s="77">
        <v>8</v>
      </c>
      <c r="AF211" s="78">
        <v>6</v>
      </c>
      <c r="AG211" s="78">
        <v>0</v>
      </c>
      <c r="AH211" s="2"/>
      <c r="AI211" s="2"/>
      <c r="AJ211" s="80">
        <f t="shared" si="8"/>
        <v>56</v>
      </c>
    </row>
    <row r="212" spans="1:36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46">
        <v>6454</v>
      </c>
      <c r="O212" s="77">
        <f t="shared" si="0"/>
        <v>589</v>
      </c>
      <c r="P212" s="77">
        <f t="shared" si="1"/>
        <v>40</v>
      </c>
      <c r="Q212" s="77">
        <f t="shared" si="2"/>
        <v>8</v>
      </c>
      <c r="R212" s="78">
        <f t="shared" si="3"/>
        <v>6</v>
      </c>
      <c r="S212" s="2"/>
      <c r="T212" s="2"/>
      <c r="U212" s="2"/>
      <c r="V212" s="46">
        <v>9400</v>
      </c>
      <c r="W212" s="77">
        <f t="shared" si="4"/>
        <v>1010</v>
      </c>
      <c r="X212" s="77">
        <f t="shared" si="5"/>
        <v>100</v>
      </c>
      <c r="Y212" s="77">
        <f t="shared" si="6"/>
        <v>9</v>
      </c>
      <c r="Z212" s="78">
        <f t="shared" si="7"/>
        <v>7</v>
      </c>
      <c r="AA212" s="2"/>
      <c r="AB212" s="2"/>
      <c r="AC212" s="2"/>
      <c r="AD212" s="46">
        <v>9400</v>
      </c>
      <c r="AE212" s="77">
        <v>8</v>
      </c>
      <c r="AF212" s="78">
        <v>6</v>
      </c>
      <c r="AG212" s="78">
        <v>0</v>
      </c>
      <c r="AH212" s="2"/>
      <c r="AI212" s="2"/>
      <c r="AJ212" s="80">
        <f t="shared" si="8"/>
        <v>56</v>
      </c>
    </row>
    <row r="213" spans="1:36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46">
        <v>6487</v>
      </c>
      <c r="O213" s="77">
        <f t="shared" si="0"/>
        <v>622</v>
      </c>
      <c r="P213" s="77">
        <f t="shared" si="1"/>
        <v>40</v>
      </c>
      <c r="Q213" s="77">
        <f t="shared" si="2"/>
        <v>8</v>
      </c>
      <c r="R213" s="78">
        <f t="shared" si="3"/>
        <v>6</v>
      </c>
      <c r="S213" s="2"/>
      <c r="T213" s="2"/>
      <c r="U213" s="2"/>
      <c r="V213" s="46">
        <v>9450</v>
      </c>
      <c r="W213" s="77">
        <f t="shared" si="4"/>
        <v>0</v>
      </c>
      <c r="X213" s="77">
        <f t="shared" si="5"/>
        <v>0</v>
      </c>
      <c r="Y213" s="77">
        <f t="shared" si="6"/>
        <v>9</v>
      </c>
      <c r="Z213" s="78">
        <f t="shared" si="7"/>
        <v>8</v>
      </c>
      <c r="AA213" s="2"/>
      <c r="AB213" s="2"/>
      <c r="AC213" s="2"/>
      <c r="AD213" s="46">
        <v>9450</v>
      </c>
      <c r="AE213" s="77">
        <v>8</v>
      </c>
      <c r="AF213" s="78">
        <v>6</v>
      </c>
      <c r="AG213" s="78">
        <v>0</v>
      </c>
      <c r="AH213" s="2"/>
      <c r="AI213" s="2"/>
      <c r="AJ213" s="80">
        <f t="shared" si="8"/>
        <v>56</v>
      </c>
    </row>
    <row r="214" spans="1:36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46">
        <v>6520</v>
      </c>
      <c r="O214" s="77">
        <f t="shared" si="0"/>
        <v>655</v>
      </c>
      <c r="P214" s="77">
        <f t="shared" si="1"/>
        <v>40</v>
      </c>
      <c r="Q214" s="77">
        <f t="shared" si="2"/>
        <v>8</v>
      </c>
      <c r="R214" s="78">
        <f t="shared" si="3"/>
        <v>6</v>
      </c>
      <c r="S214" s="2"/>
      <c r="T214" s="2"/>
      <c r="U214" s="2"/>
      <c r="V214" s="46">
        <v>9500</v>
      </c>
      <c r="W214" s="77">
        <f t="shared" si="4"/>
        <v>0</v>
      </c>
      <c r="X214" s="77">
        <f t="shared" si="5"/>
        <v>50</v>
      </c>
      <c r="Y214" s="77">
        <f t="shared" si="6"/>
        <v>9</v>
      </c>
      <c r="Z214" s="78">
        <f t="shared" si="7"/>
        <v>8</v>
      </c>
      <c r="AA214" s="2"/>
      <c r="AB214" s="2"/>
      <c r="AC214" s="2"/>
      <c r="AD214" s="46">
        <v>9500</v>
      </c>
      <c r="AE214" s="77">
        <v>8</v>
      </c>
      <c r="AF214" s="78">
        <v>6</v>
      </c>
      <c r="AG214" s="78">
        <v>0</v>
      </c>
      <c r="AH214" s="2"/>
      <c r="AI214" s="2"/>
      <c r="AJ214" s="80">
        <f t="shared" si="8"/>
        <v>56</v>
      </c>
    </row>
    <row r="215" spans="1:36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46">
        <v>6553</v>
      </c>
      <c r="O215" s="77">
        <f t="shared" si="0"/>
        <v>688</v>
      </c>
      <c r="P215" s="77">
        <f t="shared" si="1"/>
        <v>40</v>
      </c>
      <c r="Q215" s="77">
        <f t="shared" si="2"/>
        <v>8</v>
      </c>
      <c r="R215" s="78">
        <f t="shared" si="3"/>
        <v>6</v>
      </c>
      <c r="S215" s="2"/>
      <c r="T215" s="2"/>
      <c r="U215" s="2"/>
      <c r="V215" s="46">
        <v>9550</v>
      </c>
      <c r="W215" s="77">
        <f t="shared" si="4"/>
        <v>0</v>
      </c>
      <c r="X215" s="77">
        <f t="shared" si="5"/>
        <v>100</v>
      </c>
      <c r="Y215" s="77">
        <f t="shared" si="6"/>
        <v>9</v>
      </c>
      <c r="Z215" s="78">
        <f t="shared" si="7"/>
        <v>8</v>
      </c>
      <c r="AA215" s="2"/>
      <c r="AB215" s="2"/>
      <c r="AC215" s="2"/>
      <c r="AD215" s="46">
        <v>9550</v>
      </c>
      <c r="AE215" s="77">
        <v>8</v>
      </c>
      <c r="AF215" s="78">
        <v>6</v>
      </c>
      <c r="AG215" s="78">
        <v>0</v>
      </c>
      <c r="AH215" s="2"/>
      <c r="AI215" s="2"/>
      <c r="AJ215" s="80">
        <f t="shared" si="8"/>
        <v>56</v>
      </c>
    </row>
    <row r="216" spans="1:3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46">
        <v>6586</v>
      </c>
      <c r="O216" s="77">
        <f t="shared" si="0"/>
        <v>721</v>
      </c>
      <c r="P216" s="77">
        <f t="shared" si="1"/>
        <v>40</v>
      </c>
      <c r="Q216" s="77">
        <f t="shared" si="2"/>
        <v>8</v>
      </c>
      <c r="R216" s="78">
        <f t="shared" si="3"/>
        <v>6</v>
      </c>
      <c r="S216" s="2"/>
      <c r="T216" s="2"/>
      <c r="U216" s="2"/>
      <c r="V216" s="46">
        <v>9600</v>
      </c>
      <c r="W216" s="77">
        <f t="shared" si="4"/>
        <v>0</v>
      </c>
      <c r="X216" s="77">
        <f t="shared" si="5"/>
        <v>150</v>
      </c>
      <c r="Y216" s="77">
        <f t="shared" si="6"/>
        <v>9</v>
      </c>
      <c r="Z216" s="78">
        <f t="shared" si="7"/>
        <v>8</v>
      </c>
      <c r="AA216" s="2"/>
      <c r="AB216" s="2"/>
      <c r="AC216" s="2"/>
      <c r="AD216" s="46">
        <v>9600</v>
      </c>
      <c r="AE216" s="77">
        <v>8</v>
      </c>
      <c r="AF216" s="78">
        <v>6</v>
      </c>
      <c r="AG216" s="78">
        <v>0</v>
      </c>
      <c r="AH216" s="2"/>
      <c r="AI216" s="2"/>
      <c r="AJ216" s="80">
        <f t="shared" si="8"/>
        <v>56</v>
      </c>
    </row>
    <row r="217" spans="1:36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46">
        <v>6619</v>
      </c>
      <c r="O217" s="77">
        <f t="shared" si="0"/>
        <v>754</v>
      </c>
      <c r="P217" s="77">
        <f t="shared" si="1"/>
        <v>40</v>
      </c>
      <c r="Q217" s="77">
        <f t="shared" si="2"/>
        <v>8</v>
      </c>
      <c r="R217" s="78">
        <f t="shared" si="3"/>
        <v>6</v>
      </c>
      <c r="S217" s="2"/>
      <c r="T217" s="2"/>
      <c r="U217" s="2"/>
      <c r="V217" s="46">
        <v>9650</v>
      </c>
      <c r="W217" s="77">
        <f t="shared" si="4"/>
        <v>0</v>
      </c>
      <c r="X217" s="77">
        <f t="shared" si="5"/>
        <v>200</v>
      </c>
      <c r="Y217" s="77">
        <f t="shared" si="6"/>
        <v>9</v>
      </c>
      <c r="Z217" s="78">
        <f t="shared" si="7"/>
        <v>8</v>
      </c>
      <c r="AA217" s="2"/>
      <c r="AB217" s="2"/>
      <c r="AC217" s="2"/>
      <c r="AD217" s="46">
        <v>9650</v>
      </c>
      <c r="AE217" s="77">
        <v>8</v>
      </c>
      <c r="AF217" s="78">
        <v>6</v>
      </c>
      <c r="AG217" s="78">
        <v>1</v>
      </c>
      <c r="AH217" s="2"/>
      <c r="AI217" s="2"/>
      <c r="AJ217" s="80">
        <f t="shared" si="8"/>
        <v>60</v>
      </c>
    </row>
    <row r="218" spans="1:36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46">
        <v>6652</v>
      </c>
      <c r="O218" s="77">
        <f t="shared" si="0"/>
        <v>787</v>
      </c>
      <c r="P218" s="77">
        <f t="shared" si="1"/>
        <v>40</v>
      </c>
      <c r="Q218" s="77">
        <f t="shared" si="2"/>
        <v>8</v>
      </c>
      <c r="R218" s="78">
        <f t="shared" si="3"/>
        <v>6</v>
      </c>
      <c r="S218" s="2"/>
      <c r="T218" s="2"/>
      <c r="U218" s="2"/>
      <c r="V218" s="46">
        <v>9700</v>
      </c>
      <c r="W218" s="77">
        <f t="shared" si="4"/>
        <v>0</v>
      </c>
      <c r="X218" s="77">
        <f t="shared" si="5"/>
        <v>250</v>
      </c>
      <c r="Y218" s="77">
        <f t="shared" si="6"/>
        <v>9</v>
      </c>
      <c r="Z218" s="78">
        <f t="shared" si="7"/>
        <v>8</v>
      </c>
      <c r="AA218" s="2"/>
      <c r="AB218" s="2"/>
      <c r="AC218" s="2"/>
      <c r="AD218" s="46">
        <v>9700</v>
      </c>
      <c r="AE218" s="77">
        <v>8</v>
      </c>
      <c r="AF218" s="78">
        <v>6</v>
      </c>
      <c r="AG218" s="78">
        <v>1</v>
      </c>
      <c r="AH218" s="2"/>
      <c r="AI218" s="2"/>
      <c r="AJ218" s="80">
        <f t="shared" si="8"/>
        <v>60</v>
      </c>
    </row>
    <row r="219" spans="1:36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46">
        <v>6685</v>
      </c>
      <c r="O219" s="77">
        <f t="shared" si="0"/>
        <v>820</v>
      </c>
      <c r="P219" s="77">
        <f t="shared" si="1"/>
        <v>40</v>
      </c>
      <c r="Q219" s="77">
        <f t="shared" si="2"/>
        <v>8</v>
      </c>
      <c r="R219" s="78">
        <f t="shared" si="3"/>
        <v>6</v>
      </c>
      <c r="S219" s="2"/>
      <c r="T219" s="2"/>
      <c r="U219" s="2"/>
      <c r="V219" s="46">
        <v>9750</v>
      </c>
      <c r="W219" s="77">
        <f t="shared" si="4"/>
        <v>0</v>
      </c>
      <c r="X219" s="77">
        <f t="shared" si="5"/>
        <v>300</v>
      </c>
      <c r="Y219" s="77">
        <f t="shared" si="6"/>
        <v>9</v>
      </c>
      <c r="Z219" s="78">
        <f t="shared" si="7"/>
        <v>8</v>
      </c>
      <c r="AA219" s="2"/>
      <c r="AB219" s="2"/>
      <c r="AC219" s="2"/>
      <c r="AD219" s="46">
        <v>9750</v>
      </c>
      <c r="AE219" s="77">
        <v>8</v>
      </c>
      <c r="AF219" s="78">
        <v>6</v>
      </c>
      <c r="AG219" s="78">
        <v>1</v>
      </c>
      <c r="AH219" s="2"/>
      <c r="AI219" s="2"/>
      <c r="AJ219" s="80">
        <f t="shared" si="8"/>
        <v>60</v>
      </c>
    </row>
    <row r="220" spans="1:36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46">
        <v>6718</v>
      </c>
      <c r="O220" s="77">
        <f t="shared" si="0"/>
        <v>853</v>
      </c>
      <c r="P220" s="77">
        <f t="shared" si="1"/>
        <v>40</v>
      </c>
      <c r="Q220" s="77">
        <f t="shared" si="2"/>
        <v>8</v>
      </c>
      <c r="R220" s="78">
        <f t="shared" si="3"/>
        <v>6</v>
      </c>
      <c r="S220" s="2"/>
      <c r="T220" s="2"/>
      <c r="U220" s="2"/>
      <c r="V220" s="46">
        <v>9800</v>
      </c>
      <c r="W220" s="77">
        <f t="shared" si="4"/>
        <v>0</v>
      </c>
      <c r="X220" s="77">
        <f t="shared" si="5"/>
        <v>350</v>
      </c>
      <c r="Y220" s="77">
        <f t="shared" si="6"/>
        <v>9</v>
      </c>
      <c r="Z220" s="78">
        <f t="shared" si="7"/>
        <v>8</v>
      </c>
      <c r="AA220" s="2"/>
      <c r="AB220" s="2"/>
      <c r="AC220" s="2"/>
      <c r="AD220" s="46">
        <v>9800</v>
      </c>
      <c r="AE220" s="77">
        <v>8</v>
      </c>
      <c r="AF220" s="78">
        <v>6</v>
      </c>
      <c r="AG220" s="78">
        <v>1</v>
      </c>
      <c r="AH220" s="2"/>
      <c r="AI220" s="2"/>
      <c r="AJ220" s="80">
        <f t="shared" si="8"/>
        <v>60</v>
      </c>
    </row>
    <row r="221" spans="1:36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46">
        <v>6751</v>
      </c>
      <c r="O221" s="77">
        <f t="shared" si="0"/>
        <v>886</v>
      </c>
      <c r="P221" s="77">
        <f t="shared" si="1"/>
        <v>40</v>
      </c>
      <c r="Q221" s="77">
        <f t="shared" si="2"/>
        <v>8</v>
      </c>
      <c r="R221" s="78">
        <f t="shared" si="3"/>
        <v>6</v>
      </c>
      <c r="S221" s="2"/>
      <c r="T221" s="2"/>
      <c r="U221" s="2"/>
      <c r="V221" s="46">
        <v>9850</v>
      </c>
      <c r="W221" s="77">
        <f t="shared" si="4"/>
        <v>0</v>
      </c>
      <c r="X221" s="77">
        <f t="shared" si="5"/>
        <v>400</v>
      </c>
      <c r="Y221" s="77">
        <f t="shared" si="6"/>
        <v>9</v>
      </c>
      <c r="Z221" s="78">
        <f t="shared" si="7"/>
        <v>8</v>
      </c>
      <c r="AA221" s="2"/>
      <c r="AB221" s="2"/>
      <c r="AC221" s="2"/>
      <c r="AD221" s="46">
        <v>9850</v>
      </c>
      <c r="AE221" s="77">
        <v>8</v>
      </c>
      <c r="AF221" s="78">
        <v>6</v>
      </c>
      <c r="AG221" s="78">
        <v>1</v>
      </c>
      <c r="AH221" s="2"/>
      <c r="AI221" s="2"/>
      <c r="AJ221" s="80">
        <f t="shared" si="8"/>
        <v>60</v>
      </c>
    </row>
    <row r="222" spans="1:36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46">
        <v>6784</v>
      </c>
      <c r="O222" s="77">
        <f t="shared" si="0"/>
        <v>0</v>
      </c>
      <c r="P222" s="77">
        <f t="shared" si="1"/>
        <v>9</v>
      </c>
      <c r="Q222" s="77">
        <f t="shared" si="2"/>
        <v>8</v>
      </c>
      <c r="R222" s="78">
        <f t="shared" si="3"/>
        <v>7</v>
      </c>
      <c r="S222" s="2"/>
      <c r="T222" s="2"/>
      <c r="U222" s="2"/>
      <c r="V222" s="46">
        <v>9900</v>
      </c>
      <c r="W222" s="77">
        <f t="shared" si="4"/>
        <v>0</v>
      </c>
      <c r="X222" s="77">
        <f t="shared" si="5"/>
        <v>450</v>
      </c>
      <c r="Y222" s="77">
        <f t="shared" si="6"/>
        <v>9</v>
      </c>
      <c r="Z222" s="78">
        <f t="shared" si="7"/>
        <v>8</v>
      </c>
      <c r="AA222" s="2"/>
      <c r="AB222" s="2"/>
      <c r="AC222" s="2"/>
      <c r="AD222" s="46">
        <v>9900</v>
      </c>
      <c r="AE222" s="77">
        <v>8</v>
      </c>
      <c r="AF222" s="78">
        <v>6</v>
      </c>
      <c r="AG222" s="78">
        <v>1</v>
      </c>
      <c r="AH222" s="2"/>
      <c r="AI222" s="2"/>
      <c r="AJ222" s="80">
        <f t="shared" si="8"/>
        <v>60</v>
      </c>
    </row>
    <row r="223" spans="1:36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46">
        <v>6817</v>
      </c>
      <c r="O223" s="77">
        <f t="shared" si="0"/>
        <v>0</v>
      </c>
      <c r="P223" s="77">
        <f t="shared" si="1"/>
        <v>42</v>
      </c>
      <c r="Q223" s="77">
        <f t="shared" si="2"/>
        <v>8</v>
      </c>
      <c r="R223" s="78">
        <f t="shared" si="3"/>
        <v>7</v>
      </c>
      <c r="S223" s="2"/>
      <c r="T223" s="2"/>
      <c r="U223" s="2"/>
      <c r="V223" s="46">
        <v>9950</v>
      </c>
      <c r="W223" s="77">
        <f t="shared" si="4"/>
        <v>400</v>
      </c>
      <c r="X223" s="77">
        <f t="shared" si="5"/>
        <v>100</v>
      </c>
      <c r="Y223" s="77">
        <f t="shared" si="6"/>
        <v>10</v>
      </c>
      <c r="Z223" s="78">
        <f t="shared" si="7"/>
        <v>8</v>
      </c>
      <c r="AA223" s="2"/>
      <c r="AB223" s="2"/>
      <c r="AC223" s="2"/>
      <c r="AD223" s="46">
        <v>9950</v>
      </c>
      <c r="AE223" s="77">
        <v>8</v>
      </c>
      <c r="AF223" s="78">
        <v>6</v>
      </c>
      <c r="AG223" s="78">
        <v>1</v>
      </c>
      <c r="AH223" s="2"/>
      <c r="AI223" s="2"/>
      <c r="AJ223" s="80">
        <f t="shared" si="8"/>
        <v>60</v>
      </c>
    </row>
    <row r="224" spans="1:36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46">
        <v>6850</v>
      </c>
      <c r="O224" s="77">
        <f t="shared" si="0"/>
        <v>0</v>
      </c>
      <c r="P224" s="77">
        <f t="shared" si="1"/>
        <v>75</v>
      </c>
      <c r="Q224" s="77">
        <f t="shared" si="2"/>
        <v>8</v>
      </c>
      <c r="R224" s="78">
        <f t="shared" si="3"/>
        <v>7</v>
      </c>
      <c r="S224" s="2"/>
      <c r="T224" s="2"/>
      <c r="U224" s="2"/>
      <c r="V224" s="46">
        <v>10000</v>
      </c>
      <c r="W224" s="77">
        <f t="shared" si="4"/>
        <v>450</v>
      </c>
      <c r="X224" s="77">
        <f t="shared" si="5"/>
        <v>100</v>
      </c>
      <c r="Y224" s="77">
        <f t="shared" si="6"/>
        <v>10</v>
      </c>
      <c r="Z224" s="78">
        <f t="shared" si="7"/>
        <v>8</v>
      </c>
      <c r="AA224" s="2"/>
      <c r="AB224" s="2"/>
      <c r="AC224" s="2"/>
      <c r="AD224" s="46">
        <v>10000</v>
      </c>
      <c r="AE224" s="77">
        <v>8</v>
      </c>
      <c r="AF224" s="78">
        <v>7</v>
      </c>
      <c r="AG224" s="78">
        <v>0</v>
      </c>
      <c r="AH224" s="2"/>
      <c r="AI224" s="2"/>
      <c r="AJ224" s="80">
        <f t="shared" si="8"/>
        <v>60</v>
      </c>
    </row>
    <row r="225" spans="1:36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46">
        <v>6883</v>
      </c>
      <c r="O225" s="77">
        <f t="shared" si="0"/>
        <v>0</v>
      </c>
      <c r="P225" s="77">
        <f t="shared" si="1"/>
        <v>108</v>
      </c>
      <c r="Q225" s="77">
        <f t="shared" si="2"/>
        <v>8</v>
      </c>
      <c r="R225" s="78">
        <f t="shared" si="3"/>
        <v>7</v>
      </c>
      <c r="S225" s="2"/>
      <c r="T225" s="2"/>
      <c r="U225" s="2"/>
      <c r="V225" s="46">
        <v>10050</v>
      </c>
      <c r="W225" s="77">
        <f t="shared" si="4"/>
        <v>500</v>
      </c>
      <c r="X225" s="77">
        <f t="shared" si="5"/>
        <v>100</v>
      </c>
      <c r="Y225" s="77">
        <f t="shared" si="6"/>
        <v>10</v>
      </c>
      <c r="Z225" s="78">
        <f t="shared" si="7"/>
        <v>8</v>
      </c>
      <c r="AA225" s="2"/>
      <c r="AB225" s="2"/>
      <c r="AC225" s="2"/>
      <c r="AD225" s="46">
        <v>10050</v>
      </c>
      <c r="AE225" s="77">
        <v>8</v>
      </c>
      <c r="AF225" s="78">
        <v>7</v>
      </c>
      <c r="AG225" s="78">
        <v>0</v>
      </c>
      <c r="AH225" s="2"/>
      <c r="AI225" s="2"/>
      <c r="AJ225" s="80">
        <f t="shared" si="8"/>
        <v>60</v>
      </c>
    </row>
    <row r="226" spans="1:3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46">
        <v>6916</v>
      </c>
      <c r="O226" s="77">
        <f t="shared" si="0"/>
        <v>0</v>
      </c>
      <c r="P226" s="77">
        <f t="shared" si="1"/>
        <v>141</v>
      </c>
      <c r="Q226" s="77">
        <f t="shared" si="2"/>
        <v>8</v>
      </c>
      <c r="R226" s="78">
        <f t="shared" si="3"/>
        <v>7</v>
      </c>
      <c r="S226" s="2"/>
      <c r="T226" s="2"/>
      <c r="U226" s="2"/>
      <c r="V226" s="46">
        <v>10100</v>
      </c>
      <c r="W226" s="77">
        <f t="shared" si="4"/>
        <v>550</v>
      </c>
      <c r="X226" s="77">
        <f t="shared" si="5"/>
        <v>100</v>
      </c>
      <c r="Y226" s="77">
        <f t="shared" si="6"/>
        <v>10</v>
      </c>
      <c r="Z226" s="78">
        <f t="shared" si="7"/>
        <v>8</v>
      </c>
      <c r="AA226" s="2"/>
      <c r="AB226" s="2"/>
      <c r="AC226" s="2"/>
      <c r="AD226" s="46">
        <v>10100</v>
      </c>
      <c r="AE226" s="77">
        <v>8</v>
      </c>
      <c r="AF226" s="78">
        <v>7</v>
      </c>
      <c r="AG226" s="78">
        <v>0</v>
      </c>
      <c r="AH226" s="2"/>
      <c r="AI226" s="2"/>
      <c r="AJ226" s="80">
        <f t="shared" si="8"/>
        <v>60</v>
      </c>
    </row>
    <row r="227" spans="1:36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46">
        <v>6949</v>
      </c>
      <c r="O227" s="77">
        <f t="shared" si="0"/>
        <v>0</v>
      </c>
      <c r="P227" s="77">
        <f t="shared" si="1"/>
        <v>174</v>
      </c>
      <c r="Q227" s="77">
        <f t="shared" si="2"/>
        <v>8</v>
      </c>
      <c r="R227" s="78">
        <f t="shared" si="3"/>
        <v>7</v>
      </c>
      <c r="S227" s="2"/>
      <c r="T227" s="2"/>
      <c r="U227" s="2"/>
      <c r="V227" s="46">
        <v>10150</v>
      </c>
      <c r="W227" s="77">
        <f t="shared" si="4"/>
        <v>600</v>
      </c>
      <c r="X227" s="77">
        <f t="shared" si="5"/>
        <v>100</v>
      </c>
      <c r="Y227" s="77">
        <f t="shared" si="6"/>
        <v>10</v>
      </c>
      <c r="Z227" s="78">
        <f t="shared" si="7"/>
        <v>8</v>
      </c>
      <c r="AA227" s="2"/>
      <c r="AB227" s="2"/>
      <c r="AC227" s="2"/>
      <c r="AD227" s="46">
        <v>10150</v>
      </c>
      <c r="AE227" s="77">
        <v>8</v>
      </c>
      <c r="AF227" s="78">
        <v>7</v>
      </c>
      <c r="AG227" s="78">
        <v>0</v>
      </c>
      <c r="AH227" s="2"/>
      <c r="AI227" s="2"/>
      <c r="AJ227" s="80">
        <f t="shared" si="8"/>
        <v>60</v>
      </c>
    </row>
    <row r="228" spans="1:36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46">
        <v>6982</v>
      </c>
      <c r="O228" s="77">
        <f t="shared" si="0"/>
        <v>0</v>
      </c>
      <c r="P228" s="77">
        <f t="shared" si="1"/>
        <v>207</v>
      </c>
      <c r="Q228" s="77">
        <f t="shared" si="2"/>
        <v>8</v>
      </c>
      <c r="R228" s="78">
        <f t="shared" si="3"/>
        <v>7</v>
      </c>
      <c r="S228" s="2"/>
      <c r="T228" s="2"/>
      <c r="U228" s="2"/>
      <c r="V228" s="46">
        <v>10200</v>
      </c>
      <c r="W228" s="77">
        <f t="shared" si="4"/>
        <v>650</v>
      </c>
      <c r="X228" s="77">
        <f t="shared" si="5"/>
        <v>100</v>
      </c>
      <c r="Y228" s="77">
        <f t="shared" si="6"/>
        <v>10</v>
      </c>
      <c r="Z228" s="78">
        <f t="shared" si="7"/>
        <v>8</v>
      </c>
      <c r="AA228" s="2"/>
      <c r="AB228" s="2"/>
      <c r="AC228" s="2"/>
      <c r="AD228" s="46">
        <v>10200</v>
      </c>
      <c r="AE228" s="77">
        <v>8</v>
      </c>
      <c r="AF228" s="78">
        <v>7</v>
      </c>
      <c r="AG228" s="78">
        <v>0</v>
      </c>
      <c r="AH228" s="2"/>
      <c r="AI228" s="2"/>
      <c r="AJ228" s="80">
        <f t="shared" si="8"/>
        <v>60</v>
      </c>
    </row>
    <row r="229" spans="1:36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57">
        <v>7015</v>
      </c>
      <c r="O229" s="148">
        <f t="shared" si="0"/>
        <v>0</v>
      </c>
      <c r="P229" s="148">
        <f t="shared" si="1"/>
        <v>240</v>
      </c>
      <c r="Q229" s="148">
        <f t="shared" si="2"/>
        <v>8</v>
      </c>
      <c r="R229" s="149">
        <f t="shared" si="3"/>
        <v>7</v>
      </c>
      <c r="S229" s="2"/>
      <c r="T229" s="2"/>
      <c r="U229" s="2"/>
      <c r="V229" s="46">
        <v>10250</v>
      </c>
      <c r="W229" s="77">
        <f t="shared" si="4"/>
        <v>700</v>
      </c>
      <c r="X229" s="77">
        <f t="shared" si="5"/>
        <v>100</v>
      </c>
      <c r="Y229" s="77">
        <f t="shared" si="6"/>
        <v>10</v>
      </c>
      <c r="Z229" s="78">
        <f t="shared" si="7"/>
        <v>8</v>
      </c>
      <c r="AA229" s="2"/>
      <c r="AB229" s="2"/>
      <c r="AC229" s="2"/>
      <c r="AD229" s="46">
        <v>10250</v>
      </c>
      <c r="AE229" s="77">
        <v>8</v>
      </c>
      <c r="AF229" s="78">
        <v>7</v>
      </c>
      <c r="AG229" s="78">
        <v>0</v>
      </c>
      <c r="AH229" s="2"/>
      <c r="AI229" s="2"/>
      <c r="AJ229" s="80">
        <f t="shared" si="8"/>
        <v>60</v>
      </c>
    </row>
    <row r="230" spans="1:36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46">
        <v>10300</v>
      </c>
      <c r="W230" s="77">
        <f t="shared" si="4"/>
        <v>750</v>
      </c>
      <c r="X230" s="77">
        <f t="shared" si="5"/>
        <v>100</v>
      </c>
      <c r="Y230" s="77">
        <f t="shared" si="6"/>
        <v>10</v>
      </c>
      <c r="Z230" s="78">
        <f t="shared" si="7"/>
        <v>8</v>
      </c>
      <c r="AA230" s="2"/>
      <c r="AB230" s="2"/>
      <c r="AC230" s="2"/>
      <c r="AD230" s="46">
        <v>10300</v>
      </c>
      <c r="AE230" s="77">
        <v>9</v>
      </c>
      <c r="AF230" s="78">
        <v>7</v>
      </c>
      <c r="AG230" s="78">
        <v>0</v>
      </c>
      <c r="AH230" s="2"/>
      <c r="AI230" s="2"/>
      <c r="AJ230" s="80">
        <f t="shared" si="8"/>
        <v>64</v>
      </c>
    </row>
    <row r="231" spans="1:36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46">
        <v>10350</v>
      </c>
      <c r="W231" s="77">
        <f t="shared" si="4"/>
        <v>800</v>
      </c>
      <c r="X231" s="77">
        <f t="shared" si="5"/>
        <v>100</v>
      </c>
      <c r="Y231" s="77">
        <f t="shared" si="6"/>
        <v>10</v>
      </c>
      <c r="Z231" s="78">
        <f t="shared" si="7"/>
        <v>8</v>
      </c>
      <c r="AA231" s="2"/>
      <c r="AB231" s="2"/>
      <c r="AC231" s="2"/>
      <c r="AD231" s="46">
        <v>10350</v>
      </c>
      <c r="AE231" s="77">
        <v>9</v>
      </c>
      <c r="AF231" s="78">
        <v>7</v>
      </c>
      <c r="AG231" s="78">
        <v>0</v>
      </c>
      <c r="AH231" s="2"/>
      <c r="AI231" s="2"/>
      <c r="AJ231" s="80">
        <f t="shared" si="8"/>
        <v>64</v>
      </c>
    </row>
    <row r="232" spans="1:36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46">
        <v>10400</v>
      </c>
      <c r="W232" s="77">
        <f t="shared" si="4"/>
        <v>850</v>
      </c>
      <c r="X232" s="77">
        <f t="shared" si="5"/>
        <v>100</v>
      </c>
      <c r="Y232" s="77">
        <f t="shared" si="6"/>
        <v>10</v>
      </c>
      <c r="Z232" s="78">
        <f t="shared" si="7"/>
        <v>8</v>
      </c>
      <c r="AA232" s="2"/>
      <c r="AB232" s="2"/>
      <c r="AC232" s="2"/>
      <c r="AD232" s="46">
        <v>10400</v>
      </c>
      <c r="AE232" s="77">
        <v>9</v>
      </c>
      <c r="AF232" s="78">
        <v>7</v>
      </c>
      <c r="AG232" s="78">
        <v>0</v>
      </c>
      <c r="AH232" s="2"/>
      <c r="AI232" s="2"/>
      <c r="AJ232" s="80">
        <f t="shared" si="8"/>
        <v>64</v>
      </c>
    </row>
    <row r="233" spans="1:36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46">
        <v>10450</v>
      </c>
      <c r="W233" s="77">
        <f t="shared" si="4"/>
        <v>900</v>
      </c>
      <c r="X233" s="77">
        <f t="shared" si="5"/>
        <v>100</v>
      </c>
      <c r="Y233" s="77">
        <f t="shared" si="6"/>
        <v>10</v>
      </c>
      <c r="Z233" s="78">
        <f t="shared" si="7"/>
        <v>8</v>
      </c>
      <c r="AA233" s="2"/>
      <c r="AB233" s="2"/>
      <c r="AC233" s="2"/>
      <c r="AD233" s="46">
        <v>10450</v>
      </c>
      <c r="AE233" s="77">
        <v>9</v>
      </c>
      <c r="AF233" s="78">
        <v>7</v>
      </c>
      <c r="AG233" s="78">
        <v>0</v>
      </c>
      <c r="AH233" s="2"/>
      <c r="AI233" s="2"/>
      <c r="AJ233" s="80">
        <f t="shared" si="8"/>
        <v>64</v>
      </c>
    </row>
    <row r="234" spans="1:36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46">
        <v>10500</v>
      </c>
      <c r="W234" s="77">
        <f t="shared" si="4"/>
        <v>950</v>
      </c>
      <c r="X234" s="77">
        <f t="shared" si="5"/>
        <v>100</v>
      </c>
      <c r="Y234" s="77">
        <f t="shared" si="6"/>
        <v>10</v>
      </c>
      <c r="Z234" s="78">
        <f t="shared" si="7"/>
        <v>8</v>
      </c>
      <c r="AA234" s="2"/>
      <c r="AB234" s="2"/>
      <c r="AC234" s="2"/>
      <c r="AD234" s="46">
        <v>10500</v>
      </c>
      <c r="AE234" s="77">
        <v>9</v>
      </c>
      <c r="AF234" s="78">
        <v>7</v>
      </c>
      <c r="AG234" s="78">
        <v>0</v>
      </c>
      <c r="AH234" s="2"/>
      <c r="AI234" s="2"/>
      <c r="AJ234" s="80">
        <f t="shared" si="8"/>
        <v>64</v>
      </c>
    </row>
    <row r="235" spans="1:36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46">
        <v>10550</v>
      </c>
      <c r="W235" s="77">
        <f t="shared" si="4"/>
        <v>1000</v>
      </c>
      <c r="X235" s="77">
        <f t="shared" si="5"/>
        <v>100</v>
      </c>
      <c r="Y235" s="77">
        <f t="shared" si="6"/>
        <v>10</v>
      </c>
      <c r="Z235" s="78">
        <f t="shared" si="7"/>
        <v>8</v>
      </c>
      <c r="AA235" s="2"/>
      <c r="AB235" s="2"/>
      <c r="AC235" s="2"/>
      <c r="AD235" s="46">
        <v>10550</v>
      </c>
      <c r="AE235" s="77">
        <v>9</v>
      </c>
      <c r="AF235" s="78">
        <v>7</v>
      </c>
      <c r="AG235" s="78">
        <v>0</v>
      </c>
      <c r="AH235" s="2"/>
      <c r="AI235" s="2"/>
      <c r="AJ235" s="80">
        <f t="shared" si="8"/>
        <v>64</v>
      </c>
    </row>
    <row r="236" spans="1:36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46">
        <v>10600</v>
      </c>
      <c r="W236" s="77">
        <f t="shared" si="4"/>
        <v>1050</v>
      </c>
      <c r="X236" s="77">
        <f t="shared" si="5"/>
        <v>100</v>
      </c>
      <c r="Y236" s="77">
        <f t="shared" si="6"/>
        <v>10</v>
      </c>
      <c r="Z236" s="78">
        <f t="shared" si="7"/>
        <v>8</v>
      </c>
      <c r="AA236" s="2"/>
      <c r="AB236" s="2"/>
      <c r="AC236" s="2"/>
      <c r="AD236" s="46">
        <v>10600</v>
      </c>
      <c r="AE236" s="77">
        <v>9</v>
      </c>
      <c r="AF236" s="78">
        <v>7</v>
      </c>
      <c r="AG236" s="78">
        <v>0</v>
      </c>
      <c r="AH236" s="2"/>
      <c r="AI236" s="2"/>
      <c r="AJ236" s="80">
        <f t="shared" si="8"/>
        <v>64</v>
      </c>
    </row>
    <row r="237" spans="1:36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46">
        <v>10650</v>
      </c>
      <c r="W237" s="77">
        <f t="shared" si="4"/>
        <v>0</v>
      </c>
      <c r="X237" s="77">
        <f t="shared" si="5"/>
        <v>40</v>
      </c>
      <c r="Y237" s="77">
        <f t="shared" si="6"/>
        <v>10</v>
      </c>
      <c r="Z237" s="78">
        <f t="shared" si="7"/>
        <v>9</v>
      </c>
      <c r="AA237" s="2"/>
      <c r="AB237" s="2"/>
      <c r="AC237" s="2"/>
      <c r="AD237" s="46">
        <v>10650</v>
      </c>
      <c r="AE237" s="77">
        <v>9</v>
      </c>
      <c r="AF237" s="78">
        <v>7</v>
      </c>
      <c r="AG237" s="78">
        <v>0</v>
      </c>
      <c r="AH237" s="2"/>
      <c r="AI237" s="2"/>
      <c r="AJ237" s="80">
        <f t="shared" si="8"/>
        <v>64</v>
      </c>
    </row>
    <row r="238" spans="1:36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46">
        <v>10700</v>
      </c>
      <c r="W238" s="77">
        <f t="shared" si="4"/>
        <v>0</v>
      </c>
      <c r="X238" s="77">
        <f t="shared" si="5"/>
        <v>90</v>
      </c>
      <c r="Y238" s="77">
        <f t="shared" si="6"/>
        <v>10</v>
      </c>
      <c r="Z238" s="78">
        <f t="shared" si="7"/>
        <v>9</v>
      </c>
      <c r="AA238" s="2"/>
      <c r="AB238" s="2"/>
      <c r="AC238" s="2"/>
      <c r="AD238" s="46">
        <v>10700</v>
      </c>
      <c r="AE238" s="77">
        <v>9</v>
      </c>
      <c r="AF238" s="78">
        <v>7</v>
      </c>
      <c r="AG238" s="78">
        <v>0</v>
      </c>
      <c r="AH238" s="2"/>
      <c r="AI238" s="2"/>
      <c r="AJ238" s="80">
        <f t="shared" si="8"/>
        <v>64</v>
      </c>
    </row>
    <row r="239" spans="1:36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46">
        <v>10750</v>
      </c>
      <c r="W239" s="77">
        <f t="shared" si="4"/>
        <v>0</v>
      </c>
      <c r="X239" s="77">
        <f t="shared" si="5"/>
        <v>140</v>
      </c>
      <c r="Y239" s="77">
        <f t="shared" si="6"/>
        <v>10</v>
      </c>
      <c r="Z239" s="78">
        <f t="shared" si="7"/>
        <v>9</v>
      </c>
      <c r="AA239" s="2"/>
      <c r="AB239" s="2"/>
      <c r="AC239" s="2"/>
      <c r="AD239" s="46">
        <v>10750</v>
      </c>
      <c r="AE239" s="77">
        <v>9</v>
      </c>
      <c r="AF239" s="78">
        <v>7</v>
      </c>
      <c r="AG239" s="78">
        <v>0</v>
      </c>
      <c r="AH239" s="2"/>
      <c r="AI239" s="2"/>
      <c r="AJ239" s="80">
        <f t="shared" si="8"/>
        <v>64</v>
      </c>
    </row>
    <row r="240" spans="1:36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46">
        <v>10800</v>
      </c>
      <c r="W240" s="77">
        <f t="shared" si="4"/>
        <v>0</v>
      </c>
      <c r="X240" s="77">
        <f t="shared" si="5"/>
        <v>190</v>
      </c>
      <c r="Y240" s="77">
        <f t="shared" si="6"/>
        <v>10</v>
      </c>
      <c r="Z240" s="78">
        <f t="shared" si="7"/>
        <v>9</v>
      </c>
      <c r="AA240" s="2"/>
      <c r="AB240" s="2"/>
      <c r="AC240" s="2"/>
      <c r="AD240" s="46">
        <v>10800</v>
      </c>
      <c r="AE240" s="77">
        <v>9</v>
      </c>
      <c r="AF240" s="78">
        <v>7</v>
      </c>
      <c r="AG240" s="78">
        <v>0</v>
      </c>
      <c r="AH240" s="2"/>
      <c r="AI240" s="2"/>
      <c r="AJ240" s="80">
        <f t="shared" si="8"/>
        <v>64</v>
      </c>
    </row>
    <row r="241" spans="1:36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46">
        <v>10850</v>
      </c>
      <c r="W241" s="77">
        <f t="shared" si="4"/>
        <v>0</v>
      </c>
      <c r="X241" s="77">
        <f t="shared" si="5"/>
        <v>240</v>
      </c>
      <c r="Y241" s="77">
        <f t="shared" si="6"/>
        <v>10</v>
      </c>
      <c r="Z241" s="78">
        <f t="shared" si="7"/>
        <v>9</v>
      </c>
      <c r="AA241" s="2"/>
      <c r="AB241" s="2"/>
      <c r="AC241" s="2"/>
      <c r="AD241" s="46">
        <v>10850</v>
      </c>
      <c r="AE241" s="77">
        <v>9</v>
      </c>
      <c r="AF241" s="78">
        <v>7</v>
      </c>
      <c r="AG241" s="78">
        <v>0</v>
      </c>
      <c r="AH241" s="2"/>
      <c r="AI241" s="2"/>
      <c r="AJ241" s="80">
        <f t="shared" si="8"/>
        <v>64</v>
      </c>
    </row>
    <row r="242" spans="1:36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46">
        <v>10900</v>
      </c>
      <c r="W242" s="77">
        <f t="shared" si="4"/>
        <v>0</v>
      </c>
      <c r="X242" s="77">
        <f t="shared" si="5"/>
        <v>290</v>
      </c>
      <c r="Y242" s="77">
        <f t="shared" si="6"/>
        <v>10</v>
      </c>
      <c r="Z242" s="78">
        <f t="shared" si="7"/>
        <v>9</v>
      </c>
      <c r="AA242" s="2"/>
      <c r="AB242" s="2"/>
      <c r="AC242" s="2"/>
      <c r="AD242" s="46">
        <v>10900</v>
      </c>
      <c r="AE242" s="77">
        <v>9</v>
      </c>
      <c r="AF242" s="78">
        <v>7</v>
      </c>
      <c r="AG242" s="78">
        <v>1</v>
      </c>
      <c r="AH242" s="2"/>
      <c r="AI242" s="2"/>
      <c r="AJ242" s="80">
        <f t="shared" si="8"/>
        <v>68</v>
      </c>
    </row>
    <row r="243" spans="1:36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46">
        <v>10950</v>
      </c>
      <c r="W243" s="77">
        <f t="shared" si="4"/>
        <v>0</v>
      </c>
      <c r="X243" s="77">
        <f t="shared" si="5"/>
        <v>340</v>
      </c>
      <c r="Y243" s="77">
        <f t="shared" si="6"/>
        <v>10</v>
      </c>
      <c r="Z243" s="78">
        <f t="shared" si="7"/>
        <v>9</v>
      </c>
      <c r="AA243" s="2"/>
      <c r="AB243" s="2"/>
      <c r="AC243" s="2"/>
      <c r="AD243" s="46">
        <v>10950</v>
      </c>
      <c r="AE243" s="77">
        <v>9</v>
      </c>
      <c r="AF243" s="78">
        <v>7</v>
      </c>
      <c r="AG243" s="78">
        <v>1</v>
      </c>
      <c r="AH243" s="2"/>
      <c r="AI243" s="2"/>
      <c r="AJ243" s="80">
        <f t="shared" si="8"/>
        <v>68</v>
      </c>
    </row>
    <row r="244" spans="1:36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46">
        <v>11000</v>
      </c>
      <c r="W244" s="77">
        <f t="shared" si="4"/>
        <v>0</v>
      </c>
      <c r="X244" s="77">
        <f t="shared" si="5"/>
        <v>390</v>
      </c>
      <c r="Y244" s="77">
        <f t="shared" si="6"/>
        <v>10</v>
      </c>
      <c r="Z244" s="78">
        <f t="shared" si="7"/>
        <v>9</v>
      </c>
      <c r="AA244" s="2"/>
      <c r="AB244" s="2"/>
      <c r="AC244" s="2"/>
      <c r="AD244" s="46">
        <v>11000</v>
      </c>
      <c r="AE244" s="77">
        <v>9</v>
      </c>
      <c r="AF244" s="78">
        <v>7</v>
      </c>
      <c r="AG244" s="78">
        <v>1</v>
      </c>
      <c r="AH244" s="2"/>
      <c r="AI244" s="2"/>
      <c r="AJ244" s="80">
        <f t="shared" si="8"/>
        <v>68</v>
      </c>
    </row>
    <row r="245" spans="1:36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46">
        <v>11050</v>
      </c>
      <c r="W245" s="77">
        <f t="shared" si="4"/>
        <v>0</v>
      </c>
      <c r="X245" s="77">
        <f t="shared" si="5"/>
        <v>440</v>
      </c>
      <c r="Y245" s="77">
        <f t="shared" si="6"/>
        <v>10</v>
      </c>
      <c r="Z245" s="78">
        <f t="shared" si="7"/>
        <v>9</v>
      </c>
      <c r="AA245" s="2"/>
      <c r="AB245" s="2"/>
      <c r="AC245" s="2"/>
      <c r="AD245" s="46">
        <v>11050</v>
      </c>
      <c r="AE245" s="77">
        <v>9</v>
      </c>
      <c r="AF245" s="78">
        <v>7</v>
      </c>
      <c r="AG245" s="78">
        <v>1</v>
      </c>
      <c r="AH245" s="2"/>
      <c r="AI245" s="2"/>
      <c r="AJ245" s="80">
        <f t="shared" si="8"/>
        <v>68</v>
      </c>
    </row>
    <row r="246" spans="1:36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46">
        <v>11100</v>
      </c>
      <c r="W246" s="77">
        <f t="shared" si="4"/>
        <v>390</v>
      </c>
      <c r="X246" s="77">
        <f t="shared" si="5"/>
        <v>100</v>
      </c>
      <c r="Y246" s="77">
        <f t="shared" si="6"/>
        <v>11</v>
      </c>
      <c r="Z246" s="78">
        <f t="shared" si="7"/>
        <v>9</v>
      </c>
      <c r="AA246" s="2"/>
      <c r="AB246" s="2"/>
      <c r="AC246" s="2"/>
      <c r="AD246" s="46">
        <v>11100</v>
      </c>
      <c r="AE246" s="77">
        <v>9</v>
      </c>
      <c r="AF246" s="78">
        <v>7</v>
      </c>
      <c r="AG246" s="78">
        <v>1</v>
      </c>
      <c r="AH246" s="2"/>
      <c r="AI246" s="2"/>
      <c r="AJ246" s="80">
        <f t="shared" si="8"/>
        <v>68</v>
      </c>
    </row>
    <row r="247" spans="1:36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46">
        <v>11150</v>
      </c>
      <c r="W247" s="77">
        <f t="shared" si="4"/>
        <v>440</v>
      </c>
      <c r="X247" s="77">
        <f t="shared" si="5"/>
        <v>100</v>
      </c>
      <c r="Y247" s="77">
        <f t="shared" si="6"/>
        <v>11</v>
      </c>
      <c r="Z247" s="78">
        <f t="shared" si="7"/>
        <v>9</v>
      </c>
      <c r="AA247" s="2"/>
      <c r="AB247" s="2"/>
      <c r="AC247" s="2"/>
      <c r="AD247" s="46">
        <v>11150</v>
      </c>
      <c r="AE247" s="77">
        <v>9</v>
      </c>
      <c r="AF247" s="78">
        <v>7</v>
      </c>
      <c r="AG247" s="78">
        <v>1</v>
      </c>
      <c r="AH247" s="2"/>
      <c r="AI247" s="2"/>
      <c r="AJ247" s="80">
        <f t="shared" si="8"/>
        <v>68</v>
      </c>
    </row>
    <row r="248" spans="1:36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46">
        <v>11200</v>
      </c>
      <c r="W248" s="77">
        <f t="shared" si="4"/>
        <v>490</v>
      </c>
      <c r="X248" s="77">
        <f t="shared" si="5"/>
        <v>100</v>
      </c>
      <c r="Y248" s="77">
        <f t="shared" si="6"/>
        <v>11</v>
      </c>
      <c r="Z248" s="78">
        <f t="shared" si="7"/>
        <v>9</v>
      </c>
      <c r="AA248" s="2"/>
      <c r="AB248" s="2"/>
      <c r="AC248" s="2"/>
      <c r="AD248" s="46">
        <v>11200</v>
      </c>
      <c r="AE248" s="77">
        <v>9</v>
      </c>
      <c r="AF248" s="78">
        <v>7</v>
      </c>
      <c r="AG248" s="78">
        <v>1</v>
      </c>
      <c r="AH248" s="2"/>
      <c r="AI248" s="2"/>
      <c r="AJ248" s="80">
        <f t="shared" si="8"/>
        <v>68</v>
      </c>
    </row>
    <row r="249" spans="1:36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46">
        <v>11250</v>
      </c>
      <c r="W249" s="77">
        <f t="shared" si="4"/>
        <v>540</v>
      </c>
      <c r="X249" s="77">
        <f t="shared" si="5"/>
        <v>100</v>
      </c>
      <c r="Y249" s="77">
        <f t="shared" si="6"/>
        <v>11</v>
      </c>
      <c r="Z249" s="78">
        <f t="shared" si="7"/>
        <v>9</v>
      </c>
      <c r="AA249" s="2"/>
      <c r="AB249" s="2"/>
      <c r="AC249" s="2"/>
      <c r="AD249" s="46">
        <v>11250</v>
      </c>
      <c r="AE249" s="77">
        <v>9</v>
      </c>
      <c r="AF249" s="78">
        <v>7</v>
      </c>
      <c r="AG249" s="78">
        <v>1</v>
      </c>
      <c r="AH249" s="2"/>
      <c r="AI249" s="2"/>
      <c r="AJ249" s="80">
        <f t="shared" si="8"/>
        <v>68</v>
      </c>
    </row>
    <row r="250" spans="1:36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46">
        <v>11300</v>
      </c>
      <c r="W250" s="77">
        <f t="shared" si="4"/>
        <v>590</v>
      </c>
      <c r="X250" s="77">
        <f t="shared" si="5"/>
        <v>100</v>
      </c>
      <c r="Y250" s="77">
        <f t="shared" si="6"/>
        <v>11</v>
      </c>
      <c r="Z250" s="78">
        <f t="shared" si="7"/>
        <v>9</v>
      </c>
      <c r="AA250" s="2"/>
      <c r="AB250" s="2"/>
      <c r="AC250" s="2"/>
      <c r="AD250" s="46">
        <v>11300</v>
      </c>
      <c r="AE250" s="77">
        <v>9</v>
      </c>
      <c r="AF250" s="78">
        <v>7</v>
      </c>
      <c r="AG250" s="78">
        <v>1</v>
      </c>
      <c r="AH250" s="2"/>
      <c r="AI250" s="2"/>
      <c r="AJ250" s="80">
        <f t="shared" si="8"/>
        <v>68</v>
      </c>
    </row>
    <row r="251" spans="1:36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46">
        <v>11350</v>
      </c>
      <c r="W251" s="77">
        <f t="shared" si="4"/>
        <v>640</v>
      </c>
      <c r="X251" s="77">
        <f t="shared" si="5"/>
        <v>100</v>
      </c>
      <c r="Y251" s="77">
        <f t="shared" si="6"/>
        <v>11</v>
      </c>
      <c r="Z251" s="78">
        <f t="shared" si="7"/>
        <v>9</v>
      </c>
      <c r="AA251" s="2"/>
      <c r="AB251" s="2"/>
      <c r="AC251" s="2"/>
      <c r="AD251" s="46">
        <v>11350</v>
      </c>
      <c r="AE251" s="77">
        <v>9</v>
      </c>
      <c r="AF251" s="78">
        <v>8</v>
      </c>
      <c r="AG251" s="78">
        <v>0</v>
      </c>
      <c r="AH251" s="2"/>
      <c r="AI251" s="2"/>
      <c r="AJ251" s="80">
        <f t="shared" si="8"/>
        <v>68</v>
      </c>
    </row>
    <row r="252" spans="1:36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46">
        <v>11400</v>
      </c>
      <c r="W252" s="77">
        <f t="shared" si="4"/>
        <v>690</v>
      </c>
      <c r="X252" s="77">
        <f t="shared" si="5"/>
        <v>100</v>
      </c>
      <c r="Y252" s="77">
        <f t="shared" si="6"/>
        <v>11</v>
      </c>
      <c r="Z252" s="78">
        <f t="shared" si="7"/>
        <v>9</v>
      </c>
      <c r="AA252" s="2"/>
      <c r="AB252" s="2"/>
      <c r="AC252" s="2"/>
      <c r="AD252" s="46">
        <v>11400</v>
      </c>
      <c r="AE252" s="77">
        <v>9</v>
      </c>
      <c r="AF252" s="78">
        <v>8</v>
      </c>
      <c r="AG252" s="78">
        <v>0</v>
      </c>
      <c r="AH252" s="2"/>
      <c r="AI252" s="2"/>
      <c r="AJ252" s="80">
        <f t="shared" si="8"/>
        <v>68</v>
      </c>
    </row>
    <row r="253" spans="1:36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46">
        <v>11450</v>
      </c>
      <c r="W253" s="77">
        <f t="shared" si="4"/>
        <v>740</v>
      </c>
      <c r="X253" s="77">
        <f t="shared" si="5"/>
        <v>100</v>
      </c>
      <c r="Y253" s="77">
        <f t="shared" si="6"/>
        <v>11</v>
      </c>
      <c r="Z253" s="78">
        <f t="shared" si="7"/>
        <v>9</v>
      </c>
      <c r="AA253" s="2"/>
      <c r="AB253" s="2"/>
      <c r="AC253" s="2"/>
      <c r="AD253" s="46">
        <v>11450</v>
      </c>
      <c r="AE253" s="77">
        <v>9</v>
      </c>
      <c r="AF253" s="78">
        <v>8</v>
      </c>
      <c r="AG253" s="78">
        <v>0</v>
      </c>
      <c r="AH253" s="2"/>
      <c r="AI253" s="2"/>
      <c r="AJ253" s="80">
        <f t="shared" si="8"/>
        <v>68</v>
      </c>
    </row>
    <row r="254" spans="1:36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46">
        <v>11500</v>
      </c>
      <c r="W254" s="77">
        <f t="shared" si="4"/>
        <v>790</v>
      </c>
      <c r="X254" s="77">
        <f t="shared" si="5"/>
        <v>100</v>
      </c>
      <c r="Y254" s="77">
        <f t="shared" si="6"/>
        <v>11</v>
      </c>
      <c r="Z254" s="78">
        <f t="shared" si="7"/>
        <v>9</v>
      </c>
      <c r="AA254" s="2"/>
      <c r="AB254" s="2"/>
      <c r="AC254" s="2"/>
      <c r="AD254" s="46">
        <v>11500</v>
      </c>
      <c r="AE254" s="77">
        <v>9</v>
      </c>
      <c r="AF254" s="78">
        <v>8</v>
      </c>
      <c r="AG254" s="78">
        <v>0</v>
      </c>
      <c r="AH254" s="2"/>
      <c r="AI254" s="2"/>
      <c r="AJ254" s="80">
        <f t="shared" si="8"/>
        <v>68</v>
      </c>
    </row>
    <row r="255" spans="1:36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46">
        <v>11550</v>
      </c>
      <c r="W255" s="77">
        <f t="shared" si="4"/>
        <v>840</v>
      </c>
      <c r="X255" s="77">
        <f t="shared" si="5"/>
        <v>100</v>
      </c>
      <c r="Y255" s="77">
        <f t="shared" si="6"/>
        <v>11</v>
      </c>
      <c r="Z255" s="78">
        <f t="shared" si="7"/>
        <v>9</v>
      </c>
      <c r="AA255" s="2"/>
      <c r="AB255" s="2"/>
      <c r="AC255" s="2"/>
      <c r="AD255" s="46">
        <v>11550</v>
      </c>
      <c r="AE255" s="77">
        <v>9</v>
      </c>
      <c r="AF255" s="78">
        <v>8</v>
      </c>
      <c r="AG255" s="78">
        <v>0</v>
      </c>
      <c r="AH255" s="2"/>
      <c r="AI255" s="2"/>
      <c r="AJ255" s="80">
        <f t="shared" si="8"/>
        <v>68</v>
      </c>
    </row>
    <row r="256" spans="1:36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46">
        <v>11600</v>
      </c>
      <c r="W256" s="77">
        <f t="shared" si="4"/>
        <v>890</v>
      </c>
      <c r="X256" s="77">
        <f t="shared" si="5"/>
        <v>100</v>
      </c>
      <c r="Y256" s="77">
        <f t="shared" si="6"/>
        <v>11</v>
      </c>
      <c r="Z256" s="78">
        <f t="shared" si="7"/>
        <v>9</v>
      </c>
      <c r="AA256" s="2"/>
      <c r="AB256" s="2"/>
      <c r="AC256" s="2"/>
      <c r="AD256" s="46">
        <v>11600</v>
      </c>
      <c r="AE256" s="77">
        <v>9</v>
      </c>
      <c r="AF256" s="78">
        <v>8</v>
      </c>
      <c r="AG256" s="78">
        <v>0</v>
      </c>
      <c r="AH256" s="2"/>
      <c r="AI256" s="2"/>
      <c r="AJ256" s="80">
        <f t="shared" si="8"/>
        <v>68</v>
      </c>
    </row>
    <row r="257" spans="1:36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46">
        <v>11650</v>
      </c>
      <c r="W257" s="77">
        <f t="shared" si="4"/>
        <v>940</v>
      </c>
      <c r="X257" s="77">
        <f t="shared" si="5"/>
        <v>100</v>
      </c>
      <c r="Y257" s="77">
        <f t="shared" si="6"/>
        <v>11</v>
      </c>
      <c r="Z257" s="78">
        <f t="shared" si="7"/>
        <v>9</v>
      </c>
      <c r="AA257" s="2"/>
      <c r="AB257" s="2"/>
      <c r="AC257" s="2"/>
      <c r="AD257" s="46">
        <v>11650</v>
      </c>
      <c r="AE257" s="77">
        <v>10</v>
      </c>
      <c r="AF257" s="78">
        <v>8</v>
      </c>
      <c r="AG257" s="78">
        <v>0</v>
      </c>
      <c r="AH257" s="2"/>
      <c r="AI257" s="2"/>
      <c r="AJ257" s="80">
        <f t="shared" si="8"/>
        <v>72</v>
      </c>
    </row>
    <row r="258" spans="1:36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46">
        <v>11700</v>
      </c>
      <c r="W258" s="77">
        <f t="shared" si="4"/>
        <v>990</v>
      </c>
      <c r="X258" s="77">
        <f t="shared" si="5"/>
        <v>100</v>
      </c>
      <c r="Y258" s="77">
        <f t="shared" si="6"/>
        <v>11</v>
      </c>
      <c r="Z258" s="78">
        <f t="shared" si="7"/>
        <v>9</v>
      </c>
      <c r="AA258" s="2"/>
      <c r="AB258" s="2"/>
      <c r="AC258" s="2"/>
      <c r="AD258" s="46">
        <v>11700</v>
      </c>
      <c r="AE258" s="77">
        <v>10</v>
      </c>
      <c r="AF258" s="78">
        <v>8</v>
      </c>
      <c r="AG258" s="78">
        <v>0</v>
      </c>
      <c r="AH258" s="2"/>
      <c r="AI258" s="2"/>
      <c r="AJ258" s="80">
        <f t="shared" si="8"/>
        <v>72</v>
      </c>
    </row>
    <row r="259" spans="1:36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46">
        <v>11750</v>
      </c>
      <c r="W259" s="77">
        <f t="shared" si="4"/>
        <v>1040</v>
      </c>
      <c r="X259" s="77">
        <f t="shared" si="5"/>
        <v>100</v>
      </c>
      <c r="Y259" s="77">
        <f t="shared" si="6"/>
        <v>11</v>
      </c>
      <c r="Z259" s="78">
        <f t="shared" si="7"/>
        <v>9</v>
      </c>
      <c r="AA259" s="2"/>
      <c r="AB259" s="2"/>
      <c r="AC259" s="2"/>
      <c r="AD259" s="46">
        <v>11750</v>
      </c>
      <c r="AE259" s="77">
        <v>10</v>
      </c>
      <c r="AF259" s="78">
        <v>8</v>
      </c>
      <c r="AG259" s="78">
        <v>0</v>
      </c>
      <c r="AH259" s="2"/>
      <c r="AI259" s="2"/>
      <c r="AJ259" s="80">
        <f t="shared" si="8"/>
        <v>72</v>
      </c>
    </row>
    <row r="260" spans="1:36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46">
        <v>11800</v>
      </c>
      <c r="W260" s="77">
        <f t="shared" si="4"/>
        <v>0</v>
      </c>
      <c r="X260" s="77">
        <f t="shared" si="5"/>
        <v>30</v>
      </c>
      <c r="Y260" s="77">
        <f t="shared" si="6"/>
        <v>11</v>
      </c>
      <c r="Z260" s="78">
        <f t="shared" si="7"/>
        <v>10</v>
      </c>
      <c r="AA260" s="2"/>
      <c r="AB260" s="2"/>
      <c r="AC260" s="2"/>
      <c r="AD260" s="46">
        <v>11800</v>
      </c>
      <c r="AE260" s="77">
        <v>10</v>
      </c>
      <c r="AF260" s="78">
        <v>8</v>
      </c>
      <c r="AG260" s="78">
        <v>0</v>
      </c>
      <c r="AH260" s="2"/>
      <c r="AI260" s="2"/>
      <c r="AJ260" s="80">
        <f t="shared" si="8"/>
        <v>72</v>
      </c>
    </row>
    <row r="261" spans="1:36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46">
        <v>11850</v>
      </c>
      <c r="W261" s="77">
        <f t="shared" si="4"/>
        <v>0</v>
      </c>
      <c r="X261" s="77">
        <f t="shared" si="5"/>
        <v>80</v>
      </c>
      <c r="Y261" s="77">
        <f t="shared" si="6"/>
        <v>11</v>
      </c>
      <c r="Z261" s="78">
        <f t="shared" si="7"/>
        <v>10</v>
      </c>
      <c r="AA261" s="2"/>
      <c r="AB261" s="2"/>
      <c r="AC261" s="2"/>
      <c r="AD261" s="46">
        <v>11850</v>
      </c>
      <c r="AE261" s="77">
        <v>10</v>
      </c>
      <c r="AF261" s="78">
        <v>8</v>
      </c>
      <c r="AG261" s="78">
        <v>0</v>
      </c>
      <c r="AH261" s="2"/>
      <c r="AI261" s="2"/>
      <c r="AJ261" s="80">
        <f t="shared" si="8"/>
        <v>72</v>
      </c>
    </row>
    <row r="262" spans="1:36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46">
        <v>11900</v>
      </c>
      <c r="W262" s="77">
        <f t="shared" si="4"/>
        <v>0</v>
      </c>
      <c r="X262" s="77">
        <f t="shared" si="5"/>
        <v>130</v>
      </c>
      <c r="Y262" s="77">
        <f t="shared" si="6"/>
        <v>11</v>
      </c>
      <c r="Z262" s="78">
        <f t="shared" si="7"/>
        <v>10</v>
      </c>
      <c r="AA262" s="2"/>
      <c r="AB262" s="2"/>
      <c r="AC262" s="2"/>
      <c r="AD262" s="46">
        <v>11900</v>
      </c>
      <c r="AE262" s="77">
        <v>10</v>
      </c>
      <c r="AF262" s="78">
        <v>8</v>
      </c>
      <c r="AG262" s="78">
        <v>0</v>
      </c>
      <c r="AH262" s="2"/>
      <c r="AI262" s="2"/>
      <c r="AJ262" s="80">
        <f t="shared" si="8"/>
        <v>72</v>
      </c>
    </row>
    <row r="263" spans="1:36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46">
        <v>11950</v>
      </c>
      <c r="W263" s="77">
        <f t="shared" si="4"/>
        <v>0</v>
      </c>
      <c r="X263" s="77">
        <f t="shared" si="5"/>
        <v>180</v>
      </c>
      <c r="Y263" s="77">
        <f t="shared" si="6"/>
        <v>11</v>
      </c>
      <c r="Z263" s="78">
        <f t="shared" si="7"/>
        <v>10</v>
      </c>
      <c r="AA263" s="2"/>
      <c r="AB263" s="2"/>
      <c r="AC263" s="2"/>
      <c r="AD263" s="46">
        <v>11950</v>
      </c>
      <c r="AE263" s="77">
        <v>10</v>
      </c>
      <c r="AF263" s="78">
        <v>8</v>
      </c>
      <c r="AG263" s="78">
        <v>0</v>
      </c>
      <c r="AH263" s="2"/>
      <c r="AI263" s="2"/>
      <c r="AJ263" s="80">
        <f t="shared" si="8"/>
        <v>72</v>
      </c>
    </row>
    <row r="264" spans="1:36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57">
        <v>12000</v>
      </c>
      <c r="W264" s="148">
        <f t="shared" si="4"/>
        <v>0</v>
      </c>
      <c r="X264" s="148">
        <f t="shared" si="5"/>
        <v>230</v>
      </c>
      <c r="Y264" s="148">
        <f t="shared" si="6"/>
        <v>11</v>
      </c>
      <c r="Z264" s="149">
        <f t="shared" si="7"/>
        <v>10</v>
      </c>
      <c r="AA264" s="2"/>
      <c r="AB264" s="2"/>
      <c r="AC264" s="2"/>
      <c r="AD264" s="57">
        <v>12000</v>
      </c>
      <c r="AE264" s="148">
        <v>10</v>
      </c>
      <c r="AF264" s="149">
        <v>8</v>
      </c>
      <c r="AG264" s="149">
        <v>0</v>
      </c>
      <c r="AH264" s="2"/>
      <c r="AI264" s="2"/>
      <c r="AJ264" s="80">
        <f t="shared" si="8"/>
        <v>72</v>
      </c>
    </row>
    <row r="265" spans="1:36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</row>
    <row r="266" spans="1:36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</row>
    <row r="267" spans="1:36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</row>
    <row r="268" spans="1:36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</row>
    <row r="269" spans="1:36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</row>
    <row r="270" spans="1:36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</row>
    <row r="271" spans="1:36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</row>
    <row r="272" spans="1:36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</row>
    <row r="273" spans="1:36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</row>
    <row r="274" spans="1:36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</row>
    <row r="275" spans="1:36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</row>
    <row r="276" spans="1:36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</row>
    <row r="277" spans="1:36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</row>
    <row r="278" spans="1:36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</row>
    <row r="279" spans="1:36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</row>
    <row r="280" spans="1:36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</row>
    <row r="281" spans="1:36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</row>
    <row r="282" spans="1:36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</row>
    <row r="283" spans="1:36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</row>
    <row r="284" spans="1:36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</row>
    <row r="285" spans="1:36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</row>
    <row r="286" spans="1:36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</row>
    <row r="287" spans="1:36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</row>
    <row r="288" spans="1:36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</row>
    <row r="289" spans="1:36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</row>
    <row r="290" spans="1:36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</row>
    <row r="291" spans="1:36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</row>
    <row r="292" spans="1:36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</row>
    <row r="293" spans="1:36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</row>
    <row r="294" spans="1:36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</row>
    <row r="295" spans="1:36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</row>
    <row r="296" spans="1:36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</row>
    <row r="297" spans="1:36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</row>
    <row r="298" spans="1:36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</row>
    <row r="299" spans="1:36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</row>
    <row r="300" spans="1:36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</row>
    <row r="301" spans="1:36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</row>
    <row r="302" spans="1:36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</row>
    <row r="303" spans="1:36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</row>
    <row r="304" spans="1:36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</row>
    <row r="305" spans="1:36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</row>
    <row r="306" spans="1:36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</row>
    <row r="307" spans="1:36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</row>
    <row r="308" spans="1:36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</row>
    <row r="309" spans="1:36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</row>
    <row r="310" spans="1:36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</row>
    <row r="311" spans="1:36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</row>
    <row r="312" spans="1:36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</row>
    <row r="313" spans="1:36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</row>
    <row r="314" spans="1:36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</row>
    <row r="315" spans="1:36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</row>
    <row r="316" spans="1:36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</row>
    <row r="317" spans="1:36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</row>
    <row r="318" spans="1:36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</row>
    <row r="319" spans="1:36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</row>
    <row r="320" spans="1:36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</row>
    <row r="321" spans="1:36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</row>
    <row r="322" spans="1:36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</row>
    <row r="323" spans="1:36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</row>
    <row r="324" spans="1:36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</row>
    <row r="325" spans="1:36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</row>
    <row r="326" spans="1:36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</row>
    <row r="327" spans="1:36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</row>
    <row r="328" spans="1:36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</row>
    <row r="329" spans="1:36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</row>
    <row r="330" spans="1:36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</row>
    <row r="331" spans="1:36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</row>
    <row r="332" spans="1:36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</row>
    <row r="333" spans="1:36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</row>
    <row r="334" spans="1:36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</row>
    <row r="335" spans="1:36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</row>
    <row r="336" spans="1:36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</row>
    <row r="337" spans="1:36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</row>
    <row r="338" spans="1:36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</row>
    <row r="339" spans="1:36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</row>
    <row r="340" spans="1:36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</row>
    <row r="341" spans="1:36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</row>
    <row r="342" spans="1:36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</row>
    <row r="343" spans="1:36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</row>
    <row r="344" spans="1:36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</row>
    <row r="345" spans="1:36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</row>
    <row r="346" spans="1:36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</row>
    <row r="347" spans="1:36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</row>
    <row r="348" spans="1:36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</row>
    <row r="349" spans="1:36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</row>
    <row r="350" spans="1:36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</row>
    <row r="351" spans="1:36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</row>
    <row r="352" spans="1:36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</row>
    <row r="353" spans="1:36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</row>
    <row r="354" spans="1:36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</row>
    <row r="355" spans="1:36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</row>
    <row r="356" spans="1:36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</row>
    <row r="357" spans="1:36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</row>
    <row r="358" spans="1:36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</row>
    <row r="359" spans="1:36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</row>
    <row r="360" spans="1:36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</row>
    <row r="361" spans="1:36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</row>
    <row r="362" spans="1:36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</row>
    <row r="363" spans="1:36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</row>
    <row r="364" spans="1:36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</row>
    <row r="365" spans="1:36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</row>
    <row r="366" spans="1:36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</row>
    <row r="367" spans="1:36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</row>
    <row r="368" spans="1:36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</row>
    <row r="369" spans="1:36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</row>
    <row r="370" spans="1:36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</row>
    <row r="371" spans="1:36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</row>
    <row r="372" spans="1:36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</row>
    <row r="373" spans="1:36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</row>
    <row r="374" spans="1:36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</row>
    <row r="375" spans="1:36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</row>
    <row r="376" spans="1:3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</row>
    <row r="377" spans="1:36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</row>
    <row r="378" spans="1:36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</row>
    <row r="379" spans="1:36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</row>
    <row r="380" spans="1:36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</row>
    <row r="381" spans="1:36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</row>
    <row r="382" spans="1:36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</row>
    <row r="383" spans="1:36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</row>
    <row r="384" spans="1:36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</row>
    <row r="385" spans="1:36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</row>
    <row r="386" spans="1:3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</row>
    <row r="387" spans="1:36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</row>
    <row r="388" spans="1:36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</row>
    <row r="389" spans="1:36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</row>
    <row r="390" spans="1:36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</row>
    <row r="391" spans="1:36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</row>
    <row r="392" spans="1:36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</row>
    <row r="393" spans="1:36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</row>
    <row r="394" spans="1:36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</row>
    <row r="395" spans="1:36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</row>
    <row r="396" spans="1:3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</row>
    <row r="397" spans="1:36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</row>
    <row r="398" spans="1:36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</row>
    <row r="399" spans="1:36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</row>
    <row r="400" spans="1:36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</row>
    <row r="401" spans="1:36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</row>
    <row r="402" spans="1:36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</row>
    <row r="403" spans="1:36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</row>
    <row r="404" spans="1:36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</row>
    <row r="405" spans="1:36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</row>
    <row r="406" spans="1:3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</row>
    <row r="407" spans="1:36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</row>
    <row r="408" spans="1:36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</row>
    <row r="409" spans="1:36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</row>
    <row r="410" spans="1:36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</row>
    <row r="411" spans="1:36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</row>
    <row r="412" spans="1:36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</row>
    <row r="413" spans="1:36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</row>
    <row r="414" spans="1:36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</row>
    <row r="415" spans="1:36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</row>
    <row r="416" spans="1:3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</row>
    <row r="417" spans="1:36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</row>
    <row r="418" spans="1:36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</row>
    <row r="419" spans="1:36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</row>
    <row r="420" spans="1:36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</row>
    <row r="421" spans="1:36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</row>
    <row r="422" spans="1:36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</row>
    <row r="423" spans="1:36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</row>
    <row r="424" spans="1:36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</row>
    <row r="425" spans="1:36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</row>
    <row r="426" spans="1:3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</row>
    <row r="427" spans="1:36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</row>
    <row r="428" spans="1:36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</row>
    <row r="429" spans="1:36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</row>
    <row r="430" spans="1:36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</row>
    <row r="431" spans="1:36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</row>
    <row r="432" spans="1:36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</row>
    <row r="433" spans="1:36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</row>
    <row r="434" spans="1:36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</row>
    <row r="435" spans="1:36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</row>
    <row r="436" spans="1: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</row>
    <row r="437" spans="1:36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</row>
    <row r="438" spans="1:36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</row>
    <row r="439" spans="1:36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</row>
    <row r="440" spans="1:36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</row>
    <row r="441" spans="1:36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</row>
    <row r="442" spans="1:36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</row>
    <row r="443" spans="1:36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</row>
    <row r="444" spans="1:36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</row>
    <row r="445" spans="1:36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</row>
    <row r="446" spans="1:3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</row>
    <row r="447" spans="1:36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</row>
    <row r="448" spans="1:36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</row>
    <row r="449" spans="1:36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</row>
    <row r="450" spans="1:36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</row>
    <row r="451" spans="1:36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</row>
    <row r="452" spans="1:36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</row>
    <row r="453" spans="1:36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</row>
    <row r="454" spans="1:36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</row>
    <row r="455" spans="1:36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</row>
    <row r="456" spans="1:3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</row>
    <row r="457" spans="1:36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</row>
    <row r="458" spans="1:36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</row>
    <row r="459" spans="1:36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</row>
    <row r="460" spans="1:36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</row>
    <row r="461" spans="1:36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</row>
    <row r="462" spans="1:36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</row>
    <row r="463" spans="1:36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</row>
    <row r="464" spans="1:36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</row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6">
    <mergeCell ref="G140:G143"/>
    <mergeCell ref="G144:G147"/>
    <mergeCell ref="G148:G151"/>
    <mergeCell ref="E154:K154"/>
    <mergeCell ref="G115:G118"/>
    <mergeCell ref="G120:I120"/>
    <mergeCell ref="G121:G123"/>
    <mergeCell ref="G124:G126"/>
    <mergeCell ref="G127:G129"/>
    <mergeCell ref="G130:G132"/>
    <mergeCell ref="G134:I134"/>
    <mergeCell ref="G101:I101"/>
    <mergeCell ref="G103:G106"/>
    <mergeCell ref="G107:G110"/>
    <mergeCell ref="G111:G114"/>
    <mergeCell ref="G136:G139"/>
    <mergeCell ref="G86:I86"/>
    <mergeCell ref="G88:G90"/>
    <mergeCell ref="G91:G93"/>
    <mergeCell ref="G94:G96"/>
    <mergeCell ref="G97:G99"/>
    <mergeCell ref="F7:G7"/>
    <mergeCell ref="N47:R47"/>
    <mergeCell ref="V47:Z47"/>
    <mergeCell ref="AD47:AG47"/>
    <mergeCell ref="E49:K49"/>
  </mergeCells>
  <dataValidations count="2">
    <dataValidation type="list" allowBlank="1" showErrorMessage="1" sqref="C13" xr:uid="{00000000-0002-0000-0100-000000000000}">
      <formula1>$E$136:$E$137</formula1>
    </dataValidation>
    <dataValidation type="list" allowBlank="1" showErrorMessage="1" sqref="C7" xr:uid="{00000000-0002-0000-0100-000001000000}">
      <formula1>$G$75:$G$82</formula1>
    </dataValidation>
  </dataValidations>
  <pageMargins left="0.70866141732283472" right="0.70866141732283472" top="0.74803149606299213" bottom="0.74803149606299213" header="0" footer="0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CCDC-712D-4FA8-B0B0-6523121867DE}">
  <dimension ref="A1:Q99"/>
  <sheetViews>
    <sheetView topLeftCell="A13" workbookViewId="0">
      <selection activeCell="O20" sqref="O20"/>
    </sheetView>
  </sheetViews>
  <sheetFormatPr baseColWidth="10" defaultColWidth="11.44140625" defaultRowHeight="14.4"/>
  <cols>
    <col min="1" max="1" width="11.44140625" style="412"/>
    <col min="2" max="2" width="9.5546875" style="412" customWidth="1"/>
    <col min="3" max="4" width="11.44140625" style="412"/>
    <col min="5" max="5" width="12.6640625" style="412" customWidth="1"/>
    <col min="6" max="6" width="16" style="412" customWidth="1"/>
    <col min="7" max="7" width="19.5546875" style="412" customWidth="1"/>
    <col min="8" max="8" width="19.33203125" style="412" customWidth="1"/>
    <col min="9" max="9" width="9" style="412" customWidth="1"/>
    <col min="10" max="11" width="11.44140625" style="412"/>
    <col min="12" max="12" width="11.6640625" style="412" customWidth="1"/>
    <col min="13" max="15" width="11.44140625" style="412"/>
    <col min="16" max="16" width="13.44140625" style="412" customWidth="1"/>
    <col min="17" max="17" width="12.33203125" style="412" customWidth="1"/>
    <col min="18" max="16384" width="11.44140625" style="412"/>
  </cols>
  <sheetData>
    <row r="1" spans="1:13">
      <c r="A1" s="444"/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</row>
    <row r="2" spans="1:13">
      <c r="A2" s="444"/>
      <c r="B2" s="444"/>
      <c r="C2" s="444"/>
      <c r="D2" s="444"/>
      <c r="E2" s="444"/>
      <c r="F2" s="444"/>
      <c r="G2" s="444"/>
      <c r="H2" s="444"/>
      <c r="I2" s="444"/>
      <c r="J2" s="444"/>
      <c r="K2" s="444"/>
      <c r="L2" s="444"/>
      <c r="M2" s="444"/>
    </row>
    <row r="3" spans="1:13">
      <c r="A3" s="444"/>
      <c r="B3" s="444"/>
      <c r="C3" s="444"/>
      <c r="D3" s="444"/>
      <c r="E3" s="444"/>
      <c r="F3" s="444"/>
      <c r="G3" s="444"/>
      <c r="H3" s="444"/>
      <c r="I3" s="444"/>
      <c r="J3" s="444"/>
      <c r="K3" s="901" t="s">
        <v>1168</v>
      </c>
      <c r="L3" s="902">
        <v>44971</v>
      </c>
      <c r="M3" s="444"/>
    </row>
    <row r="4" spans="1:13">
      <c r="A4" s="444"/>
      <c r="B4" s="444"/>
      <c r="C4" s="444"/>
      <c r="D4" s="444"/>
      <c r="E4" s="444"/>
      <c r="F4" s="444"/>
      <c r="G4" s="444"/>
      <c r="H4" s="444"/>
      <c r="I4" s="444"/>
      <c r="J4" s="444"/>
      <c r="K4" s="901" t="s">
        <v>1169</v>
      </c>
      <c r="L4" s="903" t="s">
        <v>1170</v>
      </c>
      <c r="M4" s="444"/>
    </row>
    <row r="5" spans="1:13">
      <c r="A5" s="444"/>
      <c r="B5" s="444"/>
      <c r="C5" s="444"/>
      <c r="D5" s="444"/>
      <c r="E5" s="444"/>
      <c r="F5" s="444"/>
      <c r="G5" s="444"/>
      <c r="H5" s="444"/>
      <c r="I5" s="444"/>
      <c r="J5" s="444"/>
      <c r="K5" s="444"/>
      <c r="L5" s="444"/>
      <c r="M5" s="444"/>
    </row>
    <row r="6" spans="1:13">
      <c r="A6" s="444"/>
      <c r="B6" s="444"/>
      <c r="C6" s="444"/>
      <c r="D6" s="444"/>
      <c r="E6" s="444"/>
      <c r="F6" s="444"/>
      <c r="G6" s="444"/>
      <c r="H6" s="444"/>
      <c r="I6" s="444"/>
      <c r="J6" s="444"/>
      <c r="K6" s="444"/>
      <c r="L6" s="444"/>
      <c r="M6" s="444"/>
    </row>
    <row r="7" spans="1:13">
      <c r="A7" s="904"/>
      <c r="B7" s="1144" t="s">
        <v>1171</v>
      </c>
      <c r="C7" s="1144"/>
      <c r="D7" s="1144"/>
      <c r="E7" s="904"/>
      <c r="F7" s="904"/>
      <c r="G7" s="904"/>
      <c r="H7" s="904"/>
      <c r="I7" s="904"/>
      <c r="J7" s="904"/>
      <c r="K7" s="904"/>
      <c r="L7" s="904"/>
      <c r="M7" s="904"/>
    </row>
    <row r="8" spans="1:13">
      <c r="A8" s="905" t="s">
        <v>1172</v>
      </c>
      <c r="B8" s="1141" t="s">
        <v>1173</v>
      </c>
      <c r="C8" s="1141"/>
      <c r="D8" s="1141"/>
      <c r="E8" s="445"/>
      <c r="F8" s="445"/>
      <c r="G8" s="445"/>
      <c r="H8" s="445"/>
      <c r="I8" s="445"/>
      <c r="J8" s="445"/>
      <c r="K8" s="445"/>
      <c r="L8" s="445"/>
      <c r="M8" s="445"/>
    </row>
    <row r="9" spans="1:13">
      <c r="A9" s="905" t="s">
        <v>1174</v>
      </c>
      <c r="B9" s="1141" t="s">
        <v>1175</v>
      </c>
      <c r="C9" s="1141"/>
      <c r="D9" s="1141"/>
      <c r="E9" s="445"/>
      <c r="F9" s="445"/>
      <c r="G9" s="445"/>
      <c r="H9" s="445"/>
      <c r="I9" s="445"/>
      <c r="J9" s="445"/>
      <c r="K9" s="445"/>
      <c r="L9" s="445"/>
      <c r="M9" s="445"/>
    </row>
    <row r="10" spans="1:13">
      <c r="A10" s="905" t="s">
        <v>1176</v>
      </c>
      <c r="B10" s="1141"/>
      <c r="C10" s="1141"/>
      <c r="D10" s="1141"/>
      <c r="E10" s="445"/>
      <c r="F10" s="445"/>
      <c r="G10" s="445"/>
      <c r="H10" s="445"/>
      <c r="I10" s="445"/>
      <c r="J10" s="445"/>
      <c r="K10" s="445"/>
      <c r="L10" s="445"/>
      <c r="M10" s="445"/>
    </row>
    <row r="11" spans="1:13">
      <c r="A11" s="905" t="s">
        <v>1177</v>
      </c>
      <c r="B11" s="1141"/>
      <c r="C11" s="1141"/>
      <c r="D11" s="1141"/>
      <c r="E11" s="445"/>
      <c r="F11" s="445"/>
      <c r="G11" s="445"/>
      <c r="H11" s="445"/>
      <c r="I11" s="445"/>
      <c r="J11" s="445"/>
      <c r="K11" s="445"/>
      <c r="L11" s="445"/>
      <c r="M11" s="445"/>
    </row>
    <row r="12" spans="1:13">
      <c r="A12" s="905" t="s">
        <v>1178</v>
      </c>
      <c r="B12" s="1141"/>
      <c r="C12" s="1141"/>
      <c r="D12" s="1141"/>
      <c r="E12" s="445"/>
      <c r="F12" s="445"/>
      <c r="G12" s="445"/>
      <c r="H12" s="445"/>
      <c r="I12" s="445"/>
      <c r="J12" s="445"/>
      <c r="K12" s="445"/>
      <c r="L12" s="445"/>
      <c r="M12" s="445"/>
    </row>
    <row r="13" spans="1:13">
      <c r="A13" s="905" t="s">
        <v>1179</v>
      </c>
      <c r="B13" s="1140" t="s">
        <v>1180</v>
      </c>
      <c r="C13" s="1141"/>
      <c r="D13" s="1141"/>
      <c r="E13" s="445"/>
      <c r="F13" s="445"/>
      <c r="G13" s="445"/>
      <c r="H13" s="445"/>
      <c r="I13" s="445"/>
      <c r="J13" s="445"/>
      <c r="K13" s="445"/>
      <c r="L13" s="445"/>
      <c r="M13" s="445"/>
    </row>
    <row r="14" spans="1:13">
      <c r="A14" s="1142"/>
      <c r="B14" s="1142"/>
      <c r="C14" s="1142"/>
      <c r="D14" s="1142"/>
      <c r="E14" s="1142"/>
      <c r="F14" s="1142"/>
      <c r="G14" s="1142"/>
      <c r="H14" s="1142"/>
      <c r="I14" s="1142"/>
      <c r="J14" s="1142"/>
      <c r="K14" s="1142"/>
      <c r="L14" s="1142"/>
      <c r="M14" s="1142"/>
    </row>
    <row r="15" spans="1:13">
      <c r="A15" s="445"/>
      <c r="B15" s="1143" t="s">
        <v>1181</v>
      </c>
      <c r="C15" s="1143"/>
      <c r="D15" s="1143"/>
      <c r="E15" s="1143"/>
      <c r="F15" s="1143"/>
      <c r="G15" s="907"/>
      <c r="H15" s="907"/>
      <c r="I15" s="907"/>
      <c r="J15" s="1144" t="s">
        <v>1182</v>
      </c>
      <c r="K15" s="1144"/>
      <c r="L15" s="1144"/>
      <c r="M15" s="445"/>
    </row>
    <row r="16" spans="1:13">
      <c r="A16" s="445"/>
      <c r="B16" s="1145" t="s">
        <v>1183</v>
      </c>
      <c r="C16" s="1145"/>
      <c r="D16" s="1145"/>
      <c r="E16" s="1145"/>
      <c r="F16" s="1145"/>
      <c r="G16" s="1145" t="s">
        <v>1184</v>
      </c>
      <c r="H16" s="1145"/>
      <c r="I16" s="1145"/>
      <c r="J16" s="1146" t="s">
        <v>1185</v>
      </c>
      <c r="K16" s="1147"/>
      <c r="L16" s="1148"/>
      <c r="M16" s="445"/>
    </row>
    <row r="17" spans="1:17">
      <c r="A17" s="445"/>
      <c r="B17" s="445"/>
      <c r="C17" s="445"/>
      <c r="D17" s="445"/>
      <c r="E17" s="445"/>
      <c r="F17" s="445"/>
      <c r="G17" s="445"/>
      <c r="H17" s="445"/>
      <c r="I17" s="445"/>
      <c r="J17" s="445"/>
      <c r="K17" s="445"/>
      <c r="L17" s="445"/>
      <c r="M17" s="445"/>
    </row>
    <row r="18" spans="1:17">
      <c r="A18" s="445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5"/>
    </row>
    <row r="19" spans="1:17">
      <c r="A19" s="445"/>
      <c r="B19" s="906" t="s">
        <v>754</v>
      </c>
      <c r="C19" s="906" t="s">
        <v>755</v>
      </c>
      <c r="D19" s="906" t="s">
        <v>756</v>
      </c>
      <c r="E19" s="906" t="s">
        <v>757</v>
      </c>
      <c r="F19" s="906" t="s">
        <v>9</v>
      </c>
      <c r="G19" s="1149" t="s">
        <v>1186</v>
      </c>
      <c r="H19" s="1149"/>
      <c r="I19" s="1143" t="s">
        <v>1187</v>
      </c>
      <c r="J19" s="1143"/>
      <c r="K19" s="1143" t="s">
        <v>1188</v>
      </c>
      <c r="L19" s="1143"/>
      <c r="M19" s="445"/>
      <c r="N19" s="914" t="s">
        <v>1203</v>
      </c>
      <c r="O19" s="914" t="s">
        <v>54</v>
      </c>
      <c r="P19" s="914" t="s">
        <v>55</v>
      </c>
      <c r="Q19" s="914" t="s">
        <v>21</v>
      </c>
    </row>
    <row r="20" spans="1:17">
      <c r="A20" s="445"/>
      <c r="B20" s="908">
        <v>1</v>
      </c>
      <c r="C20" s="908" t="s">
        <v>764</v>
      </c>
      <c r="D20" s="908">
        <v>108</v>
      </c>
      <c r="E20" s="908" t="s">
        <v>3</v>
      </c>
      <c r="F20" s="908" t="s">
        <v>73</v>
      </c>
      <c r="G20" s="909">
        <v>11582.4</v>
      </c>
      <c r="H20" s="910">
        <v>1066.8</v>
      </c>
      <c r="I20" s="1124">
        <v>8914.5</v>
      </c>
      <c r="J20" s="1124"/>
      <c r="K20" s="1124">
        <f>+I20*D20</f>
        <v>962766</v>
      </c>
      <c r="L20" s="1124"/>
      <c r="M20" s="445"/>
      <c r="N20" s="917">
        <v>55</v>
      </c>
      <c r="O20" s="914">
        <f>+'Calculador Selectivo'!E14</f>
        <v>31.444730145231972</v>
      </c>
      <c r="P20" s="914">
        <f>+'Calculador Selectivo'!H14</f>
        <v>12.163743999999999</v>
      </c>
      <c r="Q20" s="914">
        <v>1.1000000000000001</v>
      </c>
    </row>
    <row r="21" spans="1:17">
      <c r="A21" s="445"/>
      <c r="B21" s="908">
        <v>2</v>
      </c>
      <c r="C21" s="908" t="s">
        <v>765</v>
      </c>
      <c r="D21" s="908">
        <v>1340</v>
      </c>
      <c r="E21" s="908" t="s">
        <v>4</v>
      </c>
      <c r="F21" s="908" t="s">
        <v>1189</v>
      </c>
      <c r="G21" s="1138">
        <f>108*25.4</f>
        <v>2743.2</v>
      </c>
      <c r="H21" s="1139"/>
      <c r="I21" s="1124">
        <f>+P21</f>
        <v>669.00591999999995</v>
      </c>
      <c r="J21" s="1124"/>
      <c r="K21" s="1124">
        <f t="shared" ref="K21:K26" si="0">+I21*D21</f>
        <v>896467.93279999995</v>
      </c>
      <c r="L21" s="1124"/>
      <c r="M21" s="445"/>
      <c r="O21" s="915">
        <f>+I20</f>
        <v>8914.5</v>
      </c>
      <c r="P21" s="916">
        <f t="shared" ref="P21:Q21" si="1">+P20*$N$20</f>
        <v>669.00591999999995</v>
      </c>
      <c r="Q21" s="916">
        <f t="shared" si="1"/>
        <v>60.500000000000007</v>
      </c>
    </row>
    <row r="22" spans="1:17">
      <c r="A22" s="445"/>
      <c r="B22" s="908">
        <v>3</v>
      </c>
      <c r="C22" s="908" t="s">
        <v>764</v>
      </c>
      <c r="D22" s="908">
        <v>210</v>
      </c>
      <c r="E22" s="908" t="s">
        <v>21</v>
      </c>
      <c r="F22" s="908" t="s">
        <v>132</v>
      </c>
      <c r="G22" s="1136" t="s">
        <v>132</v>
      </c>
      <c r="H22" s="1137"/>
      <c r="I22" s="1124">
        <f>+Q21</f>
        <v>60.500000000000007</v>
      </c>
      <c r="J22" s="1124"/>
      <c r="K22" s="1124">
        <f t="shared" si="0"/>
        <v>12705.000000000002</v>
      </c>
      <c r="L22" s="1124"/>
      <c r="M22" s="445"/>
    </row>
    <row r="23" spans="1:17">
      <c r="A23" s="445"/>
      <c r="B23" s="908">
        <v>4</v>
      </c>
      <c r="C23" s="908"/>
      <c r="D23" s="908">
        <f>+D21*2</f>
        <v>2680</v>
      </c>
      <c r="E23" s="908" t="s">
        <v>1140</v>
      </c>
      <c r="F23" s="908" t="s">
        <v>733</v>
      </c>
      <c r="G23" s="1136" t="s">
        <v>132</v>
      </c>
      <c r="H23" s="1137"/>
      <c r="I23" s="1124">
        <v>7</v>
      </c>
      <c r="J23" s="1124"/>
      <c r="K23" s="1124">
        <f t="shared" si="0"/>
        <v>18760</v>
      </c>
      <c r="L23" s="1124"/>
      <c r="M23" s="445"/>
    </row>
    <row r="24" spans="1:17" ht="15" customHeight="1">
      <c r="A24" s="445"/>
      <c r="B24" s="908">
        <v>5</v>
      </c>
      <c r="C24" s="908"/>
      <c r="D24" s="908">
        <f>+D22*4</f>
        <v>840</v>
      </c>
      <c r="E24" s="908" t="s">
        <v>1190</v>
      </c>
      <c r="F24" s="908" t="s">
        <v>1191</v>
      </c>
      <c r="G24" s="1136" t="s">
        <v>127</v>
      </c>
      <c r="H24" s="1137"/>
      <c r="I24" s="1124">
        <v>7</v>
      </c>
      <c r="J24" s="1124"/>
      <c r="K24" s="1124">
        <f t="shared" si="0"/>
        <v>5880</v>
      </c>
      <c r="L24" s="1124"/>
      <c r="M24" s="445"/>
    </row>
    <row r="25" spans="1:17">
      <c r="A25" s="445"/>
      <c r="B25" s="908">
        <v>6</v>
      </c>
      <c r="C25" s="908"/>
      <c r="D25" s="908">
        <f>+D20*4</f>
        <v>432</v>
      </c>
      <c r="E25" s="908" t="s">
        <v>768</v>
      </c>
      <c r="F25" s="908" t="s">
        <v>769</v>
      </c>
      <c r="G25" s="1136" t="s">
        <v>126</v>
      </c>
      <c r="H25" s="1137"/>
      <c r="I25" s="1124">
        <v>15</v>
      </c>
      <c r="J25" s="1124"/>
      <c r="K25" s="1124">
        <f t="shared" si="0"/>
        <v>6480</v>
      </c>
      <c r="L25" s="1124"/>
      <c r="M25" s="445"/>
    </row>
    <row r="26" spans="1:17">
      <c r="A26" s="445"/>
      <c r="B26" s="908">
        <v>7</v>
      </c>
      <c r="C26" s="908"/>
      <c r="D26" s="912">
        <f>+D20*3</f>
        <v>324</v>
      </c>
      <c r="E26" s="912" t="s">
        <v>766</v>
      </c>
      <c r="F26" s="912" t="s">
        <v>767</v>
      </c>
      <c r="G26" s="1132"/>
      <c r="H26" s="1133"/>
      <c r="I26" s="1134">
        <v>15</v>
      </c>
      <c r="J26" s="1135"/>
      <c r="K26" s="1134">
        <f t="shared" si="0"/>
        <v>4860</v>
      </c>
      <c r="L26" s="1135"/>
      <c r="M26" s="445"/>
    </row>
    <row r="27" spans="1:17" ht="15" customHeight="1">
      <c r="A27" s="445"/>
      <c r="B27" s="908">
        <v>9</v>
      </c>
      <c r="C27" s="908"/>
      <c r="D27" s="908">
        <f>+D21*2</f>
        <v>2680</v>
      </c>
      <c r="E27" s="908" t="s">
        <v>59</v>
      </c>
      <c r="F27" s="908" t="s">
        <v>62</v>
      </c>
      <c r="G27" s="1136"/>
      <c r="H27" s="1137"/>
      <c r="I27" s="1124">
        <v>124.92</v>
      </c>
      <c r="J27" s="1124"/>
      <c r="K27" s="1124">
        <f>+I27*D27</f>
        <v>334785.59999999998</v>
      </c>
      <c r="L27" s="1124"/>
      <c r="M27" s="445"/>
    </row>
    <row r="28" spans="1:17">
      <c r="A28" s="445"/>
      <c r="B28" s="908">
        <v>10</v>
      </c>
      <c r="C28" s="908"/>
      <c r="D28" s="908">
        <v>1</v>
      </c>
      <c r="E28" s="908" t="s">
        <v>1182</v>
      </c>
      <c r="F28" s="908" t="s">
        <v>1182</v>
      </c>
      <c r="G28" s="911"/>
      <c r="H28" s="913"/>
      <c r="I28" s="1127">
        <v>40000</v>
      </c>
      <c r="J28" s="1128"/>
      <c r="K28" s="1127">
        <v>40000</v>
      </c>
      <c r="L28" s="1128"/>
      <c r="M28" s="445"/>
    </row>
    <row r="29" spans="1:17">
      <c r="A29" s="445"/>
      <c r="B29" s="908">
        <v>11</v>
      </c>
      <c r="C29" s="908"/>
      <c r="D29" s="908"/>
      <c r="E29" s="908"/>
      <c r="F29" s="908"/>
      <c r="G29" s="911"/>
      <c r="H29" s="913"/>
      <c r="I29" s="1124">
        <v>0</v>
      </c>
      <c r="J29" s="1124"/>
      <c r="K29" s="1127">
        <f t="shared" ref="K29:K33" si="2">+I29*D29</f>
        <v>0</v>
      </c>
      <c r="L29" s="1128"/>
      <c r="M29" s="445"/>
    </row>
    <row r="30" spans="1:17" ht="15" customHeight="1">
      <c r="A30" s="445"/>
      <c r="B30" s="908">
        <v>12</v>
      </c>
      <c r="C30" s="908"/>
      <c r="D30" s="908"/>
      <c r="E30" s="908"/>
      <c r="F30" s="908"/>
      <c r="G30" s="911"/>
      <c r="H30" s="913"/>
      <c r="I30" s="1124">
        <v>0</v>
      </c>
      <c r="J30" s="1124"/>
      <c r="K30" s="1127">
        <f t="shared" si="2"/>
        <v>0</v>
      </c>
      <c r="L30" s="1128"/>
      <c r="M30" s="445"/>
    </row>
    <row r="31" spans="1:17">
      <c r="A31" s="445"/>
      <c r="B31" s="908">
        <v>13</v>
      </c>
      <c r="C31" s="908"/>
      <c r="D31" s="908"/>
      <c r="E31" s="908"/>
      <c r="F31" s="908"/>
      <c r="G31" s="911"/>
      <c r="H31" s="913"/>
      <c r="I31" s="1124">
        <v>0</v>
      </c>
      <c r="J31" s="1124"/>
      <c r="K31" s="1127">
        <f t="shared" si="2"/>
        <v>0</v>
      </c>
      <c r="L31" s="1128"/>
      <c r="M31" s="445"/>
    </row>
    <row r="32" spans="1:17">
      <c r="A32" s="445"/>
      <c r="B32" s="908">
        <v>14</v>
      </c>
      <c r="C32" s="908"/>
      <c r="D32" s="908"/>
      <c r="E32" s="908"/>
      <c r="F32" s="908"/>
      <c r="G32" s="911"/>
      <c r="H32" s="913"/>
      <c r="I32" s="1124">
        <v>0</v>
      </c>
      <c r="J32" s="1124"/>
      <c r="K32" s="1127">
        <f t="shared" si="2"/>
        <v>0</v>
      </c>
      <c r="L32" s="1128"/>
      <c r="M32" s="445"/>
    </row>
    <row r="33" spans="1:13">
      <c r="A33" s="445"/>
      <c r="B33" s="908">
        <v>15</v>
      </c>
      <c r="C33" s="908"/>
      <c r="D33" s="908"/>
      <c r="E33" s="908"/>
      <c r="F33" s="908"/>
      <c r="G33" s="911"/>
      <c r="H33" s="913"/>
      <c r="I33" s="1124">
        <v>0</v>
      </c>
      <c r="J33" s="1124"/>
      <c r="K33" s="1127">
        <f t="shared" si="2"/>
        <v>0</v>
      </c>
      <c r="L33" s="1128"/>
      <c r="M33" s="445"/>
    </row>
    <row r="34" spans="1:13">
      <c r="A34" s="445"/>
      <c r="B34" s="908">
        <f>+B33+1</f>
        <v>16</v>
      </c>
      <c r="C34" s="908"/>
      <c r="D34" s="908"/>
      <c r="E34" s="908"/>
      <c r="F34" s="908"/>
      <c r="G34" s="911"/>
      <c r="H34" s="913"/>
      <c r="I34" s="1124">
        <v>0</v>
      </c>
      <c r="J34" s="1124"/>
      <c r="K34" s="1127">
        <f t="shared" ref="K34:K38" si="3">+I34*D34</f>
        <v>0</v>
      </c>
      <c r="L34" s="1128"/>
      <c r="M34" s="445"/>
    </row>
    <row r="35" spans="1:13">
      <c r="A35" s="445"/>
      <c r="B35" s="908">
        <f t="shared" ref="B35:B37" si="4">+B34+1</f>
        <v>17</v>
      </c>
      <c r="C35" s="908"/>
      <c r="D35" s="908"/>
      <c r="E35" s="908"/>
      <c r="F35" s="908"/>
      <c r="G35" s="911"/>
      <c r="H35" s="913"/>
      <c r="I35" s="1124">
        <v>0</v>
      </c>
      <c r="J35" s="1124"/>
      <c r="K35" s="1127">
        <f t="shared" si="3"/>
        <v>0</v>
      </c>
      <c r="L35" s="1128"/>
      <c r="M35" s="445"/>
    </row>
    <row r="36" spans="1:13">
      <c r="A36" s="445"/>
      <c r="B36" s="908">
        <f t="shared" si="4"/>
        <v>18</v>
      </c>
      <c r="C36" s="908"/>
      <c r="D36" s="908"/>
      <c r="E36" s="908"/>
      <c r="F36" s="908"/>
      <c r="G36" s="911"/>
      <c r="H36" s="913"/>
      <c r="I36" s="1124">
        <v>0</v>
      </c>
      <c r="J36" s="1124"/>
      <c r="K36" s="1127">
        <f t="shared" si="3"/>
        <v>0</v>
      </c>
      <c r="L36" s="1128"/>
      <c r="M36" s="445"/>
    </row>
    <row r="37" spans="1:13">
      <c r="A37" s="445"/>
      <c r="B37" s="908">
        <f t="shared" si="4"/>
        <v>19</v>
      </c>
      <c r="C37" s="908"/>
      <c r="D37" s="908"/>
      <c r="E37" s="908"/>
      <c r="F37" s="908"/>
      <c r="G37" s="911"/>
      <c r="H37" s="913"/>
      <c r="I37" s="1124">
        <v>0</v>
      </c>
      <c r="J37" s="1124"/>
      <c r="K37" s="1127">
        <f t="shared" si="3"/>
        <v>0</v>
      </c>
      <c r="L37" s="1128"/>
      <c r="M37" s="445"/>
    </row>
    <row r="38" spans="1:13">
      <c r="A38" s="445"/>
      <c r="B38" s="908">
        <v>20</v>
      </c>
      <c r="C38" s="908"/>
      <c r="D38" s="908"/>
      <c r="E38" s="908"/>
      <c r="F38" s="908"/>
      <c r="G38" s="911"/>
      <c r="H38" s="913"/>
      <c r="I38" s="1124">
        <v>0</v>
      </c>
      <c r="J38" s="1124"/>
      <c r="K38" s="1127">
        <f t="shared" si="3"/>
        <v>0</v>
      </c>
      <c r="L38" s="1128"/>
      <c r="M38" s="445"/>
    </row>
    <row r="39" spans="1:13">
      <c r="A39" s="445"/>
      <c r="B39" s="445"/>
      <c r="C39" s="445"/>
      <c r="D39" s="445"/>
      <c r="E39" s="445"/>
      <c r="F39" s="445"/>
      <c r="G39" s="445"/>
      <c r="H39" s="445"/>
      <c r="I39" s="445"/>
      <c r="J39" s="445"/>
      <c r="K39" s="445"/>
      <c r="L39" s="445"/>
      <c r="M39" s="445"/>
    </row>
    <row r="40" spans="1:13">
      <c r="A40" s="1131" t="s">
        <v>1192</v>
      </c>
      <c r="B40" s="1131"/>
      <c r="C40" s="445" t="s">
        <v>1193</v>
      </c>
      <c r="D40" s="445"/>
      <c r="E40" s="445"/>
      <c r="F40" s="445"/>
      <c r="G40" s="445"/>
      <c r="H40" s="445"/>
      <c r="I40" s="1131" t="s">
        <v>1194</v>
      </c>
      <c r="J40" s="1131"/>
      <c r="K40" s="1129">
        <f>SUM(K20:L38)</f>
        <v>2282704.5328000002</v>
      </c>
      <c r="L40" s="1130"/>
      <c r="M40" s="445"/>
    </row>
    <row r="41" spans="1:13">
      <c r="A41" s="1131" t="s">
        <v>1195</v>
      </c>
      <c r="B41" s="1131"/>
      <c r="C41" s="445" t="s">
        <v>1196</v>
      </c>
      <c r="D41" s="445"/>
      <c r="E41" s="445"/>
      <c r="F41" s="445"/>
      <c r="G41" s="445"/>
      <c r="H41" s="445"/>
      <c r="I41" s="1131" t="s">
        <v>1197</v>
      </c>
      <c r="J41" s="1131"/>
      <c r="K41" s="1125">
        <f>+K40*0.16</f>
        <v>365232.72524800006</v>
      </c>
      <c r="L41" s="1126"/>
      <c r="M41" s="445"/>
    </row>
    <row r="42" spans="1:13">
      <c r="A42" s="1131" t="s">
        <v>1198</v>
      </c>
      <c r="B42" s="1131"/>
      <c r="C42" s="445" t="s">
        <v>1199</v>
      </c>
      <c r="D42" s="445"/>
      <c r="E42" s="445"/>
      <c r="F42" s="445"/>
      <c r="G42" s="445"/>
      <c r="H42" s="445"/>
      <c r="I42" s="1131" t="s">
        <v>1200</v>
      </c>
      <c r="J42" s="1131"/>
      <c r="K42" s="1125">
        <f>+K41+K41+K40</f>
        <v>3013169.9832960004</v>
      </c>
      <c r="L42" s="1126"/>
      <c r="M42" s="445"/>
    </row>
    <row r="43" spans="1:13">
      <c r="A43" s="1131" t="s">
        <v>1201</v>
      </c>
      <c r="B43" s="1131"/>
      <c r="C43" s="445" t="s">
        <v>1202</v>
      </c>
      <c r="D43" s="445"/>
      <c r="E43" s="445"/>
      <c r="F43" s="445"/>
      <c r="G43" s="445"/>
      <c r="H43" s="445"/>
      <c r="I43" s="445"/>
      <c r="J43" s="445"/>
      <c r="K43" s="445"/>
      <c r="L43" s="445"/>
      <c r="M43" s="445"/>
    </row>
    <row r="44" spans="1:13">
      <c r="A44" s="445"/>
      <c r="B44" s="445"/>
      <c r="C44" s="445"/>
      <c r="D44" s="445"/>
      <c r="E44" s="445"/>
      <c r="F44" s="445"/>
      <c r="G44" s="445"/>
      <c r="H44" s="445"/>
      <c r="I44" s="445"/>
      <c r="J44" s="445"/>
      <c r="K44" s="445"/>
      <c r="L44" s="445"/>
      <c r="M44" s="445"/>
    </row>
    <row r="45" spans="1:13">
      <c r="A45" s="445"/>
      <c r="B45" s="445"/>
      <c r="C45" s="445"/>
      <c r="D45" s="445"/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>
      <c r="A46" s="445"/>
      <c r="B46" s="445"/>
      <c r="C46" s="445"/>
      <c r="D46" s="445"/>
      <c r="E46" s="445"/>
      <c r="F46" s="445"/>
      <c r="G46" s="445"/>
      <c r="H46" s="445"/>
      <c r="I46" s="445"/>
      <c r="J46" s="445"/>
      <c r="K46" s="445"/>
      <c r="L46" s="445"/>
      <c r="M46" s="445"/>
    </row>
    <row r="47" spans="1:13">
      <c r="A47" s="445"/>
      <c r="B47" s="445"/>
      <c r="C47" s="445"/>
      <c r="D47" s="445"/>
      <c r="E47" s="445"/>
      <c r="F47" s="445"/>
      <c r="G47" s="445"/>
      <c r="H47" s="445"/>
      <c r="I47" s="445"/>
      <c r="J47" s="445"/>
      <c r="K47" s="445"/>
      <c r="L47" s="445"/>
      <c r="M47" s="445"/>
    </row>
    <row r="48" spans="1:13">
      <c r="A48" s="445"/>
      <c r="B48" s="445"/>
      <c r="C48" s="445"/>
      <c r="D48" s="445"/>
      <c r="E48" s="445"/>
      <c r="F48" s="445"/>
      <c r="G48" s="445"/>
      <c r="H48" s="445"/>
      <c r="I48" s="445"/>
      <c r="J48" s="445"/>
      <c r="K48" s="445"/>
      <c r="L48" s="445"/>
      <c r="M48" s="445"/>
    </row>
    <row r="49" spans="1:13">
      <c r="A49" s="445"/>
      <c r="B49" s="445"/>
      <c r="C49" s="445"/>
      <c r="D49" s="445"/>
      <c r="E49" s="445"/>
      <c r="F49" s="445"/>
      <c r="G49" s="445"/>
      <c r="H49" s="445"/>
      <c r="I49" s="445"/>
      <c r="J49" s="445"/>
      <c r="K49" s="445"/>
      <c r="L49" s="445"/>
      <c r="M49" s="445"/>
    </row>
    <row r="50" spans="1:13">
      <c r="A50" s="445"/>
      <c r="B50" s="445"/>
      <c r="C50" s="445"/>
      <c r="D50" s="445"/>
      <c r="E50" s="445"/>
      <c r="F50" s="445"/>
      <c r="G50" s="445"/>
      <c r="H50" s="445"/>
      <c r="I50" s="445"/>
      <c r="J50" s="445"/>
      <c r="K50" s="445"/>
      <c r="L50" s="445"/>
      <c r="M50" s="445"/>
    </row>
    <row r="51" spans="1:13">
      <c r="A51" s="445"/>
      <c r="B51" s="445"/>
      <c r="C51" s="445"/>
      <c r="D51" s="445"/>
      <c r="E51" s="445"/>
      <c r="F51" s="445"/>
      <c r="G51" s="445"/>
      <c r="H51" s="445"/>
      <c r="I51" s="445"/>
      <c r="J51" s="445"/>
      <c r="K51" s="445"/>
      <c r="L51" s="445"/>
      <c r="M51" s="445"/>
    </row>
    <row r="52" spans="1:13">
      <c r="A52" s="445"/>
      <c r="B52" s="445"/>
      <c r="C52" s="445"/>
      <c r="D52" s="445"/>
      <c r="E52" s="445"/>
      <c r="F52" s="445"/>
      <c r="G52" s="445"/>
      <c r="H52" s="445"/>
      <c r="I52" s="445"/>
      <c r="J52" s="445"/>
      <c r="K52" s="445"/>
      <c r="L52" s="445"/>
      <c r="M52" s="445"/>
    </row>
    <row r="53" spans="1:13">
      <c r="A53" s="445"/>
      <c r="B53" s="445"/>
      <c r="C53" s="445"/>
      <c r="D53" s="445"/>
      <c r="E53" s="445"/>
      <c r="F53" s="445"/>
      <c r="G53" s="445"/>
      <c r="H53" s="445"/>
      <c r="I53" s="445"/>
      <c r="J53" s="445"/>
      <c r="K53" s="445"/>
      <c r="L53" s="445"/>
      <c r="M53" s="445"/>
    </row>
    <row r="54" spans="1:13">
      <c r="A54" s="445"/>
      <c r="B54" s="445"/>
      <c r="C54" s="445"/>
      <c r="D54" s="445"/>
      <c r="E54" s="445"/>
      <c r="F54" s="445"/>
      <c r="G54" s="445"/>
      <c r="H54" s="445"/>
      <c r="I54" s="445"/>
      <c r="J54" s="445"/>
      <c r="K54" s="445"/>
      <c r="L54" s="445"/>
      <c r="M54" s="445"/>
    </row>
    <row r="55" spans="1:13">
      <c r="A55" s="445"/>
      <c r="B55" s="445"/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</row>
    <row r="56" spans="1:13">
      <c r="A56" s="445"/>
      <c r="B56" s="445"/>
      <c r="C56" s="445"/>
      <c r="D56" s="445"/>
      <c r="E56" s="445"/>
      <c r="F56" s="445"/>
      <c r="G56" s="445"/>
      <c r="H56" s="445"/>
      <c r="I56" s="445"/>
      <c r="J56" s="445"/>
      <c r="K56" s="445"/>
      <c r="L56" s="445"/>
      <c r="M56" s="445"/>
    </row>
    <row r="57" spans="1:13">
      <c r="A57" s="445"/>
      <c r="B57" s="445"/>
      <c r="C57" s="445"/>
      <c r="D57" s="445"/>
      <c r="E57" s="445"/>
      <c r="F57" s="445"/>
      <c r="G57" s="445"/>
      <c r="H57" s="445"/>
      <c r="I57" s="445"/>
      <c r="J57" s="445"/>
      <c r="K57" s="445"/>
      <c r="L57" s="445"/>
      <c r="M57" s="445"/>
    </row>
    <row r="58" spans="1:13">
      <c r="A58" s="445"/>
      <c r="B58" s="445"/>
      <c r="C58" s="445"/>
      <c r="D58" s="445"/>
      <c r="E58" s="445"/>
      <c r="F58" s="445"/>
      <c r="G58" s="445"/>
      <c r="H58" s="445"/>
      <c r="I58" s="445"/>
      <c r="J58" s="445"/>
      <c r="K58" s="445"/>
      <c r="L58" s="445"/>
      <c r="M58" s="445"/>
    </row>
    <row r="59" spans="1:13">
      <c r="A59" s="445"/>
      <c r="B59" s="445"/>
      <c r="C59" s="445"/>
      <c r="D59" s="445"/>
      <c r="E59" s="445"/>
      <c r="F59" s="445"/>
      <c r="G59" s="445"/>
      <c r="H59" s="445"/>
      <c r="I59" s="445"/>
      <c r="J59" s="445"/>
      <c r="K59" s="445"/>
      <c r="L59" s="445"/>
      <c r="M59" s="445"/>
    </row>
    <row r="60" spans="1:13">
      <c r="A60" s="445"/>
      <c r="B60" s="445"/>
      <c r="C60" s="445"/>
      <c r="D60" s="445"/>
      <c r="E60" s="445"/>
      <c r="F60" s="445"/>
      <c r="G60" s="445"/>
      <c r="H60" s="445"/>
      <c r="I60" s="445"/>
      <c r="J60" s="445"/>
      <c r="K60" s="445"/>
      <c r="L60" s="445"/>
      <c r="M60" s="445"/>
    </row>
    <row r="61" spans="1:13">
      <c r="A61" s="445"/>
      <c r="B61" s="445"/>
      <c r="C61" s="445"/>
      <c r="D61" s="445"/>
      <c r="E61" s="445"/>
      <c r="F61" s="445"/>
      <c r="G61" s="445"/>
      <c r="H61" s="445"/>
      <c r="I61" s="445"/>
      <c r="J61" s="445"/>
      <c r="K61" s="445"/>
      <c r="L61" s="445"/>
      <c r="M61" s="445"/>
    </row>
    <row r="62" spans="1:13">
      <c r="A62" s="445"/>
      <c r="B62" s="445"/>
      <c r="C62" s="445"/>
      <c r="D62" s="445"/>
      <c r="E62" s="445"/>
      <c r="F62" s="445"/>
      <c r="G62" s="445"/>
      <c r="H62" s="445"/>
      <c r="I62" s="445"/>
      <c r="J62" s="445"/>
      <c r="K62" s="445"/>
      <c r="L62" s="445"/>
      <c r="M62" s="445"/>
    </row>
    <row r="63" spans="1:13">
      <c r="A63" s="445"/>
      <c r="B63" s="445"/>
      <c r="C63" s="445"/>
      <c r="D63" s="445"/>
      <c r="E63" s="445"/>
      <c r="F63" s="445"/>
      <c r="G63" s="445"/>
      <c r="H63" s="445"/>
      <c r="I63" s="445"/>
      <c r="J63" s="445"/>
      <c r="K63" s="445"/>
      <c r="L63" s="445"/>
      <c r="M63" s="445"/>
    </row>
    <row r="64" spans="1:13">
      <c r="A64" s="445"/>
      <c r="B64" s="445"/>
      <c r="C64" s="445"/>
      <c r="D64" s="445"/>
      <c r="E64" s="445"/>
      <c r="F64" s="445"/>
      <c r="G64" s="445"/>
      <c r="H64" s="445"/>
      <c r="I64" s="445"/>
      <c r="J64" s="445"/>
      <c r="K64" s="445"/>
      <c r="L64" s="445"/>
      <c r="M64" s="445"/>
    </row>
    <row r="65" spans="1:13">
      <c r="A65" s="445"/>
      <c r="B65" s="445"/>
      <c r="C65" s="445"/>
      <c r="D65" s="445"/>
      <c r="E65" s="445"/>
      <c r="F65" s="445"/>
      <c r="G65" s="445"/>
      <c r="H65" s="445"/>
      <c r="I65" s="445"/>
      <c r="J65" s="445"/>
      <c r="K65" s="445"/>
      <c r="L65" s="445"/>
      <c r="M65" s="445"/>
    </row>
    <row r="66" spans="1:13">
      <c r="A66" s="445"/>
      <c r="B66" s="445"/>
      <c r="C66" s="445"/>
      <c r="D66" s="445"/>
      <c r="E66" s="445"/>
      <c r="F66" s="445"/>
      <c r="G66" s="445"/>
      <c r="H66" s="445"/>
      <c r="I66" s="445"/>
      <c r="J66" s="445"/>
      <c r="K66" s="445"/>
      <c r="L66" s="445"/>
      <c r="M66" s="445"/>
    </row>
    <row r="67" spans="1:13">
      <c r="A67" s="445"/>
      <c r="B67" s="445"/>
      <c r="C67" s="445"/>
      <c r="D67" s="445"/>
      <c r="E67" s="445"/>
      <c r="F67" s="445"/>
      <c r="G67" s="445"/>
      <c r="H67" s="445"/>
      <c r="I67" s="445"/>
      <c r="J67" s="445"/>
      <c r="K67" s="445"/>
      <c r="L67" s="445"/>
      <c r="M67" s="445"/>
    </row>
    <row r="68" spans="1:13">
      <c r="A68" s="445"/>
      <c r="B68" s="445"/>
      <c r="C68" s="445"/>
      <c r="D68" s="445"/>
      <c r="E68" s="445"/>
      <c r="F68" s="445"/>
      <c r="G68" s="445"/>
      <c r="H68" s="445"/>
      <c r="I68" s="445"/>
      <c r="J68" s="445"/>
      <c r="K68" s="445"/>
      <c r="L68" s="445"/>
      <c r="M68" s="445"/>
    </row>
    <row r="69" spans="1:13">
      <c r="A69" s="445"/>
      <c r="B69" s="445"/>
      <c r="C69" s="445"/>
      <c r="D69" s="445"/>
      <c r="E69" s="445"/>
      <c r="F69" s="445"/>
      <c r="G69" s="445"/>
      <c r="H69" s="445"/>
      <c r="I69" s="445"/>
      <c r="J69" s="445"/>
      <c r="K69" s="445"/>
      <c r="L69" s="445"/>
      <c r="M69" s="445"/>
    </row>
    <row r="70" spans="1:13">
      <c r="A70" s="445"/>
      <c r="B70" s="445"/>
      <c r="C70" s="445"/>
      <c r="D70" s="445"/>
      <c r="E70" s="445"/>
      <c r="F70" s="445"/>
      <c r="G70" s="445"/>
      <c r="H70" s="445"/>
      <c r="I70" s="445"/>
      <c r="J70" s="445"/>
      <c r="K70" s="445"/>
      <c r="L70" s="445"/>
      <c r="M70" s="445"/>
    </row>
    <row r="71" spans="1:13">
      <c r="A71" s="445"/>
      <c r="B71" s="445"/>
      <c r="C71" s="445"/>
      <c r="D71" s="445"/>
      <c r="E71" s="445"/>
      <c r="F71" s="445"/>
      <c r="G71" s="445"/>
      <c r="H71" s="445"/>
      <c r="I71" s="445"/>
      <c r="J71" s="445"/>
      <c r="K71" s="445"/>
      <c r="L71" s="445"/>
      <c r="M71" s="445"/>
    </row>
    <row r="72" spans="1:13">
      <c r="A72" s="445"/>
      <c r="B72" s="445"/>
      <c r="C72" s="445"/>
      <c r="D72" s="445"/>
      <c r="E72" s="445"/>
      <c r="F72" s="445"/>
      <c r="G72" s="445"/>
      <c r="H72" s="445"/>
      <c r="I72" s="445"/>
      <c r="J72" s="445"/>
      <c r="K72" s="445"/>
      <c r="L72" s="445"/>
      <c r="M72" s="445"/>
    </row>
    <row r="73" spans="1:13">
      <c r="A73" s="445"/>
      <c r="B73" s="445"/>
      <c r="C73" s="445"/>
      <c r="D73" s="445"/>
      <c r="E73" s="445"/>
      <c r="F73" s="445"/>
      <c r="G73" s="445"/>
      <c r="H73" s="445"/>
      <c r="I73" s="445"/>
      <c r="J73" s="445"/>
      <c r="K73" s="445"/>
      <c r="L73" s="445"/>
      <c r="M73" s="445"/>
    </row>
    <row r="74" spans="1:13">
      <c r="A74" s="445"/>
      <c r="B74" s="445"/>
      <c r="C74" s="445"/>
      <c r="D74" s="445"/>
      <c r="E74" s="445"/>
      <c r="F74" s="445"/>
      <c r="G74" s="445"/>
      <c r="H74" s="445"/>
      <c r="I74" s="445"/>
      <c r="J74" s="445"/>
      <c r="K74" s="445"/>
      <c r="L74" s="445"/>
      <c r="M74" s="445"/>
    </row>
    <row r="75" spans="1:13">
      <c r="A75" s="445"/>
      <c r="B75" s="445"/>
      <c r="C75" s="445"/>
      <c r="D75" s="445"/>
      <c r="E75" s="445"/>
      <c r="F75" s="445"/>
      <c r="G75" s="445"/>
      <c r="H75" s="445"/>
      <c r="I75" s="445"/>
      <c r="J75" s="445"/>
      <c r="K75" s="445"/>
      <c r="L75" s="445"/>
      <c r="M75" s="445"/>
    </row>
    <row r="76" spans="1:13">
      <c r="A76" s="445"/>
      <c r="B76" s="445"/>
      <c r="C76" s="445"/>
      <c r="D76" s="445"/>
      <c r="E76" s="445"/>
      <c r="F76" s="445"/>
      <c r="G76" s="445"/>
      <c r="H76" s="445"/>
      <c r="I76" s="445"/>
      <c r="J76" s="445"/>
      <c r="K76" s="445"/>
      <c r="L76" s="445"/>
      <c r="M76" s="445"/>
    </row>
    <row r="77" spans="1:13">
      <c r="A77" s="445"/>
      <c r="B77" s="445"/>
      <c r="C77" s="445"/>
      <c r="D77" s="445"/>
      <c r="E77" s="445"/>
      <c r="F77" s="445"/>
      <c r="G77" s="445"/>
      <c r="H77" s="445"/>
      <c r="I77" s="445"/>
      <c r="J77" s="445"/>
      <c r="K77" s="445"/>
      <c r="L77" s="445"/>
      <c r="M77" s="445"/>
    </row>
    <row r="78" spans="1:13">
      <c r="A78" s="445"/>
      <c r="B78" s="445"/>
      <c r="C78" s="445"/>
      <c r="D78" s="445"/>
      <c r="E78" s="445"/>
      <c r="F78" s="445"/>
      <c r="G78" s="445"/>
      <c r="H78" s="445"/>
      <c r="I78" s="445"/>
      <c r="J78" s="445"/>
      <c r="K78" s="445"/>
      <c r="L78" s="445"/>
      <c r="M78" s="445"/>
    </row>
    <row r="79" spans="1:13">
      <c r="A79" s="445"/>
      <c r="B79" s="445"/>
      <c r="C79" s="445"/>
      <c r="D79" s="445"/>
      <c r="E79" s="445"/>
      <c r="F79" s="445"/>
      <c r="G79" s="445"/>
      <c r="H79" s="445"/>
      <c r="I79" s="445"/>
      <c r="J79" s="445"/>
      <c r="K79" s="445"/>
      <c r="L79" s="445"/>
      <c r="M79" s="445"/>
    </row>
    <row r="80" spans="1:13">
      <c r="A80" s="445"/>
      <c r="B80" s="445"/>
      <c r="C80" s="445"/>
      <c r="D80" s="445"/>
      <c r="E80" s="445"/>
      <c r="F80" s="445"/>
      <c r="G80" s="445"/>
      <c r="H80" s="445"/>
      <c r="I80" s="445"/>
      <c r="J80" s="445"/>
      <c r="K80" s="445"/>
      <c r="L80" s="445"/>
      <c r="M80" s="445"/>
    </row>
    <row r="81" spans="1:13">
      <c r="A81" s="445"/>
      <c r="B81" s="445"/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</row>
    <row r="82" spans="1:13">
      <c r="A82" s="445"/>
      <c r="B82" s="445"/>
      <c r="C82" s="445"/>
      <c r="D82" s="445"/>
      <c r="E82" s="445"/>
      <c r="F82" s="445"/>
      <c r="G82" s="445"/>
      <c r="H82" s="445"/>
      <c r="I82" s="445"/>
      <c r="J82" s="445"/>
      <c r="K82" s="445"/>
      <c r="L82" s="445"/>
      <c r="M82" s="445"/>
    </row>
    <row r="83" spans="1:13">
      <c r="A83" s="445"/>
      <c r="B83" s="445"/>
      <c r="C83" s="445"/>
      <c r="D83" s="445"/>
      <c r="E83" s="445"/>
      <c r="F83" s="445"/>
      <c r="G83" s="445"/>
      <c r="H83" s="445"/>
      <c r="I83" s="445"/>
      <c r="J83" s="445"/>
      <c r="K83" s="445"/>
      <c r="L83" s="445"/>
      <c r="M83" s="445"/>
    </row>
    <row r="84" spans="1:13">
      <c r="A84" s="445"/>
      <c r="B84" s="445"/>
      <c r="C84" s="445"/>
      <c r="D84" s="445"/>
      <c r="E84" s="445"/>
      <c r="F84" s="445"/>
      <c r="G84" s="445"/>
      <c r="H84" s="445"/>
      <c r="I84" s="445"/>
      <c r="J84" s="445"/>
      <c r="K84" s="445"/>
      <c r="L84" s="445"/>
      <c r="M84" s="445"/>
    </row>
    <row r="85" spans="1:13">
      <c r="A85" s="445"/>
      <c r="B85" s="445"/>
      <c r="C85" s="445"/>
      <c r="D85" s="445"/>
      <c r="E85" s="445"/>
      <c r="F85" s="445"/>
      <c r="G85" s="445"/>
      <c r="H85" s="445"/>
      <c r="I85" s="445"/>
      <c r="J85" s="445"/>
      <c r="K85" s="445"/>
      <c r="L85" s="445"/>
      <c r="M85" s="445"/>
    </row>
    <row r="86" spans="1:13">
      <c r="A86" s="445"/>
      <c r="B86" s="445"/>
      <c r="C86" s="445"/>
      <c r="D86" s="445"/>
      <c r="E86" s="445"/>
      <c r="F86" s="445"/>
      <c r="G86" s="445"/>
      <c r="H86" s="445"/>
      <c r="I86" s="445"/>
      <c r="J86" s="445"/>
      <c r="K86" s="445"/>
      <c r="L86" s="445"/>
      <c r="M86" s="445"/>
    </row>
    <row r="87" spans="1:13">
      <c r="A87" s="445"/>
      <c r="B87" s="445"/>
      <c r="C87" s="445"/>
      <c r="D87" s="445"/>
      <c r="E87" s="445"/>
      <c r="F87" s="445"/>
      <c r="G87" s="445"/>
      <c r="H87" s="445"/>
      <c r="I87" s="445"/>
      <c r="J87" s="445"/>
      <c r="K87" s="445"/>
      <c r="L87" s="445"/>
      <c r="M87" s="445"/>
    </row>
    <row r="88" spans="1:13">
      <c r="A88" s="445"/>
      <c r="B88" s="445"/>
      <c r="C88" s="445"/>
      <c r="D88" s="445"/>
      <c r="E88" s="445"/>
      <c r="F88" s="445"/>
      <c r="G88" s="445"/>
      <c r="H88" s="445"/>
      <c r="I88" s="445"/>
      <c r="J88" s="445"/>
      <c r="K88" s="445"/>
      <c r="L88" s="445"/>
      <c r="M88" s="444"/>
    </row>
    <row r="89" spans="1:13">
      <c r="A89" s="445"/>
      <c r="B89" s="445"/>
      <c r="C89" s="445"/>
      <c r="D89" s="445"/>
      <c r="E89" s="445"/>
      <c r="F89" s="445"/>
      <c r="G89" s="445"/>
      <c r="H89" s="445"/>
      <c r="I89" s="445"/>
      <c r="J89" s="445"/>
      <c r="K89" s="445"/>
      <c r="L89" s="445"/>
      <c r="M89" s="444"/>
    </row>
    <row r="90" spans="1:13">
      <c r="A90" s="445"/>
      <c r="B90" s="445"/>
      <c r="C90" s="445"/>
      <c r="D90" s="445"/>
      <c r="E90" s="445"/>
      <c r="F90" s="445"/>
      <c r="G90" s="445"/>
      <c r="H90" s="445"/>
      <c r="I90" s="445"/>
      <c r="J90" s="445"/>
      <c r="K90" s="445"/>
      <c r="L90" s="445"/>
      <c r="M90" s="444"/>
    </row>
    <row r="91" spans="1:13">
      <c r="A91" s="445"/>
      <c r="B91" s="445"/>
      <c r="C91" s="445"/>
      <c r="D91" s="445"/>
      <c r="E91" s="445"/>
      <c r="F91" s="445"/>
      <c r="G91" s="445"/>
      <c r="H91" s="445"/>
      <c r="I91" s="445"/>
      <c r="J91" s="445"/>
      <c r="K91" s="445"/>
      <c r="L91" s="445"/>
      <c r="M91" s="444"/>
    </row>
    <row r="92" spans="1:13">
      <c r="A92" s="445"/>
      <c r="B92" s="445"/>
      <c r="C92" s="445"/>
      <c r="D92" s="445"/>
      <c r="E92" s="445"/>
      <c r="F92" s="445"/>
      <c r="G92" s="445"/>
      <c r="H92" s="445"/>
      <c r="I92" s="445"/>
      <c r="J92" s="445"/>
      <c r="K92" s="445"/>
      <c r="L92" s="445"/>
      <c r="M92" s="444"/>
    </row>
    <row r="93" spans="1:13">
      <c r="A93" s="444"/>
      <c r="B93" s="444"/>
      <c r="C93" s="444"/>
      <c r="D93" s="444"/>
      <c r="E93" s="444"/>
      <c r="F93" s="444"/>
      <c r="G93" s="444"/>
      <c r="H93" s="444"/>
      <c r="I93" s="444"/>
      <c r="J93" s="444"/>
      <c r="K93" s="444"/>
      <c r="L93" s="444"/>
      <c r="M93" s="444"/>
    </row>
    <row r="94" spans="1:13">
      <c r="A94" s="444"/>
      <c r="B94" s="444"/>
      <c r="C94" s="444"/>
      <c r="D94" s="444"/>
      <c r="E94" s="444"/>
      <c r="F94" s="444"/>
      <c r="G94" s="444"/>
      <c r="H94" s="444"/>
      <c r="I94" s="444"/>
      <c r="J94" s="444"/>
      <c r="K94" s="444"/>
      <c r="L94" s="444"/>
      <c r="M94" s="444"/>
    </row>
    <row r="95" spans="1:13">
      <c r="A95" s="444"/>
      <c r="B95" s="444"/>
      <c r="C95" s="444"/>
      <c r="D95" s="444"/>
      <c r="E95" s="444"/>
      <c r="F95" s="444"/>
      <c r="G95" s="444"/>
      <c r="H95" s="444"/>
      <c r="I95" s="444"/>
      <c r="J95" s="444"/>
      <c r="K95" s="444"/>
      <c r="L95" s="444"/>
    </row>
    <row r="96" spans="1:13">
      <c r="A96" s="444"/>
      <c r="B96" s="444"/>
      <c r="C96" s="444"/>
      <c r="D96" s="444"/>
      <c r="E96" s="444"/>
      <c r="F96" s="444"/>
      <c r="G96" s="444"/>
      <c r="H96" s="444"/>
      <c r="I96" s="444"/>
      <c r="J96" s="444"/>
      <c r="K96" s="444"/>
      <c r="L96" s="444"/>
    </row>
    <row r="97" spans="1:12">
      <c r="A97" s="444"/>
      <c r="B97" s="444"/>
      <c r="C97" s="444"/>
      <c r="D97" s="444"/>
      <c r="E97" s="444"/>
      <c r="F97" s="444"/>
      <c r="G97" s="444"/>
      <c r="H97" s="444"/>
      <c r="I97" s="444"/>
      <c r="J97" s="444"/>
      <c r="K97" s="444"/>
      <c r="L97" s="444"/>
    </row>
    <row r="98" spans="1:12">
      <c r="A98" s="444"/>
      <c r="B98" s="444"/>
      <c r="C98" s="444"/>
      <c r="D98" s="444"/>
      <c r="E98" s="444"/>
      <c r="F98" s="444"/>
      <c r="G98" s="444"/>
      <c r="H98" s="444"/>
      <c r="I98" s="444"/>
      <c r="J98" s="444"/>
      <c r="K98" s="444"/>
      <c r="L98" s="444"/>
    </row>
    <row r="99" spans="1:12">
      <c r="A99" s="444"/>
      <c r="B99" s="444"/>
      <c r="C99" s="444"/>
      <c r="D99" s="444"/>
      <c r="E99" s="444"/>
      <c r="F99" s="444"/>
      <c r="G99" s="444"/>
      <c r="H99" s="444"/>
      <c r="I99" s="444"/>
      <c r="J99" s="444"/>
      <c r="K99" s="444"/>
      <c r="L99" s="444"/>
    </row>
  </sheetData>
  <mergeCells count="71">
    <mergeCell ref="B12:D12"/>
    <mergeCell ref="B7:D7"/>
    <mergeCell ref="B8:D8"/>
    <mergeCell ref="B9:D9"/>
    <mergeCell ref="B10:D10"/>
    <mergeCell ref="B11:D11"/>
    <mergeCell ref="G21:H21"/>
    <mergeCell ref="I21:J21"/>
    <mergeCell ref="K21:L21"/>
    <mergeCell ref="B13:D13"/>
    <mergeCell ref="A14:M14"/>
    <mergeCell ref="B15:F15"/>
    <mergeCell ref="J15:L15"/>
    <mergeCell ref="B16:F16"/>
    <mergeCell ref="G16:I16"/>
    <mergeCell ref="J16:L16"/>
    <mergeCell ref="G19:H19"/>
    <mergeCell ref="I19:J19"/>
    <mergeCell ref="K19:L19"/>
    <mergeCell ref="I20:J20"/>
    <mergeCell ref="K20:L20"/>
    <mergeCell ref="G22:H22"/>
    <mergeCell ref="I22:J22"/>
    <mergeCell ref="K22:L22"/>
    <mergeCell ref="G23:H23"/>
    <mergeCell ref="I23:J23"/>
    <mergeCell ref="K23:L23"/>
    <mergeCell ref="G24:H24"/>
    <mergeCell ref="I24:J24"/>
    <mergeCell ref="K24:L24"/>
    <mergeCell ref="G25:H25"/>
    <mergeCell ref="I25:J25"/>
    <mergeCell ref="K25:L25"/>
    <mergeCell ref="G26:H26"/>
    <mergeCell ref="I26:J26"/>
    <mergeCell ref="K26:L26"/>
    <mergeCell ref="G27:H27"/>
    <mergeCell ref="I27:J27"/>
    <mergeCell ref="K27:L27"/>
    <mergeCell ref="I28:J28"/>
    <mergeCell ref="K28:L28"/>
    <mergeCell ref="I34:J34"/>
    <mergeCell ref="K34:L34"/>
    <mergeCell ref="I35:J35"/>
    <mergeCell ref="K35:L35"/>
    <mergeCell ref="K31:L31"/>
    <mergeCell ref="I32:J32"/>
    <mergeCell ref="K32:L32"/>
    <mergeCell ref="I33:J33"/>
    <mergeCell ref="I29:J29"/>
    <mergeCell ref="K29:L29"/>
    <mergeCell ref="I30:J30"/>
    <mergeCell ref="K30:L30"/>
    <mergeCell ref="I31:J31"/>
    <mergeCell ref="K33:L33"/>
    <mergeCell ref="A42:B42"/>
    <mergeCell ref="I42:J42"/>
    <mergeCell ref="A43:B43"/>
    <mergeCell ref="A40:B40"/>
    <mergeCell ref="I40:J40"/>
    <mergeCell ref="A41:B41"/>
    <mergeCell ref="I41:J41"/>
    <mergeCell ref="I36:J36"/>
    <mergeCell ref="I37:J37"/>
    <mergeCell ref="I38:J38"/>
    <mergeCell ref="K42:L42"/>
    <mergeCell ref="K41:L41"/>
    <mergeCell ref="K38:L38"/>
    <mergeCell ref="K37:L37"/>
    <mergeCell ref="K36:L36"/>
    <mergeCell ref="K40:L40"/>
  </mergeCells>
  <hyperlinks>
    <hyperlink ref="B13" r:id="rId1" xr:uid="{FF32B279-4D49-4761-94EA-6E15649ACEA3}"/>
  </hyperlinks>
  <pageMargins left="0.7" right="0.7" top="0.75" bottom="0.75" header="0.3" footer="0.3"/>
  <pageSetup orientation="portrait" verticalDpi="0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680B0-AB74-4A1A-9B32-4EF41ED6ECBB}">
  <sheetPr codeName="Hoja12"/>
  <dimension ref="A2:Q1000"/>
  <sheetViews>
    <sheetView topLeftCell="A2" workbookViewId="0">
      <selection activeCell="E23" sqref="E23"/>
    </sheetView>
  </sheetViews>
  <sheetFormatPr baseColWidth="10" defaultColWidth="14.44140625" defaultRowHeight="15" customHeight="1"/>
  <cols>
    <col min="1" max="26" width="10.6640625" style="412" customWidth="1"/>
    <col min="27" max="16384" width="14.44140625" style="412"/>
  </cols>
  <sheetData>
    <row r="2" spans="1:17" ht="14.4">
      <c r="A2" s="412" t="s">
        <v>832</v>
      </c>
      <c r="C2" s="412" t="s">
        <v>23</v>
      </c>
      <c r="F2" s="412" t="s">
        <v>834</v>
      </c>
    </row>
    <row r="3" spans="1:17" ht="14.4">
      <c r="A3" s="446" t="e">
        <f>#REF!</f>
        <v>#REF!</v>
      </c>
      <c r="C3" s="412">
        <v>22</v>
      </c>
      <c r="D3" s="412">
        <v>0.55000000000000004</v>
      </c>
      <c r="E3" s="412" t="e">
        <f>($A$3/1000)*D3</f>
        <v>#REF!</v>
      </c>
      <c r="F3" s="412" t="e">
        <f>IF(#REF!=CalEstant!C3,CalEstant!E3,0)</f>
        <v>#REF!</v>
      </c>
      <c r="O3" s="412" t="s">
        <v>835</v>
      </c>
    </row>
    <row r="4" spans="1:17" ht="14.4">
      <c r="C4" s="412">
        <v>20</v>
      </c>
      <c r="D4" s="412">
        <v>0.7</v>
      </c>
      <c r="E4" s="412" t="e">
        <f>($A$3/1000)*D4</f>
        <v>#REF!</v>
      </c>
      <c r="F4" s="412" t="e">
        <f>IF(#REF!=CalEstant!C4,CalEstant!E4,0)</f>
        <v>#REF!</v>
      </c>
      <c r="O4" s="412">
        <v>3</v>
      </c>
    </row>
    <row r="5" spans="1:17" ht="14.4">
      <c r="C5" s="412">
        <v>18</v>
      </c>
      <c r="D5" s="412">
        <v>0.85</v>
      </c>
      <c r="E5" s="412" t="e">
        <f>($A$3/1000)*D5</f>
        <v>#REF!</v>
      </c>
      <c r="F5" s="412" t="e">
        <f>IF(#REF!=CalEstant!C5,CalEstant!E5,0)</f>
        <v>#REF!</v>
      </c>
      <c r="H5" s="412" t="e">
        <f>SUM(F3:F7)</f>
        <v>#REF!</v>
      </c>
      <c r="O5" s="412">
        <v>4</v>
      </c>
    </row>
    <row r="6" spans="1:17" ht="14.4">
      <c r="C6" s="412">
        <v>16</v>
      </c>
      <c r="D6" s="412">
        <v>1.05</v>
      </c>
      <c r="E6" s="412" t="e">
        <f>($A$3/1000)*D6</f>
        <v>#REF!</v>
      </c>
      <c r="F6" s="412" t="e">
        <f>IF(#REF!=CalEstant!C6,CalEstant!E6,0)</f>
        <v>#REF!</v>
      </c>
      <c r="O6" s="412">
        <v>5</v>
      </c>
    </row>
    <row r="7" spans="1:17" ht="14.4">
      <c r="C7" s="412">
        <v>14</v>
      </c>
      <c r="D7" s="412">
        <v>1.25</v>
      </c>
      <c r="E7" s="412" t="e">
        <f>($A$3/1000)*D7</f>
        <v>#REF!</v>
      </c>
      <c r="F7" s="412" t="e">
        <f>IF(#REF!=CalEstant!C7,CalEstant!E7,0)</f>
        <v>#REF!</v>
      </c>
      <c r="O7" s="412">
        <v>6</v>
      </c>
    </row>
    <row r="8" spans="1:17" ht="14.4">
      <c r="O8" s="412">
        <v>7</v>
      </c>
    </row>
    <row r="9" spans="1:17" ht="14.4">
      <c r="A9" s="412" t="s">
        <v>833</v>
      </c>
      <c r="C9" s="412" t="s">
        <v>23</v>
      </c>
      <c r="O9" s="412">
        <v>8</v>
      </c>
    </row>
    <row r="10" spans="1:17" ht="14.4">
      <c r="A10" s="412" t="e">
        <f>#REF!/1000+0.1</f>
        <v>#REF!</v>
      </c>
      <c r="C10" s="412">
        <v>26</v>
      </c>
      <c r="D10" s="412">
        <f>D11-1.22</f>
        <v>3.66</v>
      </c>
      <c r="E10" s="412" t="e">
        <f t="shared" ref="E10:E16" si="0">$B$11*D10</f>
        <v>#REF!</v>
      </c>
      <c r="F10" s="412" t="e">
        <f>IF(#REF!=CalEstant!C10,CalEstant!E10,0)</f>
        <v>#REF!</v>
      </c>
      <c r="I10" s="412" t="e">
        <f t="shared" ref="I10:I16" si="1">0.1*$A$11*D10</f>
        <v>#REF!</v>
      </c>
      <c r="J10" s="412">
        <f>IF(CalEstant!$C$12=CalEstant!C10,CalEstant!I10,0)</f>
        <v>0</v>
      </c>
    </row>
    <row r="11" spans="1:17" ht="14.4">
      <c r="A11" s="412" t="e">
        <f>#REF!/1000+0.1</f>
        <v>#REF!</v>
      </c>
      <c r="B11" s="412" t="e">
        <f>+A11*A10</f>
        <v>#REF!</v>
      </c>
      <c r="C11" s="412">
        <v>24</v>
      </c>
      <c r="D11" s="412">
        <f>D12-1.22</f>
        <v>4.88</v>
      </c>
      <c r="E11" s="412" t="e">
        <f t="shared" si="0"/>
        <v>#REF!</v>
      </c>
      <c r="F11" s="412" t="e">
        <f>IF(#REF!=CalEstant!C11,CalEstant!E11,0)</f>
        <v>#REF!</v>
      </c>
      <c r="I11" s="412" t="e">
        <f t="shared" si="1"/>
        <v>#REF!</v>
      </c>
      <c r="J11" s="412">
        <f>IF(CalEstant!$C$12=CalEstant!C11,CalEstant!I11,0)</f>
        <v>0</v>
      </c>
      <c r="O11" s="412" t="s">
        <v>836</v>
      </c>
      <c r="P11" s="412" t="s">
        <v>837</v>
      </c>
      <c r="Q11" s="412" t="s">
        <v>838</v>
      </c>
    </row>
    <row r="12" spans="1:17" ht="14.4">
      <c r="C12" s="412">
        <v>22</v>
      </c>
      <c r="D12" s="412">
        <v>6.1</v>
      </c>
      <c r="E12" s="412" t="e">
        <f t="shared" si="0"/>
        <v>#REF!</v>
      </c>
      <c r="F12" s="412" t="e">
        <f>IF(#REF!=CalEstant!C12,CalEstant!E12,0)</f>
        <v>#REF!</v>
      </c>
      <c r="H12" s="412">
        <v>0</v>
      </c>
      <c r="I12" s="412" t="e">
        <f t="shared" si="1"/>
        <v>#REF!</v>
      </c>
      <c r="J12" s="412" t="e">
        <f>IF(CalEstant!$C$12=CalEstant!C12,CalEstant!I12,0)</f>
        <v>#REF!</v>
      </c>
      <c r="O12" s="443">
        <v>0.15</v>
      </c>
      <c r="P12" s="447" t="e">
        <f>#REF!*#REF!</f>
        <v>#REF!</v>
      </c>
      <c r="Q12" s="447" t="e">
        <f>#REF!*#REF!</f>
        <v>#REF!</v>
      </c>
    </row>
    <row r="13" spans="1:17" ht="14.4">
      <c r="C13" s="412">
        <v>20</v>
      </c>
      <c r="D13" s="412">
        <v>7.32</v>
      </c>
      <c r="E13" s="412" t="e">
        <f t="shared" si="0"/>
        <v>#REF!</v>
      </c>
      <c r="F13" s="412" t="e">
        <f>IF(#REF!=CalEstant!C13,CalEstant!E13,0)</f>
        <v>#REF!</v>
      </c>
      <c r="H13" s="412">
        <v>1</v>
      </c>
      <c r="I13" s="412" t="e">
        <f t="shared" si="1"/>
        <v>#REF!</v>
      </c>
      <c r="J13" s="412">
        <f>IF(CalEstant!$C$12=CalEstant!C13,CalEstant!I13,0)</f>
        <v>0</v>
      </c>
      <c r="O13" s="443">
        <v>0.2</v>
      </c>
      <c r="P13" s="447" t="e">
        <f>P12+G22</f>
        <v>#REF!</v>
      </c>
      <c r="Q13" s="447" t="e">
        <f>Q12+G21</f>
        <v>#REF!</v>
      </c>
    </row>
    <row r="14" spans="1:17" ht="14.4">
      <c r="C14" s="412">
        <v>18</v>
      </c>
      <c r="D14" s="412">
        <v>9.76</v>
      </c>
      <c r="E14" s="412" t="e">
        <f t="shared" si="0"/>
        <v>#REF!</v>
      </c>
      <c r="F14" s="412" t="e">
        <f>IF(#REF!=CalEstant!C14,CalEstant!E14,0)</f>
        <v>#REF!</v>
      </c>
      <c r="H14" s="412">
        <v>2</v>
      </c>
      <c r="I14" s="412" t="e">
        <f t="shared" si="1"/>
        <v>#REF!</v>
      </c>
      <c r="J14" s="412">
        <f>IF(CalEstant!$C$12=CalEstant!C14,CalEstant!I14,0)</f>
        <v>0</v>
      </c>
      <c r="O14" s="443">
        <v>0.25</v>
      </c>
    </row>
    <row r="15" spans="1:17" ht="14.4">
      <c r="C15" s="412">
        <v>16</v>
      </c>
      <c r="D15" s="412">
        <f>D14+1.22</f>
        <v>10.98</v>
      </c>
      <c r="E15" s="412" t="e">
        <f t="shared" si="0"/>
        <v>#REF!</v>
      </c>
      <c r="F15" s="412" t="e">
        <f>IF(#REF!=CalEstant!C15,CalEstant!E15,0)</f>
        <v>#REF!</v>
      </c>
      <c r="I15" s="412" t="e">
        <f t="shared" si="1"/>
        <v>#REF!</v>
      </c>
      <c r="J15" s="412">
        <f>IF(CalEstant!$C$12=CalEstant!C15,CalEstant!I15,0)</f>
        <v>0</v>
      </c>
      <c r="O15" s="443">
        <v>0.3</v>
      </c>
    </row>
    <row r="16" spans="1:17" ht="14.4">
      <c r="C16" s="412">
        <v>14</v>
      </c>
      <c r="D16" s="412">
        <f>D15+1.22</f>
        <v>12.200000000000001</v>
      </c>
      <c r="E16" s="412" t="e">
        <f t="shared" si="0"/>
        <v>#REF!</v>
      </c>
      <c r="F16" s="412" t="e">
        <f>IF(#REF!=CalEstant!C16,CalEstant!E16,0)</f>
        <v>#REF!</v>
      </c>
      <c r="I16" s="412" t="e">
        <f t="shared" si="1"/>
        <v>#REF!</v>
      </c>
      <c r="J16" s="412">
        <f>IF(CalEstant!$C$12=CalEstant!C16,CalEstant!I16,0)</f>
        <v>0</v>
      </c>
      <c r="O16" s="443">
        <v>0.35</v>
      </c>
    </row>
    <row r="17" spans="4:15" ht="14.4">
      <c r="F17" s="412" t="e">
        <f>SUM(F10:F16)</f>
        <v>#REF!</v>
      </c>
      <c r="J17" s="412" t="e">
        <f>SUM(J10:J16)</f>
        <v>#REF!</v>
      </c>
      <c r="K17" s="412">
        <v>1</v>
      </c>
      <c r="L17" s="412" t="e">
        <f>+K17*J17</f>
        <v>#REF!</v>
      </c>
      <c r="O17" s="443">
        <v>0.4</v>
      </c>
    </row>
    <row r="19" spans="4:15" ht="14.4">
      <c r="H19" s="412" t="e">
        <f>+F17+L17</f>
        <v>#REF!</v>
      </c>
    </row>
    <row r="21" spans="4:15" ht="15.75" customHeight="1">
      <c r="D21" s="412" t="s">
        <v>839</v>
      </c>
      <c r="E21" s="412">
        <v>45</v>
      </c>
      <c r="F21" s="412" t="s">
        <v>840</v>
      </c>
      <c r="G21" s="412" t="e">
        <f>H19*E21</f>
        <v>#REF!</v>
      </c>
    </row>
    <row r="22" spans="4:15" ht="15.75" customHeight="1">
      <c r="D22" s="412" t="s">
        <v>841</v>
      </c>
      <c r="E22" s="412">
        <v>53</v>
      </c>
      <c r="F22" s="412" t="s">
        <v>842</v>
      </c>
      <c r="G22" s="412" t="e">
        <f>H5*E22</f>
        <v>#REF!</v>
      </c>
    </row>
    <row r="23" spans="4:15" ht="15.75" customHeight="1"/>
    <row r="24" spans="4:15" ht="15.75" customHeight="1"/>
    <row r="25" spans="4:15" ht="15.75" customHeight="1"/>
    <row r="26" spans="4:15" ht="15.75" customHeight="1"/>
    <row r="27" spans="4:15" ht="15.75" customHeight="1"/>
    <row r="28" spans="4:15" ht="15.75" customHeight="1"/>
    <row r="29" spans="4:15" ht="15.75" customHeight="1"/>
    <row r="30" spans="4:15" ht="15.75" customHeight="1"/>
    <row r="31" spans="4:15" ht="15.75" customHeight="1"/>
    <row r="32" spans="4:15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9821-47F7-4D37-831D-37816D3B2863}">
  <sheetPr codeName="Hoja10"/>
  <dimension ref="B10:K1000"/>
  <sheetViews>
    <sheetView topLeftCell="A10" workbookViewId="0">
      <selection activeCell="C13" sqref="C13"/>
    </sheetView>
  </sheetViews>
  <sheetFormatPr baseColWidth="10" defaultColWidth="14.44140625" defaultRowHeight="15" customHeight="1"/>
  <cols>
    <col min="1" max="1" width="10.6640625" style="412" customWidth="1"/>
    <col min="2" max="2" width="25.33203125" style="412" customWidth="1"/>
    <col min="3" max="3" width="17.5546875" style="412" customWidth="1"/>
    <col min="4" max="4" width="16.33203125" style="412" customWidth="1"/>
    <col min="5" max="5" width="20.33203125" style="412" customWidth="1"/>
    <col min="6" max="6" width="21.44140625" style="412" customWidth="1"/>
    <col min="7" max="26" width="10.6640625" style="412" customWidth="1"/>
    <col min="27" max="16384" width="14.44140625" style="412"/>
  </cols>
  <sheetData>
    <row r="10" spans="2:7" ht="15" customHeight="1" thickBot="1"/>
    <row r="11" spans="2:7" ht="15" customHeight="1">
      <c r="B11" s="1158" t="s">
        <v>778</v>
      </c>
      <c r="C11" s="1159"/>
      <c r="D11" s="1159"/>
      <c r="E11" s="1160"/>
    </row>
    <row r="12" spans="2:7" ht="15" customHeight="1">
      <c r="B12" s="1161"/>
      <c r="C12" s="1162"/>
      <c r="D12" s="1162"/>
      <c r="E12" s="1163"/>
    </row>
    <row r="13" spans="2:7" ht="14.4">
      <c r="B13" s="413" t="s">
        <v>779</v>
      </c>
      <c r="C13" s="414" t="e">
        <f>+'Cotizador Selectivo'!#REF!</f>
        <v>#REF!</v>
      </c>
      <c r="D13" s="415" t="s">
        <v>780</v>
      </c>
      <c r="E13" s="416">
        <v>3075</v>
      </c>
      <c r="G13" s="417"/>
    </row>
    <row r="14" spans="2:7" ht="14.4">
      <c r="B14" s="413" t="s">
        <v>756</v>
      </c>
      <c r="C14" s="414" t="e">
        <f>'Cotizador Selectivo'!#REF!</f>
        <v>#REF!</v>
      </c>
      <c r="D14" s="415" t="s">
        <v>781</v>
      </c>
      <c r="E14" s="416">
        <v>1500</v>
      </c>
      <c r="G14" s="417"/>
    </row>
    <row r="15" spans="2:7" ht="14.4">
      <c r="B15" s="413" t="s">
        <v>782</v>
      </c>
      <c r="C15" s="414" t="e">
        <f>'Cotizador Selectivo'!#REF!</f>
        <v>#REF!</v>
      </c>
      <c r="D15" s="415" t="s">
        <v>14</v>
      </c>
      <c r="E15" s="416">
        <v>920</v>
      </c>
      <c r="G15" s="417"/>
    </row>
    <row r="16" spans="2:7" thickBot="1">
      <c r="B16" s="413" t="s">
        <v>783</v>
      </c>
      <c r="C16" s="414" t="e">
        <f>'Cotizador Selectivo'!#REF!</f>
        <v>#REF!</v>
      </c>
      <c r="D16" s="415" t="s">
        <v>13</v>
      </c>
      <c r="E16" s="416">
        <v>2510</v>
      </c>
      <c r="G16" s="417"/>
    </row>
    <row r="17" spans="2:11" ht="14.4">
      <c r="B17" s="413" t="s">
        <v>784</v>
      </c>
      <c r="C17" s="414" t="e">
        <f>'Cotizador Selectivo'!#REF!</f>
        <v>#REF!</v>
      </c>
      <c r="D17" s="415" t="s">
        <v>785</v>
      </c>
      <c r="E17" s="418">
        <v>1250</v>
      </c>
      <c r="F17" s="1164" t="s">
        <v>786</v>
      </c>
      <c r="G17" s="1165"/>
      <c r="H17" s="1166" t="e">
        <f>IF(C13="D",C18*C16*C15*C14*2,IF(C13="S",C18*C16*C15*C14,"ERROR"))</f>
        <v>#REF!</v>
      </c>
      <c r="I17" s="1160"/>
    </row>
    <row r="18" spans="2:11" thickBot="1">
      <c r="B18" s="419" t="s">
        <v>787</v>
      </c>
      <c r="C18" s="414" t="e">
        <f>'Cotizador Selectivo'!#REF!</f>
        <v>#REF!</v>
      </c>
      <c r="D18" s="1167"/>
      <c r="E18" s="1168"/>
      <c r="F18" s="1152"/>
      <c r="G18" s="1153"/>
      <c r="H18" s="1156"/>
      <c r="I18" s="1157"/>
    </row>
    <row r="19" spans="2:11" ht="14.4">
      <c r="C19" s="420"/>
    </row>
    <row r="20" spans="2:11" ht="14.4">
      <c r="B20" s="421"/>
      <c r="C20" s="422"/>
      <c r="D20" s="421"/>
      <c r="E20" s="421"/>
      <c r="F20" s="421"/>
      <c r="G20" s="421"/>
      <c r="H20" s="421"/>
      <c r="I20" s="421"/>
      <c r="J20" s="421"/>
      <c r="K20" s="421"/>
    </row>
    <row r="21" spans="2:11" ht="15.75" customHeight="1" thickBot="1">
      <c r="C21" s="420"/>
    </row>
    <row r="22" spans="2:11" ht="15.75" customHeight="1">
      <c r="B22" s="1169" t="s">
        <v>788</v>
      </c>
      <c r="C22" s="1159"/>
      <c r="D22" s="1159"/>
      <c r="E22" s="1159"/>
      <c r="F22" s="1159"/>
      <c r="G22" s="1160"/>
    </row>
    <row r="23" spans="2:11" ht="15.75" customHeight="1" thickBot="1">
      <c r="B23" s="1161"/>
      <c r="C23" s="1162"/>
      <c r="D23" s="1162"/>
      <c r="E23" s="1162"/>
      <c r="F23" s="1162"/>
      <c r="G23" s="1163"/>
    </row>
    <row r="24" spans="2:11" ht="15.75" customHeight="1">
      <c r="B24" s="423" t="s">
        <v>789</v>
      </c>
      <c r="C24" s="414" t="e">
        <f>IF(C13="S",(C15+1)*C14,IF(C13="D",(C15+1)*C14*2,"ERROR"))</f>
        <v>#REF!</v>
      </c>
      <c r="D24" s="1170" t="s">
        <v>790</v>
      </c>
      <c r="E24" s="1151"/>
      <c r="F24" s="1154" t="e">
        <f>G26*2*E13/1000+G27*E27/1000*C27+G28*E28/1000*C28</f>
        <v>#REF!</v>
      </c>
      <c r="G24" s="1155"/>
      <c r="H24" s="1173" t="s">
        <v>791</v>
      </c>
      <c r="I24" s="1165"/>
      <c r="J24" s="1174" t="e">
        <f>F24*C24</f>
        <v>#REF!</v>
      </c>
      <c r="K24" s="1160"/>
    </row>
    <row r="25" spans="2:11" ht="15.75" customHeight="1" thickBot="1">
      <c r="B25" s="423" t="s">
        <v>792</v>
      </c>
      <c r="C25" s="414" t="e">
        <f>IF(C17="N",E17*(C16-1),IF(C17="S",E17*C16,"ERROR"))</f>
        <v>#REF!</v>
      </c>
      <c r="D25" s="1171"/>
      <c r="E25" s="1172"/>
      <c r="F25" s="1171"/>
      <c r="G25" s="1163"/>
      <c r="H25" s="1152"/>
      <c r="I25" s="1153"/>
      <c r="J25" s="1156"/>
      <c r="K25" s="1157"/>
    </row>
    <row r="26" spans="2:11" ht="15.75" customHeight="1">
      <c r="B26" s="423" t="s">
        <v>793</v>
      </c>
      <c r="C26" s="414" t="e">
        <f>C24*2</f>
        <v>#REF!</v>
      </c>
      <c r="D26" s="424" t="s">
        <v>721</v>
      </c>
      <c r="E26" s="414" t="e">
        <f>IF(AND(E13&lt;8000,E14&lt;=2200,C25&lt;=4000),"90X60X2.0",IF(AND(E13&lt;8000,E14&lt;=2000,C25&lt;=4500),"90X60X2.0",IF(AND(E13&lt;8000,E14&lt;=1800,C25&lt;=6000),"90X60X2.0",IF(AND(E13&lt;8000,E14&lt;=1500,C25&lt;=8000),"90X60X2.0",IF(AND(E13&lt;8000,E14&lt;=1200,C25&lt;=9000),"90X60X2.0",IF(AND(E13&lt;8000,E14&lt;=900,C25&lt;=10000),"90X60X2.0",IF(AND(E13&lt;10000,E14&lt;=2200,C25&lt;=4500),"90X67X2.0",IF(AND(E13&lt;10000,E14&lt;=2000,C25&lt;=6000),"90X67X2.0",IF(AND(E13&lt;10000,E14&lt;=1800,C25&lt;=8000),"90X67X2.0",IF(AND(E13&lt;10000,E14&lt;=1500,C25&lt;10000),"90X67X2.0",IF(AND(E13&lt;10000,E14&lt;=1200,C25&lt;=11000),"90X67X2.0",IF(AND(E13&lt;10000,E14&lt;=900,C25&lt;=13000),"90X67X2.0",IF(AND(E13&gt;=10000,E14&lt;=2200,C25&lt;=6000),"90X78X2.0",IF(AND(E13&gt;=10000,E14&lt;=2000,C25&lt;=8000),"90X78X2.0",IF(AND(E13&gt;=10000,E14&lt;=1800,C25&lt;=10000),"90X78X2.0",IF(AND(E13&gt;=10000,E14&lt;=1500,C25&lt;=12000),"90X78X2.0",IF(AND(E13&gt;=10000,E14&lt;=1200,C25&lt;=13000),"90X78X2.0",IF(AND(E13&gt;=10000,E14&lt;=900,C25&lt;=15000),"90X78X2.0",IF(AND(E13&gt;=10000,E14&lt;=2200,C25&lt;=8000),"90X78X2.5",IF(AND(E13&gt;=10000,E14&lt;=2000,C25&lt;=10000),"90X78X2.5",IF(AND(E13&gt;=10000,E14&lt;=1800,C25&lt;=12000),"90X78X2.5",IF(AND(E13&gt;=10000,E14&lt;=1500,C25&lt;=15000),"90X78X2.5",IF(AND(E13&gt;=10000,E14&lt;=1200,C25&lt;=17000),"90X78X2.5",IF(AND(E13&gt;=10000,E14&lt;=900,C25&lt;=19000),"90X78X2.5",IF(AND(E13&gt;=10000,E14&lt;=2200,C25&lt;=10000),"90X78X3.0",IF(AND(E13&gt;=10000,E14&lt;=2000,C25&lt;=12000),"90X78X3.0",IF(AND(E13&gt;=10000,E14&lt;=1800,C25&lt;=14000),"90X78X3.0",IF(AND(E13&gt;=10000,E14&lt;=1500,C25&lt;=17000),"90X78X3.0",IF(AND(E13&gt;=10000,E14&lt;=1200,C25&lt;=20000),"90X78X3.0",IF(AND(E13&gt;=10000,E14&lt;=900,C25&lt;=24000),"90X78X3.0","ERROR"))))))))))))))))))))))))))))))</f>
        <v>#REF!</v>
      </c>
      <c r="F26" s="424" t="s">
        <v>794</v>
      </c>
      <c r="G26" s="425" t="e">
        <f>IF(E26="90X60X2.0",3.53,IF(E26="90X67X2.0",3.93,IF(E26="90X78X2.0",4.3,IF(E26="90X78X2.5",5.32,IF(E26="90X78X3.0)",6.31)))))</f>
        <v>#REF!</v>
      </c>
    </row>
    <row r="27" spans="2:11" ht="15.75" customHeight="1">
      <c r="B27" s="423" t="s">
        <v>795</v>
      </c>
      <c r="C27" s="414">
        <f>ROUNDDOWN((E13-171)/600,0)</f>
        <v>4</v>
      </c>
      <c r="D27" s="424" t="s">
        <v>796</v>
      </c>
      <c r="E27" s="426">
        <f>((E15-T26*2)^2+600^2)^0.5+40</f>
        <v>1138.3624174196784</v>
      </c>
      <c r="F27" s="424" t="s">
        <v>797</v>
      </c>
      <c r="G27" s="425">
        <v>1.1399999999999999</v>
      </c>
    </row>
    <row r="28" spans="2:11" ht="15.75" customHeight="1" thickBot="1">
      <c r="B28" s="427" t="s">
        <v>798</v>
      </c>
      <c r="C28" s="428">
        <v>2</v>
      </c>
      <c r="D28" s="429" t="s">
        <v>799</v>
      </c>
      <c r="E28" s="430">
        <f>E15-T26*2+40</f>
        <v>960</v>
      </c>
      <c r="F28" s="429" t="s">
        <v>800</v>
      </c>
      <c r="G28" s="431">
        <v>1.1399999999999999</v>
      </c>
    </row>
    <row r="29" spans="2:11" ht="15.75" customHeight="1">
      <c r="C29" s="420"/>
    </row>
    <row r="30" spans="2:11" ht="15.75" customHeight="1">
      <c r="B30" s="421"/>
      <c r="C30" s="422"/>
      <c r="D30" s="421"/>
      <c r="E30" s="421"/>
      <c r="F30" s="421"/>
      <c r="G30" s="421"/>
      <c r="H30" s="421"/>
      <c r="I30" s="421"/>
      <c r="J30" s="421"/>
      <c r="K30" s="421"/>
    </row>
    <row r="31" spans="2:11" ht="15.75" customHeight="1" thickBot="1">
      <c r="C31" s="420"/>
    </row>
    <row r="32" spans="2:11" ht="15.75" customHeight="1">
      <c r="B32" s="1169" t="s">
        <v>801</v>
      </c>
      <c r="C32" s="1159"/>
      <c r="D32" s="1159"/>
      <c r="E32" s="1160"/>
    </row>
    <row r="33" spans="2:11" ht="15.75" customHeight="1">
      <c r="B33" s="1161"/>
      <c r="C33" s="1162"/>
      <c r="D33" s="1162"/>
      <c r="E33" s="1163"/>
      <c r="I33" s="432">
        <v>2.64</v>
      </c>
      <c r="J33" s="432"/>
      <c r="K33" s="432"/>
    </row>
    <row r="34" spans="2:11" ht="15.75" customHeight="1">
      <c r="B34" s="423" t="s">
        <v>802</v>
      </c>
      <c r="C34" s="414" t="e">
        <f>IF(C13="S",IF(C17="N",(C16-1)*2*C15*C14,IF(C17="S",C16*2*C15*C14,"ERROR")),IF(C13="D",IF(C17="N",(C16-1)*4*C15*C14,IF(C17="S",C16*4*C15*C14,"ERROR"))))</f>
        <v>#REF!</v>
      </c>
      <c r="D34" s="424" t="s">
        <v>13</v>
      </c>
      <c r="E34" s="416">
        <f>E16</f>
        <v>2510</v>
      </c>
      <c r="I34" s="432"/>
      <c r="J34" s="432"/>
      <c r="K34" s="432"/>
    </row>
    <row r="35" spans="2:11" ht="15.75" customHeight="1">
      <c r="B35" s="423" t="s">
        <v>803</v>
      </c>
      <c r="C35" s="414" t="str">
        <f>IF(AND(T34&lt;12.06,T35&lt;48.26),"80x50x1.5",IF(AND(T34&lt;14.11,T35&lt;63.49),"90x50x1.5",IF(AND(T34&lt;16.25,T35&lt;81.26),"100x50x1.5",IF(AND(T34&lt;18.5,T35&lt;101.74),"110x50x1.5",IF(AND(T34&lt;20.84,T35&lt;125.06),"120x50x1.5",IF(AND(T34&lt;25.83,T35&lt;180.83),"140x50x1.5",IF(AND(T34&lt;28.48,T35&lt;213.59),"150x50x1.5",IF(AND(T34&lt;31.22,T35&lt;249.79),"160x50x1.5",IF(AND(T34&lt;34.07,T35&lt;289.59),"170x50x1.5","ERROR")))))))))</f>
        <v>80x50x1.5</v>
      </c>
      <c r="D35" s="424" t="s">
        <v>55</v>
      </c>
      <c r="E35" s="425">
        <f>IF(C35="80x50x1.5",4.4,IF(C35="90x50x1.5",4.64,IF(C35="100x50x1.5",4.87,IF(C35="110x50x1.5",5.11,IF(C35="120x50x1.5",5.34,IF(C35="140x50x1.5",5.81,IF(C35="150x50x1.5",6.05,IF(C35="160x50x1.5",6.28,"N/A"))))))))</f>
        <v>4.4000000000000004</v>
      </c>
      <c r="I35" s="432"/>
      <c r="J35" s="432"/>
      <c r="K35" s="432"/>
    </row>
    <row r="36" spans="2:11" ht="15.75" customHeight="1">
      <c r="B36" s="1150" t="s">
        <v>791</v>
      </c>
      <c r="C36" s="1151"/>
      <c r="D36" s="1154" t="e">
        <f>C34*E34/1000*E35+1.2*C34</f>
        <v>#REF!</v>
      </c>
      <c r="E36" s="1155"/>
      <c r="I36" s="432"/>
      <c r="J36" s="432"/>
      <c r="K36" s="432"/>
    </row>
    <row r="37" spans="2:11" ht="15.75" customHeight="1" thickBot="1">
      <c r="B37" s="1152"/>
      <c r="C37" s="1153"/>
      <c r="D37" s="1156"/>
      <c r="E37" s="1157"/>
      <c r="I37" s="433"/>
      <c r="J37" s="434"/>
      <c r="K37" s="432"/>
    </row>
    <row r="38" spans="2:11" ht="15.75" customHeight="1" thickBot="1">
      <c r="C38" s="420"/>
      <c r="I38" s="433"/>
      <c r="J38" s="434"/>
      <c r="K38" s="432"/>
    </row>
    <row r="39" spans="2:11" ht="15.75" customHeight="1">
      <c r="B39" s="1169" t="s">
        <v>804</v>
      </c>
      <c r="C39" s="1159"/>
      <c r="D39" s="1159"/>
      <c r="E39" s="1160"/>
      <c r="I39" s="433"/>
      <c r="J39" s="434"/>
      <c r="K39" s="432"/>
    </row>
    <row r="40" spans="2:11" ht="15.75" customHeight="1">
      <c r="B40" s="1161"/>
      <c r="C40" s="1162"/>
      <c r="D40" s="1162"/>
      <c r="E40" s="1163"/>
      <c r="I40" s="433"/>
      <c r="J40" s="434"/>
      <c r="K40" s="432"/>
    </row>
    <row r="41" spans="2:11" ht="15.75" customHeight="1">
      <c r="B41" s="423" t="s">
        <v>802</v>
      </c>
      <c r="C41" s="414" t="e">
        <f>IF(C13="S",IF(C17="N",(C16-1)*2*C15*C14,IF(C17="S",C16*2*C15*C14,"ERROR")),IF(C13="D",IF(C17="N",(C16-1)*4*C15*C14,IF(C17="S",C16*4*C15*C14,"ERROR"))))</f>
        <v>#REF!</v>
      </c>
      <c r="D41" s="424" t="s">
        <v>13</v>
      </c>
      <c r="E41" s="416">
        <f>E16</f>
        <v>2510</v>
      </c>
      <c r="I41" s="433"/>
      <c r="J41" s="434"/>
      <c r="K41" s="432"/>
    </row>
    <row r="42" spans="2:11" ht="15.75" customHeight="1">
      <c r="B42" s="423" t="s">
        <v>803</v>
      </c>
      <c r="C42" s="414" t="str">
        <f>IF(E16&lt;=1219,IF(E17&lt;=2748,"VE075",IF(E17&lt;=3088,"VE080",IF(E17&lt;=3438,"VE090",IF(E17&lt;=4003,"VE100",IF(E17&lt;=4808,"VE110",IF(E17&lt;=5402,"VE120",IF(E17&lt;=6036,"VE130","ERROR"))))))),IF(E16&lt;=1524,IF(E17&lt;=2198,"VE075",IF(E17&lt;=2470,"VE080",IF(E17&lt;=2750,"VE090",IF(E17&lt;=3202,"VE100",IF(E17&lt;=3847,"VE110",IF(E17&lt;=4321,"VE120",IF(E17&lt;=4846,"VE130",IF(E17&lt;=6036,"VE140","ERROR")))))))),IF(E16&lt;=1829,IF(E17&lt;=1832,"VE075",IF(E17&lt;=2059,"VE080",IF(E17&lt;=2292,"VE090",IF(E17&lt;=2669,"VE100",IF(E17&lt;=3206,"VE110",IF(E17&lt;=3601,"VE120",IF(E17&lt;=4038,"VE130",IF(E17&lt;=4615,"VE140",IF(E17&lt;=6003,"VE150",IF(E17&lt;=6036,"VE160","ERROR")))))))))),IF(E16&lt;=2134,IF(E17&lt;=1570,"VE075",IF(E17&lt;=1765,"VE080",IF(E17&lt;=1964,"VE090",IF(E17&lt;=2287,"VE100",IF(E17&lt;=2748,"VE110",IF(E17&lt;=3087,"VE120",IF(E17&lt;=3461,"VE130",IF(E17&lt;=3955,"VE140",IF(E17&lt;=5146,"VE150",IF(E17&lt;=6207,"VE160","ERROR")))))))))),IF(E16&lt;=2438,IF(E17&lt;=1288,"VE075",IF(E17&lt;=1544,"VE080",IF(E17&lt;=1719,"VE090",IF(E17&lt;=2001,"VE100",IF(E17&lt;=2404,"VE110",IF(E17&lt;=2701,"VE120",IF(E17&lt;=3029,"VE130",IF(E17&lt;=3461,"VE140",IF(E17&lt;=4502,"VE150",IF(E17&lt;=5431,"VE160","ERROR")))))))))),IF(E16&lt;=2743,IF(E17&lt;=1017,"VE075",IF(E17&lt;=1222,"VE080",IF(E17&lt;=1451,"VE090",IF(E17&lt;=1779,"VE100",IF(E17&lt;=2137,"VE110",IF(E17&lt;=2401,"VE120",IF(E17&lt;=2692,"VE130",IF(E17&lt;=3076,"VE140",IF(E17&lt;=4002,"VE150",IF(E17&lt;=4828,"VE160","ERROR")))))))))),IF(E16&lt;=3048,IF(E17&lt;=824,"VE075",IF(E17&lt;=990,"VE080",IF(E17&lt;=1175,"VE090",IF(E17&lt;=1466,"VE100",IF(E17&lt;=1923,"VE110",IF(E17&lt;=2161,"VE120",IF(E17&lt;=2423,"VE130",IF(E17&lt;=2769,"VE140",IF(E17&lt;=3602,"VE150",IF(E17&lt;=4345,"VE160","ERROR")))))))))),IF(E16&lt;=3353,IF(E17&lt;=681,"VE075",IF(E17&lt;=818,"VE080",IF(E17&lt;=971,"VE090",IF(E17&lt;=1212,"VE100",IF(E17&lt;=1611,"VE110",IF(E17&lt;=1964,"VE120",IF(E17&lt;=2203,"VE130",IF(E17&lt;=2517,"VE140",IF(E17&lt;=3274,"VE150",IF(E17&lt;=3950,"VE160","ERROR")))))))))),IF(E16&lt;=3658,IF(E17&lt;=572,"VE075",IF(E17&lt;=688,"VE080",IF(E17&lt;=816,"VE090",IF(E17&lt;=1018,"VE100",IF(E17&lt;=1353,"VE110",IF(E17&lt;=1655,"VE120",IF(E17&lt;=1993,"VE130",IF(E17&lt;=2307,"VE140",IF(E17&lt;=3002,"VE150",IF(E17&lt;=3621,"VE160","ERROR")))))))))),"ERROR")))))))))</f>
        <v>VE090</v>
      </c>
      <c r="D42" s="424" t="s">
        <v>55</v>
      </c>
      <c r="E42" s="425">
        <v>0</v>
      </c>
      <c r="I42" s="433"/>
      <c r="J42" s="434"/>
      <c r="K42" s="432"/>
    </row>
    <row r="43" spans="2:11" ht="15.75" customHeight="1">
      <c r="B43" s="1150" t="s">
        <v>791</v>
      </c>
      <c r="C43" s="1151"/>
      <c r="D43" s="1154" t="e">
        <f>C41*E41/1000*E42+1.2*C41</f>
        <v>#REF!</v>
      </c>
      <c r="E43" s="1155"/>
      <c r="I43" s="433"/>
      <c r="J43" s="434"/>
      <c r="K43" s="432"/>
    </row>
    <row r="44" spans="2:11" ht="15.75" customHeight="1" thickBot="1">
      <c r="B44" s="1152"/>
      <c r="C44" s="1153"/>
      <c r="D44" s="1156"/>
      <c r="E44" s="1157"/>
      <c r="I44" s="433"/>
      <c r="J44" s="434"/>
      <c r="K44" s="432"/>
    </row>
    <row r="45" spans="2:11" ht="15.75" customHeight="1" thickBot="1">
      <c r="C45" s="420"/>
      <c r="I45" s="433"/>
      <c r="J45" s="434"/>
      <c r="K45" s="432"/>
    </row>
    <row r="46" spans="2:11" ht="15.75" customHeight="1">
      <c r="B46" s="1169" t="s">
        <v>805</v>
      </c>
      <c r="C46" s="1159"/>
      <c r="D46" s="1159"/>
      <c r="E46" s="1160"/>
      <c r="I46" s="433"/>
      <c r="J46" s="434"/>
      <c r="K46" s="432"/>
    </row>
    <row r="47" spans="2:11" ht="15.75" customHeight="1">
      <c r="B47" s="1161"/>
      <c r="C47" s="1162"/>
      <c r="D47" s="1162"/>
      <c r="E47" s="1163"/>
      <c r="I47" s="433"/>
      <c r="J47" s="434"/>
      <c r="K47" s="432"/>
    </row>
    <row r="48" spans="2:11" ht="15.75" customHeight="1">
      <c r="B48" s="423" t="s">
        <v>802</v>
      </c>
      <c r="C48" s="414" t="e">
        <f>IF(C13="S",IF(C17="N",(C16-1)*2*C15*C14,IF(C17="S",C16*2*C15*C14,"ERROR")),IF(C13="D",IF(C17="N",(C16-1)*4*C15*C14,IF(C17="S",C16*4*C15*C14,"ERROR"))))</f>
        <v>#REF!</v>
      </c>
      <c r="D48" s="424" t="s">
        <v>13</v>
      </c>
      <c r="E48" s="416">
        <f>E16</f>
        <v>2510</v>
      </c>
      <c r="I48" s="432"/>
      <c r="J48" s="435"/>
      <c r="K48" s="432"/>
    </row>
    <row r="49" spans="2:11" ht="15.75" customHeight="1">
      <c r="B49" s="423" t="s">
        <v>806</v>
      </c>
      <c r="C49" s="414" t="str">
        <f>IF(OR(AND(E16&lt;1219,E17&lt;1795),AND(E16&lt;1372,E17&lt;1595),AND(E16&lt;1524,E17&lt;1436),AND(E16&lt;1676,E17&lt;1305),AND(E16&lt;1829,E17&lt;1196),AND(E16&lt;1981,E17&lt;1104),AND(E16&lt;2134,E17&lt;1026),AND(E16&lt;2286,E17&lt;947),AND(E16&lt;2438,E17&lt;833),AND(E16&lt;2591,E17&lt;738),AND(E16&lt;2743,E17&lt;658)),"3-1/2x1-1/2 CAL16",IF(OR(AND(E16&lt;1219,E17&lt;2584),AND(E16&lt;1372,E17&lt;2296),AND(E16&lt;1524,E17&lt;2067),AND(E16&lt;1676,E17&lt;1879),AND(E16&lt;1829,E17&lt;1722),AND(E16&lt;1981,E17&lt;1590),AND(E16&lt;2134,E17&lt;1475),AND(E16&lt;2286,E17&lt;1284),AND(E16&lt;2438,E17&lt;1129),AND(E16&lt;2591,E17&lt;1000),AND(E16&lt;2743,E17&lt;892)),"3-1/2x1-1/2 CAL14","NO CUMPLE"))</f>
        <v>NO CUMPLE</v>
      </c>
      <c r="D49" s="424" t="s">
        <v>55</v>
      </c>
      <c r="E49" s="425" t="str">
        <f>IF(C49="3-1/2x1-1/2 CAL14",2.65,IF(C49="3-1/2x1-1/2 CAL16",2.04,"N/A"))</f>
        <v>N/A</v>
      </c>
      <c r="H49" s="436"/>
      <c r="I49" s="432"/>
      <c r="J49" s="433"/>
      <c r="K49" s="432"/>
    </row>
    <row r="50" spans="2:11" ht="15.75" customHeight="1">
      <c r="B50" s="423" t="s">
        <v>807</v>
      </c>
      <c r="C50" s="414" t="str">
        <f>IF(OR(AND(E16&lt;1219,E17&lt;1506),AND(E16&lt;1372,E17&lt;1339),AND(E16&lt;1524,E17&lt;1196),AND(E16&lt;1829,E17&lt;830),AND(E16&lt;2134,E17&lt;610),AND(E16&lt;2286,E17&lt;532),AND(E16&lt;2337,E17&lt;508),AND(E16&lt;2438,E17&lt;467),AND(E16&lt;2743,E17&lt;369)),"2-3/16x1-1/4 CAL12","NO CUMPLE")</f>
        <v>NO CUMPLE</v>
      </c>
      <c r="D50" s="424" t="s">
        <v>55</v>
      </c>
      <c r="E50" s="425" t="str">
        <f>IF(C50="2-3/16x1-1/4 CAL12",2.75,"N/A")</f>
        <v>N/A</v>
      </c>
      <c r="I50" s="432"/>
      <c r="J50" s="432"/>
      <c r="K50" s="432"/>
    </row>
    <row r="51" spans="2:11" ht="15.75" customHeight="1">
      <c r="B51" s="423" t="s">
        <v>808</v>
      </c>
      <c r="C51" s="414" t="str">
        <f>IF(OR(AND(E16&lt;1219,E17&lt;2625),AND(E16&lt;1372,E17&lt;2334),AND(E16&lt;1524,E17&lt;2100),AND(E16&lt;1829,E17&lt;1750),AND(E16&lt;2134,E17&lt;1500),AND(E16&lt;2286,E17&lt;1400),AND(E16&lt;2337,E17&lt;1370),AND(E16&lt;2438,E17&lt;1313),AND(E16&lt;2743,E17&lt;1046),AND(E16&lt;3048,E17&lt;848),AND(E16&lt;3353,E17&lt;701),AND(E16&lt;3658,E17&lt;588)),"D = 3.5 in",IF(OR(AND(E16&lt;1219,E17&lt;3241),AND(E16&lt;1372,E17&lt;2881),AND(E16&lt;1524,E17&lt;2592),AND(E16&lt;1829,E17&lt;2161),AND(E16&lt;2134,E17&lt;1852),AND(E16&lt;2286,E17&lt;1728),AND(E16&lt;2337,E17&lt;1691),AND(E16&lt;2438,E17&lt;1620),AND(E16&lt;2743,E17&lt;1440),AND(E16&lt;3048,E17&lt;1180),AND(E16&lt;3353,E17&lt;975),AND(E16&lt;3658,E17&lt;819)),"D = 4.0 in",IF(OR(AND(E16&lt;1219,E17&lt;3910),AND(E16&lt;1372,E17&lt;3476),AND(E16&lt;1524,E17&lt;3129),AND(E16&lt;1829,E17&lt;2607),AND(E16&lt;2134,E17&lt;2235),AND(E16&lt;2286,E17&lt;2086),AND(E16&lt;2337,E17&lt;2040),AND(E16&lt;2438,E17&lt;1955),AND(E16&lt;2743,E17&lt;1738),AND(E16&lt;3048,E17&lt;1564),AND(E16&lt;3353,E17&lt;1311),AND(E16&lt;3658,E17&lt;1102)),"D = 4.5 in",IF(OR(AND(E16&lt;1219,E17&lt;4632),AND(E16&lt;1372,E17&lt;4117),AND(E16&lt;1524,E17&lt;3706),AND(E16&lt;1829,E17&lt;3088),AND(E16&lt;2134,E17&lt;2647),AND(E16&lt;2286,E17&lt;2471),AND(E16&lt;2337,E17&lt;2417),AND(E16&lt;2438,E17&lt;2316),AND(E16&lt;2743,E17&lt;2059),AND(E16&lt;3048,E17&lt;1853),AND(E16&lt;3353,E17&lt;1684),AND(E16&lt;3658,E17&lt;1439)),"D = 5.0 in","NO CUMPLE"))))</f>
        <v>D = 4.0 in</v>
      </c>
      <c r="D51" s="424" t="s">
        <v>55</v>
      </c>
      <c r="E51" s="425">
        <f>IF(C51="D = 3.5 in",3.41,IF(C51="D = 4.0 in",3.72,IF(C51="D = 4.5 in",4.03,IF(C51="D = 5.0 in",4.35,"N/A"))))</f>
        <v>3.72</v>
      </c>
      <c r="I51" s="432"/>
      <c r="J51" s="432"/>
      <c r="K51" s="432"/>
    </row>
    <row r="52" spans="2:11" ht="15.75" customHeight="1">
      <c r="B52" s="423" t="s">
        <v>809</v>
      </c>
      <c r="C52" s="414" t="str">
        <f>IF(OR(AND(E16&lt;1219,E17&lt;3238),AND(E16&lt;1372,E17&lt;2878),AND(E16&lt;1524,E17&lt;2590),AND(E16&lt;1829,E17&lt;2159),AND(E16&lt;2134,E17&lt;1850),AND(E16&lt;2286,E17&lt;1727),AND(E16&lt;2337,E17&lt;1689),AND(E16&lt;2438,E17&lt;1619),AND(E16&lt;2743,E17&lt;1291),AND(E16&lt;3048,E17&lt;1046),AND(E16&lt;3353,E17&lt;864),AND(E16&lt;3658,E17&lt;726)),"D = 3.5 in",IF(OR(AND(E16&lt;1219,E17&lt;4002),AND(E16&lt;1372,E17&lt;3558),AND(E16&lt;1524,E17&lt;3202),AND(E16&lt;1829,E17&lt;2668),AND(E16&lt;2134,E17&lt;2287),AND(E16&lt;2286,E17&lt;2135),AND(E16&lt;2337,E17&lt;2088),AND(E16&lt;2438,E17&lt;2001),AND(E16&lt;2743,E17&lt;1779),AND(E16&lt;3048,E17&lt;1458),AND(E16&lt;3353,E17&lt;1204),AND(E16&lt;3658,E17&lt;1012)),"D = 4.0 in",IF(OR(AND(E16&lt;1219,E17&lt;4835),AND(E16&lt;1372,E17&lt;4298),AND(E16&lt;1524,E17&lt;3868),AND(E16&lt;1829,E17&lt;3223),AND(E16&lt;2134,E17&lt;2763),AND(E16&lt;2286,E17&lt;2579),AND(E16&lt;2337,E17&lt;2523),AND(E16&lt;2438,E17&lt;2418),AND(E16&lt;2743,E17&lt;2149),AND(E16&lt;3048,E17&lt;1934),AND(E16&lt;3353,E17&lt;1621),AND(E16&lt;3658,E17&lt;1362)),"D = 4.5 in",IF(OR(AND(E16&lt;1219,E17&lt;5177),AND(E16&lt;1372,E17&lt;5177),AND(E16&lt;1524,E17&lt;4586),AND(E16&lt;1829,E17&lt;3822),AND(E16&lt;2134,E17&lt;3276),AND(E16&lt;2286,E17&lt;3058),AND(E16&lt;2337,E17&lt;2991),AND(E16&lt;2438,E17&lt;2867),AND(E16&lt;2743,E17&lt;2548),AND(E16&lt;3048,E17&lt;2293),AND(E16&lt;3353,E17&lt;2085),AND(E16&lt;3658,E17&lt;1781)),"D = 5.0 in",IF(OR(AND(E16&lt;1219,E17&lt;5177),AND(E16&lt;1372,E17&lt;5177),AND(E16&lt;1524,E17&lt;5177),AND(E16&lt;1829,E17&lt;4462),AND(E16&lt;2134,E17&lt;3824),AND(E16&lt;2286,E17&lt;3569),AND(E16&lt;2337,E17&lt;3492),AND(E16&lt;2438,E17&lt;3346),AND(E16&lt;2743,E17&lt;2975),AND(E16&lt;3048,E17&lt;2677),AND(E16&lt;3353,E17&lt;2434),AND(E16&lt;3658,E17&lt;2231)),"D = 5.5 in",IF(OR(AND(E16&lt;1219,E17&lt;7714),AND(E16&lt;1372,E17&lt;6857),AND(E16&lt;1524,E17&lt;6171),AND(E16&lt;1829,E17&lt;5143),AND(E16&lt;2134,E17&lt;4408),AND(E16&lt;2286,E17&lt;4114),AND(E16&lt;2337,E17&lt;4025),AND(E16&lt;2438,E17&lt;3857),AND(E16&lt;2743,E17&lt;3429),AND(E16&lt;3048,E17&lt;3086),AND(E16&lt;3353,E17&lt;2805),AND(E16&lt;3658,E17&lt;2571)),"D = 6.0 in","NO CUMPLE"))))))</f>
        <v>D = 3.5 in</v>
      </c>
      <c r="D52" s="424" t="s">
        <v>55</v>
      </c>
      <c r="E52" s="425">
        <f>IF(C52="D = 3.5 in",4.29,IF(C52="D = 4.0 in",4.67,IF(C52="D = 4.5 in",5.04,IF(C52="D = 5.0 in",5.43,IF(C52="D = 5.5 in",5.83,IF(C52="D = 6.0 in",6.22,"N/A"))))))</f>
        <v>4.29</v>
      </c>
      <c r="I52" s="432"/>
      <c r="J52" s="432"/>
      <c r="K52" s="432"/>
    </row>
    <row r="53" spans="2:11" ht="15.75" customHeight="1">
      <c r="B53" s="423" t="s">
        <v>810</v>
      </c>
      <c r="C53" s="414" t="str">
        <f>IF(OR(AND(E16&lt;1219,E17&lt;2285),AND(E16&lt;1372,E17&lt;2031),AND(E16&lt;1524,E17&lt;1828),AND(E16&lt;1829,E17&lt;1523),AND(E16&lt;2134,E17&lt;1186),AND(E16&lt;2286,E17&lt;1033),AND(E16&lt;2337,E17&lt;989),AND(E16&lt;2438,E17&lt;908),AND(E16&lt;2743,E17&lt;717),AND(E16&lt;3048,E17&lt;581),AND(E16&lt;3353,E17&lt;480),AND(E16&lt;3658,E17&lt;404)),"D = 3.0 in",IF(OR(AND(E16&lt;1219,E17&lt;2846),AND(E16&lt;1372,E17&lt;2530),AND(E16&lt;1524,E17&lt;2277),AND(E16&lt;1829,E17&lt;1897),AND(E16&lt;2134,E17&lt;1626),AND(E16&lt;2286,E17&lt;1503),AND(E16&lt;2337,E17&lt;1438),AND(E16&lt;2438,E17&lt;1321),AND(E16&lt;2743,E17&lt;1043),AND(E16&lt;3048,E17&lt;845),AND(E16&lt;3353,E17&lt;699),AND(E16&lt;3658,E17&lt;587)),"D = 3.5 in",IF(OR(AND(E16&lt;1219,E17&lt;3454),AND(E16&lt;1372,E17&lt;3070),AND(E16&lt;1524,E17&lt;2763),AND(E16&lt;1829,E17&lt;2303),AND(E16&lt;2134,E17&lt;1974),AND(E16&lt;2286,E17&lt;1842),AND(E16&lt;2337,E17&lt;1802),AND(E16&lt;2438,E17&lt;1727),AND(E16&lt;2743,E17&lt;1447),AND(E16&lt;3048,E17&lt;1173),AND(E16&lt;3353,E17&lt;969),AND(E16&lt;3658,E17&lt;814)),"D = 4.0 in",IF(OR(AND(E16&lt;1219,E17&lt;4107),AND(E16&lt;1372,E17&lt;3651),AND(E16&lt;1524,E17&lt;3286),AND(E16&lt;1829,E17&lt;2738),AND(E16&lt;2134,E17&lt;2347),AND(E16&lt;2286,E17&lt;2190),AND(E16&lt;2337,E17&lt;2143),AND(E16&lt;2438,E17&lt;2053),AND(E16&lt;2743,E17&lt;1825),AND(E16&lt;3048,E17&lt;1568),AND(E16&lt;3353,E17&lt;1296),AND(E16&lt;3658,E17&lt;1089)),"D = 4.5 in",IF(OR(AND(E16&lt;1219,E17&lt;4806),AND(E16&lt;1372,E17&lt;4271),AND(E16&lt;1524,E17&lt;3844),AND(E16&lt;1829,E17&lt;3203),AND(E16&lt;2134,E17&lt;2746),AND(E16&lt;2286,E17&lt;2563),AND(E16&lt;2337,E17&lt;2507),AND(E16&lt;2438,E17&lt;2403),AND(E16&lt;2743,E17&lt;2136),AND(E16&lt;3048,E17&lt;1922),AND(E16&lt;3353,E17&lt;1684),AND(E16&lt;3658,E17&lt;1416)),"D = 5.0 in",IF(OR(AND(E16&lt;1219,E17&lt;5550),AND(E16&lt;1372,E17&lt;4933),AND(E16&lt;1524,E17&lt;4440),AND(E16&lt;1829,E17&lt;3700),AND(E16&lt;2134,E17&lt;3171),AND(E16&lt;2286,E17&lt;2960),AND(E16&lt;2337,E17&lt;2896),AND(E16&lt;2438,E17&lt;2775),AND(E16&lt;2743,E17&lt;2467),AND(E16&lt;3048,E17&lt;2220),AND(E16&lt;3353,E17&lt;2018),AND(E16&lt;3658,E17&lt;1797)),"D = 5.5 in","NO CUMPLE"))))))</f>
        <v>D = 4.0 in</v>
      </c>
      <c r="D53" s="424" t="s">
        <v>55</v>
      </c>
      <c r="E53" s="425">
        <f>IF(C53="D = 3.0 in",2.95,IF(C53="D = 3.5 in",3.26,IF(C53="D = 4.0 in",3.57,IF(C53="D = 4.5 in",3.88,IF(C53="D = 5.0 in",4.18,IF(C53="D = 5.5 in",4.49,"N/A"))))))</f>
        <v>3.57</v>
      </c>
    </row>
    <row r="54" spans="2:11" ht="15.75" customHeight="1">
      <c r="B54" s="423" t="s">
        <v>811</v>
      </c>
      <c r="C54" s="414" t="str">
        <f>IF(OR(AND(E16&lt;1219,E17&lt;2806),AND(E16&lt;1372,E17&lt;2494),AND(E16&lt;1524,E17&lt;2245),AND(E16&lt;1829,E17&lt;1871),AND(E16&lt;2134,E17&lt;1454),AND(E16&lt;2286,E17&lt;1267),AND(E16&lt;2337,E17&lt;1212),AND(E16&lt;2438,E17&lt;1114),AND(E16&lt;2743,E17&lt;880),AND(E16&lt;3048,E17&lt;713),AND(E16&lt;3353,E17&lt;589),AND(E16&lt;3658,E17&lt;495)),"D = 3.0 in",IF(OR(AND(E16&lt;1219,E17&lt;3504),AND(E16&lt;1372,E17&lt;3114),AND(E16&lt;1524,E17&lt;2803),AND(E16&lt;1829,E17&lt;2336),AND(E16&lt;2134,E17&lt;2002),AND(E16&lt;2286,E17&lt;1847),AND(E16&lt;2337,E17&lt;1768),AND(E16&lt;2438,E17&lt;1624),AND(E16&lt;2743,E17&lt;1283),AND(E16&lt;3048,E17&lt;1039),AND(E16&lt;3353,E17&lt;859),AND(E16&lt;3658,E17&lt;721)),"D = 3.5 in",IF(OR(AND(E16&lt;1219,E17&lt;4259),AND(E16&lt;1372,E17&lt;3786),AND(E16&lt;1524,E17&lt;3407),AND(E16&lt;1829,E17&lt;2839),AND(E16&lt;2134,E17&lt;2434),AND(E16&lt;2286,E17&lt;2272),AND(E16&lt;2337,E17&lt;2222),AND(E16&lt;2438,E17&lt;2130),AND(E16&lt;2743,E17&lt;1783),AND(E16&lt;3048,E17&lt;1444),AND(E16&lt;3353,E17&lt;1194),AND(E16&lt;3658,E17&lt;1003)),"D = 4.0 in",IF(OR(AND(E16&lt;1219,E17&lt;5071),AND(E16&lt;1372,E17&lt;4507),AND(E16&lt;1524,E17&lt;4056),AND(E16&lt;1829,E17&lt;3380),AND(E16&lt;2134,E17&lt;2897),AND(E16&lt;2286,E17&lt;2704),AND(E16&lt;2337,E17&lt;2645),AND(E16&lt;2438,E17&lt;2535),AND(E16&lt;2743,E17&lt;2254),AND(E16&lt;3048,E17&lt;1934),AND(E16&lt;3353,E17&lt;1599),AND(E16&lt;3658,E17&lt;1343)),"D = 4.5 in",IF(OR(AND(E16&lt;1219,E17&lt;5939),AND(E16&lt;1372,E17&lt;5280),AND(E16&lt;1524,E17&lt;4752),AND(E16&lt;1829,E17&lt;3959),AND(E16&lt;2134,E17&lt;3394),AND(E16&lt;2286,E17&lt;3168),AND(E16&lt;2337,E17&lt;3099),AND(E16&lt;2438,E17&lt;2970),AND(E16&lt;2743,E17&lt;2640),AND(E16&lt;3048,E17&lt;2376),AND(E16&lt;3353,E17&lt;2080),AND(E16&lt;3658,E17&lt;1748)),"D = 5.0 in",IF(OR(AND(E16&lt;1219,E17&lt;6865),AND(E16&lt;1372,E17&lt;6102),AND(E16&lt;1524,E17&lt;5492),AND(E16&lt;1829,E17&lt;4577),AND(E16&lt;2134,E17&lt;3923),AND(E16&lt;2286,E17&lt;3662),AND(E16&lt;2337,E17&lt;3582),AND(E16&lt;2438,E17&lt;3433),AND(E16&lt;2743,E17&lt;3051),AND(E16&lt;3048,E17&lt;2746),AND(E16&lt;3353,E17&lt;2497),AND(E16&lt;3658,E17&lt;2222)),"D = 5.5 in","NO CUMPLE"))))))</f>
        <v>D = 3.5 in</v>
      </c>
      <c r="D54" s="424" t="s">
        <v>55</v>
      </c>
      <c r="E54" s="425">
        <f>IF(C54="D = 3.0 in",3.71,IF(C54="D = 3.5 in",4.09,IF(C54="D = 4.0 in",4.48,IF(C54="D = 4.5 in",4.87,IF(C54="D = 5.0 in",5.25,IF(C54="D = 5.5 in",5.64,"N/A"))))))</f>
        <v>4.09</v>
      </c>
    </row>
    <row r="55" spans="2:11" ht="15.75" customHeight="1">
      <c r="B55" s="423" t="s">
        <v>812</v>
      </c>
      <c r="C55" s="414" t="str">
        <f>IF(OR(AND(E16&lt;1219,E17&lt;3479),AND(E16&lt;1372,E17&lt;3093),AND(E16&lt;1524,E17&lt;2783),AND(E16&lt;1829,E17&lt;2319),AND(E16&lt;2134,E17&lt;1988),AND(E16&lt;2286,E17&lt;1855),AND(E16&lt;2337,E17&lt;1815),AND(E16&lt;2438,E17&lt;1740),AND(E16&lt;2743,E17&lt;1498),AND(E16&lt;3048,E17&lt;1214),AND(E16&lt;3353,E17&lt;1003),AND(E16&lt;3658,E17&lt;843)),"D = 3.0 in",IF(OR(AND(E16&lt;1219,E17&lt;5177),AND(E16&lt;1372,E17&lt;5177),AND(E16&lt;1524,E17&lt;4946),AND(E16&lt;1829,E17&lt;4122),AND(E16&lt;2134,E17&lt;3533),AND(E16&lt;2286,E17&lt;3298),AND(E16&lt;2337,E17&lt;3226),AND(E16&lt;2438,E17&lt;3092),AND(E16&lt;2743,E17&lt;2748),AND(E16&lt;3048,E17&lt;2473),AND(E16&lt;3353,E17&lt;2248),AND(E16&lt;3658,E17&lt;2002)),"D = 4.0 in","NO CUMPLE"))</f>
        <v>D = 3.0 in</v>
      </c>
      <c r="D55" s="424" t="s">
        <v>55</v>
      </c>
      <c r="E55" s="425">
        <f>IF(C55="D = 3.0 in",6.1,IF(C55="D = 4.0 in",8.04,"N/A"))</f>
        <v>6.1</v>
      </c>
    </row>
    <row r="56" spans="2:11" ht="15.75" customHeight="1">
      <c r="B56" s="1177" t="s">
        <v>813</v>
      </c>
      <c r="C56" s="1178"/>
      <c r="D56" s="1179"/>
      <c r="E56" s="437">
        <v>6</v>
      </c>
    </row>
    <row r="57" spans="2:11" ht="15" customHeight="1">
      <c r="B57" s="1150" t="s">
        <v>791</v>
      </c>
      <c r="C57" s="1151"/>
      <c r="D57" s="1154" t="e">
        <f>(IF(E56=1,E48*E49,IF(E56=2,E48*E50,IF(E56=3,E48*E51,IF(E56=4,E48*E52,IF(E56=5,E48*E53,IF(E56=6,E48*E54,IF(E56=7,E48*E55,"ERROR"))))))))/1000*C48+1.2*C48</f>
        <v>#REF!</v>
      </c>
      <c r="E57" s="1155"/>
    </row>
    <row r="58" spans="2:11" ht="15.75" customHeight="1" thickBot="1">
      <c r="B58" s="1152"/>
      <c r="C58" s="1153"/>
      <c r="D58" s="1156"/>
      <c r="E58" s="1157"/>
    </row>
    <row r="59" spans="2:11" ht="15.75" customHeight="1">
      <c r="C59" s="420"/>
    </row>
    <row r="60" spans="2:11" ht="15.75" customHeight="1">
      <c r="B60" s="421"/>
      <c r="C60" s="422"/>
      <c r="D60" s="421"/>
      <c r="E60" s="421"/>
      <c r="F60" s="421"/>
    </row>
    <row r="61" spans="2:11" ht="15.75" customHeight="1">
      <c r="C61" s="420"/>
    </row>
    <row r="62" spans="2:11" ht="15.75" customHeight="1">
      <c r="B62" s="1180" t="s">
        <v>814</v>
      </c>
      <c r="C62" s="1181"/>
      <c r="D62" s="1181"/>
      <c r="E62" s="1151"/>
      <c r="F62" s="1182" t="s">
        <v>791</v>
      </c>
    </row>
    <row r="63" spans="2:11" ht="15.75" customHeight="1">
      <c r="B63" s="1171"/>
      <c r="C63" s="1162"/>
      <c r="D63" s="1162"/>
      <c r="E63" s="1172"/>
      <c r="F63" s="1176"/>
    </row>
    <row r="64" spans="2:11" ht="15.75" customHeight="1">
      <c r="B64" s="424" t="s">
        <v>815</v>
      </c>
      <c r="C64" s="414" t="e">
        <f>C26</f>
        <v>#REF!</v>
      </c>
      <c r="D64" s="424" t="s">
        <v>816</v>
      </c>
      <c r="E64" s="438">
        <v>1.3</v>
      </c>
      <c r="F64" s="439" t="e">
        <f t="shared" ref="F64:F72" si="0">E64*C64</f>
        <v>#REF!</v>
      </c>
    </row>
    <row r="65" spans="2:6" ht="15.75" customHeight="1">
      <c r="B65" s="424" t="s">
        <v>817</v>
      </c>
      <c r="C65" s="414" t="e">
        <f>C64*1.5</f>
        <v>#REF!</v>
      </c>
      <c r="D65" s="424" t="s">
        <v>818</v>
      </c>
      <c r="E65" s="438">
        <v>0.08</v>
      </c>
      <c r="F65" s="439" t="e">
        <f t="shared" si="0"/>
        <v>#REF!</v>
      </c>
    </row>
    <row r="66" spans="2:6" ht="15.75" customHeight="1">
      <c r="B66" s="424" t="s">
        <v>819</v>
      </c>
      <c r="C66" s="414" t="e">
        <f>C64</f>
        <v>#REF!</v>
      </c>
      <c r="D66" s="424" t="s">
        <v>820</v>
      </c>
      <c r="E66" s="438">
        <v>0.03</v>
      </c>
      <c r="F66" s="439" t="e">
        <f t="shared" si="0"/>
        <v>#REF!</v>
      </c>
    </row>
    <row r="67" spans="2:6" ht="15.75" customHeight="1">
      <c r="B67" s="424" t="s">
        <v>821</v>
      </c>
      <c r="C67" s="414">
        <f>C27+3</f>
        <v>7</v>
      </c>
      <c r="D67" s="424" t="s">
        <v>820</v>
      </c>
      <c r="E67" s="438">
        <v>0.03</v>
      </c>
      <c r="F67" s="439">
        <f t="shared" si="0"/>
        <v>0.21</v>
      </c>
    </row>
    <row r="68" spans="2:6" ht="15.75" customHeight="1">
      <c r="B68" s="424" t="s">
        <v>822</v>
      </c>
      <c r="C68" s="414" t="e">
        <f>IF(E13&lt;5000,C64,C64*2)</f>
        <v>#REF!</v>
      </c>
      <c r="D68" s="424" t="s">
        <v>823</v>
      </c>
      <c r="E68" s="438">
        <v>0.12</v>
      </c>
      <c r="F68" s="439" t="e">
        <f t="shared" si="0"/>
        <v>#REF!</v>
      </c>
    </row>
    <row r="69" spans="2:6" ht="15.75" customHeight="1">
      <c r="B69" s="424" t="s">
        <v>824</v>
      </c>
      <c r="C69" s="414" t="e">
        <f>C48*2</f>
        <v>#REF!</v>
      </c>
      <c r="D69" s="424" t="s">
        <v>825</v>
      </c>
      <c r="E69" s="438">
        <v>0.04</v>
      </c>
      <c r="F69" s="439" t="e">
        <f t="shared" si="0"/>
        <v>#REF!</v>
      </c>
    </row>
    <row r="70" spans="2:6" ht="15.75" customHeight="1">
      <c r="B70" s="424" t="s">
        <v>826</v>
      </c>
      <c r="C70" s="414" t="e">
        <f>C24*2</f>
        <v>#REF!</v>
      </c>
      <c r="D70" s="424" t="s">
        <v>827</v>
      </c>
      <c r="E70" s="438">
        <v>0.03</v>
      </c>
      <c r="F70" s="439" t="e">
        <f t="shared" si="0"/>
        <v>#REF!</v>
      </c>
    </row>
    <row r="71" spans="2:6" ht="15.75" customHeight="1">
      <c r="B71" s="424" t="s">
        <v>828</v>
      </c>
      <c r="C71" s="414" t="e">
        <f>IF(C13="D",(ROUNDDOWN((E13-1)/2500,0)+2)*C24/2,0)</f>
        <v>#REF!</v>
      </c>
      <c r="D71" s="424" t="s">
        <v>829</v>
      </c>
      <c r="E71" s="438">
        <v>2.2000000000000002</v>
      </c>
      <c r="F71" s="439" t="e">
        <f t="shared" si="0"/>
        <v>#REF!</v>
      </c>
    </row>
    <row r="72" spans="2:6" ht="15.75" customHeight="1">
      <c r="B72" s="424" t="s">
        <v>830</v>
      </c>
      <c r="C72" s="414" t="e">
        <f>C71*4</f>
        <v>#REF!</v>
      </c>
      <c r="D72" s="424" t="s">
        <v>820</v>
      </c>
      <c r="E72" s="438">
        <v>0.03</v>
      </c>
      <c r="F72" s="439" t="e">
        <f t="shared" si="0"/>
        <v>#REF!</v>
      </c>
    </row>
    <row r="73" spans="2:6" ht="15.75" customHeight="1">
      <c r="C73" s="420"/>
      <c r="F73" s="1175" t="e">
        <f>SUM(F64:F72)</f>
        <v>#REF!</v>
      </c>
    </row>
    <row r="74" spans="2:6" ht="15.75" customHeight="1">
      <c r="C74" s="420"/>
      <c r="F74" s="1176"/>
    </row>
    <row r="75" spans="2:6" ht="15.75" customHeight="1"/>
    <row r="76" spans="2:6" ht="15.75" customHeight="1"/>
    <row r="77" spans="2:6" ht="15.75" customHeight="1"/>
    <row r="78" spans="2:6" ht="15.75" customHeight="1"/>
    <row r="79" spans="2:6" ht="15.75" customHeight="1"/>
    <row r="80" spans="2: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F73:F74"/>
    <mergeCell ref="B46:E47"/>
    <mergeCell ref="B56:D56"/>
    <mergeCell ref="B57:C58"/>
    <mergeCell ref="D57:E58"/>
    <mergeCell ref="B62:E63"/>
    <mergeCell ref="F62:F63"/>
    <mergeCell ref="J24:K25"/>
    <mergeCell ref="B32:E33"/>
    <mergeCell ref="B36:C37"/>
    <mergeCell ref="D36:E37"/>
    <mergeCell ref="B39:E40"/>
    <mergeCell ref="B43:C44"/>
    <mergeCell ref="D43:E44"/>
    <mergeCell ref="B11:E12"/>
    <mergeCell ref="F17:G18"/>
    <mergeCell ref="H17:I18"/>
    <mergeCell ref="D18:E18"/>
    <mergeCell ref="B22:G23"/>
    <mergeCell ref="D24:E25"/>
    <mergeCell ref="F24:G25"/>
    <mergeCell ref="H24:I25"/>
  </mergeCells>
  <pageMargins left="0.7" right="0.7" top="0.75" bottom="0.75" header="0" footer="0"/>
  <pageSetup orientation="landscape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Z1000"/>
  <sheetViews>
    <sheetView workbookViewId="0">
      <pane ySplit="12" topLeftCell="A13" activePane="bottomLeft" state="frozen"/>
      <selection pane="bottomLeft" activeCell="B14" sqref="B14"/>
    </sheetView>
  </sheetViews>
  <sheetFormatPr baseColWidth="10" defaultColWidth="14.44140625" defaultRowHeight="15" customHeight="1"/>
  <cols>
    <col min="1" max="1" width="11.5546875" customWidth="1"/>
    <col min="2" max="2" width="12.6640625" customWidth="1"/>
    <col min="3" max="3" width="12" customWidth="1"/>
    <col min="4" max="4" width="8.5546875" customWidth="1"/>
    <col min="5" max="5" width="20.33203125" customWidth="1"/>
    <col min="6" max="6" width="10.33203125" customWidth="1"/>
    <col min="7" max="7" width="3.33203125" customWidth="1"/>
    <col min="8" max="8" width="8.33203125" customWidth="1"/>
    <col min="9" max="9" width="4.44140625" customWidth="1"/>
    <col min="10" max="10" width="16" customWidth="1"/>
    <col min="11" max="11" width="5.6640625" customWidth="1"/>
    <col min="12" max="12" width="13.44140625" customWidth="1"/>
    <col min="13" max="13" width="16" customWidth="1"/>
    <col min="14" max="14" width="12.6640625" customWidth="1"/>
    <col min="15" max="15" width="12.44140625" customWidth="1"/>
    <col min="16" max="16" width="10.6640625" customWidth="1"/>
    <col min="17" max="17" width="12.6640625" customWidth="1"/>
    <col min="18" max="18" width="12.5546875" customWidth="1"/>
    <col min="19" max="19" width="11.5546875" customWidth="1"/>
    <col min="20" max="20" width="9.5546875" customWidth="1"/>
    <col min="21" max="22" width="11.5546875" customWidth="1"/>
    <col min="23" max="23" width="10.44140625" customWidth="1"/>
    <col min="24" max="24" width="11.5546875" customWidth="1"/>
    <col min="25" max="26" width="13.5546875" customWidth="1"/>
  </cols>
  <sheetData>
    <row r="1" spans="1:26" ht="12.75" customHeight="1">
      <c r="A1" s="18"/>
      <c r="B1" s="150" t="s">
        <v>278</v>
      </c>
      <c r="C1" s="151" t="str">
        <f>'Calculador Selectivo'!E5</f>
        <v>ZM2</v>
      </c>
      <c r="D1" s="18"/>
      <c r="E1" s="152" t="s">
        <v>220</v>
      </c>
      <c r="F1" s="18"/>
      <c r="G1" s="18"/>
      <c r="H1" s="18"/>
      <c r="I1" s="18"/>
      <c r="J1" s="18"/>
      <c r="K1" s="18"/>
      <c r="L1" s="18"/>
      <c r="M1" s="18"/>
      <c r="N1" s="18"/>
      <c r="O1" s="18"/>
      <c r="P1" s="153" t="s">
        <v>151</v>
      </c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2.75" customHeight="1">
      <c r="A2" s="18"/>
      <c r="B2" s="150" t="s">
        <v>279</v>
      </c>
      <c r="C2" s="151">
        <f>'Calculador Selectivo'!E6</f>
        <v>3556</v>
      </c>
      <c r="D2" s="154" t="s">
        <v>140</v>
      </c>
      <c r="E2" s="155" t="s">
        <v>280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2.75" customHeight="1">
      <c r="A3" s="18"/>
      <c r="B3" s="150" t="s">
        <v>161</v>
      </c>
      <c r="C3" s="151">
        <f>'Calculador Selectivo'!E7</f>
        <v>0</v>
      </c>
      <c r="D3" s="154" t="s">
        <v>140</v>
      </c>
      <c r="E3" s="155"/>
      <c r="F3" s="18"/>
      <c r="G3" s="18"/>
      <c r="H3" s="18"/>
      <c r="I3" s="18"/>
      <c r="J3" s="18"/>
      <c r="K3" s="18"/>
      <c r="L3" s="18"/>
      <c r="M3" s="156" t="s">
        <v>3</v>
      </c>
      <c r="N3" s="156" t="s">
        <v>155</v>
      </c>
      <c r="O3" s="156" t="s">
        <v>156</v>
      </c>
      <c r="P3" s="156" t="s">
        <v>157</v>
      </c>
      <c r="Q3" s="156" t="s">
        <v>158</v>
      </c>
      <c r="R3" s="156" t="s">
        <v>159</v>
      </c>
      <c r="S3" s="157" t="s">
        <v>160</v>
      </c>
      <c r="T3" s="18"/>
      <c r="U3" s="18"/>
      <c r="V3" s="18"/>
      <c r="W3" s="18"/>
      <c r="X3" s="18"/>
      <c r="Y3" s="18"/>
      <c r="Z3" s="18"/>
    </row>
    <row r="4" spans="1:26" ht="12.75" customHeight="1">
      <c r="A4" s="158"/>
      <c r="B4" s="150" t="s">
        <v>281</v>
      </c>
      <c r="C4" s="151">
        <f>'Calculador Selectivo'!E8</f>
        <v>0</v>
      </c>
      <c r="D4" s="18" t="s">
        <v>140</v>
      </c>
      <c r="E4" s="18"/>
      <c r="F4" s="18"/>
      <c r="G4" s="18"/>
      <c r="H4" s="18"/>
      <c r="I4" s="18"/>
      <c r="J4" s="18"/>
      <c r="K4" s="18"/>
      <c r="L4" s="18"/>
      <c r="M4" s="159" t="s">
        <v>163</v>
      </c>
      <c r="N4" s="159" t="s">
        <v>163</v>
      </c>
      <c r="O4" s="159" t="s">
        <v>163</v>
      </c>
      <c r="P4" s="159" t="s">
        <v>153</v>
      </c>
      <c r="Q4" s="159" t="s">
        <v>153</v>
      </c>
      <c r="R4" s="159" t="s">
        <v>153</v>
      </c>
      <c r="S4" s="160" t="s">
        <v>153</v>
      </c>
      <c r="T4" s="18"/>
      <c r="U4" s="18"/>
      <c r="V4" s="18"/>
      <c r="W4" s="18"/>
      <c r="X4" s="18"/>
      <c r="Y4" s="18"/>
      <c r="Z4" s="18"/>
    </row>
    <row r="5" spans="1:26" ht="12.75" customHeight="1">
      <c r="A5" s="18"/>
      <c r="B5" s="18"/>
      <c r="C5" s="161" t="s">
        <v>152</v>
      </c>
      <c r="D5" s="156" t="s">
        <v>153</v>
      </c>
      <c r="E5" s="157" t="s">
        <v>154</v>
      </c>
      <c r="F5" s="18"/>
      <c r="G5" s="18"/>
      <c r="H5" s="18"/>
      <c r="I5" s="18"/>
      <c r="J5" s="18"/>
      <c r="K5" s="18"/>
      <c r="L5" s="18"/>
      <c r="M5" s="162"/>
      <c r="N5" s="162"/>
      <c r="O5" s="162"/>
      <c r="P5" s="162"/>
      <c r="Q5" s="162"/>
      <c r="R5" s="162" t="s">
        <v>166</v>
      </c>
      <c r="S5" s="163" t="s">
        <v>167</v>
      </c>
      <c r="T5" s="18"/>
      <c r="U5" s="18"/>
      <c r="V5" s="18"/>
      <c r="W5" s="18"/>
      <c r="X5" s="18"/>
      <c r="Y5" s="18"/>
      <c r="Z5" s="18"/>
    </row>
    <row r="6" spans="1:26" ht="12.75" customHeight="1">
      <c r="A6" s="164"/>
      <c r="B6" s="165" t="s">
        <v>161</v>
      </c>
      <c r="C6" s="166" t="s">
        <v>162</v>
      </c>
      <c r="D6" s="167">
        <f>$C$3</f>
        <v>0</v>
      </c>
      <c r="E6" s="168">
        <f t="shared" ref="E6:E11" si="0">D6/25.4</f>
        <v>0</v>
      </c>
      <c r="F6" s="18"/>
      <c r="G6" s="18"/>
      <c r="H6" s="18"/>
      <c r="I6" s="18"/>
      <c r="J6" s="18"/>
      <c r="K6" s="18"/>
      <c r="L6" s="18"/>
      <c r="M6" s="166" t="s">
        <v>98</v>
      </c>
      <c r="N6" s="169" t="s">
        <v>282</v>
      </c>
      <c r="O6" s="169" t="s">
        <v>282</v>
      </c>
      <c r="P6" s="169">
        <v>257</v>
      </c>
      <c r="Q6" s="169">
        <v>1118</v>
      </c>
      <c r="R6" s="169">
        <v>1118</v>
      </c>
      <c r="S6" s="170">
        <v>453</v>
      </c>
      <c r="T6" s="18"/>
      <c r="U6" s="18"/>
      <c r="V6" s="18"/>
      <c r="W6" s="18"/>
      <c r="X6" s="18"/>
      <c r="Y6" s="18"/>
      <c r="Z6" s="18"/>
    </row>
    <row r="7" spans="1:26" ht="12.75" customHeight="1">
      <c r="A7" s="171"/>
      <c r="B7" s="172" t="s">
        <v>283</v>
      </c>
      <c r="C7" s="173" t="s">
        <v>284</v>
      </c>
      <c r="D7" s="174" t="e">
        <f>VLOOKUP(CONCATENATE($C$1,C7),$A$18:$B$56,2,FALSE)</f>
        <v>#N/A</v>
      </c>
      <c r="E7" s="175" t="e">
        <f t="shared" si="0"/>
        <v>#N/A</v>
      </c>
      <c r="F7" s="18"/>
      <c r="G7" s="18"/>
      <c r="H7" s="18"/>
      <c r="I7" s="18"/>
      <c r="J7" s="18"/>
      <c r="K7" s="18"/>
      <c r="L7" s="18"/>
      <c r="M7" s="173" t="s">
        <v>101</v>
      </c>
      <c r="N7" s="174" t="s">
        <v>282</v>
      </c>
      <c r="O7" s="174" t="s">
        <v>282</v>
      </c>
      <c r="P7" s="174">
        <v>257</v>
      </c>
      <c r="Q7" s="174">
        <v>1118</v>
      </c>
      <c r="R7" s="174">
        <v>1118</v>
      </c>
      <c r="S7" s="176">
        <v>453</v>
      </c>
      <c r="T7" s="18"/>
      <c r="U7" s="18"/>
      <c r="V7" s="18"/>
      <c r="W7" s="18"/>
      <c r="X7" s="18"/>
      <c r="Y7" s="18"/>
      <c r="Z7" s="18"/>
    </row>
    <row r="8" spans="1:26" ht="12.75" customHeight="1">
      <c r="A8" s="171"/>
      <c r="B8" s="172" t="s">
        <v>168</v>
      </c>
      <c r="C8" s="173" t="s">
        <v>285</v>
      </c>
      <c r="D8" s="174" t="e">
        <f>VLOOKUP(CONCATENATE($C$1,C8),$A$18:$B$56,2,FALSE)</f>
        <v>#N/A</v>
      </c>
      <c r="E8" s="175" t="e">
        <f t="shared" si="0"/>
        <v>#N/A</v>
      </c>
      <c r="F8" s="18"/>
      <c r="G8" s="18"/>
      <c r="H8" s="18" t="s">
        <v>286</v>
      </c>
      <c r="I8" s="18"/>
      <c r="J8" s="18"/>
      <c r="K8" s="18"/>
      <c r="L8" s="18"/>
      <c r="M8" s="173" t="s">
        <v>105</v>
      </c>
      <c r="N8" s="174" t="s">
        <v>287</v>
      </c>
      <c r="O8" s="174" t="s">
        <v>282</v>
      </c>
      <c r="P8" s="174">
        <v>257</v>
      </c>
      <c r="Q8" s="174">
        <v>1118</v>
      </c>
      <c r="R8" s="174">
        <v>1118</v>
      </c>
      <c r="S8" s="176">
        <v>453</v>
      </c>
      <c r="T8" s="18"/>
      <c r="U8" s="18"/>
      <c r="V8" s="18"/>
      <c r="W8" s="18"/>
      <c r="X8" s="18"/>
      <c r="Y8" s="18"/>
      <c r="Z8" s="18"/>
    </row>
    <row r="9" spans="1:26" ht="12.75" customHeight="1">
      <c r="A9" s="171"/>
      <c r="B9" s="172" t="s">
        <v>172</v>
      </c>
      <c r="C9" s="173" t="s">
        <v>169</v>
      </c>
      <c r="D9" s="174" t="e">
        <f>VLOOKUP(CONCATENATE($C$1,C9),$A$18:$B$56,2,FALSE)</f>
        <v>#N/A</v>
      </c>
      <c r="E9" s="175" t="e">
        <f t="shared" si="0"/>
        <v>#N/A</v>
      </c>
      <c r="F9" s="18"/>
      <c r="G9" s="18"/>
      <c r="H9" s="18" t="s">
        <v>288</v>
      </c>
      <c r="I9" s="18"/>
      <c r="J9" s="18" t="s">
        <v>289</v>
      </c>
      <c r="K9" s="18"/>
      <c r="L9" s="18"/>
      <c r="M9" s="177" t="s">
        <v>109</v>
      </c>
      <c r="N9" s="178" t="s">
        <v>287</v>
      </c>
      <c r="O9" s="178" t="s">
        <v>282</v>
      </c>
      <c r="P9" s="178">
        <v>257</v>
      </c>
      <c r="Q9" s="178">
        <v>1118</v>
      </c>
      <c r="R9" s="178">
        <v>1118</v>
      </c>
      <c r="S9" s="179">
        <v>453</v>
      </c>
      <c r="T9" s="18"/>
      <c r="U9" s="18"/>
      <c r="V9" s="18"/>
      <c r="W9" s="18"/>
      <c r="X9" s="18"/>
      <c r="Y9" s="18"/>
      <c r="Z9" s="18"/>
    </row>
    <row r="10" spans="1:26" ht="12.75" customHeight="1">
      <c r="A10" s="171"/>
      <c r="B10" s="172" t="s">
        <v>176</v>
      </c>
      <c r="C10" s="180" t="s">
        <v>290</v>
      </c>
      <c r="D10" s="181" t="e">
        <f>VLOOKUP(CONCATENATE($C$1,C10),$A$18:$B$56,2,FALSE)</f>
        <v>#N/A</v>
      </c>
      <c r="E10" s="182" t="e">
        <f t="shared" si="0"/>
        <v>#N/A</v>
      </c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12.75" customHeight="1">
      <c r="A11" s="183"/>
      <c r="B11" s="184" t="s">
        <v>291</v>
      </c>
      <c r="C11" s="177" t="s">
        <v>165</v>
      </c>
      <c r="D11" s="178" t="e">
        <f>VLOOKUP(CONCATENATE($C$1,C11),$A$18:$B$56,2,FALSE)</f>
        <v>#N/A</v>
      </c>
      <c r="E11" s="185" t="e">
        <f t="shared" si="0"/>
        <v>#N/A</v>
      </c>
      <c r="F11" s="18"/>
      <c r="G11" s="18"/>
      <c r="H11" s="18" t="s">
        <v>292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12.75" customHeight="1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12.7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53"/>
      <c r="Y13" s="18"/>
      <c r="Z13" s="18"/>
    </row>
    <row r="14" spans="1:26" ht="12.75" customHeight="1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53" t="s">
        <v>293</v>
      </c>
      <c r="Y14" s="18"/>
      <c r="Z14" s="18"/>
    </row>
    <row r="15" spans="1:26" ht="12.75" customHeight="1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53" t="s">
        <v>294</v>
      </c>
      <c r="Q15" s="18"/>
      <c r="R15" s="18"/>
      <c r="S15" s="18"/>
      <c r="T15" s="18"/>
      <c r="U15" s="18"/>
      <c r="V15" s="18"/>
      <c r="W15" s="18"/>
      <c r="X15" s="153" t="s">
        <v>295</v>
      </c>
      <c r="Y15" s="18"/>
      <c r="Z15" s="18"/>
    </row>
    <row r="16" spans="1:26" ht="12.75" customHeight="1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12.75" customHeight="1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6"/>
      <c r="N17" s="156" t="s">
        <v>15</v>
      </c>
      <c r="O17" s="156" t="s">
        <v>159</v>
      </c>
      <c r="P17" s="156" t="s">
        <v>160</v>
      </c>
      <c r="Q17" s="156" t="s">
        <v>182</v>
      </c>
      <c r="R17" s="156" t="s">
        <v>182</v>
      </c>
      <c r="S17" s="18"/>
      <c r="T17" s="18"/>
      <c r="U17" s="18"/>
      <c r="V17" s="156" t="s">
        <v>15</v>
      </c>
      <c r="W17" s="156" t="s">
        <v>159</v>
      </c>
      <c r="X17" s="156" t="s">
        <v>160</v>
      </c>
      <c r="Y17" s="156" t="s">
        <v>182</v>
      </c>
      <c r="Z17" s="156" t="s">
        <v>182</v>
      </c>
    </row>
    <row r="18" spans="1:26" ht="12.75" customHeight="1">
      <c r="A18" s="156" t="s">
        <v>183</v>
      </c>
      <c r="B18" s="156" t="s">
        <v>184</v>
      </c>
      <c r="C18" s="187"/>
      <c r="D18" s="150" t="s">
        <v>185</v>
      </c>
      <c r="E18" s="18"/>
      <c r="F18" s="18"/>
      <c r="G18" s="18"/>
      <c r="H18" s="18"/>
      <c r="I18" s="18"/>
      <c r="J18" s="18"/>
      <c r="K18" s="18"/>
      <c r="L18" s="18"/>
      <c r="M18" s="18"/>
      <c r="N18" s="162" t="s">
        <v>186</v>
      </c>
      <c r="O18" s="162" t="s">
        <v>153</v>
      </c>
      <c r="P18" s="162" t="s">
        <v>153</v>
      </c>
      <c r="Q18" s="162" t="s">
        <v>155</v>
      </c>
      <c r="R18" s="162" t="s">
        <v>156</v>
      </c>
      <c r="S18" s="18"/>
      <c r="T18" s="18"/>
      <c r="U18" s="18"/>
      <c r="V18" s="162" t="s">
        <v>186</v>
      </c>
      <c r="W18" s="162" t="s">
        <v>153</v>
      </c>
      <c r="X18" s="162" t="s">
        <v>153</v>
      </c>
      <c r="Y18" s="162" t="s">
        <v>155</v>
      </c>
      <c r="Z18" s="162" t="s">
        <v>156</v>
      </c>
    </row>
    <row r="19" spans="1:26" ht="12.75" customHeight="1">
      <c r="A19" s="188"/>
      <c r="B19" s="162" t="s">
        <v>153</v>
      </c>
      <c r="C19" s="18"/>
      <c r="D19" s="187"/>
      <c r="E19" s="158" t="s">
        <v>296</v>
      </c>
      <c r="F19" s="189">
        <f>$D$6</f>
        <v>0</v>
      </c>
      <c r="G19" s="153" t="s">
        <v>132</v>
      </c>
      <c r="H19" s="187" t="e">
        <f>2*$D$7</f>
        <v>#N/A</v>
      </c>
      <c r="I19" s="187" t="s">
        <v>189</v>
      </c>
      <c r="J19" s="190" t="e">
        <f>$F$19-$H$19</f>
        <v>#N/A</v>
      </c>
      <c r="K19" s="154" t="s">
        <v>297</v>
      </c>
      <c r="L19" s="18"/>
      <c r="M19" s="18"/>
      <c r="N19" s="166">
        <v>1099</v>
      </c>
      <c r="O19" s="191">
        <f t="shared" ref="O19:O197" si="1">IF(N19-$P$6-($Q$6*R19)&gt;$S$6,N19-$P$6-($Q$6*R19)-40,0)</f>
        <v>802</v>
      </c>
      <c r="P19" s="191">
        <f t="shared" ref="P19:P197" si="2">N19-$P$6-($Q$6*R19)-O19</f>
        <v>40</v>
      </c>
      <c r="Q19" s="191">
        <f t="shared" ref="Q19:Q197" si="3">ROUNDUP((N19/$Q$6),0)-IF(N19-$P$6-($Q$6*(ROUNDUP((N19/$Q$6),0)-1))&lt;0,1,0)+IF(O19&lt;&gt;0,1,0)</f>
        <v>2</v>
      </c>
      <c r="R19" s="192">
        <f t="shared" ref="R19:R197" si="4">ROUNDUP((N19/$Q$6),0)-IF(N19-$P$6-($Q$6*(ROUNDUP((N19/$Q$6),0)-1))&lt;0,2,1)</f>
        <v>0</v>
      </c>
      <c r="S19" s="18"/>
      <c r="T19" s="18"/>
      <c r="U19" s="18"/>
      <c r="V19" s="193">
        <f>101.6*14</f>
        <v>1422.3999999999999</v>
      </c>
      <c r="W19" s="191">
        <f t="shared" ref="W19:W202" si="5">IF(V19-$P$7-($Q$7*Z19)&gt;$S$7,V19-$P$7-($Q$7*Z19)-149,0)</f>
        <v>0</v>
      </c>
      <c r="X19" s="191">
        <f t="shared" ref="X19:X202" si="6">V19-$P$7-($Q$7*Z19)-W19</f>
        <v>47.399999999999864</v>
      </c>
      <c r="Y19" s="191">
        <f t="shared" ref="Y19:Y202" si="7">ROUNDUP((V19/$Q$7),0)-IF(V19-$P$7-($Q$7*(ROUNDUP((V19/$Q$7),0)-1))&lt;0,1,0)+IF(W19&lt;&gt;0,1,0)</f>
        <v>2</v>
      </c>
      <c r="Z19" s="192">
        <f t="shared" ref="Z19:Z202" si="8">ROUNDUP((V19/$Q$7),0)-IF(V19-$P$7-($Q$7*(ROUNDUP((V19/$Q$7),0)-1))&lt;0,2,1)</f>
        <v>1</v>
      </c>
    </row>
    <row r="20" spans="1:26" ht="12.75" customHeight="1">
      <c r="A20" s="166" t="s">
        <v>298</v>
      </c>
      <c r="B20" s="194">
        <v>76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73">
        <v>1132</v>
      </c>
      <c r="O20" s="195">
        <f t="shared" si="1"/>
        <v>835</v>
      </c>
      <c r="P20" s="195">
        <f t="shared" si="2"/>
        <v>40</v>
      </c>
      <c r="Q20" s="195">
        <f t="shared" si="3"/>
        <v>2</v>
      </c>
      <c r="R20" s="196">
        <f t="shared" si="4"/>
        <v>0</v>
      </c>
      <c r="S20" s="18"/>
      <c r="T20" s="18"/>
      <c r="U20" s="18"/>
      <c r="V20" s="197">
        <f t="shared" ref="V20:V202" si="9">V19+101.6</f>
        <v>1523.9999999999998</v>
      </c>
      <c r="W20" s="195">
        <f t="shared" si="5"/>
        <v>0</v>
      </c>
      <c r="X20" s="195">
        <f t="shared" si="6"/>
        <v>148.99999999999977</v>
      </c>
      <c r="Y20" s="195">
        <f t="shared" si="7"/>
        <v>2</v>
      </c>
      <c r="Z20" s="196">
        <f t="shared" si="8"/>
        <v>1</v>
      </c>
    </row>
    <row r="21" spans="1:26" ht="12.75" customHeight="1">
      <c r="A21" s="173" t="s">
        <v>299</v>
      </c>
      <c r="B21" s="198">
        <v>25</v>
      </c>
      <c r="C21" s="18"/>
      <c r="D21" s="150" t="s">
        <v>192</v>
      </c>
      <c r="E21" s="18"/>
      <c r="F21" s="18"/>
      <c r="G21" s="18"/>
      <c r="H21" s="18"/>
      <c r="I21" s="18"/>
      <c r="J21" s="18"/>
      <c r="K21" s="18"/>
      <c r="L21" s="18"/>
      <c r="M21" s="18"/>
      <c r="N21" s="173">
        <v>1166</v>
      </c>
      <c r="O21" s="195">
        <f t="shared" si="1"/>
        <v>869</v>
      </c>
      <c r="P21" s="195">
        <f t="shared" si="2"/>
        <v>40</v>
      </c>
      <c r="Q21" s="195">
        <f t="shared" si="3"/>
        <v>2</v>
      </c>
      <c r="R21" s="196">
        <f t="shared" si="4"/>
        <v>0</v>
      </c>
      <c r="S21" s="18"/>
      <c r="T21" s="18"/>
      <c r="U21" s="18"/>
      <c r="V21" s="197">
        <f t="shared" si="9"/>
        <v>1625.5999999999997</v>
      </c>
      <c r="W21" s="195">
        <f t="shared" si="5"/>
        <v>0</v>
      </c>
      <c r="X21" s="195">
        <f t="shared" si="6"/>
        <v>250.59999999999968</v>
      </c>
      <c r="Y21" s="195">
        <f t="shared" si="7"/>
        <v>2</v>
      </c>
      <c r="Z21" s="196">
        <f t="shared" si="8"/>
        <v>1</v>
      </c>
    </row>
    <row r="22" spans="1:26" ht="12.75" customHeight="1">
      <c r="A22" s="173" t="s">
        <v>300</v>
      </c>
      <c r="B22" s="198">
        <v>3.2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73">
        <v>1199</v>
      </c>
      <c r="O22" s="195">
        <f t="shared" si="1"/>
        <v>902</v>
      </c>
      <c r="P22" s="195">
        <f t="shared" si="2"/>
        <v>40</v>
      </c>
      <c r="Q22" s="195">
        <f t="shared" si="3"/>
        <v>2</v>
      </c>
      <c r="R22" s="196">
        <f t="shared" si="4"/>
        <v>0</v>
      </c>
      <c r="S22" s="18"/>
      <c r="T22" s="18"/>
      <c r="U22" s="18"/>
      <c r="V22" s="197">
        <f t="shared" si="9"/>
        <v>1727.1999999999996</v>
      </c>
      <c r="W22" s="195">
        <f t="shared" si="5"/>
        <v>0</v>
      </c>
      <c r="X22" s="195">
        <f t="shared" si="6"/>
        <v>352.19999999999959</v>
      </c>
      <c r="Y22" s="195">
        <f t="shared" si="7"/>
        <v>2</v>
      </c>
      <c r="Z22" s="196">
        <f t="shared" si="8"/>
        <v>1</v>
      </c>
    </row>
    <row r="23" spans="1:26" ht="12.75" customHeight="1">
      <c r="A23" s="173" t="s">
        <v>301</v>
      </c>
      <c r="B23" s="198">
        <v>3.2</v>
      </c>
      <c r="C23" s="18"/>
      <c r="D23" s="18"/>
      <c r="E23" s="158" t="s">
        <v>302</v>
      </c>
      <c r="F23" s="187" t="e">
        <f>($D$6-($D$11+$D$11+$D$9))^2</f>
        <v>#N/A</v>
      </c>
      <c r="G23" s="187" t="s">
        <v>196</v>
      </c>
      <c r="H23" s="187" t="e">
        <f>($D$8-(2*$D$10))^2</f>
        <v>#N/A</v>
      </c>
      <c r="I23" s="187" t="s">
        <v>189</v>
      </c>
      <c r="J23" s="199" t="e">
        <f>SQRT($F$23+$H$23)</f>
        <v>#N/A</v>
      </c>
      <c r="K23" s="154" t="s">
        <v>140</v>
      </c>
      <c r="L23" s="18"/>
      <c r="M23" s="18"/>
      <c r="N23" s="173">
        <v>1232</v>
      </c>
      <c r="O23" s="195">
        <f t="shared" si="1"/>
        <v>935</v>
      </c>
      <c r="P23" s="195">
        <f t="shared" si="2"/>
        <v>40</v>
      </c>
      <c r="Q23" s="195">
        <f t="shared" si="3"/>
        <v>2</v>
      </c>
      <c r="R23" s="196">
        <f t="shared" si="4"/>
        <v>0</v>
      </c>
      <c r="S23" s="18"/>
      <c r="T23" s="18"/>
      <c r="U23" s="18"/>
      <c r="V23" s="197">
        <f t="shared" si="9"/>
        <v>1828.7999999999995</v>
      </c>
      <c r="W23" s="195">
        <f t="shared" si="5"/>
        <v>304.7999999999995</v>
      </c>
      <c r="X23" s="195">
        <f t="shared" si="6"/>
        <v>149</v>
      </c>
      <c r="Y23" s="195">
        <f t="shared" si="7"/>
        <v>3</v>
      </c>
      <c r="Z23" s="196">
        <f t="shared" si="8"/>
        <v>1</v>
      </c>
    </row>
    <row r="24" spans="1:26" ht="12.75" customHeight="1">
      <c r="A24" s="173" t="s">
        <v>303</v>
      </c>
      <c r="B24" s="198">
        <v>1118</v>
      </c>
      <c r="C24" s="18"/>
      <c r="D24" s="18"/>
      <c r="E24" s="18"/>
      <c r="F24" s="18"/>
      <c r="G24" s="18"/>
      <c r="H24" s="18"/>
      <c r="I24" s="18"/>
      <c r="J24" s="18"/>
      <c r="K24" s="200"/>
      <c r="L24" s="18"/>
      <c r="M24" s="18"/>
      <c r="N24" s="173">
        <v>1266</v>
      </c>
      <c r="O24" s="195">
        <f t="shared" si="1"/>
        <v>969</v>
      </c>
      <c r="P24" s="195">
        <f t="shared" si="2"/>
        <v>40</v>
      </c>
      <c r="Q24" s="195">
        <f t="shared" si="3"/>
        <v>2</v>
      </c>
      <c r="R24" s="196">
        <f t="shared" si="4"/>
        <v>0</v>
      </c>
      <c r="S24" s="18"/>
      <c r="T24" s="18"/>
      <c r="U24" s="18"/>
      <c r="V24" s="197">
        <f t="shared" si="9"/>
        <v>1930.3999999999994</v>
      </c>
      <c r="W24" s="195">
        <f t="shared" si="5"/>
        <v>406.39999999999941</v>
      </c>
      <c r="X24" s="195">
        <f t="shared" si="6"/>
        <v>149</v>
      </c>
      <c r="Y24" s="195">
        <f t="shared" si="7"/>
        <v>3</v>
      </c>
      <c r="Z24" s="196">
        <f t="shared" si="8"/>
        <v>1</v>
      </c>
    </row>
    <row r="25" spans="1:26" ht="12.75" customHeight="1">
      <c r="A25" s="173" t="s">
        <v>304</v>
      </c>
      <c r="B25" s="198">
        <v>5.21</v>
      </c>
      <c r="C25" s="187"/>
      <c r="D25" s="187"/>
      <c r="E25" s="18"/>
      <c r="F25" s="18"/>
      <c r="G25" s="18"/>
      <c r="H25" s="18"/>
      <c r="I25" s="18"/>
      <c r="J25" s="18"/>
      <c r="K25" s="18"/>
      <c r="L25" s="18"/>
      <c r="M25" s="18"/>
      <c r="N25" s="173">
        <v>1299</v>
      </c>
      <c r="O25" s="195">
        <f t="shared" si="1"/>
        <v>1002</v>
      </c>
      <c r="P25" s="195">
        <f t="shared" si="2"/>
        <v>40</v>
      </c>
      <c r="Q25" s="195">
        <f t="shared" si="3"/>
        <v>2</v>
      </c>
      <c r="R25" s="196">
        <f t="shared" si="4"/>
        <v>0</v>
      </c>
      <c r="S25" s="18"/>
      <c r="T25" s="18"/>
      <c r="U25" s="18"/>
      <c r="V25" s="197">
        <f t="shared" si="9"/>
        <v>2031.9999999999993</v>
      </c>
      <c r="W25" s="195">
        <f t="shared" si="5"/>
        <v>507.99999999999932</v>
      </c>
      <c r="X25" s="195">
        <f t="shared" si="6"/>
        <v>149</v>
      </c>
      <c r="Y25" s="195">
        <f t="shared" si="7"/>
        <v>3</v>
      </c>
      <c r="Z25" s="196">
        <f t="shared" si="8"/>
        <v>1</v>
      </c>
    </row>
    <row r="26" spans="1:26" ht="12.75" customHeight="1">
      <c r="A26" s="201" t="s">
        <v>305</v>
      </c>
      <c r="B26" s="202">
        <v>1</v>
      </c>
      <c r="C26" s="187"/>
      <c r="D26" s="150" t="s">
        <v>200</v>
      </c>
      <c r="E26" s="203" t="str">
        <f>$C$1</f>
        <v>ZM2</v>
      </c>
      <c r="F26" s="200"/>
      <c r="G26" s="18"/>
      <c r="H26" s="18"/>
      <c r="I26" s="18"/>
      <c r="J26" s="18"/>
      <c r="K26" s="18"/>
      <c r="L26" s="18"/>
      <c r="M26" s="18"/>
      <c r="N26" s="173">
        <v>1332</v>
      </c>
      <c r="O26" s="195">
        <f t="shared" si="1"/>
        <v>1035</v>
      </c>
      <c r="P26" s="195">
        <f t="shared" si="2"/>
        <v>40</v>
      </c>
      <c r="Q26" s="195">
        <f t="shared" si="3"/>
        <v>2</v>
      </c>
      <c r="R26" s="196">
        <f t="shared" si="4"/>
        <v>0</v>
      </c>
      <c r="S26" s="18"/>
      <c r="T26" s="18"/>
      <c r="U26" s="18"/>
      <c r="V26" s="197">
        <f t="shared" si="9"/>
        <v>2133.5999999999995</v>
      </c>
      <c r="W26" s="195">
        <f t="shared" si="5"/>
        <v>609.59999999999945</v>
      </c>
      <c r="X26" s="195">
        <f t="shared" si="6"/>
        <v>149</v>
      </c>
      <c r="Y26" s="195">
        <f t="shared" si="7"/>
        <v>3</v>
      </c>
      <c r="Z26" s="196">
        <f t="shared" si="8"/>
        <v>1</v>
      </c>
    </row>
    <row r="27" spans="1:26" ht="12.75" customHeight="1">
      <c r="A27" s="201" t="s">
        <v>306</v>
      </c>
      <c r="B27" s="202">
        <v>1.83</v>
      </c>
      <c r="C27" s="187"/>
      <c r="D27" s="187"/>
      <c r="E27" s="187"/>
      <c r="F27" s="187"/>
      <c r="G27" s="18"/>
      <c r="H27" s="18"/>
      <c r="I27" s="18"/>
      <c r="J27" s="18"/>
      <c r="K27" s="18"/>
      <c r="L27" s="18"/>
      <c r="M27" s="18"/>
      <c r="N27" s="173">
        <v>1365</v>
      </c>
      <c r="O27" s="195">
        <f t="shared" si="1"/>
        <v>1068</v>
      </c>
      <c r="P27" s="195">
        <f t="shared" si="2"/>
        <v>40</v>
      </c>
      <c r="Q27" s="195">
        <f t="shared" si="3"/>
        <v>2</v>
      </c>
      <c r="R27" s="196">
        <f t="shared" si="4"/>
        <v>0</v>
      </c>
      <c r="S27" s="18"/>
      <c r="T27" s="18"/>
      <c r="U27" s="18"/>
      <c r="V27" s="197">
        <f t="shared" si="9"/>
        <v>2235.1999999999994</v>
      </c>
      <c r="W27" s="195">
        <f t="shared" si="5"/>
        <v>711.19999999999936</v>
      </c>
      <c r="X27" s="195">
        <f t="shared" si="6"/>
        <v>149</v>
      </c>
      <c r="Y27" s="195">
        <f t="shared" si="7"/>
        <v>3</v>
      </c>
      <c r="Z27" s="196">
        <f t="shared" si="8"/>
        <v>1</v>
      </c>
    </row>
    <row r="28" spans="1:26" ht="12.75" customHeight="1">
      <c r="A28" s="204" t="s">
        <v>307</v>
      </c>
      <c r="B28" s="205">
        <v>1.83</v>
      </c>
      <c r="C28" s="187"/>
      <c r="D28" s="158" t="s">
        <v>32</v>
      </c>
      <c r="E28" s="206" t="s">
        <v>203</v>
      </c>
      <c r="F28" s="207" t="e">
        <f>VLOOKUP(CONCATENATE($E$26,D28),$A$18:$B$56,2,FALSE)</f>
        <v>#N/A</v>
      </c>
      <c r="G28" s="187" t="s">
        <v>189</v>
      </c>
      <c r="H28" s="208" t="e">
        <f>2*$F$28*($C$2/1000)</f>
        <v>#N/A</v>
      </c>
      <c r="I28" s="154" t="s">
        <v>204</v>
      </c>
      <c r="J28" s="18"/>
      <c r="K28" s="207" t="e">
        <f>VLOOKUP(CONCATENATE($E$26,D28),$A$18:$B$56,2,FALSE)</f>
        <v>#N/A</v>
      </c>
      <c r="L28" s="187" t="s">
        <v>189</v>
      </c>
      <c r="M28" s="208" t="e">
        <f>2*$F$28*($C$4/1000)</f>
        <v>#N/A</v>
      </c>
      <c r="N28" s="173">
        <v>1399</v>
      </c>
      <c r="O28" s="195">
        <f t="shared" si="1"/>
        <v>0</v>
      </c>
      <c r="P28" s="195">
        <f t="shared" si="2"/>
        <v>24</v>
      </c>
      <c r="Q28" s="195">
        <f t="shared" si="3"/>
        <v>2</v>
      </c>
      <c r="R28" s="196">
        <f t="shared" si="4"/>
        <v>1</v>
      </c>
      <c r="S28" s="18"/>
      <c r="T28" s="18"/>
      <c r="U28" s="18"/>
      <c r="V28" s="197">
        <f t="shared" si="9"/>
        <v>2336.7999999999993</v>
      </c>
      <c r="W28" s="195">
        <f t="shared" si="5"/>
        <v>812.79999999999927</v>
      </c>
      <c r="X28" s="195">
        <f t="shared" si="6"/>
        <v>149</v>
      </c>
      <c r="Y28" s="195">
        <f t="shared" si="7"/>
        <v>3</v>
      </c>
      <c r="Z28" s="196">
        <f t="shared" si="8"/>
        <v>1</v>
      </c>
    </row>
    <row r="29" spans="1:26" ht="12.75" customHeight="1">
      <c r="A29" s="166" t="s">
        <v>308</v>
      </c>
      <c r="B29" s="194">
        <v>76</v>
      </c>
      <c r="C29" s="18"/>
      <c r="D29" s="158" t="s">
        <v>206</v>
      </c>
      <c r="E29" s="206" t="s">
        <v>207</v>
      </c>
      <c r="F29" s="207">
        <v>1</v>
      </c>
      <c r="G29" s="187" t="s">
        <v>189</v>
      </c>
      <c r="H29" s="208">
        <f>2*$F$29</f>
        <v>2</v>
      </c>
      <c r="I29" s="154" t="s">
        <v>204</v>
      </c>
      <c r="J29" s="18"/>
      <c r="K29" s="18"/>
      <c r="L29" s="18"/>
      <c r="M29" s="18"/>
      <c r="N29" s="173">
        <v>1432</v>
      </c>
      <c r="O29" s="195">
        <f t="shared" si="1"/>
        <v>0</v>
      </c>
      <c r="P29" s="195">
        <f t="shared" si="2"/>
        <v>57</v>
      </c>
      <c r="Q29" s="195">
        <f t="shared" si="3"/>
        <v>2</v>
      </c>
      <c r="R29" s="196">
        <f t="shared" si="4"/>
        <v>1</v>
      </c>
      <c r="S29" s="18"/>
      <c r="T29" s="18"/>
      <c r="U29" s="18"/>
      <c r="V29" s="197">
        <f t="shared" si="9"/>
        <v>2438.3999999999992</v>
      </c>
      <c r="W29" s="195">
        <f t="shared" si="5"/>
        <v>914.39999999999918</v>
      </c>
      <c r="X29" s="195">
        <f t="shared" si="6"/>
        <v>149</v>
      </c>
      <c r="Y29" s="195">
        <f t="shared" si="7"/>
        <v>3</v>
      </c>
      <c r="Z29" s="196">
        <f t="shared" si="8"/>
        <v>1</v>
      </c>
    </row>
    <row r="30" spans="1:26" ht="12.75" customHeight="1">
      <c r="A30" s="173" t="s">
        <v>309</v>
      </c>
      <c r="B30" s="198">
        <v>25</v>
      </c>
      <c r="C30" s="18"/>
      <c r="D30" s="158" t="s">
        <v>155</v>
      </c>
      <c r="E30" s="206" t="s">
        <v>209</v>
      </c>
      <c r="F30" s="207" t="e">
        <f>VLOOKUP(CONCATENATE($E$26,D30),$A$18:$B$56,2,FALSE)</f>
        <v>#N/A</v>
      </c>
      <c r="G30" s="187" t="s">
        <v>189</v>
      </c>
      <c r="H30" s="209" t="e">
        <f>($F$30*($J$19/1000))*VLOOKUP(C2,IF(E26="M50",N19:R197,V19:Z202),4,1)</f>
        <v>#N/A</v>
      </c>
      <c r="I30" s="154" t="s">
        <v>204</v>
      </c>
      <c r="J30" s="18"/>
      <c r="K30" s="210">
        <f>VLOOKUP(C2,IF(E26="M50",N19:R197,V19:Z192),4,1)</f>
        <v>4</v>
      </c>
      <c r="L30" s="18"/>
      <c r="M30" s="18"/>
      <c r="N30" s="173">
        <v>1465</v>
      </c>
      <c r="O30" s="195">
        <f t="shared" si="1"/>
        <v>0</v>
      </c>
      <c r="P30" s="195">
        <f t="shared" si="2"/>
        <v>90</v>
      </c>
      <c r="Q30" s="195">
        <f t="shared" si="3"/>
        <v>2</v>
      </c>
      <c r="R30" s="196">
        <f t="shared" si="4"/>
        <v>1</v>
      </c>
      <c r="S30" s="18"/>
      <c r="T30" s="18"/>
      <c r="U30" s="18"/>
      <c r="V30" s="197">
        <f t="shared" si="9"/>
        <v>2539.9999999999991</v>
      </c>
      <c r="W30" s="195">
        <f t="shared" si="5"/>
        <v>0</v>
      </c>
      <c r="X30" s="195">
        <f t="shared" si="6"/>
        <v>46.999999999999091</v>
      </c>
      <c r="Y30" s="195">
        <f t="shared" si="7"/>
        <v>3</v>
      </c>
      <c r="Z30" s="196">
        <f t="shared" si="8"/>
        <v>2</v>
      </c>
    </row>
    <row r="31" spans="1:26" ht="12.75" customHeight="1">
      <c r="A31" s="173" t="s">
        <v>310</v>
      </c>
      <c r="B31" s="198">
        <v>3.2</v>
      </c>
      <c r="C31" s="18"/>
      <c r="D31" s="158" t="s">
        <v>156</v>
      </c>
      <c r="E31" s="206" t="s">
        <v>211</v>
      </c>
      <c r="F31" s="207" t="e">
        <f>VLOOKUP(CONCATENATE($E$26,D31),$A$18:$B$56,2,FALSE)</f>
        <v>#N/A</v>
      </c>
      <c r="G31" s="187" t="s">
        <v>189</v>
      </c>
      <c r="H31" s="209" t="e">
        <f>($F$31*($J$23/1000))*VLOOKUP(C2,IF(E26="M50",N19:R197,V19:Z202),5,1)</f>
        <v>#N/A</v>
      </c>
      <c r="I31" s="154" t="s">
        <v>204</v>
      </c>
      <c r="J31" s="18"/>
      <c r="K31" s="210">
        <f>VLOOKUP(C2,IF(E26="M50",N19:R197,V19:Z192),5,1)</f>
        <v>2</v>
      </c>
      <c r="L31" s="18"/>
      <c r="M31" s="18"/>
      <c r="N31" s="173">
        <v>1499</v>
      </c>
      <c r="O31" s="195">
        <f t="shared" si="1"/>
        <v>0</v>
      </c>
      <c r="P31" s="195">
        <f t="shared" si="2"/>
        <v>124</v>
      </c>
      <c r="Q31" s="195">
        <f t="shared" si="3"/>
        <v>2</v>
      </c>
      <c r="R31" s="196">
        <f t="shared" si="4"/>
        <v>1</v>
      </c>
      <c r="S31" s="18"/>
      <c r="T31" s="18"/>
      <c r="U31" s="18"/>
      <c r="V31" s="197">
        <f t="shared" si="9"/>
        <v>2641.599999999999</v>
      </c>
      <c r="W31" s="195">
        <f t="shared" si="5"/>
        <v>0</v>
      </c>
      <c r="X31" s="195">
        <f t="shared" si="6"/>
        <v>148.599999999999</v>
      </c>
      <c r="Y31" s="195">
        <f t="shared" si="7"/>
        <v>3</v>
      </c>
      <c r="Z31" s="196">
        <f t="shared" si="8"/>
        <v>2</v>
      </c>
    </row>
    <row r="32" spans="1:26" ht="12.75" customHeight="1">
      <c r="A32" s="173" t="s">
        <v>311</v>
      </c>
      <c r="B32" s="198">
        <v>4.3</v>
      </c>
      <c r="C32" s="18"/>
      <c r="D32" s="158"/>
      <c r="E32" s="211"/>
      <c r="F32" s="18"/>
      <c r="G32" s="187"/>
      <c r="H32" s="18"/>
      <c r="I32" s="18"/>
      <c r="J32" s="200"/>
      <c r="K32" s="200"/>
      <c r="L32" s="200"/>
      <c r="M32" s="18"/>
      <c r="N32" s="173">
        <v>1532</v>
      </c>
      <c r="O32" s="195">
        <f t="shared" si="1"/>
        <v>0</v>
      </c>
      <c r="P32" s="195">
        <f t="shared" si="2"/>
        <v>157</v>
      </c>
      <c r="Q32" s="195">
        <f t="shared" si="3"/>
        <v>2</v>
      </c>
      <c r="R32" s="196">
        <f t="shared" si="4"/>
        <v>1</v>
      </c>
      <c r="S32" s="18"/>
      <c r="T32" s="18"/>
      <c r="U32" s="18"/>
      <c r="V32" s="197">
        <f t="shared" si="9"/>
        <v>2743.1999999999989</v>
      </c>
      <c r="W32" s="195">
        <f t="shared" si="5"/>
        <v>0</v>
      </c>
      <c r="X32" s="195">
        <f t="shared" si="6"/>
        <v>250.19999999999891</v>
      </c>
      <c r="Y32" s="195">
        <f t="shared" si="7"/>
        <v>3</v>
      </c>
      <c r="Z32" s="196">
        <f t="shared" si="8"/>
        <v>2</v>
      </c>
    </row>
    <row r="33" spans="1:26" ht="12.75" customHeight="1">
      <c r="A33" s="173" t="s">
        <v>312</v>
      </c>
      <c r="B33" s="198">
        <v>1118</v>
      </c>
      <c r="C33" s="18"/>
      <c r="D33" s="158"/>
      <c r="E33" s="212"/>
      <c r="F33" s="213"/>
      <c r="G33" s="214" t="s">
        <v>313</v>
      </c>
      <c r="H33" s="215" t="e">
        <f>SUM($H$28:$H$32)</f>
        <v>#N/A</v>
      </c>
      <c r="I33" s="216" t="s">
        <v>204</v>
      </c>
      <c r="J33" s="217" t="e">
        <f>+H33+M28</f>
        <v>#N/A</v>
      </c>
      <c r="K33" s="18"/>
      <c r="L33" s="18"/>
      <c r="M33" s="18"/>
      <c r="N33" s="173">
        <v>1565</v>
      </c>
      <c r="O33" s="195">
        <f t="shared" si="1"/>
        <v>0</v>
      </c>
      <c r="P33" s="195">
        <f t="shared" si="2"/>
        <v>190</v>
      </c>
      <c r="Q33" s="195">
        <f t="shared" si="3"/>
        <v>2</v>
      </c>
      <c r="R33" s="196">
        <f t="shared" si="4"/>
        <v>1</v>
      </c>
      <c r="S33" s="18"/>
      <c r="T33" s="18"/>
      <c r="U33" s="18"/>
      <c r="V33" s="197">
        <f t="shared" si="9"/>
        <v>2844.7999999999988</v>
      </c>
      <c r="W33" s="195">
        <f t="shared" si="5"/>
        <v>0</v>
      </c>
      <c r="X33" s="195">
        <f t="shared" si="6"/>
        <v>351.79999999999882</v>
      </c>
      <c r="Y33" s="195">
        <f t="shared" si="7"/>
        <v>3</v>
      </c>
      <c r="Z33" s="196">
        <f t="shared" si="8"/>
        <v>2</v>
      </c>
    </row>
    <row r="34" spans="1:26" ht="12.75" customHeight="1">
      <c r="A34" s="173" t="s">
        <v>314</v>
      </c>
      <c r="B34" s="198">
        <v>6.1</v>
      </c>
      <c r="C34" s="18"/>
      <c r="D34" s="158"/>
      <c r="E34" s="212"/>
      <c r="F34" s="213"/>
      <c r="G34" s="214" t="s">
        <v>315</v>
      </c>
      <c r="H34" s="215" t="e">
        <f>SUM($H$28:$H$32)</f>
        <v>#N/A</v>
      </c>
      <c r="I34" s="216" t="s">
        <v>204</v>
      </c>
      <c r="J34" s="217" t="e">
        <f>+H28/2+M28/2+1</f>
        <v>#N/A</v>
      </c>
      <c r="K34" s="18"/>
      <c r="L34" s="18"/>
      <c r="M34" s="18"/>
      <c r="N34" s="173">
        <v>1599</v>
      </c>
      <c r="O34" s="195">
        <f t="shared" si="1"/>
        <v>0</v>
      </c>
      <c r="P34" s="195">
        <f t="shared" si="2"/>
        <v>224</v>
      </c>
      <c r="Q34" s="195">
        <f t="shared" si="3"/>
        <v>2</v>
      </c>
      <c r="R34" s="196">
        <f t="shared" si="4"/>
        <v>1</v>
      </c>
      <c r="S34" s="18"/>
      <c r="T34" s="18"/>
      <c r="U34" s="18"/>
      <c r="V34" s="197">
        <f t="shared" si="9"/>
        <v>2946.3999999999987</v>
      </c>
      <c r="W34" s="195">
        <f t="shared" si="5"/>
        <v>304.39999999999873</v>
      </c>
      <c r="X34" s="195">
        <f t="shared" si="6"/>
        <v>149</v>
      </c>
      <c r="Y34" s="195">
        <f t="shared" si="7"/>
        <v>4</v>
      </c>
      <c r="Z34" s="196">
        <f t="shared" si="8"/>
        <v>2</v>
      </c>
    </row>
    <row r="35" spans="1:26" ht="12.75" customHeight="1">
      <c r="A35" s="201" t="s">
        <v>316</v>
      </c>
      <c r="B35" s="202">
        <v>1</v>
      </c>
      <c r="C35" s="18"/>
      <c r="D35" s="158"/>
      <c r="E35" s="18"/>
      <c r="F35" s="18"/>
      <c r="G35" s="18"/>
      <c r="H35" s="18"/>
      <c r="I35" s="18"/>
      <c r="J35" s="18"/>
      <c r="K35" s="18"/>
      <c r="L35" s="18"/>
      <c r="M35" s="18"/>
      <c r="N35" s="173">
        <v>1632</v>
      </c>
      <c r="O35" s="195">
        <f t="shared" si="1"/>
        <v>0</v>
      </c>
      <c r="P35" s="195">
        <f t="shared" si="2"/>
        <v>257</v>
      </c>
      <c r="Q35" s="195">
        <f t="shared" si="3"/>
        <v>2</v>
      </c>
      <c r="R35" s="196">
        <f t="shared" si="4"/>
        <v>1</v>
      </c>
      <c r="S35" s="18"/>
      <c r="T35" s="18"/>
      <c r="U35" s="18"/>
      <c r="V35" s="197">
        <f t="shared" si="9"/>
        <v>3047.9999999999986</v>
      </c>
      <c r="W35" s="195">
        <f t="shared" si="5"/>
        <v>405.99999999999864</v>
      </c>
      <c r="X35" s="195">
        <f t="shared" si="6"/>
        <v>149</v>
      </c>
      <c r="Y35" s="195">
        <f t="shared" si="7"/>
        <v>4</v>
      </c>
      <c r="Z35" s="196">
        <f t="shared" si="8"/>
        <v>2</v>
      </c>
    </row>
    <row r="36" spans="1:26" ht="12.75" customHeight="1">
      <c r="A36" s="201" t="s">
        <v>317</v>
      </c>
      <c r="B36" s="202">
        <v>1.83</v>
      </c>
      <c r="C36" s="18"/>
      <c r="D36" s="152" t="s">
        <v>220</v>
      </c>
      <c r="E36" s="18"/>
      <c r="F36" s="18"/>
      <c r="G36" s="18"/>
      <c r="H36" s="18"/>
      <c r="I36" s="18"/>
      <c r="J36" s="18"/>
      <c r="K36" s="18"/>
      <c r="L36" s="18"/>
      <c r="M36" s="18"/>
      <c r="N36" s="173">
        <v>1665</v>
      </c>
      <c r="O36" s="195">
        <f t="shared" si="1"/>
        <v>0</v>
      </c>
      <c r="P36" s="195">
        <f t="shared" si="2"/>
        <v>290</v>
      </c>
      <c r="Q36" s="195">
        <f t="shared" si="3"/>
        <v>2</v>
      </c>
      <c r="R36" s="196">
        <f t="shared" si="4"/>
        <v>1</v>
      </c>
      <c r="S36" s="18"/>
      <c r="T36" s="18"/>
      <c r="U36" s="18"/>
      <c r="V36" s="197">
        <f t="shared" si="9"/>
        <v>3149.5999999999985</v>
      </c>
      <c r="W36" s="195">
        <f t="shared" si="5"/>
        <v>507.59999999999854</v>
      </c>
      <c r="X36" s="195">
        <f t="shared" si="6"/>
        <v>149</v>
      </c>
      <c r="Y36" s="195">
        <f t="shared" si="7"/>
        <v>4</v>
      </c>
      <c r="Z36" s="196">
        <f t="shared" si="8"/>
        <v>2</v>
      </c>
    </row>
    <row r="37" spans="1:26" ht="12.75" customHeight="1">
      <c r="A37" s="204" t="s">
        <v>318</v>
      </c>
      <c r="B37" s="205">
        <v>1.83</v>
      </c>
      <c r="C37" s="18"/>
      <c r="D37" s="155" t="s">
        <v>222</v>
      </c>
      <c r="E37" s="18"/>
      <c r="F37" s="18"/>
      <c r="G37" s="18"/>
      <c r="H37" s="18"/>
      <c r="I37" s="18"/>
      <c r="J37" s="18"/>
      <c r="K37" s="18"/>
      <c r="L37" s="18"/>
      <c r="M37" s="18"/>
      <c r="N37" s="173">
        <v>1698</v>
      </c>
      <c r="O37" s="195">
        <f t="shared" si="1"/>
        <v>0</v>
      </c>
      <c r="P37" s="195">
        <f t="shared" si="2"/>
        <v>323</v>
      </c>
      <c r="Q37" s="195">
        <f t="shared" si="3"/>
        <v>2</v>
      </c>
      <c r="R37" s="196">
        <f t="shared" si="4"/>
        <v>1</v>
      </c>
      <c r="S37" s="18"/>
      <c r="T37" s="18"/>
      <c r="U37" s="18"/>
      <c r="V37" s="197">
        <f t="shared" si="9"/>
        <v>3251.1999999999985</v>
      </c>
      <c r="W37" s="195">
        <f t="shared" si="5"/>
        <v>609.19999999999845</v>
      </c>
      <c r="X37" s="195">
        <f t="shared" si="6"/>
        <v>149</v>
      </c>
      <c r="Y37" s="195">
        <f t="shared" si="7"/>
        <v>4</v>
      </c>
      <c r="Z37" s="196">
        <f t="shared" si="8"/>
        <v>2</v>
      </c>
    </row>
    <row r="38" spans="1:26" ht="12.75" customHeight="1">
      <c r="A38" s="166" t="s">
        <v>319</v>
      </c>
      <c r="B38" s="194">
        <v>76</v>
      </c>
      <c r="C38" s="18"/>
      <c r="D38" s="155" t="s">
        <v>224</v>
      </c>
      <c r="E38" s="18"/>
      <c r="F38" s="18"/>
      <c r="G38" s="18"/>
      <c r="H38" s="18"/>
      <c r="I38" s="18"/>
      <c r="J38" s="18"/>
      <c r="K38" s="18"/>
      <c r="L38" s="18"/>
      <c r="M38" s="18"/>
      <c r="N38" s="173">
        <v>1732</v>
      </c>
      <c r="O38" s="195">
        <f t="shared" si="1"/>
        <v>0</v>
      </c>
      <c r="P38" s="195">
        <f t="shared" si="2"/>
        <v>357</v>
      </c>
      <c r="Q38" s="195">
        <f t="shared" si="3"/>
        <v>2</v>
      </c>
      <c r="R38" s="196">
        <f t="shared" si="4"/>
        <v>1</v>
      </c>
      <c r="S38" s="18"/>
      <c r="T38" s="18"/>
      <c r="U38" s="18"/>
      <c r="V38" s="197">
        <f t="shared" si="9"/>
        <v>3352.7999999999984</v>
      </c>
      <c r="W38" s="195">
        <f t="shared" si="5"/>
        <v>710.79999999999836</v>
      </c>
      <c r="X38" s="195">
        <f t="shared" si="6"/>
        <v>149</v>
      </c>
      <c r="Y38" s="195">
        <f t="shared" si="7"/>
        <v>4</v>
      </c>
      <c r="Z38" s="196">
        <f t="shared" si="8"/>
        <v>2</v>
      </c>
    </row>
    <row r="39" spans="1:26" ht="12.75" customHeight="1">
      <c r="A39" s="173" t="s">
        <v>320</v>
      </c>
      <c r="B39" s="198">
        <v>38</v>
      </c>
      <c r="C39" s="18"/>
      <c r="D39" s="158"/>
      <c r="E39" s="155"/>
      <c r="F39" s="18"/>
      <c r="G39" s="18"/>
      <c r="H39" s="18"/>
      <c r="I39" s="18"/>
      <c r="J39" s="18"/>
      <c r="K39" s="18"/>
      <c r="L39" s="18"/>
      <c r="M39" s="18"/>
      <c r="N39" s="173">
        <v>1765</v>
      </c>
      <c r="O39" s="195">
        <f t="shared" si="1"/>
        <v>0</v>
      </c>
      <c r="P39" s="195">
        <f t="shared" si="2"/>
        <v>390</v>
      </c>
      <c r="Q39" s="195">
        <f t="shared" si="3"/>
        <v>2</v>
      </c>
      <c r="R39" s="196">
        <f t="shared" si="4"/>
        <v>1</v>
      </c>
      <c r="S39" s="18"/>
      <c r="T39" s="18"/>
      <c r="U39" s="18"/>
      <c r="V39" s="197">
        <f t="shared" si="9"/>
        <v>3454.3999999999983</v>
      </c>
      <c r="W39" s="195">
        <f t="shared" si="5"/>
        <v>812.39999999999827</v>
      </c>
      <c r="X39" s="195">
        <f t="shared" si="6"/>
        <v>149</v>
      </c>
      <c r="Y39" s="195">
        <f t="shared" si="7"/>
        <v>4</v>
      </c>
      <c r="Z39" s="196">
        <f t="shared" si="8"/>
        <v>2</v>
      </c>
    </row>
    <row r="40" spans="1:26" ht="12.75" customHeight="1">
      <c r="A40" s="173" t="s">
        <v>321</v>
      </c>
      <c r="B40" s="198">
        <v>3.2</v>
      </c>
      <c r="C40" s="18"/>
      <c r="D40" s="158"/>
      <c r="E40" s="18"/>
      <c r="F40" s="18"/>
      <c r="G40" s="18"/>
      <c r="H40" s="18"/>
      <c r="I40" s="18"/>
      <c r="J40" s="18"/>
      <c r="K40" s="18"/>
      <c r="L40" s="18"/>
      <c r="M40" s="18"/>
      <c r="N40" s="173">
        <v>1798</v>
      </c>
      <c r="O40" s="195">
        <f t="shared" si="1"/>
        <v>0</v>
      </c>
      <c r="P40" s="195">
        <f t="shared" si="2"/>
        <v>423</v>
      </c>
      <c r="Q40" s="195">
        <f t="shared" si="3"/>
        <v>2</v>
      </c>
      <c r="R40" s="196">
        <f t="shared" si="4"/>
        <v>1</v>
      </c>
      <c r="S40" s="18"/>
      <c r="T40" s="18"/>
      <c r="U40" s="18"/>
      <c r="V40" s="197">
        <f t="shared" si="9"/>
        <v>3555.9999999999982</v>
      </c>
      <c r="W40" s="195">
        <f t="shared" si="5"/>
        <v>913.99999999999818</v>
      </c>
      <c r="X40" s="195">
        <f t="shared" si="6"/>
        <v>149</v>
      </c>
      <c r="Y40" s="195">
        <f t="shared" si="7"/>
        <v>4</v>
      </c>
      <c r="Z40" s="196">
        <f t="shared" si="8"/>
        <v>2</v>
      </c>
    </row>
    <row r="41" spans="1:26" ht="12.75" customHeight="1">
      <c r="A41" s="173" t="s">
        <v>322</v>
      </c>
      <c r="B41" s="198">
        <v>4.4000000000000004</v>
      </c>
      <c r="C41" s="18"/>
      <c r="D41" s="158"/>
      <c r="E41" s="18"/>
      <c r="F41" s="18"/>
      <c r="G41" s="18"/>
      <c r="H41" s="18"/>
      <c r="I41" s="18"/>
      <c r="J41" s="18"/>
      <c r="K41" s="18"/>
      <c r="L41" s="18"/>
      <c r="M41" s="18"/>
      <c r="N41" s="173">
        <v>1832</v>
      </c>
      <c r="O41" s="195">
        <f t="shared" si="1"/>
        <v>417</v>
      </c>
      <c r="P41" s="195">
        <f t="shared" si="2"/>
        <v>40</v>
      </c>
      <c r="Q41" s="195">
        <f t="shared" si="3"/>
        <v>3</v>
      </c>
      <c r="R41" s="196">
        <f t="shared" si="4"/>
        <v>1</v>
      </c>
      <c r="S41" s="18"/>
      <c r="T41" s="18"/>
      <c r="U41" s="18"/>
      <c r="V41" s="197">
        <f t="shared" si="9"/>
        <v>3657.5999999999981</v>
      </c>
      <c r="W41" s="195">
        <f t="shared" si="5"/>
        <v>0</v>
      </c>
      <c r="X41" s="195">
        <f t="shared" si="6"/>
        <v>46.59999999999809</v>
      </c>
      <c r="Y41" s="195">
        <f t="shared" si="7"/>
        <v>4</v>
      </c>
      <c r="Z41" s="196">
        <f t="shared" si="8"/>
        <v>3</v>
      </c>
    </row>
    <row r="42" spans="1:26" ht="12.75" customHeight="1">
      <c r="A42" s="173" t="s">
        <v>323</v>
      </c>
      <c r="B42" s="198">
        <v>1118</v>
      </c>
      <c r="C42" s="18"/>
      <c r="D42" s="158"/>
      <c r="E42" s="18"/>
      <c r="F42" s="18"/>
      <c r="G42" s="18"/>
      <c r="H42" s="18"/>
      <c r="I42" s="18"/>
      <c r="J42" s="18"/>
      <c r="K42" s="18"/>
      <c r="L42" s="18"/>
      <c r="M42" s="18"/>
      <c r="N42" s="173">
        <v>1865</v>
      </c>
      <c r="O42" s="195">
        <f t="shared" si="1"/>
        <v>450</v>
      </c>
      <c r="P42" s="195">
        <f t="shared" si="2"/>
        <v>40</v>
      </c>
      <c r="Q42" s="195">
        <f t="shared" si="3"/>
        <v>3</v>
      </c>
      <c r="R42" s="196">
        <f t="shared" si="4"/>
        <v>1</v>
      </c>
      <c r="S42" s="18"/>
      <c r="T42" s="18"/>
      <c r="U42" s="18"/>
      <c r="V42" s="197">
        <f t="shared" si="9"/>
        <v>3759.199999999998</v>
      </c>
      <c r="W42" s="195">
        <f t="shared" si="5"/>
        <v>0</v>
      </c>
      <c r="X42" s="195">
        <f t="shared" si="6"/>
        <v>148.199999999998</v>
      </c>
      <c r="Y42" s="195">
        <f t="shared" si="7"/>
        <v>4</v>
      </c>
      <c r="Z42" s="196">
        <f t="shared" si="8"/>
        <v>3</v>
      </c>
    </row>
    <row r="43" spans="1:26" ht="12.75" customHeight="1">
      <c r="A43" s="173" t="s">
        <v>324</v>
      </c>
      <c r="B43" s="198">
        <v>6.7</v>
      </c>
      <c r="C43" s="18"/>
      <c r="D43" s="158"/>
      <c r="E43" s="18"/>
      <c r="F43" s="18"/>
      <c r="G43" s="18"/>
      <c r="H43" s="18"/>
      <c r="I43" s="18"/>
      <c r="J43" s="18"/>
      <c r="K43" s="18"/>
      <c r="L43" s="18"/>
      <c r="M43" s="18"/>
      <c r="N43" s="173">
        <v>1898</v>
      </c>
      <c r="O43" s="195">
        <f t="shared" si="1"/>
        <v>483</v>
      </c>
      <c r="P43" s="195">
        <f t="shared" si="2"/>
        <v>40</v>
      </c>
      <c r="Q43" s="195">
        <f t="shared" si="3"/>
        <v>3</v>
      </c>
      <c r="R43" s="196">
        <f t="shared" si="4"/>
        <v>1</v>
      </c>
      <c r="S43" s="18"/>
      <c r="T43" s="18"/>
      <c r="U43" s="18"/>
      <c r="V43" s="197">
        <f t="shared" si="9"/>
        <v>3860.7999999999979</v>
      </c>
      <c r="W43" s="195">
        <f t="shared" si="5"/>
        <v>0</v>
      </c>
      <c r="X43" s="195">
        <f t="shared" si="6"/>
        <v>249.79999999999791</v>
      </c>
      <c r="Y43" s="195">
        <f t="shared" si="7"/>
        <v>4</v>
      </c>
      <c r="Z43" s="196">
        <f t="shared" si="8"/>
        <v>3</v>
      </c>
    </row>
    <row r="44" spans="1:26" ht="12.75" customHeight="1">
      <c r="A44" s="201" t="s">
        <v>325</v>
      </c>
      <c r="B44" s="202">
        <v>1</v>
      </c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73">
        <v>1932</v>
      </c>
      <c r="O44" s="195">
        <f t="shared" si="1"/>
        <v>517</v>
      </c>
      <c r="P44" s="195">
        <f t="shared" si="2"/>
        <v>40</v>
      </c>
      <c r="Q44" s="195">
        <f t="shared" si="3"/>
        <v>3</v>
      </c>
      <c r="R44" s="196">
        <f t="shared" si="4"/>
        <v>1</v>
      </c>
      <c r="S44" s="218"/>
      <c r="T44" s="18"/>
      <c r="U44" s="18"/>
      <c r="V44" s="197">
        <f t="shared" si="9"/>
        <v>3962.3999999999978</v>
      </c>
      <c r="W44" s="195">
        <f t="shared" si="5"/>
        <v>0</v>
      </c>
      <c r="X44" s="195">
        <f t="shared" si="6"/>
        <v>351.39999999999782</v>
      </c>
      <c r="Y44" s="195">
        <f t="shared" si="7"/>
        <v>4</v>
      </c>
      <c r="Z44" s="196">
        <f t="shared" si="8"/>
        <v>3</v>
      </c>
    </row>
    <row r="45" spans="1:26" ht="12.75" customHeight="1">
      <c r="A45" s="201" t="s">
        <v>326</v>
      </c>
      <c r="B45" s="202">
        <v>2.46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73">
        <v>1965</v>
      </c>
      <c r="O45" s="195">
        <f t="shared" si="1"/>
        <v>550</v>
      </c>
      <c r="P45" s="195">
        <f t="shared" si="2"/>
        <v>40</v>
      </c>
      <c r="Q45" s="195">
        <f t="shared" si="3"/>
        <v>3</v>
      </c>
      <c r="R45" s="196">
        <f t="shared" si="4"/>
        <v>1</v>
      </c>
      <c r="S45" s="18"/>
      <c r="T45" s="18"/>
      <c r="U45" s="18"/>
      <c r="V45" s="197">
        <f t="shared" si="9"/>
        <v>4063.9999999999977</v>
      </c>
      <c r="W45" s="195">
        <f t="shared" si="5"/>
        <v>0</v>
      </c>
      <c r="X45" s="195">
        <f t="shared" si="6"/>
        <v>452.99999999999773</v>
      </c>
      <c r="Y45" s="195">
        <f t="shared" si="7"/>
        <v>4</v>
      </c>
      <c r="Z45" s="196">
        <f t="shared" si="8"/>
        <v>3</v>
      </c>
    </row>
    <row r="46" spans="1:26" ht="12.75" customHeight="1">
      <c r="A46" s="204" t="s">
        <v>327</v>
      </c>
      <c r="B46" s="205">
        <v>2.46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73">
        <v>1998</v>
      </c>
      <c r="O46" s="195">
        <f t="shared" si="1"/>
        <v>583</v>
      </c>
      <c r="P46" s="195">
        <f t="shared" si="2"/>
        <v>40</v>
      </c>
      <c r="Q46" s="195">
        <f t="shared" si="3"/>
        <v>3</v>
      </c>
      <c r="R46" s="196">
        <f t="shared" si="4"/>
        <v>1</v>
      </c>
      <c r="S46" s="18"/>
      <c r="T46" s="18"/>
      <c r="U46" s="18"/>
      <c r="V46" s="197">
        <f t="shared" si="9"/>
        <v>4165.5999999999976</v>
      </c>
      <c r="W46" s="195">
        <f t="shared" si="5"/>
        <v>405.59999999999764</v>
      </c>
      <c r="X46" s="195">
        <f t="shared" si="6"/>
        <v>149</v>
      </c>
      <c r="Y46" s="195">
        <f t="shared" si="7"/>
        <v>5</v>
      </c>
      <c r="Z46" s="196">
        <f t="shared" si="8"/>
        <v>3</v>
      </c>
    </row>
    <row r="47" spans="1:26" ht="12.75" customHeight="1">
      <c r="A47" s="166" t="s">
        <v>328</v>
      </c>
      <c r="B47" s="194">
        <v>76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73">
        <v>2031</v>
      </c>
      <c r="O47" s="195">
        <f t="shared" si="1"/>
        <v>616</v>
      </c>
      <c r="P47" s="195">
        <f t="shared" si="2"/>
        <v>40</v>
      </c>
      <c r="Q47" s="195">
        <f t="shared" si="3"/>
        <v>3</v>
      </c>
      <c r="R47" s="196">
        <f t="shared" si="4"/>
        <v>1</v>
      </c>
      <c r="S47" s="18"/>
      <c r="T47" s="18"/>
      <c r="U47" s="18"/>
      <c r="V47" s="197">
        <f t="shared" si="9"/>
        <v>4267.199999999998</v>
      </c>
      <c r="W47" s="195">
        <f t="shared" si="5"/>
        <v>507.199999999998</v>
      </c>
      <c r="X47" s="195">
        <f t="shared" si="6"/>
        <v>149</v>
      </c>
      <c r="Y47" s="195">
        <f t="shared" si="7"/>
        <v>5</v>
      </c>
      <c r="Z47" s="196">
        <f t="shared" si="8"/>
        <v>3</v>
      </c>
    </row>
    <row r="48" spans="1:26" ht="12.75" customHeight="1">
      <c r="A48" s="173" t="s">
        <v>329</v>
      </c>
      <c r="B48" s="198">
        <v>38</v>
      </c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73">
        <v>2065</v>
      </c>
      <c r="O48" s="195">
        <f t="shared" si="1"/>
        <v>650</v>
      </c>
      <c r="P48" s="195">
        <f t="shared" si="2"/>
        <v>40</v>
      </c>
      <c r="Q48" s="195">
        <f t="shared" si="3"/>
        <v>3</v>
      </c>
      <c r="R48" s="196">
        <f t="shared" si="4"/>
        <v>1</v>
      </c>
      <c r="S48" s="18"/>
      <c r="T48" s="18"/>
      <c r="U48" s="18"/>
      <c r="V48" s="197">
        <f t="shared" si="9"/>
        <v>4368.7999999999984</v>
      </c>
      <c r="W48" s="195">
        <f t="shared" si="5"/>
        <v>608.79999999999836</v>
      </c>
      <c r="X48" s="195">
        <f t="shared" si="6"/>
        <v>149</v>
      </c>
      <c r="Y48" s="195">
        <f t="shared" si="7"/>
        <v>5</v>
      </c>
      <c r="Z48" s="196">
        <f t="shared" si="8"/>
        <v>3</v>
      </c>
    </row>
    <row r="49" spans="1:26" ht="12.75" customHeight="1">
      <c r="A49" s="173" t="s">
        <v>330</v>
      </c>
      <c r="B49" s="198">
        <v>3.2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73">
        <v>2098</v>
      </c>
      <c r="O49" s="195">
        <f t="shared" si="1"/>
        <v>683</v>
      </c>
      <c r="P49" s="195">
        <f t="shared" si="2"/>
        <v>40</v>
      </c>
      <c r="Q49" s="195">
        <f t="shared" si="3"/>
        <v>3</v>
      </c>
      <c r="R49" s="196">
        <f t="shared" si="4"/>
        <v>1</v>
      </c>
      <c r="S49" s="18"/>
      <c r="T49" s="18"/>
      <c r="U49" s="18"/>
      <c r="V49" s="197">
        <f t="shared" si="9"/>
        <v>4470.3999999999987</v>
      </c>
      <c r="W49" s="195">
        <f t="shared" si="5"/>
        <v>710.39999999999873</v>
      </c>
      <c r="X49" s="195">
        <f t="shared" si="6"/>
        <v>149</v>
      </c>
      <c r="Y49" s="195">
        <f t="shared" si="7"/>
        <v>5</v>
      </c>
      <c r="Z49" s="196">
        <f t="shared" si="8"/>
        <v>3</v>
      </c>
    </row>
    <row r="50" spans="1:26" ht="12.75" customHeight="1">
      <c r="A50" s="173" t="s">
        <v>331</v>
      </c>
      <c r="B50" s="198">
        <v>4.5999999999999996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73">
        <v>2131</v>
      </c>
      <c r="O50" s="195">
        <f t="shared" si="1"/>
        <v>716</v>
      </c>
      <c r="P50" s="195">
        <f t="shared" si="2"/>
        <v>40</v>
      </c>
      <c r="Q50" s="195">
        <f t="shared" si="3"/>
        <v>3</v>
      </c>
      <c r="R50" s="196">
        <f t="shared" si="4"/>
        <v>1</v>
      </c>
      <c r="S50" s="18"/>
      <c r="T50" s="18"/>
      <c r="U50" s="18"/>
      <c r="V50" s="197">
        <f t="shared" si="9"/>
        <v>4571.9999999999991</v>
      </c>
      <c r="W50" s="195">
        <f t="shared" si="5"/>
        <v>811.99999999999909</v>
      </c>
      <c r="X50" s="195">
        <f t="shared" si="6"/>
        <v>149</v>
      </c>
      <c r="Y50" s="195">
        <f t="shared" si="7"/>
        <v>5</v>
      </c>
      <c r="Z50" s="196">
        <f t="shared" si="8"/>
        <v>3</v>
      </c>
    </row>
    <row r="51" spans="1:26" ht="12.75" customHeight="1">
      <c r="A51" s="173" t="s">
        <v>332</v>
      </c>
      <c r="B51" s="198">
        <v>1118</v>
      </c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73">
        <v>2165</v>
      </c>
      <c r="O51" s="195">
        <f t="shared" si="1"/>
        <v>750</v>
      </c>
      <c r="P51" s="195">
        <f t="shared" si="2"/>
        <v>40</v>
      </c>
      <c r="Q51" s="195">
        <f t="shared" si="3"/>
        <v>3</v>
      </c>
      <c r="R51" s="196">
        <f t="shared" si="4"/>
        <v>1</v>
      </c>
      <c r="S51" s="18"/>
      <c r="T51" s="18"/>
      <c r="U51" s="18"/>
      <c r="V51" s="197">
        <f t="shared" si="9"/>
        <v>4673.5999999999995</v>
      </c>
      <c r="W51" s="195">
        <f t="shared" si="5"/>
        <v>913.59999999999945</v>
      </c>
      <c r="X51" s="195">
        <f t="shared" si="6"/>
        <v>149</v>
      </c>
      <c r="Y51" s="195">
        <f t="shared" si="7"/>
        <v>5</v>
      </c>
      <c r="Z51" s="196">
        <f t="shared" si="8"/>
        <v>3</v>
      </c>
    </row>
    <row r="52" spans="1:26" ht="12.75" customHeight="1">
      <c r="A52" s="173" t="s">
        <v>333</v>
      </c>
      <c r="B52" s="198">
        <v>8.0399999999999991</v>
      </c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73">
        <v>2198</v>
      </c>
      <c r="O52" s="195">
        <f t="shared" si="1"/>
        <v>783</v>
      </c>
      <c r="P52" s="195">
        <f t="shared" si="2"/>
        <v>40</v>
      </c>
      <c r="Q52" s="195">
        <f t="shared" si="3"/>
        <v>3</v>
      </c>
      <c r="R52" s="196">
        <f t="shared" si="4"/>
        <v>1</v>
      </c>
      <c r="S52" s="18"/>
      <c r="T52" s="18"/>
      <c r="U52" s="18"/>
      <c r="V52" s="197">
        <f t="shared" si="9"/>
        <v>4775.2</v>
      </c>
      <c r="W52" s="195">
        <f t="shared" si="5"/>
        <v>0</v>
      </c>
      <c r="X52" s="195">
        <f t="shared" si="6"/>
        <v>46.199999999999818</v>
      </c>
      <c r="Y52" s="195">
        <f t="shared" si="7"/>
        <v>5</v>
      </c>
      <c r="Z52" s="196">
        <f t="shared" si="8"/>
        <v>4</v>
      </c>
    </row>
    <row r="53" spans="1:26" ht="12.75" customHeight="1">
      <c r="A53" s="201" t="s">
        <v>334</v>
      </c>
      <c r="B53" s="202">
        <v>1</v>
      </c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73">
        <v>2231</v>
      </c>
      <c r="O53" s="195">
        <f t="shared" si="1"/>
        <v>816</v>
      </c>
      <c r="P53" s="195">
        <f t="shared" si="2"/>
        <v>40</v>
      </c>
      <c r="Q53" s="195">
        <f t="shared" si="3"/>
        <v>3</v>
      </c>
      <c r="R53" s="196">
        <f t="shared" si="4"/>
        <v>1</v>
      </c>
      <c r="S53" s="18"/>
      <c r="T53" s="18"/>
      <c r="U53" s="18"/>
      <c r="V53" s="197">
        <f t="shared" si="9"/>
        <v>4876.8</v>
      </c>
      <c r="W53" s="195">
        <f t="shared" si="5"/>
        <v>0</v>
      </c>
      <c r="X53" s="195">
        <f t="shared" si="6"/>
        <v>147.80000000000018</v>
      </c>
      <c r="Y53" s="195">
        <f t="shared" si="7"/>
        <v>5</v>
      </c>
      <c r="Z53" s="196">
        <f t="shared" si="8"/>
        <v>4</v>
      </c>
    </row>
    <row r="54" spans="1:26" ht="12.75" customHeight="1">
      <c r="A54" s="201" t="s">
        <v>335</v>
      </c>
      <c r="B54" s="202">
        <v>2.46</v>
      </c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73">
        <v>2265</v>
      </c>
      <c r="O54" s="195">
        <f t="shared" si="1"/>
        <v>850</v>
      </c>
      <c r="P54" s="195">
        <f t="shared" si="2"/>
        <v>40</v>
      </c>
      <c r="Q54" s="195">
        <f t="shared" si="3"/>
        <v>3</v>
      </c>
      <c r="R54" s="196">
        <f t="shared" si="4"/>
        <v>1</v>
      </c>
      <c r="S54" s="18"/>
      <c r="T54" s="18"/>
      <c r="U54" s="18"/>
      <c r="V54" s="197">
        <f t="shared" si="9"/>
        <v>4978.4000000000005</v>
      </c>
      <c r="W54" s="195">
        <f t="shared" si="5"/>
        <v>0</v>
      </c>
      <c r="X54" s="195">
        <f t="shared" si="6"/>
        <v>249.40000000000055</v>
      </c>
      <c r="Y54" s="195">
        <f t="shared" si="7"/>
        <v>5</v>
      </c>
      <c r="Z54" s="196">
        <f t="shared" si="8"/>
        <v>4</v>
      </c>
    </row>
    <row r="55" spans="1:26" ht="12.75" customHeight="1">
      <c r="A55" s="204" t="s">
        <v>336</v>
      </c>
      <c r="B55" s="205">
        <v>2.46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73">
        <v>2298</v>
      </c>
      <c r="O55" s="195">
        <f t="shared" si="1"/>
        <v>883</v>
      </c>
      <c r="P55" s="195">
        <f t="shared" si="2"/>
        <v>40</v>
      </c>
      <c r="Q55" s="195">
        <f t="shared" si="3"/>
        <v>3</v>
      </c>
      <c r="R55" s="196">
        <f t="shared" si="4"/>
        <v>1</v>
      </c>
      <c r="S55" s="18"/>
      <c r="T55" s="18"/>
      <c r="U55" s="18"/>
      <c r="V55" s="197">
        <f t="shared" si="9"/>
        <v>5080.0000000000009</v>
      </c>
      <c r="W55" s="195">
        <f t="shared" si="5"/>
        <v>0</v>
      </c>
      <c r="X55" s="195">
        <f t="shared" si="6"/>
        <v>351.00000000000091</v>
      </c>
      <c r="Y55" s="195">
        <f t="shared" si="7"/>
        <v>5</v>
      </c>
      <c r="Z55" s="196">
        <f t="shared" si="8"/>
        <v>4</v>
      </c>
    </row>
    <row r="56" spans="1:26" ht="12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73">
        <v>2331</v>
      </c>
      <c r="O56" s="195">
        <f t="shared" si="1"/>
        <v>916</v>
      </c>
      <c r="P56" s="195">
        <f t="shared" si="2"/>
        <v>40</v>
      </c>
      <c r="Q56" s="195">
        <f t="shared" si="3"/>
        <v>3</v>
      </c>
      <c r="R56" s="196">
        <f t="shared" si="4"/>
        <v>1</v>
      </c>
      <c r="S56" s="18"/>
      <c r="T56" s="18"/>
      <c r="U56" s="18"/>
      <c r="V56" s="197">
        <f t="shared" si="9"/>
        <v>5181.6000000000013</v>
      </c>
      <c r="W56" s="195">
        <f t="shared" si="5"/>
        <v>0</v>
      </c>
      <c r="X56" s="195">
        <f t="shared" si="6"/>
        <v>452.60000000000127</v>
      </c>
      <c r="Y56" s="195">
        <f t="shared" si="7"/>
        <v>5</v>
      </c>
      <c r="Z56" s="196">
        <f t="shared" si="8"/>
        <v>4</v>
      </c>
    </row>
    <row r="57" spans="1:26" ht="12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73">
        <v>2364</v>
      </c>
      <c r="O57" s="195">
        <f t="shared" si="1"/>
        <v>949</v>
      </c>
      <c r="P57" s="195">
        <f t="shared" si="2"/>
        <v>40</v>
      </c>
      <c r="Q57" s="195">
        <f t="shared" si="3"/>
        <v>3</v>
      </c>
      <c r="R57" s="196">
        <f t="shared" si="4"/>
        <v>1</v>
      </c>
      <c r="S57" s="18"/>
      <c r="T57" s="18"/>
      <c r="U57" s="18"/>
      <c r="V57" s="197">
        <f t="shared" si="9"/>
        <v>5283.2000000000016</v>
      </c>
      <c r="W57" s="195">
        <f t="shared" si="5"/>
        <v>405.20000000000164</v>
      </c>
      <c r="X57" s="195">
        <f t="shared" si="6"/>
        <v>149</v>
      </c>
      <c r="Y57" s="195">
        <f t="shared" si="7"/>
        <v>6</v>
      </c>
      <c r="Z57" s="196">
        <f t="shared" si="8"/>
        <v>4</v>
      </c>
    </row>
    <row r="58" spans="1:26" ht="12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73">
        <v>2398</v>
      </c>
      <c r="O58" s="195">
        <f t="shared" si="1"/>
        <v>983</v>
      </c>
      <c r="P58" s="195">
        <f t="shared" si="2"/>
        <v>40</v>
      </c>
      <c r="Q58" s="195">
        <f t="shared" si="3"/>
        <v>3</v>
      </c>
      <c r="R58" s="196">
        <f t="shared" si="4"/>
        <v>1</v>
      </c>
      <c r="S58" s="18"/>
      <c r="T58" s="18"/>
      <c r="U58" s="18"/>
      <c r="V58" s="197">
        <f t="shared" si="9"/>
        <v>5384.800000000002</v>
      </c>
      <c r="W58" s="195">
        <f t="shared" si="5"/>
        <v>506.800000000002</v>
      </c>
      <c r="X58" s="195">
        <f t="shared" si="6"/>
        <v>149</v>
      </c>
      <c r="Y58" s="195">
        <f t="shared" si="7"/>
        <v>6</v>
      </c>
      <c r="Z58" s="196">
        <f t="shared" si="8"/>
        <v>4</v>
      </c>
    </row>
    <row r="59" spans="1:26" ht="12.75" customHeight="1">
      <c r="A59" s="219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73">
        <v>2431</v>
      </c>
      <c r="O59" s="195">
        <f t="shared" si="1"/>
        <v>1016</v>
      </c>
      <c r="P59" s="195">
        <f t="shared" si="2"/>
        <v>40</v>
      </c>
      <c r="Q59" s="195">
        <f t="shared" si="3"/>
        <v>3</v>
      </c>
      <c r="R59" s="196">
        <f t="shared" si="4"/>
        <v>1</v>
      </c>
      <c r="S59" s="18"/>
      <c r="T59" s="18"/>
      <c r="U59" s="18"/>
      <c r="V59" s="197">
        <f t="shared" si="9"/>
        <v>5486.4000000000024</v>
      </c>
      <c r="W59" s="195">
        <f t="shared" si="5"/>
        <v>608.40000000000236</v>
      </c>
      <c r="X59" s="195">
        <f t="shared" si="6"/>
        <v>149</v>
      </c>
      <c r="Y59" s="195">
        <f t="shared" si="7"/>
        <v>6</v>
      </c>
      <c r="Z59" s="196">
        <f t="shared" si="8"/>
        <v>4</v>
      </c>
    </row>
    <row r="60" spans="1:26" ht="12.75" customHeight="1">
      <c r="A60" s="220" t="s">
        <v>98</v>
      </c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73">
        <v>2464</v>
      </c>
      <c r="O60" s="195">
        <f t="shared" si="1"/>
        <v>1049</v>
      </c>
      <c r="P60" s="195">
        <f t="shared" si="2"/>
        <v>40</v>
      </c>
      <c r="Q60" s="195">
        <f t="shared" si="3"/>
        <v>3</v>
      </c>
      <c r="R60" s="196">
        <f t="shared" si="4"/>
        <v>1</v>
      </c>
      <c r="S60" s="18"/>
      <c r="T60" s="18"/>
      <c r="U60" s="18"/>
      <c r="V60" s="197">
        <f t="shared" si="9"/>
        <v>5588.0000000000027</v>
      </c>
      <c r="W60" s="195">
        <f t="shared" si="5"/>
        <v>710.00000000000273</v>
      </c>
      <c r="X60" s="195">
        <f t="shared" si="6"/>
        <v>149</v>
      </c>
      <c r="Y60" s="195">
        <f t="shared" si="7"/>
        <v>6</v>
      </c>
      <c r="Z60" s="196">
        <f t="shared" si="8"/>
        <v>4</v>
      </c>
    </row>
    <row r="61" spans="1:26" ht="12.75" customHeight="1">
      <c r="A61" s="220" t="s">
        <v>101</v>
      </c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73">
        <v>2498</v>
      </c>
      <c r="O61" s="195">
        <f t="shared" si="1"/>
        <v>0</v>
      </c>
      <c r="P61" s="195">
        <f t="shared" si="2"/>
        <v>5</v>
      </c>
      <c r="Q61" s="195">
        <f t="shared" si="3"/>
        <v>3</v>
      </c>
      <c r="R61" s="196">
        <f t="shared" si="4"/>
        <v>2</v>
      </c>
      <c r="S61" s="18"/>
      <c r="T61" s="18"/>
      <c r="U61" s="18"/>
      <c r="V61" s="197">
        <f t="shared" si="9"/>
        <v>5689.6000000000031</v>
      </c>
      <c r="W61" s="195">
        <f t="shared" si="5"/>
        <v>811.60000000000309</v>
      </c>
      <c r="X61" s="195">
        <f t="shared" si="6"/>
        <v>149</v>
      </c>
      <c r="Y61" s="195">
        <f t="shared" si="7"/>
        <v>6</v>
      </c>
      <c r="Z61" s="196">
        <f t="shared" si="8"/>
        <v>4</v>
      </c>
    </row>
    <row r="62" spans="1:26" ht="12.75" customHeight="1">
      <c r="A62" s="220" t="s">
        <v>105</v>
      </c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73">
        <v>2531</v>
      </c>
      <c r="O62" s="195">
        <f t="shared" si="1"/>
        <v>0</v>
      </c>
      <c r="P62" s="195">
        <f t="shared" si="2"/>
        <v>38</v>
      </c>
      <c r="Q62" s="195">
        <f t="shared" si="3"/>
        <v>3</v>
      </c>
      <c r="R62" s="196">
        <f t="shared" si="4"/>
        <v>2</v>
      </c>
      <c r="S62" s="18"/>
      <c r="T62" s="18"/>
      <c r="U62" s="18"/>
      <c r="V62" s="197">
        <f t="shared" si="9"/>
        <v>5791.2000000000035</v>
      </c>
      <c r="W62" s="195">
        <f t="shared" si="5"/>
        <v>913.20000000000346</v>
      </c>
      <c r="X62" s="195">
        <f t="shared" si="6"/>
        <v>149</v>
      </c>
      <c r="Y62" s="195">
        <f t="shared" si="7"/>
        <v>6</v>
      </c>
      <c r="Z62" s="196">
        <f t="shared" si="8"/>
        <v>4</v>
      </c>
    </row>
    <row r="63" spans="1:26" ht="12.75" customHeight="1">
      <c r="A63" s="221" t="s">
        <v>109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73">
        <v>2564</v>
      </c>
      <c r="O63" s="195">
        <f t="shared" si="1"/>
        <v>0</v>
      </c>
      <c r="P63" s="195">
        <f t="shared" si="2"/>
        <v>71</v>
      </c>
      <c r="Q63" s="195">
        <f t="shared" si="3"/>
        <v>3</v>
      </c>
      <c r="R63" s="196">
        <f t="shared" si="4"/>
        <v>2</v>
      </c>
      <c r="S63" s="18"/>
      <c r="T63" s="18"/>
      <c r="U63" s="18"/>
      <c r="V63" s="197">
        <f t="shared" si="9"/>
        <v>5892.8000000000038</v>
      </c>
      <c r="W63" s="195">
        <f t="shared" si="5"/>
        <v>0</v>
      </c>
      <c r="X63" s="195">
        <f t="shared" si="6"/>
        <v>45.80000000000382</v>
      </c>
      <c r="Y63" s="195">
        <f t="shared" si="7"/>
        <v>6</v>
      </c>
      <c r="Z63" s="196">
        <f t="shared" si="8"/>
        <v>5</v>
      </c>
    </row>
    <row r="64" spans="1:26" ht="12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73">
        <v>2598</v>
      </c>
      <c r="O64" s="195">
        <f t="shared" si="1"/>
        <v>0</v>
      </c>
      <c r="P64" s="195">
        <f t="shared" si="2"/>
        <v>105</v>
      </c>
      <c r="Q64" s="195">
        <f t="shared" si="3"/>
        <v>3</v>
      </c>
      <c r="R64" s="196">
        <f t="shared" si="4"/>
        <v>2</v>
      </c>
      <c r="S64" s="18"/>
      <c r="T64" s="18"/>
      <c r="U64" s="18"/>
      <c r="V64" s="197">
        <f t="shared" si="9"/>
        <v>5994.4000000000042</v>
      </c>
      <c r="W64" s="195">
        <f t="shared" si="5"/>
        <v>0</v>
      </c>
      <c r="X64" s="195">
        <f t="shared" si="6"/>
        <v>147.40000000000418</v>
      </c>
      <c r="Y64" s="195">
        <f t="shared" si="7"/>
        <v>6</v>
      </c>
      <c r="Z64" s="196">
        <f t="shared" si="8"/>
        <v>5</v>
      </c>
    </row>
    <row r="65" spans="1:26" ht="12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73">
        <v>2631</v>
      </c>
      <c r="O65" s="195">
        <f t="shared" si="1"/>
        <v>0</v>
      </c>
      <c r="P65" s="195">
        <f t="shared" si="2"/>
        <v>138</v>
      </c>
      <c r="Q65" s="195">
        <f t="shared" si="3"/>
        <v>3</v>
      </c>
      <c r="R65" s="196">
        <f t="shared" si="4"/>
        <v>2</v>
      </c>
      <c r="S65" s="18"/>
      <c r="T65" s="18"/>
      <c r="U65" s="18"/>
      <c r="V65" s="197">
        <f t="shared" si="9"/>
        <v>6096.0000000000045</v>
      </c>
      <c r="W65" s="195">
        <f t="shared" si="5"/>
        <v>0</v>
      </c>
      <c r="X65" s="195">
        <f t="shared" si="6"/>
        <v>249.00000000000455</v>
      </c>
      <c r="Y65" s="195">
        <f t="shared" si="7"/>
        <v>6</v>
      </c>
      <c r="Z65" s="196">
        <f t="shared" si="8"/>
        <v>5</v>
      </c>
    </row>
    <row r="66" spans="1:26" ht="12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73">
        <v>2664</v>
      </c>
      <c r="O66" s="195">
        <f t="shared" si="1"/>
        <v>0</v>
      </c>
      <c r="P66" s="195">
        <f t="shared" si="2"/>
        <v>171</v>
      </c>
      <c r="Q66" s="195">
        <f t="shared" si="3"/>
        <v>3</v>
      </c>
      <c r="R66" s="196">
        <f t="shared" si="4"/>
        <v>2</v>
      </c>
      <c r="S66" s="18"/>
      <c r="T66" s="18"/>
      <c r="U66" s="18"/>
      <c r="V66" s="197">
        <f t="shared" si="9"/>
        <v>6197.6000000000049</v>
      </c>
      <c r="W66" s="195">
        <f t="shared" si="5"/>
        <v>0</v>
      </c>
      <c r="X66" s="195">
        <f t="shared" si="6"/>
        <v>350.60000000000491</v>
      </c>
      <c r="Y66" s="195">
        <f t="shared" si="7"/>
        <v>6</v>
      </c>
      <c r="Z66" s="196">
        <f t="shared" si="8"/>
        <v>5</v>
      </c>
    </row>
    <row r="67" spans="1:26" ht="12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73">
        <v>2697</v>
      </c>
      <c r="O67" s="195">
        <f t="shared" si="1"/>
        <v>0</v>
      </c>
      <c r="P67" s="195">
        <f t="shared" si="2"/>
        <v>204</v>
      </c>
      <c r="Q67" s="195">
        <f t="shared" si="3"/>
        <v>3</v>
      </c>
      <c r="R67" s="196">
        <f t="shared" si="4"/>
        <v>2</v>
      </c>
      <c r="S67" s="18"/>
      <c r="T67" s="18"/>
      <c r="U67" s="18"/>
      <c r="V67" s="197">
        <f t="shared" si="9"/>
        <v>6299.2000000000053</v>
      </c>
      <c r="W67" s="195">
        <f t="shared" si="5"/>
        <v>0</v>
      </c>
      <c r="X67" s="195">
        <f t="shared" si="6"/>
        <v>452.20000000000528</v>
      </c>
      <c r="Y67" s="195">
        <f t="shared" si="7"/>
        <v>6</v>
      </c>
      <c r="Z67" s="196">
        <f t="shared" si="8"/>
        <v>5</v>
      </c>
    </row>
    <row r="68" spans="1:26" ht="12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73">
        <v>2731</v>
      </c>
      <c r="O68" s="195">
        <f t="shared" si="1"/>
        <v>0</v>
      </c>
      <c r="P68" s="195">
        <f t="shared" si="2"/>
        <v>238</v>
      </c>
      <c r="Q68" s="195">
        <f t="shared" si="3"/>
        <v>3</v>
      </c>
      <c r="R68" s="196">
        <f t="shared" si="4"/>
        <v>2</v>
      </c>
      <c r="S68" s="18"/>
      <c r="T68" s="18"/>
      <c r="U68" s="18"/>
      <c r="V68" s="197">
        <f t="shared" si="9"/>
        <v>6400.8000000000056</v>
      </c>
      <c r="W68" s="195">
        <f t="shared" si="5"/>
        <v>404.80000000000564</v>
      </c>
      <c r="X68" s="195">
        <f t="shared" si="6"/>
        <v>149</v>
      </c>
      <c r="Y68" s="195">
        <f t="shared" si="7"/>
        <v>7</v>
      </c>
      <c r="Z68" s="196">
        <f t="shared" si="8"/>
        <v>5</v>
      </c>
    </row>
    <row r="69" spans="1:26" ht="12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73">
        <v>2764</v>
      </c>
      <c r="O69" s="195">
        <f t="shared" si="1"/>
        <v>0</v>
      </c>
      <c r="P69" s="195">
        <f t="shared" si="2"/>
        <v>271</v>
      </c>
      <c r="Q69" s="195">
        <f t="shared" si="3"/>
        <v>3</v>
      </c>
      <c r="R69" s="196">
        <f t="shared" si="4"/>
        <v>2</v>
      </c>
      <c r="S69" s="18"/>
      <c r="T69" s="18"/>
      <c r="U69" s="18"/>
      <c r="V69" s="197">
        <f t="shared" si="9"/>
        <v>6502.400000000006</v>
      </c>
      <c r="W69" s="195">
        <f t="shared" si="5"/>
        <v>506.400000000006</v>
      </c>
      <c r="X69" s="195">
        <f t="shared" si="6"/>
        <v>149</v>
      </c>
      <c r="Y69" s="195">
        <f t="shared" si="7"/>
        <v>7</v>
      </c>
      <c r="Z69" s="196">
        <f t="shared" si="8"/>
        <v>5</v>
      </c>
    </row>
    <row r="70" spans="1:26" ht="12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73">
        <v>2797</v>
      </c>
      <c r="O70" s="195">
        <f t="shared" si="1"/>
        <v>0</v>
      </c>
      <c r="P70" s="195">
        <f t="shared" si="2"/>
        <v>304</v>
      </c>
      <c r="Q70" s="195">
        <f t="shared" si="3"/>
        <v>3</v>
      </c>
      <c r="R70" s="196">
        <f t="shared" si="4"/>
        <v>2</v>
      </c>
      <c r="S70" s="18"/>
      <c r="T70" s="18"/>
      <c r="U70" s="18"/>
      <c r="V70" s="197">
        <f t="shared" si="9"/>
        <v>6604.0000000000064</v>
      </c>
      <c r="W70" s="195">
        <f t="shared" si="5"/>
        <v>608.00000000000637</v>
      </c>
      <c r="X70" s="195">
        <f t="shared" si="6"/>
        <v>149</v>
      </c>
      <c r="Y70" s="195">
        <f t="shared" si="7"/>
        <v>7</v>
      </c>
      <c r="Z70" s="196">
        <f t="shared" si="8"/>
        <v>5</v>
      </c>
    </row>
    <row r="71" spans="1:26" ht="12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73">
        <v>2831</v>
      </c>
      <c r="O71" s="195">
        <f t="shared" si="1"/>
        <v>0</v>
      </c>
      <c r="P71" s="195">
        <f t="shared" si="2"/>
        <v>338</v>
      </c>
      <c r="Q71" s="195">
        <f t="shared" si="3"/>
        <v>3</v>
      </c>
      <c r="R71" s="196">
        <f t="shared" si="4"/>
        <v>2</v>
      </c>
      <c r="S71" s="18"/>
      <c r="T71" s="18"/>
      <c r="U71" s="18"/>
      <c r="V71" s="197">
        <f t="shared" si="9"/>
        <v>6705.6000000000067</v>
      </c>
      <c r="W71" s="195">
        <f t="shared" si="5"/>
        <v>709.60000000000673</v>
      </c>
      <c r="X71" s="195">
        <f t="shared" si="6"/>
        <v>149</v>
      </c>
      <c r="Y71" s="195">
        <f t="shared" si="7"/>
        <v>7</v>
      </c>
      <c r="Z71" s="196">
        <f t="shared" si="8"/>
        <v>5</v>
      </c>
    </row>
    <row r="72" spans="1:26" ht="12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73">
        <v>2864</v>
      </c>
      <c r="O72" s="195">
        <f t="shared" si="1"/>
        <v>0</v>
      </c>
      <c r="P72" s="195">
        <f t="shared" si="2"/>
        <v>371</v>
      </c>
      <c r="Q72" s="195">
        <f t="shared" si="3"/>
        <v>3</v>
      </c>
      <c r="R72" s="196">
        <f t="shared" si="4"/>
        <v>2</v>
      </c>
      <c r="S72" s="18"/>
      <c r="T72" s="18"/>
      <c r="U72" s="18"/>
      <c r="V72" s="197">
        <f t="shared" si="9"/>
        <v>6807.2000000000071</v>
      </c>
      <c r="W72" s="195">
        <f t="shared" si="5"/>
        <v>811.20000000000709</v>
      </c>
      <c r="X72" s="195">
        <f t="shared" si="6"/>
        <v>149</v>
      </c>
      <c r="Y72" s="195">
        <f t="shared" si="7"/>
        <v>7</v>
      </c>
      <c r="Z72" s="196">
        <f t="shared" si="8"/>
        <v>5</v>
      </c>
    </row>
    <row r="73" spans="1:26" ht="12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73">
        <v>2897</v>
      </c>
      <c r="O73" s="195">
        <f t="shared" si="1"/>
        <v>0</v>
      </c>
      <c r="P73" s="195">
        <f t="shared" si="2"/>
        <v>404</v>
      </c>
      <c r="Q73" s="195">
        <f t="shared" si="3"/>
        <v>3</v>
      </c>
      <c r="R73" s="196">
        <f t="shared" si="4"/>
        <v>2</v>
      </c>
      <c r="S73" s="18"/>
      <c r="T73" s="18"/>
      <c r="U73" s="18"/>
      <c r="V73" s="197">
        <f t="shared" si="9"/>
        <v>6908.8000000000075</v>
      </c>
      <c r="W73" s="195">
        <f t="shared" si="5"/>
        <v>912.80000000000746</v>
      </c>
      <c r="X73" s="195">
        <f t="shared" si="6"/>
        <v>149</v>
      </c>
      <c r="Y73" s="195">
        <f t="shared" si="7"/>
        <v>7</v>
      </c>
      <c r="Z73" s="196">
        <f t="shared" si="8"/>
        <v>5</v>
      </c>
    </row>
    <row r="74" spans="1:26" ht="12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73">
        <v>2931</v>
      </c>
      <c r="O74" s="195">
        <f t="shared" si="1"/>
        <v>0</v>
      </c>
      <c r="P74" s="195">
        <f t="shared" si="2"/>
        <v>438</v>
      </c>
      <c r="Q74" s="195">
        <f t="shared" si="3"/>
        <v>3</v>
      </c>
      <c r="R74" s="196">
        <f t="shared" si="4"/>
        <v>2</v>
      </c>
      <c r="S74" s="18"/>
      <c r="T74" s="18"/>
      <c r="U74" s="18"/>
      <c r="V74" s="197">
        <f t="shared" si="9"/>
        <v>7010.4000000000078</v>
      </c>
      <c r="W74" s="195">
        <f t="shared" si="5"/>
        <v>0</v>
      </c>
      <c r="X74" s="195">
        <f t="shared" si="6"/>
        <v>45.400000000007822</v>
      </c>
      <c r="Y74" s="195">
        <f t="shared" si="7"/>
        <v>7</v>
      </c>
      <c r="Z74" s="196">
        <f t="shared" si="8"/>
        <v>6</v>
      </c>
    </row>
    <row r="75" spans="1:26" ht="12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73">
        <v>2964</v>
      </c>
      <c r="O75" s="195">
        <f t="shared" si="1"/>
        <v>431</v>
      </c>
      <c r="P75" s="195">
        <f t="shared" si="2"/>
        <v>40</v>
      </c>
      <c r="Q75" s="195">
        <f t="shared" si="3"/>
        <v>4</v>
      </c>
      <c r="R75" s="196">
        <f t="shared" si="4"/>
        <v>2</v>
      </c>
      <c r="S75" s="18"/>
      <c r="T75" s="18"/>
      <c r="U75" s="18"/>
      <c r="V75" s="197">
        <f t="shared" si="9"/>
        <v>7112.0000000000082</v>
      </c>
      <c r="W75" s="195">
        <f t="shared" si="5"/>
        <v>0</v>
      </c>
      <c r="X75" s="195">
        <f t="shared" si="6"/>
        <v>147.00000000000819</v>
      </c>
      <c r="Y75" s="195">
        <f t="shared" si="7"/>
        <v>7</v>
      </c>
      <c r="Z75" s="196">
        <f t="shared" si="8"/>
        <v>6</v>
      </c>
    </row>
    <row r="76" spans="1:26" ht="12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73">
        <v>2997</v>
      </c>
      <c r="O76" s="195">
        <f t="shared" si="1"/>
        <v>464</v>
      </c>
      <c r="P76" s="195">
        <f t="shared" si="2"/>
        <v>40</v>
      </c>
      <c r="Q76" s="195">
        <f t="shared" si="3"/>
        <v>4</v>
      </c>
      <c r="R76" s="196">
        <f t="shared" si="4"/>
        <v>2</v>
      </c>
      <c r="S76" s="18"/>
      <c r="T76" s="18"/>
      <c r="U76" s="18"/>
      <c r="V76" s="197">
        <f t="shared" si="9"/>
        <v>7213.6000000000085</v>
      </c>
      <c r="W76" s="195">
        <f t="shared" si="5"/>
        <v>0</v>
      </c>
      <c r="X76" s="195">
        <f t="shared" si="6"/>
        <v>248.60000000000855</v>
      </c>
      <c r="Y76" s="195">
        <f t="shared" si="7"/>
        <v>7</v>
      </c>
      <c r="Z76" s="196">
        <f t="shared" si="8"/>
        <v>6</v>
      </c>
    </row>
    <row r="77" spans="1:26" ht="12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73">
        <v>3030</v>
      </c>
      <c r="O77" s="195">
        <f t="shared" si="1"/>
        <v>497</v>
      </c>
      <c r="P77" s="195">
        <f t="shared" si="2"/>
        <v>40</v>
      </c>
      <c r="Q77" s="195">
        <f t="shared" si="3"/>
        <v>4</v>
      </c>
      <c r="R77" s="196">
        <f t="shared" si="4"/>
        <v>2</v>
      </c>
      <c r="S77" s="18"/>
      <c r="T77" s="18"/>
      <c r="U77" s="18"/>
      <c r="V77" s="197">
        <f t="shared" si="9"/>
        <v>7315.2000000000089</v>
      </c>
      <c r="W77" s="195">
        <f t="shared" si="5"/>
        <v>0</v>
      </c>
      <c r="X77" s="195">
        <f t="shared" si="6"/>
        <v>350.20000000000891</v>
      </c>
      <c r="Y77" s="195">
        <f t="shared" si="7"/>
        <v>7</v>
      </c>
      <c r="Z77" s="196">
        <f t="shared" si="8"/>
        <v>6</v>
      </c>
    </row>
    <row r="78" spans="1:26" ht="12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73">
        <v>3064</v>
      </c>
      <c r="O78" s="195">
        <f t="shared" si="1"/>
        <v>531</v>
      </c>
      <c r="P78" s="195">
        <f t="shared" si="2"/>
        <v>40</v>
      </c>
      <c r="Q78" s="195">
        <f t="shared" si="3"/>
        <v>4</v>
      </c>
      <c r="R78" s="196">
        <f t="shared" si="4"/>
        <v>2</v>
      </c>
      <c r="S78" s="18"/>
      <c r="T78" s="18"/>
      <c r="U78" s="18"/>
      <c r="V78" s="197">
        <f t="shared" si="9"/>
        <v>7416.8000000000093</v>
      </c>
      <c r="W78" s="195">
        <f t="shared" si="5"/>
        <v>0</v>
      </c>
      <c r="X78" s="195">
        <f t="shared" si="6"/>
        <v>451.80000000000928</v>
      </c>
      <c r="Y78" s="195">
        <f t="shared" si="7"/>
        <v>7</v>
      </c>
      <c r="Z78" s="196">
        <f t="shared" si="8"/>
        <v>6</v>
      </c>
    </row>
    <row r="79" spans="1:26" ht="12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73">
        <v>3097</v>
      </c>
      <c r="O79" s="195">
        <f t="shared" si="1"/>
        <v>564</v>
      </c>
      <c r="P79" s="195">
        <f t="shared" si="2"/>
        <v>40</v>
      </c>
      <c r="Q79" s="195">
        <f t="shared" si="3"/>
        <v>4</v>
      </c>
      <c r="R79" s="196">
        <f t="shared" si="4"/>
        <v>2</v>
      </c>
      <c r="S79" s="18"/>
      <c r="T79" s="18"/>
      <c r="U79" s="18"/>
      <c r="V79" s="197">
        <f t="shared" si="9"/>
        <v>7518.4000000000096</v>
      </c>
      <c r="W79" s="195">
        <f t="shared" si="5"/>
        <v>404.40000000000964</v>
      </c>
      <c r="X79" s="195">
        <f t="shared" si="6"/>
        <v>149</v>
      </c>
      <c r="Y79" s="195">
        <f t="shared" si="7"/>
        <v>8</v>
      </c>
      <c r="Z79" s="196">
        <f t="shared" si="8"/>
        <v>6</v>
      </c>
    </row>
    <row r="80" spans="1:26" ht="12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73">
        <v>3130</v>
      </c>
      <c r="O80" s="195">
        <f t="shared" si="1"/>
        <v>597</v>
      </c>
      <c r="P80" s="195">
        <f t="shared" si="2"/>
        <v>40</v>
      </c>
      <c r="Q80" s="195">
        <f t="shared" si="3"/>
        <v>4</v>
      </c>
      <c r="R80" s="196">
        <f t="shared" si="4"/>
        <v>2</v>
      </c>
      <c r="S80" s="18"/>
      <c r="T80" s="18"/>
      <c r="U80" s="18"/>
      <c r="V80" s="197">
        <f t="shared" si="9"/>
        <v>7620.00000000001</v>
      </c>
      <c r="W80" s="195">
        <f t="shared" si="5"/>
        <v>506.00000000001</v>
      </c>
      <c r="X80" s="195">
        <f t="shared" si="6"/>
        <v>149</v>
      </c>
      <c r="Y80" s="195">
        <f t="shared" si="7"/>
        <v>8</v>
      </c>
      <c r="Z80" s="196">
        <f t="shared" si="8"/>
        <v>6</v>
      </c>
    </row>
    <row r="81" spans="1:26" ht="12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73">
        <v>3164</v>
      </c>
      <c r="O81" s="195">
        <f t="shared" si="1"/>
        <v>631</v>
      </c>
      <c r="P81" s="195">
        <f t="shared" si="2"/>
        <v>40</v>
      </c>
      <c r="Q81" s="195">
        <f t="shared" si="3"/>
        <v>4</v>
      </c>
      <c r="R81" s="196">
        <f t="shared" si="4"/>
        <v>2</v>
      </c>
      <c r="S81" s="18"/>
      <c r="T81" s="18"/>
      <c r="U81" s="18"/>
      <c r="V81" s="197">
        <f t="shared" si="9"/>
        <v>7721.6000000000104</v>
      </c>
      <c r="W81" s="195">
        <f t="shared" si="5"/>
        <v>607.60000000001037</v>
      </c>
      <c r="X81" s="195">
        <f t="shared" si="6"/>
        <v>149</v>
      </c>
      <c r="Y81" s="195">
        <f t="shared" si="7"/>
        <v>8</v>
      </c>
      <c r="Z81" s="196">
        <f t="shared" si="8"/>
        <v>6</v>
      </c>
    </row>
    <row r="82" spans="1:26" ht="12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73">
        <v>3197</v>
      </c>
      <c r="O82" s="195">
        <f t="shared" si="1"/>
        <v>664</v>
      </c>
      <c r="P82" s="195">
        <f t="shared" si="2"/>
        <v>40</v>
      </c>
      <c r="Q82" s="195">
        <f t="shared" si="3"/>
        <v>4</v>
      </c>
      <c r="R82" s="196">
        <f t="shared" si="4"/>
        <v>2</v>
      </c>
      <c r="S82" s="18"/>
      <c r="T82" s="18"/>
      <c r="U82" s="18"/>
      <c r="V82" s="197">
        <f t="shared" si="9"/>
        <v>7823.2000000000107</v>
      </c>
      <c r="W82" s="195">
        <f t="shared" si="5"/>
        <v>709.20000000001073</v>
      </c>
      <c r="X82" s="195">
        <f t="shared" si="6"/>
        <v>149</v>
      </c>
      <c r="Y82" s="195">
        <f t="shared" si="7"/>
        <v>8</v>
      </c>
      <c r="Z82" s="196">
        <f t="shared" si="8"/>
        <v>6</v>
      </c>
    </row>
    <row r="83" spans="1:26" ht="12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73">
        <v>3230</v>
      </c>
      <c r="O83" s="195">
        <f t="shared" si="1"/>
        <v>697</v>
      </c>
      <c r="P83" s="195">
        <f t="shared" si="2"/>
        <v>40</v>
      </c>
      <c r="Q83" s="195">
        <f t="shared" si="3"/>
        <v>4</v>
      </c>
      <c r="R83" s="196">
        <f t="shared" si="4"/>
        <v>2</v>
      </c>
      <c r="S83" s="18"/>
      <c r="T83" s="18"/>
      <c r="U83" s="18"/>
      <c r="V83" s="197">
        <f t="shared" si="9"/>
        <v>7924.8000000000111</v>
      </c>
      <c r="W83" s="195">
        <f t="shared" si="5"/>
        <v>810.8000000000111</v>
      </c>
      <c r="X83" s="195">
        <f t="shared" si="6"/>
        <v>149</v>
      </c>
      <c r="Y83" s="195">
        <f t="shared" si="7"/>
        <v>8</v>
      </c>
      <c r="Z83" s="196">
        <f t="shared" si="8"/>
        <v>6</v>
      </c>
    </row>
    <row r="84" spans="1:26" ht="12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73">
        <v>3264</v>
      </c>
      <c r="O84" s="195">
        <f t="shared" si="1"/>
        <v>731</v>
      </c>
      <c r="P84" s="195">
        <f t="shared" si="2"/>
        <v>40</v>
      </c>
      <c r="Q84" s="195">
        <f t="shared" si="3"/>
        <v>4</v>
      </c>
      <c r="R84" s="196">
        <f t="shared" si="4"/>
        <v>2</v>
      </c>
      <c r="S84" s="18"/>
      <c r="T84" s="18"/>
      <c r="U84" s="18"/>
      <c r="V84" s="197">
        <f t="shared" si="9"/>
        <v>8026.4000000000115</v>
      </c>
      <c r="W84" s="195">
        <f t="shared" si="5"/>
        <v>912.40000000001146</v>
      </c>
      <c r="X84" s="195">
        <f t="shared" si="6"/>
        <v>149</v>
      </c>
      <c r="Y84" s="195">
        <f t="shared" si="7"/>
        <v>8</v>
      </c>
      <c r="Z84" s="196">
        <f t="shared" si="8"/>
        <v>6</v>
      </c>
    </row>
    <row r="85" spans="1:26" ht="12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73">
        <v>3297</v>
      </c>
      <c r="O85" s="195">
        <f t="shared" si="1"/>
        <v>764</v>
      </c>
      <c r="P85" s="195">
        <f t="shared" si="2"/>
        <v>40</v>
      </c>
      <c r="Q85" s="195">
        <f t="shared" si="3"/>
        <v>4</v>
      </c>
      <c r="R85" s="196">
        <f t="shared" si="4"/>
        <v>2</v>
      </c>
      <c r="S85" s="18"/>
      <c r="T85" s="18"/>
      <c r="U85" s="18"/>
      <c r="V85" s="197">
        <f t="shared" si="9"/>
        <v>8128.0000000000118</v>
      </c>
      <c r="W85" s="195">
        <f t="shared" si="5"/>
        <v>0</v>
      </c>
      <c r="X85" s="195">
        <f t="shared" si="6"/>
        <v>45.000000000011823</v>
      </c>
      <c r="Y85" s="195">
        <f t="shared" si="7"/>
        <v>8</v>
      </c>
      <c r="Z85" s="196">
        <f t="shared" si="8"/>
        <v>7</v>
      </c>
    </row>
    <row r="86" spans="1:26" ht="12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73">
        <v>3330</v>
      </c>
      <c r="O86" s="195">
        <f t="shared" si="1"/>
        <v>797</v>
      </c>
      <c r="P86" s="195">
        <f t="shared" si="2"/>
        <v>40</v>
      </c>
      <c r="Q86" s="195">
        <f t="shared" si="3"/>
        <v>4</v>
      </c>
      <c r="R86" s="196">
        <f t="shared" si="4"/>
        <v>2</v>
      </c>
      <c r="S86" s="18"/>
      <c r="T86" s="18"/>
      <c r="U86" s="18"/>
      <c r="V86" s="197">
        <f t="shared" si="9"/>
        <v>8229.6000000000113</v>
      </c>
      <c r="W86" s="195">
        <f t="shared" si="5"/>
        <v>0</v>
      </c>
      <c r="X86" s="195">
        <f t="shared" si="6"/>
        <v>146.60000000001128</v>
      </c>
      <c r="Y86" s="195">
        <f t="shared" si="7"/>
        <v>8</v>
      </c>
      <c r="Z86" s="196">
        <f t="shared" si="8"/>
        <v>7</v>
      </c>
    </row>
    <row r="87" spans="1:26" ht="12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73">
        <v>3363</v>
      </c>
      <c r="O87" s="195">
        <f t="shared" si="1"/>
        <v>830</v>
      </c>
      <c r="P87" s="195">
        <f t="shared" si="2"/>
        <v>40</v>
      </c>
      <c r="Q87" s="195">
        <f t="shared" si="3"/>
        <v>4</v>
      </c>
      <c r="R87" s="196">
        <f t="shared" si="4"/>
        <v>2</v>
      </c>
      <c r="S87" s="18"/>
      <c r="T87" s="18"/>
      <c r="U87" s="18"/>
      <c r="V87" s="197">
        <f t="shared" si="9"/>
        <v>8331.2000000000116</v>
      </c>
      <c r="W87" s="195">
        <f t="shared" si="5"/>
        <v>0</v>
      </c>
      <c r="X87" s="195">
        <f t="shared" si="6"/>
        <v>248.20000000001164</v>
      </c>
      <c r="Y87" s="195">
        <f t="shared" si="7"/>
        <v>8</v>
      </c>
      <c r="Z87" s="196">
        <f t="shared" si="8"/>
        <v>7</v>
      </c>
    </row>
    <row r="88" spans="1:26" ht="12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73">
        <v>3397</v>
      </c>
      <c r="O88" s="195">
        <f t="shared" si="1"/>
        <v>864</v>
      </c>
      <c r="P88" s="195">
        <f t="shared" si="2"/>
        <v>40</v>
      </c>
      <c r="Q88" s="195">
        <f t="shared" si="3"/>
        <v>4</v>
      </c>
      <c r="R88" s="196">
        <f t="shared" si="4"/>
        <v>2</v>
      </c>
      <c r="S88" s="18"/>
      <c r="T88" s="18"/>
      <c r="U88" s="18"/>
      <c r="V88" s="197">
        <f t="shared" si="9"/>
        <v>8432.800000000012</v>
      </c>
      <c r="W88" s="195">
        <f t="shared" si="5"/>
        <v>0</v>
      </c>
      <c r="X88" s="195">
        <f t="shared" si="6"/>
        <v>349.80000000001201</v>
      </c>
      <c r="Y88" s="195">
        <f t="shared" si="7"/>
        <v>8</v>
      </c>
      <c r="Z88" s="196">
        <f t="shared" si="8"/>
        <v>7</v>
      </c>
    </row>
    <row r="89" spans="1:26" ht="12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73">
        <v>3430</v>
      </c>
      <c r="O89" s="195">
        <f t="shared" si="1"/>
        <v>897</v>
      </c>
      <c r="P89" s="195">
        <f t="shared" si="2"/>
        <v>40</v>
      </c>
      <c r="Q89" s="195">
        <f t="shared" si="3"/>
        <v>4</v>
      </c>
      <c r="R89" s="196">
        <f t="shared" si="4"/>
        <v>2</v>
      </c>
      <c r="S89" s="18"/>
      <c r="T89" s="18"/>
      <c r="U89" s="18"/>
      <c r="V89" s="197">
        <f t="shared" si="9"/>
        <v>8534.4000000000124</v>
      </c>
      <c r="W89" s="195">
        <f t="shared" si="5"/>
        <v>0</v>
      </c>
      <c r="X89" s="195">
        <f t="shared" si="6"/>
        <v>451.40000000001237</v>
      </c>
      <c r="Y89" s="195">
        <f t="shared" si="7"/>
        <v>8</v>
      </c>
      <c r="Z89" s="196">
        <f t="shared" si="8"/>
        <v>7</v>
      </c>
    </row>
    <row r="90" spans="1:26" ht="12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73">
        <v>3463</v>
      </c>
      <c r="O90" s="195">
        <f t="shared" si="1"/>
        <v>930</v>
      </c>
      <c r="P90" s="195">
        <f t="shared" si="2"/>
        <v>40</v>
      </c>
      <c r="Q90" s="195">
        <f t="shared" si="3"/>
        <v>4</v>
      </c>
      <c r="R90" s="196">
        <f t="shared" si="4"/>
        <v>2</v>
      </c>
      <c r="S90" s="18"/>
      <c r="T90" s="18"/>
      <c r="U90" s="18"/>
      <c r="V90" s="197">
        <f t="shared" si="9"/>
        <v>8636.0000000000127</v>
      </c>
      <c r="W90" s="195">
        <f t="shared" si="5"/>
        <v>404.00000000001273</v>
      </c>
      <c r="X90" s="195">
        <f t="shared" si="6"/>
        <v>149</v>
      </c>
      <c r="Y90" s="195">
        <f t="shared" si="7"/>
        <v>9</v>
      </c>
      <c r="Z90" s="196">
        <f t="shared" si="8"/>
        <v>7</v>
      </c>
    </row>
    <row r="91" spans="1:26" ht="12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73">
        <v>3497</v>
      </c>
      <c r="O91" s="195">
        <f t="shared" si="1"/>
        <v>964</v>
      </c>
      <c r="P91" s="195">
        <f t="shared" si="2"/>
        <v>40</v>
      </c>
      <c r="Q91" s="195">
        <f t="shared" si="3"/>
        <v>4</v>
      </c>
      <c r="R91" s="196">
        <f t="shared" si="4"/>
        <v>2</v>
      </c>
      <c r="S91" s="18"/>
      <c r="T91" s="18"/>
      <c r="U91" s="18"/>
      <c r="V91" s="197">
        <f t="shared" si="9"/>
        <v>8737.6000000000131</v>
      </c>
      <c r="W91" s="195">
        <f t="shared" si="5"/>
        <v>505.6000000000131</v>
      </c>
      <c r="X91" s="195">
        <f t="shared" si="6"/>
        <v>149</v>
      </c>
      <c r="Y91" s="195">
        <f t="shared" si="7"/>
        <v>9</v>
      </c>
      <c r="Z91" s="196">
        <f t="shared" si="8"/>
        <v>7</v>
      </c>
    </row>
    <row r="92" spans="1:26" ht="12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73">
        <v>3530</v>
      </c>
      <c r="O92" s="195">
        <f t="shared" si="1"/>
        <v>997</v>
      </c>
      <c r="P92" s="195">
        <f t="shared" si="2"/>
        <v>40</v>
      </c>
      <c r="Q92" s="195">
        <f t="shared" si="3"/>
        <v>4</v>
      </c>
      <c r="R92" s="196">
        <f t="shared" si="4"/>
        <v>2</v>
      </c>
      <c r="S92" s="18"/>
      <c r="T92" s="18"/>
      <c r="U92" s="18"/>
      <c r="V92" s="197">
        <f t="shared" si="9"/>
        <v>8839.2000000000135</v>
      </c>
      <c r="W92" s="195">
        <f t="shared" si="5"/>
        <v>607.20000000001346</v>
      </c>
      <c r="X92" s="195">
        <f t="shared" si="6"/>
        <v>149</v>
      </c>
      <c r="Y92" s="195">
        <f t="shared" si="7"/>
        <v>9</v>
      </c>
      <c r="Z92" s="196">
        <f t="shared" si="8"/>
        <v>7</v>
      </c>
    </row>
    <row r="93" spans="1:26" ht="12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73">
        <v>3563</v>
      </c>
      <c r="O93" s="195">
        <f t="shared" si="1"/>
        <v>1030</v>
      </c>
      <c r="P93" s="195">
        <f t="shared" si="2"/>
        <v>40</v>
      </c>
      <c r="Q93" s="195">
        <f t="shared" si="3"/>
        <v>4</v>
      </c>
      <c r="R93" s="196">
        <f t="shared" si="4"/>
        <v>2</v>
      </c>
      <c r="S93" s="18"/>
      <c r="T93" s="18"/>
      <c r="U93" s="18"/>
      <c r="V93" s="197">
        <f t="shared" si="9"/>
        <v>8940.8000000000138</v>
      </c>
      <c r="W93" s="195">
        <f t="shared" si="5"/>
        <v>708.80000000001382</v>
      </c>
      <c r="X93" s="195">
        <f t="shared" si="6"/>
        <v>149</v>
      </c>
      <c r="Y93" s="195">
        <f t="shared" si="7"/>
        <v>9</v>
      </c>
      <c r="Z93" s="196">
        <f t="shared" si="8"/>
        <v>7</v>
      </c>
    </row>
    <row r="94" spans="1:26" ht="12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73">
        <v>3597</v>
      </c>
      <c r="O94" s="195">
        <f t="shared" si="1"/>
        <v>1064</v>
      </c>
      <c r="P94" s="195">
        <f t="shared" si="2"/>
        <v>40</v>
      </c>
      <c r="Q94" s="195">
        <f t="shared" si="3"/>
        <v>4</v>
      </c>
      <c r="R94" s="196">
        <f t="shared" si="4"/>
        <v>2</v>
      </c>
      <c r="S94" s="18"/>
      <c r="T94" s="18"/>
      <c r="U94" s="18"/>
      <c r="V94" s="197">
        <f t="shared" si="9"/>
        <v>9042.4000000000142</v>
      </c>
      <c r="W94" s="195">
        <f t="shared" si="5"/>
        <v>810.40000000001419</v>
      </c>
      <c r="X94" s="195">
        <f t="shared" si="6"/>
        <v>149</v>
      </c>
      <c r="Y94" s="195">
        <f t="shared" si="7"/>
        <v>9</v>
      </c>
      <c r="Z94" s="196">
        <f t="shared" si="8"/>
        <v>7</v>
      </c>
    </row>
    <row r="95" spans="1:26" ht="12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73">
        <v>3630</v>
      </c>
      <c r="O95" s="195">
        <f t="shared" si="1"/>
        <v>0</v>
      </c>
      <c r="P95" s="195">
        <f t="shared" si="2"/>
        <v>19</v>
      </c>
      <c r="Q95" s="195">
        <f t="shared" si="3"/>
        <v>4</v>
      </c>
      <c r="R95" s="196">
        <f t="shared" si="4"/>
        <v>3</v>
      </c>
      <c r="S95" s="18"/>
      <c r="T95" s="18"/>
      <c r="U95" s="18"/>
      <c r="V95" s="197">
        <f t="shared" si="9"/>
        <v>9144.0000000000146</v>
      </c>
      <c r="W95" s="195">
        <f t="shared" si="5"/>
        <v>912.00000000001455</v>
      </c>
      <c r="X95" s="195">
        <f t="shared" si="6"/>
        <v>149</v>
      </c>
      <c r="Y95" s="195">
        <f t="shared" si="7"/>
        <v>9</v>
      </c>
      <c r="Z95" s="196">
        <f t="shared" si="8"/>
        <v>7</v>
      </c>
    </row>
    <row r="96" spans="1:26" ht="12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73">
        <v>3663</v>
      </c>
      <c r="O96" s="195">
        <f t="shared" si="1"/>
        <v>0</v>
      </c>
      <c r="P96" s="195">
        <f t="shared" si="2"/>
        <v>52</v>
      </c>
      <c r="Q96" s="195">
        <f t="shared" si="3"/>
        <v>4</v>
      </c>
      <c r="R96" s="196">
        <f t="shared" si="4"/>
        <v>3</v>
      </c>
      <c r="S96" s="18"/>
      <c r="T96" s="18"/>
      <c r="U96" s="18"/>
      <c r="V96" s="197">
        <f t="shared" si="9"/>
        <v>9245.6000000000149</v>
      </c>
      <c r="W96" s="195">
        <f t="shared" si="5"/>
        <v>0</v>
      </c>
      <c r="X96" s="195">
        <f t="shared" si="6"/>
        <v>44.600000000014916</v>
      </c>
      <c r="Y96" s="195">
        <f t="shared" si="7"/>
        <v>9</v>
      </c>
      <c r="Z96" s="196">
        <f t="shared" si="8"/>
        <v>8</v>
      </c>
    </row>
    <row r="97" spans="1:26" ht="12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73">
        <v>3696</v>
      </c>
      <c r="O97" s="195">
        <f t="shared" si="1"/>
        <v>0</v>
      </c>
      <c r="P97" s="195">
        <f t="shared" si="2"/>
        <v>85</v>
      </c>
      <c r="Q97" s="195">
        <f t="shared" si="3"/>
        <v>4</v>
      </c>
      <c r="R97" s="196">
        <f t="shared" si="4"/>
        <v>3</v>
      </c>
      <c r="S97" s="18"/>
      <c r="T97" s="18"/>
      <c r="U97" s="18"/>
      <c r="V97" s="197">
        <f t="shared" si="9"/>
        <v>9347.2000000000153</v>
      </c>
      <c r="W97" s="195">
        <f t="shared" si="5"/>
        <v>0</v>
      </c>
      <c r="X97" s="195">
        <f t="shared" si="6"/>
        <v>146.20000000001528</v>
      </c>
      <c r="Y97" s="195">
        <f t="shared" si="7"/>
        <v>9</v>
      </c>
      <c r="Z97" s="196">
        <f t="shared" si="8"/>
        <v>8</v>
      </c>
    </row>
    <row r="98" spans="1:26" ht="12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73">
        <v>3730</v>
      </c>
      <c r="O98" s="195">
        <f t="shared" si="1"/>
        <v>0</v>
      </c>
      <c r="P98" s="195">
        <f t="shared" si="2"/>
        <v>119</v>
      </c>
      <c r="Q98" s="195">
        <f t="shared" si="3"/>
        <v>4</v>
      </c>
      <c r="R98" s="196">
        <f t="shared" si="4"/>
        <v>3</v>
      </c>
      <c r="S98" s="18"/>
      <c r="T98" s="18"/>
      <c r="U98" s="18"/>
      <c r="V98" s="197">
        <f t="shared" si="9"/>
        <v>9448.8000000000156</v>
      </c>
      <c r="W98" s="195">
        <f t="shared" si="5"/>
        <v>0</v>
      </c>
      <c r="X98" s="195">
        <f t="shared" si="6"/>
        <v>247.80000000001564</v>
      </c>
      <c r="Y98" s="195">
        <f t="shared" si="7"/>
        <v>9</v>
      </c>
      <c r="Z98" s="196">
        <f t="shared" si="8"/>
        <v>8</v>
      </c>
    </row>
    <row r="99" spans="1:26" ht="12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73">
        <v>3763</v>
      </c>
      <c r="O99" s="195">
        <f t="shared" si="1"/>
        <v>0</v>
      </c>
      <c r="P99" s="195">
        <f t="shared" si="2"/>
        <v>152</v>
      </c>
      <c r="Q99" s="195">
        <f t="shared" si="3"/>
        <v>4</v>
      </c>
      <c r="R99" s="196">
        <f t="shared" si="4"/>
        <v>3</v>
      </c>
      <c r="S99" s="18"/>
      <c r="T99" s="18"/>
      <c r="U99" s="18"/>
      <c r="V99" s="197">
        <f t="shared" si="9"/>
        <v>9550.400000000016</v>
      </c>
      <c r="W99" s="195">
        <f t="shared" si="5"/>
        <v>0</v>
      </c>
      <c r="X99" s="195">
        <f t="shared" si="6"/>
        <v>349.40000000001601</v>
      </c>
      <c r="Y99" s="195">
        <f t="shared" si="7"/>
        <v>9</v>
      </c>
      <c r="Z99" s="196">
        <f t="shared" si="8"/>
        <v>8</v>
      </c>
    </row>
    <row r="100" spans="1:26" ht="12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73">
        <v>3796</v>
      </c>
      <c r="O100" s="195">
        <f t="shared" si="1"/>
        <v>0</v>
      </c>
      <c r="P100" s="195">
        <f t="shared" si="2"/>
        <v>185</v>
      </c>
      <c r="Q100" s="195">
        <f t="shared" si="3"/>
        <v>4</v>
      </c>
      <c r="R100" s="196">
        <f t="shared" si="4"/>
        <v>3</v>
      </c>
      <c r="S100" s="18"/>
      <c r="T100" s="18"/>
      <c r="U100" s="18"/>
      <c r="V100" s="197">
        <f t="shared" si="9"/>
        <v>9652.0000000000164</v>
      </c>
      <c r="W100" s="195">
        <f t="shared" si="5"/>
        <v>0</v>
      </c>
      <c r="X100" s="195">
        <f t="shared" si="6"/>
        <v>451.00000000001637</v>
      </c>
      <c r="Y100" s="195">
        <f t="shared" si="7"/>
        <v>9</v>
      </c>
      <c r="Z100" s="196">
        <f t="shared" si="8"/>
        <v>8</v>
      </c>
    </row>
    <row r="101" spans="1:26" ht="12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73">
        <v>3830</v>
      </c>
      <c r="O101" s="195">
        <f t="shared" si="1"/>
        <v>0</v>
      </c>
      <c r="P101" s="195">
        <f t="shared" si="2"/>
        <v>219</v>
      </c>
      <c r="Q101" s="195">
        <f t="shared" si="3"/>
        <v>4</v>
      </c>
      <c r="R101" s="196">
        <f t="shared" si="4"/>
        <v>3</v>
      </c>
      <c r="S101" s="18"/>
      <c r="T101" s="18"/>
      <c r="U101" s="18"/>
      <c r="V101" s="197">
        <f t="shared" si="9"/>
        <v>9753.6000000000167</v>
      </c>
      <c r="W101" s="195">
        <f t="shared" si="5"/>
        <v>403.60000000001673</v>
      </c>
      <c r="X101" s="195">
        <f t="shared" si="6"/>
        <v>149</v>
      </c>
      <c r="Y101" s="195">
        <f t="shared" si="7"/>
        <v>10</v>
      </c>
      <c r="Z101" s="196">
        <f t="shared" si="8"/>
        <v>8</v>
      </c>
    </row>
    <row r="102" spans="1:26" ht="12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73">
        <v>3863</v>
      </c>
      <c r="O102" s="195">
        <f t="shared" si="1"/>
        <v>0</v>
      </c>
      <c r="P102" s="195">
        <f t="shared" si="2"/>
        <v>252</v>
      </c>
      <c r="Q102" s="195">
        <f t="shared" si="3"/>
        <v>4</v>
      </c>
      <c r="R102" s="196">
        <f t="shared" si="4"/>
        <v>3</v>
      </c>
      <c r="S102" s="18"/>
      <c r="T102" s="18"/>
      <c r="U102" s="18"/>
      <c r="V102" s="197">
        <f t="shared" si="9"/>
        <v>9855.2000000000171</v>
      </c>
      <c r="W102" s="195">
        <f t="shared" si="5"/>
        <v>505.2000000000171</v>
      </c>
      <c r="X102" s="195">
        <f t="shared" si="6"/>
        <v>149</v>
      </c>
      <c r="Y102" s="195">
        <f t="shared" si="7"/>
        <v>10</v>
      </c>
      <c r="Z102" s="196">
        <f t="shared" si="8"/>
        <v>8</v>
      </c>
    </row>
    <row r="103" spans="1:26" ht="12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73">
        <v>3896</v>
      </c>
      <c r="O103" s="195">
        <f t="shared" si="1"/>
        <v>0</v>
      </c>
      <c r="P103" s="195">
        <f t="shared" si="2"/>
        <v>285</v>
      </c>
      <c r="Q103" s="195">
        <f t="shared" si="3"/>
        <v>4</v>
      </c>
      <c r="R103" s="196">
        <f t="shared" si="4"/>
        <v>3</v>
      </c>
      <c r="S103" s="18"/>
      <c r="T103" s="18"/>
      <c r="U103" s="18"/>
      <c r="V103" s="197">
        <f t="shared" si="9"/>
        <v>9956.8000000000175</v>
      </c>
      <c r="W103" s="195">
        <f t="shared" si="5"/>
        <v>606.80000000001746</v>
      </c>
      <c r="X103" s="195">
        <f t="shared" si="6"/>
        <v>149</v>
      </c>
      <c r="Y103" s="195">
        <f t="shared" si="7"/>
        <v>10</v>
      </c>
      <c r="Z103" s="196">
        <f t="shared" si="8"/>
        <v>8</v>
      </c>
    </row>
    <row r="104" spans="1:26" ht="12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73">
        <v>3930</v>
      </c>
      <c r="O104" s="195">
        <f t="shared" si="1"/>
        <v>0</v>
      </c>
      <c r="P104" s="195">
        <f t="shared" si="2"/>
        <v>319</v>
      </c>
      <c r="Q104" s="195">
        <f t="shared" si="3"/>
        <v>4</v>
      </c>
      <c r="R104" s="196">
        <f t="shared" si="4"/>
        <v>3</v>
      </c>
      <c r="S104" s="18"/>
      <c r="T104" s="18"/>
      <c r="U104" s="18"/>
      <c r="V104" s="197">
        <f t="shared" si="9"/>
        <v>10058.400000000018</v>
      </c>
      <c r="W104" s="195">
        <f t="shared" si="5"/>
        <v>708.40000000001783</v>
      </c>
      <c r="X104" s="195">
        <f t="shared" si="6"/>
        <v>149</v>
      </c>
      <c r="Y104" s="195">
        <f t="shared" si="7"/>
        <v>10</v>
      </c>
      <c r="Z104" s="196">
        <f t="shared" si="8"/>
        <v>8</v>
      </c>
    </row>
    <row r="105" spans="1:26" ht="12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73">
        <v>3963</v>
      </c>
      <c r="O105" s="195">
        <f t="shared" si="1"/>
        <v>0</v>
      </c>
      <c r="P105" s="195">
        <f t="shared" si="2"/>
        <v>352</v>
      </c>
      <c r="Q105" s="195">
        <f t="shared" si="3"/>
        <v>4</v>
      </c>
      <c r="R105" s="196">
        <f t="shared" si="4"/>
        <v>3</v>
      </c>
      <c r="S105" s="18"/>
      <c r="T105" s="18"/>
      <c r="U105" s="18"/>
      <c r="V105" s="197">
        <f t="shared" si="9"/>
        <v>10160.000000000018</v>
      </c>
      <c r="W105" s="195">
        <f t="shared" si="5"/>
        <v>810.00000000001819</v>
      </c>
      <c r="X105" s="195">
        <f t="shared" si="6"/>
        <v>149</v>
      </c>
      <c r="Y105" s="195">
        <f t="shared" si="7"/>
        <v>10</v>
      </c>
      <c r="Z105" s="196">
        <f t="shared" si="8"/>
        <v>8</v>
      </c>
    </row>
    <row r="106" spans="1:26" ht="12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73">
        <v>3996</v>
      </c>
      <c r="O106" s="195">
        <f t="shared" si="1"/>
        <v>0</v>
      </c>
      <c r="P106" s="195">
        <f t="shared" si="2"/>
        <v>385</v>
      </c>
      <c r="Q106" s="195">
        <f t="shared" si="3"/>
        <v>4</v>
      </c>
      <c r="R106" s="196">
        <f t="shared" si="4"/>
        <v>3</v>
      </c>
      <c r="S106" s="18"/>
      <c r="T106" s="18"/>
      <c r="U106" s="18"/>
      <c r="V106" s="197">
        <f t="shared" si="9"/>
        <v>10261.600000000019</v>
      </c>
      <c r="W106" s="195">
        <f t="shared" si="5"/>
        <v>911.60000000001855</v>
      </c>
      <c r="X106" s="195">
        <f t="shared" si="6"/>
        <v>149</v>
      </c>
      <c r="Y106" s="195">
        <f t="shared" si="7"/>
        <v>10</v>
      </c>
      <c r="Z106" s="196">
        <f t="shared" si="8"/>
        <v>8</v>
      </c>
    </row>
    <row r="107" spans="1:26" ht="12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73">
        <v>4029</v>
      </c>
      <c r="O107" s="195">
        <f t="shared" si="1"/>
        <v>0</v>
      </c>
      <c r="P107" s="195">
        <f t="shared" si="2"/>
        <v>418</v>
      </c>
      <c r="Q107" s="195">
        <f t="shared" si="3"/>
        <v>4</v>
      </c>
      <c r="R107" s="196">
        <f t="shared" si="4"/>
        <v>3</v>
      </c>
      <c r="S107" s="18"/>
      <c r="T107" s="18"/>
      <c r="U107" s="18"/>
      <c r="V107" s="197">
        <f t="shared" si="9"/>
        <v>10363.200000000019</v>
      </c>
      <c r="W107" s="195">
        <f t="shared" si="5"/>
        <v>0</v>
      </c>
      <c r="X107" s="195">
        <f t="shared" si="6"/>
        <v>44.200000000018917</v>
      </c>
      <c r="Y107" s="195">
        <f t="shared" si="7"/>
        <v>10</v>
      </c>
      <c r="Z107" s="196">
        <f t="shared" si="8"/>
        <v>9</v>
      </c>
    </row>
    <row r="108" spans="1:26" ht="12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73">
        <v>4063</v>
      </c>
      <c r="O108" s="195">
        <f t="shared" si="1"/>
        <v>0</v>
      </c>
      <c r="P108" s="195">
        <f t="shared" si="2"/>
        <v>452</v>
      </c>
      <c r="Q108" s="195">
        <f t="shared" si="3"/>
        <v>4</v>
      </c>
      <c r="R108" s="196">
        <f t="shared" si="4"/>
        <v>3</v>
      </c>
      <c r="S108" s="18"/>
      <c r="T108" s="18"/>
      <c r="U108" s="18"/>
      <c r="V108" s="197">
        <f t="shared" si="9"/>
        <v>10464.800000000019</v>
      </c>
      <c r="W108" s="195">
        <f t="shared" si="5"/>
        <v>0</v>
      </c>
      <c r="X108" s="195">
        <f t="shared" si="6"/>
        <v>145.80000000001928</v>
      </c>
      <c r="Y108" s="195">
        <f t="shared" si="7"/>
        <v>10</v>
      </c>
      <c r="Z108" s="196">
        <f t="shared" si="8"/>
        <v>9</v>
      </c>
    </row>
    <row r="109" spans="1:26" ht="12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73">
        <v>4096</v>
      </c>
      <c r="O109" s="195">
        <f t="shared" si="1"/>
        <v>445</v>
      </c>
      <c r="P109" s="195">
        <f t="shared" si="2"/>
        <v>40</v>
      </c>
      <c r="Q109" s="195">
        <f t="shared" si="3"/>
        <v>5</v>
      </c>
      <c r="R109" s="196">
        <f t="shared" si="4"/>
        <v>3</v>
      </c>
      <c r="S109" s="18"/>
      <c r="T109" s="18"/>
      <c r="U109" s="18"/>
      <c r="V109" s="197">
        <f t="shared" si="9"/>
        <v>10566.40000000002</v>
      </c>
      <c r="W109" s="195">
        <f t="shared" si="5"/>
        <v>0</v>
      </c>
      <c r="X109" s="195">
        <f t="shared" si="6"/>
        <v>247.40000000001965</v>
      </c>
      <c r="Y109" s="195">
        <f t="shared" si="7"/>
        <v>10</v>
      </c>
      <c r="Z109" s="196">
        <f t="shared" si="8"/>
        <v>9</v>
      </c>
    </row>
    <row r="110" spans="1:26" ht="12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73">
        <v>4129</v>
      </c>
      <c r="O110" s="195">
        <f t="shared" si="1"/>
        <v>478</v>
      </c>
      <c r="P110" s="195">
        <f t="shared" si="2"/>
        <v>40</v>
      </c>
      <c r="Q110" s="195">
        <f t="shared" si="3"/>
        <v>5</v>
      </c>
      <c r="R110" s="196">
        <f t="shared" si="4"/>
        <v>3</v>
      </c>
      <c r="S110" s="18"/>
      <c r="T110" s="18"/>
      <c r="U110" s="18"/>
      <c r="V110" s="197">
        <f t="shared" si="9"/>
        <v>10668.00000000002</v>
      </c>
      <c r="W110" s="195">
        <f t="shared" si="5"/>
        <v>0</v>
      </c>
      <c r="X110" s="195">
        <f t="shared" si="6"/>
        <v>349.00000000002001</v>
      </c>
      <c r="Y110" s="195">
        <f t="shared" si="7"/>
        <v>10</v>
      </c>
      <c r="Z110" s="196">
        <f t="shared" si="8"/>
        <v>9</v>
      </c>
    </row>
    <row r="111" spans="1:26" ht="12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73">
        <v>4163</v>
      </c>
      <c r="O111" s="195">
        <f t="shared" si="1"/>
        <v>512</v>
      </c>
      <c r="P111" s="195">
        <f t="shared" si="2"/>
        <v>40</v>
      </c>
      <c r="Q111" s="195">
        <f t="shared" si="3"/>
        <v>5</v>
      </c>
      <c r="R111" s="196">
        <f t="shared" si="4"/>
        <v>3</v>
      </c>
      <c r="S111" s="18"/>
      <c r="T111" s="18"/>
      <c r="U111" s="18"/>
      <c r="V111" s="197">
        <f t="shared" si="9"/>
        <v>10769.60000000002</v>
      </c>
      <c r="W111" s="195">
        <f t="shared" si="5"/>
        <v>0</v>
      </c>
      <c r="X111" s="195">
        <f t="shared" si="6"/>
        <v>450.60000000002037</v>
      </c>
      <c r="Y111" s="195">
        <f t="shared" si="7"/>
        <v>10</v>
      </c>
      <c r="Z111" s="196">
        <f t="shared" si="8"/>
        <v>9</v>
      </c>
    </row>
    <row r="112" spans="1:26" ht="12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73">
        <v>4196</v>
      </c>
      <c r="O112" s="195">
        <f t="shared" si="1"/>
        <v>545</v>
      </c>
      <c r="P112" s="195">
        <f t="shared" si="2"/>
        <v>40</v>
      </c>
      <c r="Q112" s="195">
        <f t="shared" si="3"/>
        <v>5</v>
      </c>
      <c r="R112" s="196">
        <f t="shared" si="4"/>
        <v>3</v>
      </c>
      <c r="S112" s="18"/>
      <c r="T112" s="18"/>
      <c r="U112" s="18"/>
      <c r="V112" s="197">
        <f t="shared" si="9"/>
        <v>10871.200000000021</v>
      </c>
      <c r="W112" s="195">
        <f t="shared" si="5"/>
        <v>403.20000000002074</v>
      </c>
      <c r="X112" s="195">
        <f t="shared" si="6"/>
        <v>149</v>
      </c>
      <c r="Y112" s="195">
        <f t="shared" si="7"/>
        <v>11</v>
      </c>
      <c r="Z112" s="196">
        <f t="shared" si="8"/>
        <v>9</v>
      </c>
    </row>
    <row r="113" spans="1:26" ht="12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73">
        <v>4229</v>
      </c>
      <c r="O113" s="195">
        <f t="shared" si="1"/>
        <v>578</v>
      </c>
      <c r="P113" s="195">
        <f t="shared" si="2"/>
        <v>40</v>
      </c>
      <c r="Q113" s="195">
        <f t="shared" si="3"/>
        <v>5</v>
      </c>
      <c r="R113" s="196">
        <f t="shared" si="4"/>
        <v>3</v>
      </c>
      <c r="S113" s="18"/>
      <c r="T113" s="18"/>
      <c r="U113" s="18"/>
      <c r="V113" s="197">
        <f t="shared" si="9"/>
        <v>10972.800000000021</v>
      </c>
      <c r="W113" s="195">
        <f t="shared" si="5"/>
        <v>504.8000000000211</v>
      </c>
      <c r="X113" s="195">
        <f t="shared" si="6"/>
        <v>149</v>
      </c>
      <c r="Y113" s="195">
        <f t="shared" si="7"/>
        <v>11</v>
      </c>
      <c r="Z113" s="196">
        <f t="shared" si="8"/>
        <v>9</v>
      </c>
    </row>
    <row r="114" spans="1:26" ht="12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73">
        <v>4263</v>
      </c>
      <c r="O114" s="195">
        <f t="shared" si="1"/>
        <v>612</v>
      </c>
      <c r="P114" s="195">
        <f t="shared" si="2"/>
        <v>40</v>
      </c>
      <c r="Q114" s="195">
        <f t="shared" si="3"/>
        <v>5</v>
      </c>
      <c r="R114" s="196">
        <f t="shared" si="4"/>
        <v>3</v>
      </c>
      <c r="S114" s="18"/>
      <c r="T114" s="18"/>
      <c r="U114" s="18"/>
      <c r="V114" s="197">
        <f t="shared" si="9"/>
        <v>11074.400000000021</v>
      </c>
      <c r="W114" s="195">
        <f t="shared" si="5"/>
        <v>606.40000000002146</v>
      </c>
      <c r="X114" s="195">
        <f t="shared" si="6"/>
        <v>149</v>
      </c>
      <c r="Y114" s="195">
        <f t="shared" si="7"/>
        <v>11</v>
      </c>
      <c r="Z114" s="196">
        <f t="shared" si="8"/>
        <v>9</v>
      </c>
    </row>
    <row r="115" spans="1:26" ht="12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73">
        <v>4296</v>
      </c>
      <c r="O115" s="195">
        <f t="shared" si="1"/>
        <v>645</v>
      </c>
      <c r="P115" s="195">
        <f t="shared" si="2"/>
        <v>40</v>
      </c>
      <c r="Q115" s="195">
        <f t="shared" si="3"/>
        <v>5</v>
      </c>
      <c r="R115" s="196">
        <f t="shared" si="4"/>
        <v>3</v>
      </c>
      <c r="S115" s="18"/>
      <c r="T115" s="18"/>
      <c r="U115" s="18"/>
      <c r="V115" s="197">
        <f t="shared" si="9"/>
        <v>11176.000000000022</v>
      </c>
      <c r="W115" s="195">
        <f t="shared" si="5"/>
        <v>708.00000000002183</v>
      </c>
      <c r="X115" s="195">
        <f t="shared" si="6"/>
        <v>149</v>
      </c>
      <c r="Y115" s="195">
        <f t="shared" si="7"/>
        <v>11</v>
      </c>
      <c r="Z115" s="196">
        <f t="shared" si="8"/>
        <v>9</v>
      </c>
    </row>
    <row r="116" spans="1:26" ht="12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73">
        <v>4329</v>
      </c>
      <c r="O116" s="195">
        <f t="shared" si="1"/>
        <v>678</v>
      </c>
      <c r="P116" s="195">
        <f t="shared" si="2"/>
        <v>40</v>
      </c>
      <c r="Q116" s="195">
        <f t="shared" si="3"/>
        <v>5</v>
      </c>
      <c r="R116" s="196">
        <f t="shared" si="4"/>
        <v>3</v>
      </c>
      <c r="S116" s="18"/>
      <c r="T116" s="18"/>
      <c r="U116" s="18"/>
      <c r="V116" s="197">
        <f t="shared" si="9"/>
        <v>11277.600000000022</v>
      </c>
      <c r="W116" s="195">
        <f t="shared" si="5"/>
        <v>809.60000000002219</v>
      </c>
      <c r="X116" s="195">
        <f t="shared" si="6"/>
        <v>149</v>
      </c>
      <c r="Y116" s="195">
        <f t="shared" si="7"/>
        <v>11</v>
      </c>
      <c r="Z116" s="196">
        <f t="shared" si="8"/>
        <v>9</v>
      </c>
    </row>
    <row r="117" spans="1:26" ht="12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73">
        <v>4362</v>
      </c>
      <c r="O117" s="195">
        <f t="shared" si="1"/>
        <v>711</v>
      </c>
      <c r="P117" s="195">
        <f t="shared" si="2"/>
        <v>40</v>
      </c>
      <c r="Q117" s="195">
        <f t="shared" si="3"/>
        <v>5</v>
      </c>
      <c r="R117" s="196">
        <f t="shared" si="4"/>
        <v>3</v>
      </c>
      <c r="S117" s="18"/>
      <c r="T117" s="18"/>
      <c r="U117" s="18"/>
      <c r="V117" s="197">
        <f t="shared" si="9"/>
        <v>11379.200000000023</v>
      </c>
      <c r="W117" s="195">
        <f t="shared" si="5"/>
        <v>911.20000000002256</v>
      </c>
      <c r="X117" s="195">
        <f t="shared" si="6"/>
        <v>149</v>
      </c>
      <c r="Y117" s="195">
        <f t="shared" si="7"/>
        <v>11</v>
      </c>
      <c r="Z117" s="196">
        <f t="shared" si="8"/>
        <v>9</v>
      </c>
    </row>
    <row r="118" spans="1:26" ht="12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73">
        <v>4396</v>
      </c>
      <c r="O118" s="195">
        <f t="shared" si="1"/>
        <v>745</v>
      </c>
      <c r="P118" s="195">
        <f t="shared" si="2"/>
        <v>40</v>
      </c>
      <c r="Q118" s="195">
        <f t="shared" si="3"/>
        <v>5</v>
      </c>
      <c r="R118" s="196">
        <f t="shared" si="4"/>
        <v>3</v>
      </c>
      <c r="S118" s="18"/>
      <c r="T118" s="18"/>
      <c r="U118" s="18"/>
      <c r="V118" s="197">
        <f t="shared" si="9"/>
        <v>11480.800000000023</v>
      </c>
      <c r="W118" s="195">
        <f t="shared" si="5"/>
        <v>0</v>
      </c>
      <c r="X118" s="195">
        <f t="shared" si="6"/>
        <v>43.800000000022919</v>
      </c>
      <c r="Y118" s="195">
        <f t="shared" si="7"/>
        <v>11</v>
      </c>
      <c r="Z118" s="196">
        <f t="shared" si="8"/>
        <v>10</v>
      </c>
    </row>
    <row r="119" spans="1:26" ht="12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73">
        <v>4429</v>
      </c>
      <c r="O119" s="195">
        <f t="shared" si="1"/>
        <v>778</v>
      </c>
      <c r="P119" s="195">
        <f t="shared" si="2"/>
        <v>40</v>
      </c>
      <c r="Q119" s="195">
        <f t="shared" si="3"/>
        <v>5</v>
      </c>
      <c r="R119" s="196">
        <f t="shared" si="4"/>
        <v>3</v>
      </c>
      <c r="S119" s="18"/>
      <c r="T119" s="18"/>
      <c r="U119" s="18"/>
      <c r="V119" s="197">
        <f t="shared" si="9"/>
        <v>11582.400000000023</v>
      </c>
      <c r="W119" s="195">
        <f t="shared" si="5"/>
        <v>0</v>
      </c>
      <c r="X119" s="195">
        <f t="shared" si="6"/>
        <v>145.40000000002328</v>
      </c>
      <c r="Y119" s="195">
        <f t="shared" si="7"/>
        <v>11</v>
      </c>
      <c r="Z119" s="196">
        <f t="shared" si="8"/>
        <v>10</v>
      </c>
    </row>
    <row r="120" spans="1:26" ht="12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73">
        <v>4462</v>
      </c>
      <c r="O120" s="195">
        <f t="shared" si="1"/>
        <v>811</v>
      </c>
      <c r="P120" s="195">
        <f t="shared" si="2"/>
        <v>40</v>
      </c>
      <c r="Q120" s="195">
        <f t="shared" si="3"/>
        <v>5</v>
      </c>
      <c r="R120" s="196">
        <f t="shared" si="4"/>
        <v>3</v>
      </c>
      <c r="S120" s="18"/>
      <c r="T120" s="18"/>
      <c r="U120" s="18"/>
      <c r="V120" s="197">
        <f t="shared" si="9"/>
        <v>11684.000000000024</v>
      </c>
      <c r="W120" s="195">
        <f t="shared" si="5"/>
        <v>0</v>
      </c>
      <c r="X120" s="195">
        <f t="shared" si="6"/>
        <v>247.00000000002365</v>
      </c>
      <c r="Y120" s="195">
        <f t="shared" si="7"/>
        <v>11</v>
      </c>
      <c r="Z120" s="196">
        <f t="shared" si="8"/>
        <v>10</v>
      </c>
    </row>
    <row r="121" spans="1:26" ht="12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73">
        <v>4496</v>
      </c>
      <c r="O121" s="195">
        <f t="shared" si="1"/>
        <v>845</v>
      </c>
      <c r="P121" s="195">
        <f t="shared" si="2"/>
        <v>40</v>
      </c>
      <c r="Q121" s="195">
        <f t="shared" si="3"/>
        <v>5</v>
      </c>
      <c r="R121" s="196">
        <f t="shared" si="4"/>
        <v>3</v>
      </c>
      <c r="S121" s="18"/>
      <c r="T121" s="18"/>
      <c r="U121" s="18"/>
      <c r="V121" s="197">
        <f t="shared" si="9"/>
        <v>11785.600000000024</v>
      </c>
      <c r="W121" s="195">
        <f t="shared" si="5"/>
        <v>0</v>
      </c>
      <c r="X121" s="195">
        <f t="shared" si="6"/>
        <v>348.60000000002401</v>
      </c>
      <c r="Y121" s="195">
        <f t="shared" si="7"/>
        <v>11</v>
      </c>
      <c r="Z121" s="196">
        <f t="shared" si="8"/>
        <v>10</v>
      </c>
    </row>
    <row r="122" spans="1:26" ht="12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73">
        <v>4529</v>
      </c>
      <c r="O122" s="195">
        <f t="shared" si="1"/>
        <v>878</v>
      </c>
      <c r="P122" s="195">
        <f t="shared" si="2"/>
        <v>40</v>
      </c>
      <c r="Q122" s="195">
        <f t="shared" si="3"/>
        <v>5</v>
      </c>
      <c r="R122" s="196">
        <f t="shared" si="4"/>
        <v>3</v>
      </c>
      <c r="S122" s="18"/>
      <c r="T122" s="18"/>
      <c r="U122" s="18"/>
      <c r="V122" s="197">
        <f t="shared" si="9"/>
        <v>11887.200000000024</v>
      </c>
      <c r="W122" s="195">
        <f t="shared" si="5"/>
        <v>0</v>
      </c>
      <c r="X122" s="195">
        <f t="shared" si="6"/>
        <v>450.20000000002437</v>
      </c>
      <c r="Y122" s="195">
        <f t="shared" si="7"/>
        <v>11</v>
      </c>
      <c r="Z122" s="196">
        <f t="shared" si="8"/>
        <v>10</v>
      </c>
    </row>
    <row r="123" spans="1:26" ht="12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73">
        <v>4562</v>
      </c>
      <c r="O123" s="195">
        <f t="shared" si="1"/>
        <v>911</v>
      </c>
      <c r="P123" s="195">
        <f t="shared" si="2"/>
        <v>40</v>
      </c>
      <c r="Q123" s="195">
        <f t="shared" si="3"/>
        <v>5</v>
      </c>
      <c r="R123" s="196">
        <f t="shared" si="4"/>
        <v>3</v>
      </c>
      <c r="S123" s="18"/>
      <c r="T123" s="18"/>
      <c r="U123" s="18"/>
      <c r="V123" s="197">
        <f t="shared" si="9"/>
        <v>11988.800000000025</v>
      </c>
      <c r="W123" s="195">
        <f t="shared" si="5"/>
        <v>402.80000000002474</v>
      </c>
      <c r="X123" s="195">
        <f t="shared" si="6"/>
        <v>149</v>
      </c>
      <c r="Y123" s="195">
        <f t="shared" si="7"/>
        <v>12</v>
      </c>
      <c r="Z123" s="196">
        <f t="shared" si="8"/>
        <v>10</v>
      </c>
    </row>
    <row r="124" spans="1:26" ht="12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73">
        <v>4596</v>
      </c>
      <c r="O124" s="195">
        <f t="shared" si="1"/>
        <v>945</v>
      </c>
      <c r="P124" s="195">
        <f t="shared" si="2"/>
        <v>40</v>
      </c>
      <c r="Q124" s="195">
        <f t="shared" si="3"/>
        <v>5</v>
      </c>
      <c r="R124" s="196">
        <f t="shared" si="4"/>
        <v>3</v>
      </c>
      <c r="S124" s="18"/>
      <c r="T124" s="18"/>
      <c r="U124" s="18"/>
      <c r="V124" s="197">
        <f t="shared" si="9"/>
        <v>12090.400000000025</v>
      </c>
      <c r="W124" s="195">
        <f t="shared" si="5"/>
        <v>504.4000000000251</v>
      </c>
      <c r="X124" s="195">
        <f t="shared" si="6"/>
        <v>149</v>
      </c>
      <c r="Y124" s="195">
        <f t="shared" si="7"/>
        <v>12</v>
      </c>
      <c r="Z124" s="196">
        <f t="shared" si="8"/>
        <v>10</v>
      </c>
    </row>
    <row r="125" spans="1:26" ht="12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73">
        <v>4629</v>
      </c>
      <c r="O125" s="195">
        <f t="shared" si="1"/>
        <v>978</v>
      </c>
      <c r="P125" s="195">
        <f t="shared" si="2"/>
        <v>40</v>
      </c>
      <c r="Q125" s="195">
        <f t="shared" si="3"/>
        <v>5</v>
      </c>
      <c r="R125" s="196">
        <f t="shared" si="4"/>
        <v>3</v>
      </c>
      <c r="S125" s="18"/>
      <c r="T125" s="18"/>
      <c r="U125" s="18"/>
      <c r="V125" s="197">
        <f t="shared" si="9"/>
        <v>12192.000000000025</v>
      </c>
      <c r="W125" s="195">
        <f t="shared" si="5"/>
        <v>606.00000000002547</v>
      </c>
      <c r="X125" s="195">
        <f t="shared" si="6"/>
        <v>149</v>
      </c>
      <c r="Y125" s="195">
        <f t="shared" si="7"/>
        <v>12</v>
      </c>
      <c r="Z125" s="196">
        <f t="shared" si="8"/>
        <v>10</v>
      </c>
    </row>
    <row r="126" spans="1:26" ht="12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73">
        <v>4662</v>
      </c>
      <c r="O126" s="195">
        <f t="shared" si="1"/>
        <v>1011</v>
      </c>
      <c r="P126" s="195">
        <f t="shared" si="2"/>
        <v>40</v>
      </c>
      <c r="Q126" s="195">
        <f t="shared" si="3"/>
        <v>5</v>
      </c>
      <c r="R126" s="196">
        <f t="shared" si="4"/>
        <v>3</v>
      </c>
      <c r="S126" s="18"/>
      <c r="T126" s="18"/>
      <c r="U126" s="18"/>
      <c r="V126" s="197">
        <f t="shared" si="9"/>
        <v>12293.600000000026</v>
      </c>
      <c r="W126" s="195">
        <f t="shared" si="5"/>
        <v>707.60000000002583</v>
      </c>
      <c r="X126" s="195">
        <f t="shared" si="6"/>
        <v>149</v>
      </c>
      <c r="Y126" s="195">
        <f t="shared" si="7"/>
        <v>12</v>
      </c>
      <c r="Z126" s="196">
        <f t="shared" si="8"/>
        <v>10</v>
      </c>
    </row>
    <row r="127" spans="1:26" ht="12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73">
        <v>4695</v>
      </c>
      <c r="O127" s="195">
        <f t="shared" si="1"/>
        <v>1044</v>
      </c>
      <c r="P127" s="195">
        <f t="shared" si="2"/>
        <v>40</v>
      </c>
      <c r="Q127" s="195">
        <f t="shared" si="3"/>
        <v>5</v>
      </c>
      <c r="R127" s="196">
        <f t="shared" si="4"/>
        <v>3</v>
      </c>
      <c r="S127" s="18"/>
      <c r="T127" s="18"/>
      <c r="U127" s="18"/>
      <c r="V127" s="197">
        <f t="shared" si="9"/>
        <v>12395.200000000026</v>
      </c>
      <c r="W127" s="195">
        <f t="shared" si="5"/>
        <v>809.20000000002619</v>
      </c>
      <c r="X127" s="195">
        <f t="shared" si="6"/>
        <v>149</v>
      </c>
      <c r="Y127" s="195">
        <f t="shared" si="7"/>
        <v>12</v>
      </c>
      <c r="Z127" s="196">
        <f t="shared" si="8"/>
        <v>10</v>
      </c>
    </row>
    <row r="128" spans="1:26" ht="12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73">
        <v>4729</v>
      </c>
      <c r="O128" s="195">
        <f t="shared" si="1"/>
        <v>0</v>
      </c>
      <c r="P128" s="195">
        <f t="shared" si="2"/>
        <v>0</v>
      </c>
      <c r="Q128" s="195">
        <f t="shared" si="3"/>
        <v>5</v>
      </c>
      <c r="R128" s="196">
        <f t="shared" si="4"/>
        <v>4</v>
      </c>
      <c r="S128" s="18"/>
      <c r="T128" s="18"/>
      <c r="U128" s="18"/>
      <c r="V128" s="197">
        <f t="shared" si="9"/>
        <v>12496.800000000027</v>
      </c>
      <c r="W128" s="195">
        <f t="shared" si="5"/>
        <v>910.80000000002656</v>
      </c>
      <c r="X128" s="195">
        <f t="shared" si="6"/>
        <v>149</v>
      </c>
      <c r="Y128" s="195">
        <f t="shared" si="7"/>
        <v>12</v>
      </c>
      <c r="Z128" s="196">
        <f t="shared" si="8"/>
        <v>10</v>
      </c>
    </row>
    <row r="129" spans="1:26" ht="12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73">
        <v>4762</v>
      </c>
      <c r="O129" s="195">
        <f t="shared" si="1"/>
        <v>0</v>
      </c>
      <c r="P129" s="195">
        <f t="shared" si="2"/>
        <v>33</v>
      </c>
      <c r="Q129" s="195">
        <f t="shared" si="3"/>
        <v>5</v>
      </c>
      <c r="R129" s="196">
        <f t="shared" si="4"/>
        <v>4</v>
      </c>
      <c r="S129" s="18"/>
      <c r="T129" s="18"/>
      <c r="U129" s="18"/>
      <c r="V129" s="197">
        <f t="shared" si="9"/>
        <v>12598.400000000027</v>
      </c>
      <c r="W129" s="195">
        <f t="shared" si="5"/>
        <v>0</v>
      </c>
      <c r="X129" s="195">
        <f t="shared" si="6"/>
        <v>43.400000000026921</v>
      </c>
      <c r="Y129" s="195">
        <f t="shared" si="7"/>
        <v>12</v>
      </c>
      <c r="Z129" s="196">
        <f t="shared" si="8"/>
        <v>11</v>
      </c>
    </row>
    <row r="130" spans="1:26" ht="12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73">
        <v>4795</v>
      </c>
      <c r="O130" s="195">
        <f t="shared" si="1"/>
        <v>0</v>
      </c>
      <c r="P130" s="195">
        <f t="shared" si="2"/>
        <v>66</v>
      </c>
      <c r="Q130" s="195">
        <f t="shared" si="3"/>
        <v>5</v>
      </c>
      <c r="R130" s="196">
        <f t="shared" si="4"/>
        <v>4</v>
      </c>
      <c r="S130" s="18"/>
      <c r="T130" s="18"/>
      <c r="U130" s="18"/>
      <c r="V130" s="197">
        <f t="shared" si="9"/>
        <v>12700.000000000027</v>
      </c>
      <c r="W130" s="195">
        <f t="shared" si="5"/>
        <v>0</v>
      </c>
      <c r="X130" s="195">
        <f t="shared" si="6"/>
        <v>145.00000000002728</v>
      </c>
      <c r="Y130" s="195">
        <f t="shared" si="7"/>
        <v>12</v>
      </c>
      <c r="Z130" s="196">
        <f t="shared" si="8"/>
        <v>11</v>
      </c>
    </row>
    <row r="131" spans="1:26" ht="12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73">
        <v>4829</v>
      </c>
      <c r="O131" s="195">
        <f t="shared" si="1"/>
        <v>0</v>
      </c>
      <c r="P131" s="195">
        <f t="shared" si="2"/>
        <v>100</v>
      </c>
      <c r="Q131" s="195">
        <f t="shared" si="3"/>
        <v>5</v>
      </c>
      <c r="R131" s="196">
        <f t="shared" si="4"/>
        <v>4</v>
      </c>
      <c r="S131" s="18"/>
      <c r="T131" s="18"/>
      <c r="U131" s="18"/>
      <c r="V131" s="197">
        <f t="shared" si="9"/>
        <v>12801.600000000028</v>
      </c>
      <c r="W131" s="195">
        <f t="shared" si="5"/>
        <v>0</v>
      </c>
      <c r="X131" s="195">
        <f t="shared" si="6"/>
        <v>246.60000000002765</v>
      </c>
      <c r="Y131" s="195">
        <f t="shared" si="7"/>
        <v>12</v>
      </c>
      <c r="Z131" s="196">
        <f t="shared" si="8"/>
        <v>11</v>
      </c>
    </row>
    <row r="132" spans="1:26" ht="12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73">
        <v>4862</v>
      </c>
      <c r="O132" s="195">
        <f t="shared" si="1"/>
        <v>0</v>
      </c>
      <c r="P132" s="195">
        <f t="shared" si="2"/>
        <v>133</v>
      </c>
      <c r="Q132" s="195">
        <f t="shared" si="3"/>
        <v>5</v>
      </c>
      <c r="R132" s="196">
        <f t="shared" si="4"/>
        <v>4</v>
      </c>
      <c r="S132" s="18"/>
      <c r="T132" s="18"/>
      <c r="U132" s="18"/>
      <c r="V132" s="197">
        <f t="shared" si="9"/>
        <v>12903.200000000028</v>
      </c>
      <c r="W132" s="195">
        <f t="shared" si="5"/>
        <v>0</v>
      </c>
      <c r="X132" s="195">
        <f t="shared" si="6"/>
        <v>348.20000000002801</v>
      </c>
      <c r="Y132" s="195">
        <f t="shared" si="7"/>
        <v>12</v>
      </c>
      <c r="Z132" s="196">
        <f t="shared" si="8"/>
        <v>11</v>
      </c>
    </row>
    <row r="133" spans="1:26" ht="12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73">
        <v>4895</v>
      </c>
      <c r="O133" s="195">
        <f t="shared" si="1"/>
        <v>0</v>
      </c>
      <c r="P133" s="195">
        <f t="shared" si="2"/>
        <v>166</v>
      </c>
      <c r="Q133" s="195">
        <f t="shared" si="3"/>
        <v>5</v>
      </c>
      <c r="R133" s="196">
        <f t="shared" si="4"/>
        <v>4</v>
      </c>
      <c r="S133" s="18"/>
      <c r="T133" s="18"/>
      <c r="U133" s="18"/>
      <c r="V133" s="197">
        <f t="shared" si="9"/>
        <v>13004.800000000028</v>
      </c>
      <c r="W133" s="195">
        <f t="shared" si="5"/>
        <v>0</v>
      </c>
      <c r="X133" s="195">
        <f t="shared" si="6"/>
        <v>449.80000000002838</v>
      </c>
      <c r="Y133" s="195">
        <f t="shared" si="7"/>
        <v>12</v>
      </c>
      <c r="Z133" s="196">
        <f t="shared" si="8"/>
        <v>11</v>
      </c>
    </row>
    <row r="134" spans="1:26" ht="12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73">
        <v>4928</v>
      </c>
      <c r="O134" s="195">
        <f t="shared" si="1"/>
        <v>0</v>
      </c>
      <c r="P134" s="195">
        <f t="shared" si="2"/>
        <v>199</v>
      </c>
      <c r="Q134" s="195">
        <f t="shared" si="3"/>
        <v>5</v>
      </c>
      <c r="R134" s="196">
        <f t="shared" si="4"/>
        <v>4</v>
      </c>
      <c r="S134" s="18"/>
      <c r="T134" s="18"/>
      <c r="U134" s="18"/>
      <c r="V134" s="197">
        <f t="shared" si="9"/>
        <v>13106.400000000029</v>
      </c>
      <c r="W134" s="195">
        <f t="shared" si="5"/>
        <v>402.40000000002874</v>
      </c>
      <c r="X134" s="195">
        <f t="shared" si="6"/>
        <v>149</v>
      </c>
      <c r="Y134" s="195">
        <f t="shared" si="7"/>
        <v>13</v>
      </c>
      <c r="Z134" s="196">
        <f t="shared" si="8"/>
        <v>11</v>
      </c>
    </row>
    <row r="135" spans="1:26" ht="12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73">
        <v>4962</v>
      </c>
      <c r="O135" s="195">
        <f t="shared" si="1"/>
        <v>0</v>
      </c>
      <c r="P135" s="195">
        <f t="shared" si="2"/>
        <v>233</v>
      </c>
      <c r="Q135" s="195">
        <f t="shared" si="3"/>
        <v>5</v>
      </c>
      <c r="R135" s="196">
        <f t="shared" si="4"/>
        <v>4</v>
      </c>
      <c r="S135" s="18"/>
      <c r="T135" s="18"/>
      <c r="U135" s="18"/>
      <c r="V135" s="197">
        <f t="shared" si="9"/>
        <v>13208.000000000029</v>
      </c>
      <c r="W135" s="195">
        <f t="shared" si="5"/>
        <v>504.0000000000291</v>
      </c>
      <c r="X135" s="195">
        <f t="shared" si="6"/>
        <v>149</v>
      </c>
      <c r="Y135" s="195">
        <f t="shared" si="7"/>
        <v>13</v>
      </c>
      <c r="Z135" s="196">
        <f t="shared" si="8"/>
        <v>11</v>
      </c>
    </row>
    <row r="136" spans="1:26" ht="12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73">
        <v>4995</v>
      </c>
      <c r="O136" s="195">
        <f t="shared" si="1"/>
        <v>0</v>
      </c>
      <c r="P136" s="195">
        <f t="shared" si="2"/>
        <v>266</v>
      </c>
      <c r="Q136" s="195">
        <f t="shared" si="3"/>
        <v>5</v>
      </c>
      <c r="R136" s="196">
        <f t="shared" si="4"/>
        <v>4</v>
      </c>
      <c r="S136" s="18"/>
      <c r="T136" s="18"/>
      <c r="U136" s="18"/>
      <c r="V136" s="197">
        <f t="shared" si="9"/>
        <v>13309.600000000029</v>
      </c>
      <c r="W136" s="195">
        <f t="shared" si="5"/>
        <v>605.60000000002947</v>
      </c>
      <c r="X136" s="195">
        <f t="shared" si="6"/>
        <v>149</v>
      </c>
      <c r="Y136" s="195">
        <f t="shared" si="7"/>
        <v>13</v>
      </c>
      <c r="Z136" s="196">
        <f t="shared" si="8"/>
        <v>11</v>
      </c>
    </row>
    <row r="137" spans="1:26" ht="12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73">
        <v>5028</v>
      </c>
      <c r="O137" s="195">
        <f t="shared" si="1"/>
        <v>0</v>
      </c>
      <c r="P137" s="195">
        <f t="shared" si="2"/>
        <v>299</v>
      </c>
      <c r="Q137" s="195">
        <f t="shared" si="3"/>
        <v>5</v>
      </c>
      <c r="R137" s="196">
        <f t="shared" si="4"/>
        <v>4</v>
      </c>
      <c r="S137" s="18"/>
      <c r="T137" s="18"/>
      <c r="U137" s="18"/>
      <c r="V137" s="197">
        <f t="shared" si="9"/>
        <v>13411.20000000003</v>
      </c>
      <c r="W137" s="195">
        <f t="shared" si="5"/>
        <v>707.20000000002983</v>
      </c>
      <c r="X137" s="195">
        <f t="shared" si="6"/>
        <v>149</v>
      </c>
      <c r="Y137" s="195">
        <f t="shared" si="7"/>
        <v>13</v>
      </c>
      <c r="Z137" s="196">
        <f t="shared" si="8"/>
        <v>11</v>
      </c>
    </row>
    <row r="138" spans="1:26" ht="12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73">
        <v>5062</v>
      </c>
      <c r="O138" s="195">
        <f t="shared" si="1"/>
        <v>0</v>
      </c>
      <c r="P138" s="195">
        <f t="shared" si="2"/>
        <v>333</v>
      </c>
      <c r="Q138" s="195">
        <f t="shared" si="3"/>
        <v>5</v>
      </c>
      <c r="R138" s="196">
        <f t="shared" si="4"/>
        <v>4</v>
      </c>
      <c r="S138" s="18"/>
      <c r="T138" s="18"/>
      <c r="U138" s="18"/>
      <c r="V138" s="197">
        <f t="shared" si="9"/>
        <v>13512.80000000003</v>
      </c>
      <c r="W138" s="195">
        <f t="shared" si="5"/>
        <v>808.8000000000302</v>
      </c>
      <c r="X138" s="195">
        <f t="shared" si="6"/>
        <v>149</v>
      </c>
      <c r="Y138" s="195">
        <f t="shared" si="7"/>
        <v>13</v>
      </c>
      <c r="Z138" s="196">
        <f t="shared" si="8"/>
        <v>11</v>
      </c>
    </row>
    <row r="139" spans="1:26" ht="12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73">
        <v>5095</v>
      </c>
      <c r="O139" s="195">
        <f t="shared" si="1"/>
        <v>0</v>
      </c>
      <c r="P139" s="195">
        <f t="shared" si="2"/>
        <v>366</v>
      </c>
      <c r="Q139" s="195">
        <f t="shared" si="3"/>
        <v>5</v>
      </c>
      <c r="R139" s="196">
        <f t="shared" si="4"/>
        <v>4</v>
      </c>
      <c r="S139" s="18"/>
      <c r="T139" s="18"/>
      <c r="U139" s="18"/>
      <c r="V139" s="197">
        <f t="shared" si="9"/>
        <v>13614.400000000031</v>
      </c>
      <c r="W139" s="195">
        <f t="shared" si="5"/>
        <v>910.40000000003056</v>
      </c>
      <c r="X139" s="195">
        <f t="shared" si="6"/>
        <v>149</v>
      </c>
      <c r="Y139" s="195">
        <f t="shared" si="7"/>
        <v>13</v>
      </c>
      <c r="Z139" s="196">
        <f t="shared" si="8"/>
        <v>11</v>
      </c>
    </row>
    <row r="140" spans="1:26" ht="12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73">
        <v>5128</v>
      </c>
      <c r="O140" s="195">
        <f t="shared" si="1"/>
        <v>0</v>
      </c>
      <c r="P140" s="195">
        <f t="shared" si="2"/>
        <v>399</v>
      </c>
      <c r="Q140" s="195">
        <f t="shared" si="3"/>
        <v>5</v>
      </c>
      <c r="R140" s="196">
        <f t="shared" si="4"/>
        <v>4</v>
      </c>
      <c r="S140" s="18"/>
      <c r="T140" s="18"/>
      <c r="U140" s="18"/>
      <c r="V140" s="197">
        <f t="shared" si="9"/>
        <v>13716.000000000031</v>
      </c>
      <c r="W140" s="195">
        <f t="shared" si="5"/>
        <v>0</v>
      </c>
      <c r="X140" s="195">
        <f t="shared" si="6"/>
        <v>43.000000000030923</v>
      </c>
      <c r="Y140" s="195">
        <f t="shared" si="7"/>
        <v>13</v>
      </c>
      <c r="Z140" s="196">
        <f t="shared" si="8"/>
        <v>12</v>
      </c>
    </row>
    <row r="141" spans="1:26" ht="12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73">
        <v>5161</v>
      </c>
      <c r="O141" s="195">
        <f t="shared" si="1"/>
        <v>0</v>
      </c>
      <c r="P141" s="195">
        <f t="shared" si="2"/>
        <v>432</v>
      </c>
      <c r="Q141" s="195">
        <f t="shared" si="3"/>
        <v>5</v>
      </c>
      <c r="R141" s="196">
        <f t="shared" si="4"/>
        <v>4</v>
      </c>
      <c r="S141" s="18"/>
      <c r="T141" s="18"/>
      <c r="U141" s="18"/>
      <c r="V141" s="197">
        <f t="shared" si="9"/>
        <v>13817.600000000031</v>
      </c>
      <c r="W141" s="195">
        <f t="shared" si="5"/>
        <v>0</v>
      </c>
      <c r="X141" s="195">
        <f t="shared" si="6"/>
        <v>144.60000000003129</v>
      </c>
      <c r="Y141" s="195">
        <f t="shared" si="7"/>
        <v>13</v>
      </c>
      <c r="Z141" s="196">
        <f t="shared" si="8"/>
        <v>12</v>
      </c>
    </row>
    <row r="142" spans="1:26" ht="12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73">
        <v>5195</v>
      </c>
      <c r="O142" s="195">
        <f t="shared" si="1"/>
        <v>426</v>
      </c>
      <c r="P142" s="195">
        <f t="shared" si="2"/>
        <v>40</v>
      </c>
      <c r="Q142" s="195">
        <f t="shared" si="3"/>
        <v>6</v>
      </c>
      <c r="R142" s="196">
        <f t="shared" si="4"/>
        <v>4</v>
      </c>
      <c r="S142" s="18"/>
      <c r="T142" s="18"/>
      <c r="U142" s="18"/>
      <c r="V142" s="197">
        <f t="shared" si="9"/>
        <v>13919.200000000032</v>
      </c>
      <c r="W142" s="195">
        <f t="shared" si="5"/>
        <v>0</v>
      </c>
      <c r="X142" s="195">
        <f t="shared" si="6"/>
        <v>246.20000000003165</v>
      </c>
      <c r="Y142" s="195">
        <f t="shared" si="7"/>
        <v>13</v>
      </c>
      <c r="Z142" s="196">
        <f t="shared" si="8"/>
        <v>12</v>
      </c>
    </row>
    <row r="143" spans="1:26" ht="12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73">
        <v>5228</v>
      </c>
      <c r="O143" s="195">
        <f t="shared" si="1"/>
        <v>459</v>
      </c>
      <c r="P143" s="195">
        <f t="shared" si="2"/>
        <v>40</v>
      </c>
      <c r="Q143" s="195">
        <f t="shared" si="3"/>
        <v>6</v>
      </c>
      <c r="R143" s="196">
        <f t="shared" si="4"/>
        <v>4</v>
      </c>
      <c r="S143" s="18"/>
      <c r="T143" s="18"/>
      <c r="U143" s="18"/>
      <c r="V143" s="197">
        <f t="shared" si="9"/>
        <v>14020.800000000032</v>
      </c>
      <c r="W143" s="195">
        <f t="shared" si="5"/>
        <v>0</v>
      </c>
      <c r="X143" s="195">
        <f t="shared" si="6"/>
        <v>347.80000000003201</v>
      </c>
      <c r="Y143" s="195">
        <f t="shared" si="7"/>
        <v>13</v>
      </c>
      <c r="Z143" s="196">
        <f t="shared" si="8"/>
        <v>12</v>
      </c>
    </row>
    <row r="144" spans="1:26" ht="12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73">
        <v>5261</v>
      </c>
      <c r="O144" s="195">
        <f t="shared" si="1"/>
        <v>492</v>
      </c>
      <c r="P144" s="195">
        <f t="shared" si="2"/>
        <v>40</v>
      </c>
      <c r="Q144" s="195">
        <f t="shared" si="3"/>
        <v>6</v>
      </c>
      <c r="R144" s="196">
        <f t="shared" si="4"/>
        <v>4</v>
      </c>
      <c r="S144" s="18"/>
      <c r="T144" s="18"/>
      <c r="U144" s="18"/>
      <c r="V144" s="197">
        <f t="shared" si="9"/>
        <v>14122.400000000032</v>
      </c>
      <c r="W144" s="195">
        <f t="shared" si="5"/>
        <v>0</v>
      </c>
      <c r="X144" s="195">
        <f t="shared" si="6"/>
        <v>449.40000000003238</v>
      </c>
      <c r="Y144" s="195">
        <f t="shared" si="7"/>
        <v>13</v>
      </c>
      <c r="Z144" s="196">
        <f t="shared" si="8"/>
        <v>12</v>
      </c>
    </row>
    <row r="145" spans="1:26" ht="12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73">
        <v>5295</v>
      </c>
      <c r="O145" s="195">
        <f t="shared" si="1"/>
        <v>526</v>
      </c>
      <c r="P145" s="195">
        <f t="shared" si="2"/>
        <v>40</v>
      </c>
      <c r="Q145" s="195">
        <f t="shared" si="3"/>
        <v>6</v>
      </c>
      <c r="R145" s="196">
        <f t="shared" si="4"/>
        <v>4</v>
      </c>
      <c r="S145" s="18"/>
      <c r="T145" s="18"/>
      <c r="U145" s="18"/>
      <c r="V145" s="197">
        <f t="shared" si="9"/>
        <v>14224.000000000033</v>
      </c>
      <c r="W145" s="195">
        <f t="shared" si="5"/>
        <v>402.00000000003274</v>
      </c>
      <c r="X145" s="195">
        <f t="shared" si="6"/>
        <v>149</v>
      </c>
      <c r="Y145" s="195">
        <f t="shared" si="7"/>
        <v>14</v>
      </c>
      <c r="Z145" s="196">
        <f t="shared" si="8"/>
        <v>12</v>
      </c>
    </row>
    <row r="146" spans="1:26" ht="12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73">
        <v>5328</v>
      </c>
      <c r="O146" s="195">
        <f t="shared" si="1"/>
        <v>559</v>
      </c>
      <c r="P146" s="195">
        <f t="shared" si="2"/>
        <v>40</v>
      </c>
      <c r="Q146" s="195">
        <f t="shared" si="3"/>
        <v>6</v>
      </c>
      <c r="R146" s="196">
        <f t="shared" si="4"/>
        <v>4</v>
      </c>
      <c r="S146" s="18"/>
      <c r="T146" s="18"/>
      <c r="U146" s="18"/>
      <c r="V146" s="197">
        <f t="shared" si="9"/>
        <v>14325.600000000033</v>
      </c>
      <c r="W146" s="195">
        <f t="shared" si="5"/>
        <v>503.60000000003311</v>
      </c>
      <c r="X146" s="195">
        <f t="shared" si="6"/>
        <v>149</v>
      </c>
      <c r="Y146" s="195">
        <f t="shared" si="7"/>
        <v>14</v>
      </c>
      <c r="Z146" s="196">
        <f t="shared" si="8"/>
        <v>12</v>
      </c>
    </row>
    <row r="147" spans="1:26" ht="12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73">
        <v>5361</v>
      </c>
      <c r="O147" s="195">
        <f t="shared" si="1"/>
        <v>592</v>
      </c>
      <c r="P147" s="195">
        <f t="shared" si="2"/>
        <v>40</v>
      </c>
      <c r="Q147" s="195">
        <f t="shared" si="3"/>
        <v>6</v>
      </c>
      <c r="R147" s="196">
        <f t="shared" si="4"/>
        <v>4</v>
      </c>
      <c r="S147" s="18"/>
      <c r="T147" s="18"/>
      <c r="U147" s="18"/>
      <c r="V147" s="197">
        <f t="shared" si="9"/>
        <v>14427.200000000033</v>
      </c>
      <c r="W147" s="195">
        <f t="shared" si="5"/>
        <v>605.20000000003347</v>
      </c>
      <c r="X147" s="195">
        <f t="shared" si="6"/>
        <v>149</v>
      </c>
      <c r="Y147" s="195">
        <f t="shared" si="7"/>
        <v>14</v>
      </c>
      <c r="Z147" s="196">
        <f t="shared" si="8"/>
        <v>12</v>
      </c>
    </row>
    <row r="148" spans="1:26" ht="12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73">
        <v>5395</v>
      </c>
      <c r="O148" s="195">
        <f t="shared" si="1"/>
        <v>626</v>
      </c>
      <c r="P148" s="195">
        <f t="shared" si="2"/>
        <v>40</v>
      </c>
      <c r="Q148" s="195">
        <f t="shared" si="3"/>
        <v>6</v>
      </c>
      <c r="R148" s="196">
        <f t="shared" si="4"/>
        <v>4</v>
      </c>
      <c r="S148" s="18"/>
      <c r="T148" s="18"/>
      <c r="U148" s="18"/>
      <c r="V148" s="197">
        <f t="shared" si="9"/>
        <v>14528.800000000034</v>
      </c>
      <c r="W148" s="195">
        <f t="shared" si="5"/>
        <v>706.80000000003383</v>
      </c>
      <c r="X148" s="195">
        <f t="shared" si="6"/>
        <v>149</v>
      </c>
      <c r="Y148" s="195">
        <f t="shared" si="7"/>
        <v>14</v>
      </c>
      <c r="Z148" s="196">
        <f t="shared" si="8"/>
        <v>12</v>
      </c>
    </row>
    <row r="149" spans="1:26" ht="12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73">
        <v>5428</v>
      </c>
      <c r="O149" s="195">
        <f t="shared" si="1"/>
        <v>659</v>
      </c>
      <c r="P149" s="195">
        <f t="shared" si="2"/>
        <v>40</v>
      </c>
      <c r="Q149" s="195">
        <f t="shared" si="3"/>
        <v>6</v>
      </c>
      <c r="R149" s="196">
        <f t="shared" si="4"/>
        <v>4</v>
      </c>
      <c r="S149" s="18"/>
      <c r="T149" s="18"/>
      <c r="U149" s="18"/>
      <c r="V149" s="197">
        <f t="shared" si="9"/>
        <v>14630.400000000034</v>
      </c>
      <c r="W149" s="195">
        <f t="shared" si="5"/>
        <v>808.4000000000342</v>
      </c>
      <c r="X149" s="195">
        <f t="shared" si="6"/>
        <v>149</v>
      </c>
      <c r="Y149" s="195">
        <f t="shared" si="7"/>
        <v>14</v>
      </c>
      <c r="Z149" s="196">
        <f t="shared" si="8"/>
        <v>12</v>
      </c>
    </row>
    <row r="150" spans="1:26" ht="12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73">
        <v>5461</v>
      </c>
      <c r="O150" s="195">
        <f t="shared" si="1"/>
        <v>692</v>
      </c>
      <c r="P150" s="195">
        <f t="shared" si="2"/>
        <v>40</v>
      </c>
      <c r="Q150" s="195">
        <f t="shared" si="3"/>
        <v>6</v>
      </c>
      <c r="R150" s="196">
        <f t="shared" si="4"/>
        <v>4</v>
      </c>
      <c r="S150" s="18"/>
      <c r="T150" s="18"/>
      <c r="U150" s="18"/>
      <c r="V150" s="197">
        <f t="shared" si="9"/>
        <v>14732.000000000035</v>
      </c>
      <c r="W150" s="195">
        <f t="shared" si="5"/>
        <v>910.00000000003456</v>
      </c>
      <c r="X150" s="195">
        <f t="shared" si="6"/>
        <v>149</v>
      </c>
      <c r="Y150" s="195">
        <f t="shared" si="7"/>
        <v>14</v>
      </c>
      <c r="Z150" s="196">
        <f t="shared" si="8"/>
        <v>12</v>
      </c>
    </row>
    <row r="151" spans="1:26" ht="12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73">
        <v>5494</v>
      </c>
      <c r="O151" s="195">
        <f t="shared" si="1"/>
        <v>725</v>
      </c>
      <c r="P151" s="195">
        <f t="shared" si="2"/>
        <v>40</v>
      </c>
      <c r="Q151" s="195">
        <f t="shared" si="3"/>
        <v>6</v>
      </c>
      <c r="R151" s="196">
        <f t="shared" si="4"/>
        <v>4</v>
      </c>
      <c r="S151" s="18"/>
      <c r="T151" s="18"/>
      <c r="U151" s="18"/>
      <c r="V151" s="197">
        <f t="shared" si="9"/>
        <v>14833.600000000035</v>
      </c>
      <c r="W151" s="195">
        <f t="shared" si="5"/>
        <v>0</v>
      </c>
      <c r="X151" s="195">
        <f t="shared" si="6"/>
        <v>42.600000000034925</v>
      </c>
      <c r="Y151" s="195">
        <f t="shared" si="7"/>
        <v>14</v>
      </c>
      <c r="Z151" s="196">
        <f t="shared" si="8"/>
        <v>13</v>
      </c>
    </row>
    <row r="152" spans="1:26" ht="12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73">
        <v>5528</v>
      </c>
      <c r="O152" s="195">
        <f t="shared" si="1"/>
        <v>759</v>
      </c>
      <c r="P152" s="195">
        <f t="shared" si="2"/>
        <v>40</v>
      </c>
      <c r="Q152" s="195">
        <f t="shared" si="3"/>
        <v>6</v>
      </c>
      <c r="R152" s="196">
        <f t="shared" si="4"/>
        <v>4</v>
      </c>
      <c r="S152" s="18"/>
      <c r="T152" s="18"/>
      <c r="U152" s="18"/>
      <c r="V152" s="197">
        <f t="shared" si="9"/>
        <v>14935.200000000035</v>
      </c>
      <c r="W152" s="195">
        <f t="shared" si="5"/>
        <v>0</v>
      </c>
      <c r="X152" s="195">
        <f t="shared" si="6"/>
        <v>144.20000000003529</v>
      </c>
      <c r="Y152" s="195">
        <f t="shared" si="7"/>
        <v>14</v>
      </c>
      <c r="Z152" s="196">
        <f t="shared" si="8"/>
        <v>13</v>
      </c>
    </row>
    <row r="153" spans="1:26" ht="12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73">
        <v>5561</v>
      </c>
      <c r="O153" s="195">
        <f t="shared" si="1"/>
        <v>792</v>
      </c>
      <c r="P153" s="195">
        <f t="shared" si="2"/>
        <v>40</v>
      </c>
      <c r="Q153" s="195">
        <f t="shared" si="3"/>
        <v>6</v>
      </c>
      <c r="R153" s="196">
        <f t="shared" si="4"/>
        <v>4</v>
      </c>
      <c r="S153" s="18"/>
      <c r="T153" s="18"/>
      <c r="U153" s="18"/>
      <c r="V153" s="197">
        <f t="shared" si="9"/>
        <v>15036.800000000036</v>
      </c>
      <c r="W153" s="195">
        <f t="shared" si="5"/>
        <v>0</v>
      </c>
      <c r="X153" s="195">
        <f t="shared" si="6"/>
        <v>245.80000000003565</v>
      </c>
      <c r="Y153" s="195">
        <f t="shared" si="7"/>
        <v>14</v>
      </c>
      <c r="Z153" s="196">
        <f t="shared" si="8"/>
        <v>13</v>
      </c>
    </row>
    <row r="154" spans="1:26" ht="12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73">
        <v>5594</v>
      </c>
      <c r="O154" s="195">
        <f t="shared" si="1"/>
        <v>825</v>
      </c>
      <c r="P154" s="195">
        <f t="shared" si="2"/>
        <v>40</v>
      </c>
      <c r="Q154" s="195">
        <f t="shared" si="3"/>
        <v>6</v>
      </c>
      <c r="R154" s="196">
        <f t="shared" si="4"/>
        <v>4</v>
      </c>
      <c r="S154" s="18"/>
      <c r="T154" s="18"/>
      <c r="U154" s="18"/>
      <c r="V154" s="197">
        <f t="shared" si="9"/>
        <v>15138.400000000036</v>
      </c>
      <c r="W154" s="195">
        <f t="shared" si="5"/>
        <v>0</v>
      </c>
      <c r="X154" s="195">
        <f t="shared" si="6"/>
        <v>347.40000000003602</v>
      </c>
      <c r="Y154" s="195">
        <f t="shared" si="7"/>
        <v>14</v>
      </c>
      <c r="Z154" s="196">
        <f t="shared" si="8"/>
        <v>13</v>
      </c>
    </row>
    <row r="155" spans="1:26" ht="12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73">
        <v>5628</v>
      </c>
      <c r="O155" s="195">
        <f t="shared" si="1"/>
        <v>859</v>
      </c>
      <c r="P155" s="195">
        <f t="shared" si="2"/>
        <v>40</v>
      </c>
      <c r="Q155" s="195">
        <f t="shared" si="3"/>
        <v>6</v>
      </c>
      <c r="R155" s="196">
        <f t="shared" si="4"/>
        <v>4</v>
      </c>
      <c r="S155" s="18"/>
      <c r="T155" s="18"/>
      <c r="U155" s="18"/>
      <c r="V155" s="197">
        <f t="shared" si="9"/>
        <v>15240.000000000036</v>
      </c>
      <c r="W155" s="195">
        <f t="shared" si="5"/>
        <v>0</v>
      </c>
      <c r="X155" s="195">
        <f t="shared" si="6"/>
        <v>449.00000000003638</v>
      </c>
      <c r="Y155" s="195">
        <f t="shared" si="7"/>
        <v>14</v>
      </c>
      <c r="Z155" s="196">
        <f t="shared" si="8"/>
        <v>13</v>
      </c>
    </row>
    <row r="156" spans="1:26" ht="12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73">
        <v>5661</v>
      </c>
      <c r="O156" s="195">
        <f t="shared" si="1"/>
        <v>892</v>
      </c>
      <c r="P156" s="195">
        <f t="shared" si="2"/>
        <v>40</v>
      </c>
      <c r="Q156" s="195">
        <f t="shared" si="3"/>
        <v>6</v>
      </c>
      <c r="R156" s="196">
        <f t="shared" si="4"/>
        <v>4</v>
      </c>
      <c r="S156" s="18"/>
      <c r="T156" s="18"/>
      <c r="U156" s="18"/>
      <c r="V156" s="197">
        <f t="shared" si="9"/>
        <v>15341.600000000037</v>
      </c>
      <c r="W156" s="195">
        <f t="shared" si="5"/>
        <v>401.60000000003674</v>
      </c>
      <c r="X156" s="195">
        <f t="shared" si="6"/>
        <v>149</v>
      </c>
      <c r="Y156" s="195">
        <f t="shared" si="7"/>
        <v>15</v>
      </c>
      <c r="Z156" s="196">
        <f t="shared" si="8"/>
        <v>13</v>
      </c>
    </row>
    <row r="157" spans="1:26" ht="12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73">
        <v>5694</v>
      </c>
      <c r="O157" s="195">
        <f t="shared" si="1"/>
        <v>925</v>
      </c>
      <c r="P157" s="195">
        <f t="shared" si="2"/>
        <v>40</v>
      </c>
      <c r="Q157" s="195">
        <f t="shared" si="3"/>
        <v>6</v>
      </c>
      <c r="R157" s="196">
        <f t="shared" si="4"/>
        <v>4</v>
      </c>
      <c r="S157" s="18"/>
      <c r="T157" s="18"/>
      <c r="U157" s="18"/>
      <c r="V157" s="197">
        <f t="shared" si="9"/>
        <v>15443.200000000037</v>
      </c>
      <c r="W157" s="195">
        <f t="shared" si="5"/>
        <v>503.20000000003711</v>
      </c>
      <c r="X157" s="195">
        <f t="shared" si="6"/>
        <v>149</v>
      </c>
      <c r="Y157" s="195">
        <f t="shared" si="7"/>
        <v>15</v>
      </c>
      <c r="Z157" s="196">
        <f t="shared" si="8"/>
        <v>13</v>
      </c>
    </row>
    <row r="158" spans="1:26" ht="12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73">
        <v>5728</v>
      </c>
      <c r="O158" s="195">
        <f t="shared" si="1"/>
        <v>959</v>
      </c>
      <c r="P158" s="195">
        <f t="shared" si="2"/>
        <v>40</v>
      </c>
      <c r="Q158" s="195">
        <f t="shared" si="3"/>
        <v>6</v>
      </c>
      <c r="R158" s="196">
        <f t="shared" si="4"/>
        <v>4</v>
      </c>
      <c r="S158" s="18"/>
      <c r="T158" s="18"/>
      <c r="U158" s="18"/>
      <c r="V158" s="197">
        <f t="shared" si="9"/>
        <v>15544.800000000037</v>
      </c>
      <c r="W158" s="195">
        <f t="shared" si="5"/>
        <v>604.80000000003747</v>
      </c>
      <c r="X158" s="195">
        <f t="shared" si="6"/>
        <v>149</v>
      </c>
      <c r="Y158" s="195">
        <f t="shared" si="7"/>
        <v>15</v>
      </c>
      <c r="Z158" s="196">
        <f t="shared" si="8"/>
        <v>13</v>
      </c>
    </row>
    <row r="159" spans="1:26" ht="12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73">
        <v>5761</v>
      </c>
      <c r="O159" s="195">
        <f t="shared" si="1"/>
        <v>992</v>
      </c>
      <c r="P159" s="195">
        <f t="shared" si="2"/>
        <v>40</v>
      </c>
      <c r="Q159" s="195">
        <f t="shared" si="3"/>
        <v>6</v>
      </c>
      <c r="R159" s="196">
        <f t="shared" si="4"/>
        <v>4</v>
      </c>
      <c r="S159" s="18"/>
      <c r="T159" s="18"/>
      <c r="U159" s="18"/>
      <c r="V159" s="197">
        <f t="shared" si="9"/>
        <v>15646.400000000038</v>
      </c>
      <c r="W159" s="195">
        <f t="shared" si="5"/>
        <v>706.40000000003783</v>
      </c>
      <c r="X159" s="195">
        <f t="shared" si="6"/>
        <v>149</v>
      </c>
      <c r="Y159" s="195">
        <f t="shared" si="7"/>
        <v>15</v>
      </c>
      <c r="Z159" s="196">
        <f t="shared" si="8"/>
        <v>13</v>
      </c>
    </row>
    <row r="160" spans="1:26" ht="12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73">
        <v>5794</v>
      </c>
      <c r="O160" s="195">
        <f t="shared" si="1"/>
        <v>1025</v>
      </c>
      <c r="P160" s="195">
        <f t="shared" si="2"/>
        <v>40</v>
      </c>
      <c r="Q160" s="195">
        <f t="shared" si="3"/>
        <v>6</v>
      </c>
      <c r="R160" s="196">
        <f t="shared" si="4"/>
        <v>4</v>
      </c>
      <c r="S160" s="18"/>
      <c r="T160" s="18"/>
      <c r="U160" s="18"/>
      <c r="V160" s="197">
        <f t="shared" si="9"/>
        <v>15748.000000000038</v>
      </c>
      <c r="W160" s="195">
        <f t="shared" si="5"/>
        <v>808.0000000000382</v>
      </c>
      <c r="X160" s="195">
        <f t="shared" si="6"/>
        <v>149</v>
      </c>
      <c r="Y160" s="195">
        <f t="shared" si="7"/>
        <v>15</v>
      </c>
      <c r="Z160" s="196">
        <f t="shared" si="8"/>
        <v>13</v>
      </c>
    </row>
    <row r="161" spans="1:26" ht="12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73">
        <v>5827</v>
      </c>
      <c r="O161" s="195">
        <f t="shared" si="1"/>
        <v>1058</v>
      </c>
      <c r="P161" s="195">
        <f t="shared" si="2"/>
        <v>40</v>
      </c>
      <c r="Q161" s="195">
        <f t="shared" si="3"/>
        <v>6</v>
      </c>
      <c r="R161" s="196">
        <f t="shared" si="4"/>
        <v>4</v>
      </c>
      <c r="S161" s="18"/>
      <c r="T161" s="18"/>
      <c r="U161" s="18"/>
      <c r="V161" s="197">
        <f t="shared" si="9"/>
        <v>15849.600000000039</v>
      </c>
      <c r="W161" s="195">
        <f t="shared" si="5"/>
        <v>909.60000000003856</v>
      </c>
      <c r="X161" s="195">
        <f t="shared" si="6"/>
        <v>149</v>
      </c>
      <c r="Y161" s="195">
        <f t="shared" si="7"/>
        <v>15</v>
      </c>
      <c r="Z161" s="196">
        <f t="shared" si="8"/>
        <v>13</v>
      </c>
    </row>
    <row r="162" spans="1:26" ht="12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73">
        <v>5860</v>
      </c>
      <c r="O162" s="195">
        <f t="shared" si="1"/>
        <v>0</v>
      </c>
      <c r="P162" s="195">
        <f t="shared" si="2"/>
        <v>13</v>
      </c>
      <c r="Q162" s="195">
        <f t="shared" si="3"/>
        <v>6</v>
      </c>
      <c r="R162" s="196">
        <f t="shared" si="4"/>
        <v>5</v>
      </c>
      <c r="S162" s="18"/>
      <c r="T162" s="18"/>
      <c r="U162" s="18"/>
      <c r="V162" s="197">
        <f t="shared" si="9"/>
        <v>15951.200000000039</v>
      </c>
      <c r="W162" s="195">
        <f t="shared" si="5"/>
        <v>0</v>
      </c>
      <c r="X162" s="195">
        <f t="shared" si="6"/>
        <v>42.200000000038926</v>
      </c>
      <c r="Y162" s="195">
        <f t="shared" si="7"/>
        <v>15</v>
      </c>
      <c r="Z162" s="196">
        <f t="shared" si="8"/>
        <v>14</v>
      </c>
    </row>
    <row r="163" spans="1:26" ht="12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73">
        <v>5893</v>
      </c>
      <c r="O163" s="195">
        <f t="shared" si="1"/>
        <v>0</v>
      </c>
      <c r="P163" s="195">
        <f t="shared" si="2"/>
        <v>46</v>
      </c>
      <c r="Q163" s="195">
        <f t="shared" si="3"/>
        <v>6</v>
      </c>
      <c r="R163" s="196">
        <f t="shared" si="4"/>
        <v>5</v>
      </c>
      <c r="S163" s="18"/>
      <c r="T163" s="18"/>
      <c r="U163" s="18"/>
      <c r="V163" s="197">
        <f t="shared" si="9"/>
        <v>16052.800000000039</v>
      </c>
      <c r="W163" s="195">
        <f t="shared" si="5"/>
        <v>0</v>
      </c>
      <c r="X163" s="195">
        <f t="shared" si="6"/>
        <v>143.80000000003929</v>
      </c>
      <c r="Y163" s="195">
        <f t="shared" si="7"/>
        <v>15</v>
      </c>
      <c r="Z163" s="196">
        <f t="shared" si="8"/>
        <v>14</v>
      </c>
    </row>
    <row r="164" spans="1:26" ht="12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73">
        <v>5926</v>
      </c>
      <c r="O164" s="195">
        <f t="shared" si="1"/>
        <v>0</v>
      </c>
      <c r="P164" s="195">
        <f t="shared" si="2"/>
        <v>79</v>
      </c>
      <c r="Q164" s="195">
        <f t="shared" si="3"/>
        <v>6</v>
      </c>
      <c r="R164" s="196">
        <f t="shared" si="4"/>
        <v>5</v>
      </c>
      <c r="S164" s="18"/>
      <c r="T164" s="18"/>
      <c r="U164" s="18"/>
      <c r="V164" s="197">
        <f t="shared" si="9"/>
        <v>16154.40000000004</v>
      </c>
      <c r="W164" s="195">
        <f t="shared" si="5"/>
        <v>0</v>
      </c>
      <c r="X164" s="195">
        <f t="shared" si="6"/>
        <v>245.40000000003965</v>
      </c>
      <c r="Y164" s="195">
        <f t="shared" si="7"/>
        <v>15</v>
      </c>
      <c r="Z164" s="196">
        <f t="shared" si="8"/>
        <v>14</v>
      </c>
    </row>
    <row r="165" spans="1:26" ht="12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73">
        <v>5959</v>
      </c>
      <c r="O165" s="195">
        <f t="shared" si="1"/>
        <v>0</v>
      </c>
      <c r="P165" s="195">
        <f t="shared" si="2"/>
        <v>112</v>
      </c>
      <c r="Q165" s="195">
        <f t="shared" si="3"/>
        <v>6</v>
      </c>
      <c r="R165" s="196">
        <f t="shared" si="4"/>
        <v>5</v>
      </c>
      <c r="S165" s="18"/>
      <c r="T165" s="18"/>
      <c r="U165" s="18"/>
      <c r="V165" s="197">
        <f t="shared" si="9"/>
        <v>16256.00000000004</v>
      </c>
      <c r="W165" s="195">
        <f t="shared" si="5"/>
        <v>0</v>
      </c>
      <c r="X165" s="195">
        <f t="shared" si="6"/>
        <v>347.00000000004002</v>
      </c>
      <c r="Y165" s="195">
        <f t="shared" si="7"/>
        <v>15</v>
      </c>
      <c r="Z165" s="196">
        <f t="shared" si="8"/>
        <v>14</v>
      </c>
    </row>
    <row r="166" spans="1:26" ht="12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73">
        <v>5992</v>
      </c>
      <c r="O166" s="195">
        <f t="shared" si="1"/>
        <v>0</v>
      </c>
      <c r="P166" s="195">
        <f t="shared" si="2"/>
        <v>145</v>
      </c>
      <c r="Q166" s="195">
        <f t="shared" si="3"/>
        <v>6</v>
      </c>
      <c r="R166" s="196">
        <f t="shared" si="4"/>
        <v>5</v>
      </c>
      <c r="S166" s="18"/>
      <c r="T166" s="18"/>
      <c r="U166" s="18"/>
      <c r="V166" s="197">
        <f t="shared" si="9"/>
        <v>16357.60000000004</v>
      </c>
      <c r="W166" s="195">
        <f t="shared" si="5"/>
        <v>0</v>
      </c>
      <c r="X166" s="195">
        <f t="shared" si="6"/>
        <v>448.60000000004038</v>
      </c>
      <c r="Y166" s="195">
        <f t="shared" si="7"/>
        <v>15</v>
      </c>
      <c r="Z166" s="196">
        <f t="shared" si="8"/>
        <v>14</v>
      </c>
    </row>
    <row r="167" spans="1:26" ht="12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73">
        <v>6025</v>
      </c>
      <c r="O167" s="195">
        <f t="shared" si="1"/>
        <v>0</v>
      </c>
      <c r="P167" s="195">
        <f t="shared" si="2"/>
        <v>178</v>
      </c>
      <c r="Q167" s="195">
        <f t="shared" si="3"/>
        <v>6</v>
      </c>
      <c r="R167" s="196">
        <f t="shared" si="4"/>
        <v>5</v>
      </c>
      <c r="S167" s="18"/>
      <c r="T167" s="18"/>
      <c r="U167" s="18"/>
      <c r="V167" s="197">
        <f t="shared" si="9"/>
        <v>16459.200000000041</v>
      </c>
      <c r="W167" s="195">
        <f t="shared" si="5"/>
        <v>401.20000000004075</v>
      </c>
      <c r="X167" s="195">
        <f t="shared" si="6"/>
        <v>149</v>
      </c>
      <c r="Y167" s="195">
        <f t="shared" si="7"/>
        <v>16</v>
      </c>
      <c r="Z167" s="196">
        <f t="shared" si="8"/>
        <v>14</v>
      </c>
    </row>
    <row r="168" spans="1:26" ht="12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73">
        <v>6058</v>
      </c>
      <c r="O168" s="195">
        <f t="shared" si="1"/>
        <v>0</v>
      </c>
      <c r="P168" s="195">
        <f t="shared" si="2"/>
        <v>211</v>
      </c>
      <c r="Q168" s="195">
        <f t="shared" si="3"/>
        <v>6</v>
      </c>
      <c r="R168" s="196">
        <f t="shared" si="4"/>
        <v>5</v>
      </c>
      <c r="S168" s="18"/>
      <c r="T168" s="18"/>
      <c r="U168" s="18"/>
      <c r="V168" s="197">
        <f t="shared" si="9"/>
        <v>16560.800000000039</v>
      </c>
      <c r="W168" s="195">
        <f t="shared" si="5"/>
        <v>502.80000000003929</v>
      </c>
      <c r="X168" s="195">
        <f t="shared" si="6"/>
        <v>149</v>
      </c>
      <c r="Y168" s="195">
        <f t="shared" si="7"/>
        <v>16</v>
      </c>
      <c r="Z168" s="196">
        <f t="shared" si="8"/>
        <v>14</v>
      </c>
    </row>
    <row r="169" spans="1:26" ht="12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73">
        <v>6091</v>
      </c>
      <c r="O169" s="195">
        <f t="shared" si="1"/>
        <v>0</v>
      </c>
      <c r="P169" s="195">
        <f t="shared" si="2"/>
        <v>244</v>
      </c>
      <c r="Q169" s="195">
        <f t="shared" si="3"/>
        <v>6</v>
      </c>
      <c r="R169" s="196">
        <f t="shared" si="4"/>
        <v>5</v>
      </c>
      <c r="S169" s="18"/>
      <c r="T169" s="18"/>
      <c r="U169" s="18"/>
      <c r="V169" s="197">
        <f t="shared" si="9"/>
        <v>16662.400000000038</v>
      </c>
      <c r="W169" s="195">
        <f t="shared" si="5"/>
        <v>604.40000000003783</v>
      </c>
      <c r="X169" s="195">
        <f t="shared" si="6"/>
        <v>149</v>
      </c>
      <c r="Y169" s="195">
        <f t="shared" si="7"/>
        <v>16</v>
      </c>
      <c r="Z169" s="196">
        <f t="shared" si="8"/>
        <v>14</v>
      </c>
    </row>
    <row r="170" spans="1:26" ht="12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73">
        <v>6124</v>
      </c>
      <c r="O170" s="195">
        <f t="shared" si="1"/>
        <v>0</v>
      </c>
      <c r="P170" s="195">
        <f t="shared" si="2"/>
        <v>277</v>
      </c>
      <c r="Q170" s="195">
        <f t="shared" si="3"/>
        <v>6</v>
      </c>
      <c r="R170" s="196">
        <f t="shared" si="4"/>
        <v>5</v>
      </c>
      <c r="S170" s="18"/>
      <c r="T170" s="18"/>
      <c r="U170" s="18"/>
      <c r="V170" s="197">
        <f t="shared" si="9"/>
        <v>16764.000000000036</v>
      </c>
      <c r="W170" s="195">
        <f t="shared" si="5"/>
        <v>706.00000000003638</v>
      </c>
      <c r="X170" s="195">
        <f t="shared" si="6"/>
        <v>149</v>
      </c>
      <c r="Y170" s="195">
        <f t="shared" si="7"/>
        <v>16</v>
      </c>
      <c r="Z170" s="196">
        <f t="shared" si="8"/>
        <v>14</v>
      </c>
    </row>
    <row r="171" spans="1:26" ht="12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73">
        <v>6157</v>
      </c>
      <c r="O171" s="195">
        <f t="shared" si="1"/>
        <v>0</v>
      </c>
      <c r="P171" s="195">
        <f t="shared" si="2"/>
        <v>310</v>
      </c>
      <c r="Q171" s="195">
        <f t="shared" si="3"/>
        <v>6</v>
      </c>
      <c r="R171" s="196">
        <f t="shared" si="4"/>
        <v>5</v>
      </c>
      <c r="S171" s="18"/>
      <c r="T171" s="18"/>
      <c r="U171" s="18"/>
      <c r="V171" s="197">
        <f t="shared" si="9"/>
        <v>16865.600000000035</v>
      </c>
      <c r="W171" s="195">
        <f t="shared" si="5"/>
        <v>807.60000000003492</v>
      </c>
      <c r="X171" s="195">
        <f t="shared" si="6"/>
        <v>149</v>
      </c>
      <c r="Y171" s="195">
        <f t="shared" si="7"/>
        <v>16</v>
      </c>
      <c r="Z171" s="196">
        <f t="shared" si="8"/>
        <v>14</v>
      </c>
    </row>
    <row r="172" spans="1:26" ht="12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73">
        <v>6190</v>
      </c>
      <c r="O172" s="195">
        <f t="shared" si="1"/>
        <v>0</v>
      </c>
      <c r="P172" s="195">
        <f t="shared" si="2"/>
        <v>343</v>
      </c>
      <c r="Q172" s="195">
        <f t="shared" si="3"/>
        <v>6</v>
      </c>
      <c r="R172" s="196">
        <f t="shared" si="4"/>
        <v>5</v>
      </c>
      <c r="S172" s="18"/>
      <c r="T172" s="18"/>
      <c r="U172" s="18"/>
      <c r="V172" s="197">
        <f t="shared" si="9"/>
        <v>16967.200000000033</v>
      </c>
      <c r="W172" s="195">
        <f t="shared" si="5"/>
        <v>909.20000000003347</v>
      </c>
      <c r="X172" s="195">
        <f t="shared" si="6"/>
        <v>149</v>
      </c>
      <c r="Y172" s="195">
        <f t="shared" si="7"/>
        <v>16</v>
      </c>
      <c r="Z172" s="196">
        <f t="shared" si="8"/>
        <v>14</v>
      </c>
    </row>
    <row r="173" spans="1:26" ht="12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73">
        <v>6223</v>
      </c>
      <c r="O173" s="195">
        <f t="shared" si="1"/>
        <v>0</v>
      </c>
      <c r="P173" s="195">
        <f t="shared" si="2"/>
        <v>376</v>
      </c>
      <c r="Q173" s="195">
        <f t="shared" si="3"/>
        <v>6</v>
      </c>
      <c r="R173" s="196">
        <f t="shared" si="4"/>
        <v>5</v>
      </c>
      <c r="S173" s="18"/>
      <c r="T173" s="18"/>
      <c r="U173" s="18"/>
      <c r="V173" s="197">
        <f t="shared" si="9"/>
        <v>17068.800000000032</v>
      </c>
      <c r="W173" s="195">
        <f t="shared" si="5"/>
        <v>0</v>
      </c>
      <c r="X173" s="195">
        <f t="shared" si="6"/>
        <v>41.800000000032014</v>
      </c>
      <c r="Y173" s="195">
        <f t="shared" si="7"/>
        <v>16</v>
      </c>
      <c r="Z173" s="196">
        <f t="shared" si="8"/>
        <v>15</v>
      </c>
    </row>
    <row r="174" spans="1:26" ht="12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73">
        <v>6256</v>
      </c>
      <c r="O174" s="195">
        <f t="shared" si="1"/>
        <v>0</v>
      </c>
      <c r="P174" s="195">
        <f t="shared" si="2"/>
        <v>409</v>
      </c>
      <c r="Q174" s="195">
        <f t="shared" si="3"/>
        <v>6</v>
      </c>
      <c r="R174" s="196">
        <f t="shared" si="4"/>
        <v>5</v>
      </c>
      <c r="S174" s="18"/>
      <c r="T174" s="18"/>
      <c r="U174" s="18"/>
      <c r="V174" s="197">
        <f t="shared" si="9"/>
        <v>17170.400000000031</v>
      </c>
      <c r="W174" s="195">
        <f t="shared" si="5"/>
        <v>0</v>
      </c>
      <c r="X174" s="195">
        <f t="shared" si="6"/>
        <v>143.40000000003056</v>
      </c>
      <c r="Y174" s="195">
        <f t="shared" si="7"/>
        <v>16</v>
      </c>
      <c r="Z174" s="196">
        <f t="shared" si="8"/>
        <v>15</v>
      </c>
    </row>
    <row r="175" spans="1:26" ht="12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73">
        <v>6289</v>
      </c>
      <c r="O175" s="195">
        <f t="shared" si="1"/>
        <v>0</v>
      </c>
      <c r="P175" s="195">
        <f t="shared" si="2"/>
        <v>442</v>
      </c>
      <c r="Q175" s="195">
        <f t="shared" si="3"/>
        <v>6</v>
      </c>
      <c r="R175" s="196">
        <f t="shared" si="4"/>
        <v>5</v>
      </c>
      <c r="S175" s="18"/>
      <c r="T175" s="18"/>
      <c r="U175" s="18"/>
      <c r="V175" s="197">
        <f t="shared" si="9"/>
        <v>17272.000000000029</v>
      </c>
      <c r="W175" s="195">
        <f t="shared" si="5"/>
        <v>0</v>
      </c>
      <c r="X175" s="195">
        <f t="shared" si="6"/>
        <v>245.0000000000291</v>
      </c>
      <c r="Y175" s="195">
        <f t="shared" si="7"/>
        <v>16</v>
      </c>
      <c r="Z175" s="196">
        <f t="shared" si="8"/>
        <v>15</v>
      </c>
    </row>
    <row r="176" spans="1:26" ht="12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73">
        <v>6322</v>
      </c>
      <c r="O176" s="195">
        <f t="shared" si="1"/>
        <v>435</v>
      </c>
      <c r="P176" s="195">
        <f t="shared" si="2"/>
        <v>40</v>
      </c>
      <c r="Q176" s="195">
        <f t="shared" si="3"/>
        <v>7</v>
      </c>
      <c r="R176" s="196">
        <f t="shared" si="4"/>
        <v>5</v>
      </c>
      <c r="S176" s="18"/>
      <c r="T176" s="18"/>
      <c r="U176" s="18"/>
      <c r="V176" s="197">
        <f t="shared" si="9"/>
        <v>17373.600000000028</v>
      </c>
      <c r="W176" s="195">
        <f t="shared" si="5"/>
        <v>0</v>
      </c>
      <c r="X176" s="195">
        <f t="shared" si="6"/>
        <v>346.60000000002765</v>
      </c>
      <c r="Y176" s="195">
        <f t="shared" si="7"/>
        <v>16</v>
      </c>
      <c r="Z176" s="196">
        <f t="shared" si="8"/>
        <v>15</v>
      </c>
    </row>
    <row r="177" spans="1:26" ht="12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73">
        <v>6355</v>
      </c>
      <c r="O177" s="195">
        <f t="shared" si="1"/>
        <v>468</v>
      </c>
      <c r="P177" s="195">
        <f t="shared" si="2"/>
        <v>40</v>
      </c>
      <c r="Q177" s="195">
        <f t="shared" si="3"/>
        <v>7</v>
      </c>
      <c r="R177" s="196">
        <f t="shared" si="4"/>
        <v>5</v>
      </c>
      <c r="S177" s="18"/>
      <c r="T177" s="18"/>
      <c r="U177" s="18"/>
      <c r="V177" s="197">
        <f t="shared" si="9"/>
        <v>17475.200000000026</v>
      </c>
      <c r="W177" s="195">
        <f t="shared" si="5"/>
        <v>0</v>
      </c>
      <c r="X177" s="195">
        <f t="shared" si="6"/>
        <v>448.20000000002619</v>
      </c>
      <c r="Y177" s="195">
        <f t="shared" si="7"/>
        <v>16</v>
      </c>
      <c r="Z177" s="196">
        <f t="shared" si="8"/>
        <v>15</v>
      </c>
    </row>
    <row r="178" spans="1:26" ht="12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73">
        <v>6388</v>
      </c>
      <c r="O178" s="195">
        <f t="shared" si="1"/>
        <v>501</v>
      </c>
      <c r="P178" s="195">
        <f t="shared" si="2"/>
        <v>40</v>
      </c>
      <c r="Q178" s="195">
        <f t="shared" si="3"/>
        <v>7</v>
      </c>
      <c r="R178" s="196">
        <f t="shared" si="4"/>
        <v>5</v>
      </c>
      <c r="S178" s="18"/>
      <c r="T178" s="18"/>
      <c r="U178" s="18"/>
      <c r="V178" s="197">
        <f t="shared" si="9"/>
        <v>17576.800000000025</v>
      </c>
      <c r="W178" s="195">
        <f t="shared" si="5"/>
        <v>400.80000000002474</v>
      </c>
      <c r="X178" s="195">
        <f t="shared" si="6"/>
        <v>149</v>
      </c>
      <c r="Y178" s="195">
        <f t="shared" si="7"/>
        <v>17</v>
      </c>
      <c r="Z178" s="196">
        <f t="shared" si="8"/>
        <v>15</v>
      </c>
    </row>
    <row r="179" spans="1:26" ht="12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73">
        <v>6421</v>
      </c>
      <c r="O179" s="195">
        <f t="shared" si="1"/>
        <v>534</v>
      </c>
      <c r="P179" s="195">
        <f t="shared" si="2"/>
        <v>40</v>
      </c>
      <c r="Q179" s="195">
        <f t="shared" si="3"/>
        <v>7</v>
      </c>
      <c r="R179" s="196">
        <f t="shared" si="4"/>
        <v>5</v>
      </c>
      <c r="S179" s="18"/>
      <c r="T179" s="18"/>
      <c r="U179" s="18"/>
      <c r="V179" s="197">
        <f t="shared" si="9"/>
        <v>17678.400000000023</v>
      </c>
      <c r="W179" s="195">
        <f t="shared" si="5"/>
        <v>502.40000000002328</v>
      </c>
      <c r="X179" s="195">
        <f t="shared" si="6"/>
        <v>149</v>
      </c>
      <c r="Y179" s="195">
        <f t="shared" si="7"/>
        <v>17</v>
      </c>
      <c r="Z179" s="196">
        <f t="shared" si="8"/>
        <v>15</v>
      </c>
    </row>
    <row r="180" spans="1:26" ht="12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73">
        <v>6454</v>
      </c>
      <c r="O180" s="195">
        <f t="shared" si="1"/>
        <v>567</v>
      </c>
      <c r="P180" s="195">
        <f t="shared" si="2"/>
        <v>40</v>
      </c>
      <c r="Q180" s="195">
        <f t="shared" si="3"/>
        <v>7</v>
      </c>
      <c r="R180" s="196">
        <f t="shared" si="4"/>
        <v>5</v>
      </c>
      <c r="S180" s="18"/>
      <c r="T180" s="18"/>
      <c r="U180" s="18"/>
      <c r="V180" s="197">
        <f t="shared" si="9"/>
        <v>17780.000000000022</v>
      </c>
      <c r="W180" s="195">
        <f t="shared" si="5"/>
        <v>604.00000000002183</v>
      </c>
      <c r="X180" s="195">
        <f t="shared" si="6"/>
        <v>149</v>
      </c>
      <c r="Y180" s="195">
        <f t="shared" si="7"/>
        <v>17</v>
      </c>
      <c r="Z180" s="196">
        <f t="shared" si="8"/>
        <v>15</v>
      </c>
    </row>
    <row r="181" spans="1:26" ht="12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73">
        <v>6487</v>
      </c>
      <c r="O181" s="195">
        <f t="shared" si="1"/>
        <v>600</v>
      </c>
      <c r="P181" s="195">
        <f t="shared" si="2"/>
        <v>40</v>
      </c>
      <c r="Q181" s="195">
        <f t="shared" si="3"/>
        <v>7</v>
      </c>
      <c r="R181" s="196">
        <f t="shared" si="4"/>
        <v>5</v>
      </c>
      <c r="S181" s="18"/>
      <c r="T181" s="18"/>
      <c r="U181" s="18"/>
      <c r="V181" s="197">
        <f t="shared" si="9"/>
        <v>17881.60000000002</v>
      </c>
      <c r="W181" s="195">
        <f t="shared" si="5"/>
        <v>705.60000000002037</v>
      </c>
      <c r="X181" s="195">
        <f t="shared" si="6"/>
        <v>149</v>
      </c>
      <c r="Y181" s="195">
        <f t="shared" si="7"/>
        <v>17</v>
      </c>
      <c r="Z181" s="196">
        <f t="shared" si="8"/>
        <v>15</v>
      </c>
    </row>
    <row r="182" spans="1:26" ht="12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73">
        <v>6520</v>
      </c>
      <c r="O182" s="195">
        <f t="shared" si="1"/>
        <v>633</v>
      </c>
      <c r="P182" s="195">
        <f t="shared" si="2"/>
        <v>40</v>
      </c>
      <c r="Q182" s="195">
        <f t="shared" si="3"/>
        <v>7</v>
      </c>
      <c r="R182" s="196">
        <f t="shared" si="4"/>
        <v>5</v>
      </c>
      <c r="S182" s="18"/>
      <c r="T182" s="18"/>
      <c r="U182" s="18"/>
      <c r="V182" s="197">
        <f t="shared" si="9"/>
        <v>17983.200000000019</v>
      </c>
      <c r="W182" s="195">
        <f t="shared" si="5"/>
        <v>807.20000000001892</v>
      </c>
      <c r="X182" s="195">
        <f t="shared" si="6"/>
        <v>149</v>
      </c>
      <c r="Y182" s="195">
        <f t="shared" si="7"/>
        <v>17</v>
      </c>
      <c r="Z182" s="196">
        <f t="shared" si="8"/>
        <v>15</v>
      </c>
    </row>
    <row r="183" spans="1:26" ht="12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73">
        <v>6553</v>
      </c>
      <c r="O183" s="195">
        <f t="shared" si="1"/>
        <v>666</v>
      </c>
      <c r="P183" s="195">
        <f t="shared" si="2"/>
        <v>40</v>
      </c>
      <c r="Q183" s="195">
        <f t="shared" si="3"/>
        <v>7</v>
      </c>
      <c r="R183" s="196">
        <f t="shared" si="4"/>
        <v>5</v>
      </c>
      <c r="S183" s="18"/>
      <c r="T183" s="18"/>
      <c r="U183" s="18"/>
      <c r="V183" s="197">
        <f t="shared" si="9"/>
        <v>18084.800000000017</v>
      </c>
      <c r="W183" s="195">
        <f t="shared" si="5"/>
        <v>908.80000000001746</v>
      </c>
      <c r="X183" s="195">
        <f t="shared" si="6"/>
        <v>149</v>
      </c>
      <c r="Y183" s="195">
        <f t="shared" si="7"/>
        <v>17</v>
      </c>
      <c r="Z183" s="196">
        <f t="shared" si="8"/>
        <v>15</v>
      </c>
    </row>
    <row r="184" spans="1:26" ht="12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73">
        <v>6586</v>
      </c>
      <c r="O184" s="195">
        <f t="shared" si="1"/>
        <v>699</v>
      </c>
      <c r="P184" s="195">
        <f t="shared" si="2"/>
        <v>40</v>
      </c>
      <c r="Q184" s="195">
        <f t="shared" si="3"/>
        <v>7</v>
      </c>
      <c r="R184" s="196">
        <f t="shared" si="4"/>
        <v>5</v>
      </c>
      <c r="S184" s="18"/>
      <c r="T184" s="18"/>
      <c r="U184" s="18"/>
      <c r="V184" s="197">
        <f t="shared" si="9"/>
        <v>18186.400000000016</v>
      </c>
      <c r="W184" s="195">
        <f t="shared" si="5"/>
        <v>0</v>
      </c>
      <c r="X184" s="195">
        <f t="shared" si="6"/>
        <v>41.400000000016007</v>
      </c>
      <c r="Y184" s="195">
        <f t="shared" si="7"/>
        <v>17</v>
      </c>
      <c r="Z184" s="196">
        <f t="shared" si="8"/>
        <v>16</v>
      </c>
    </row>
    <row r="185" spans="1:26" ht="12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73">
        <v>6619</v>
      </c>
      <c r="O185" s="195">
        <f t="shared" si="1"/>
        <v>732</v>
      </c>
      <c r="P185" s="195">
        <f t="shared" si="2"/>
        <v>40</v>
      </c>
      <c r="Q185" s="195">
        <f t="shared" si="3"/>
        <v>7</v>
      </c>
      <c r="R185" s="196">
        <f t="shared" si="4"/>
        <v>5</v>
      </c>
      <c r="S185" s="18"/>
      <c r="T185" s="18"/>
      <c r="U185" s="18"/>
      <c r="V185" s="197">
        <f t="shared" si="9"/>
        <v>18288.000000000015</v>
      </c>
      <c r="W185" s="195">
        <f t="shared" si="5"/>
        <v>0</v>
      </c>
      <c r="X185" s="195">
        <f t="shared" si="6"/>
        <v>143.00000000001455</v>
      </c>
      <c r="Y185" s="195">
        <f t="shared" si="7"/>
        <v>17</v>
      </c>
      <c r="Z185" s="196">
        <f t="shared" si="8"/>
        <v>16</v>
      </c>
    </row>
    <row r="186" spans="1:26" ht="12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73">
        <v>6652</v>
      </c>
      <c r="O186" s="195">
        <f t="shared" si="1"/>
        <v>765</v>
      </c>
      <c r="P186" s="195">
        <f t="shared" si="2"/>
        <v>40</v>
      </c>
      <c r="Q186" s="195">
        <f t="shared" si="3"/>
        <v>7</v>
      </c>
      <c r="R186" s="196">
        <f t="shared" si="4"/>
        <v>5</v>
      </c>
      <c r="S186" s="18"/>
      <c r="T186" s="18"/>
      <c r="U186" s="18"/>
      <c r="V186" s="197">
        <f t="shared" si="9"/>
        <v>18389.600000000013</v>
      </c>
      <c r="W186" s="195">
        <f t="shared" si="5"/>
        <v>0</v>
      </c>
      <c r="X186" s="195">
        <f t="shared" si="6"/>
        <v>244.6000000000131</v>
      </c>
      <c r="Y186" s="195">
        <f t="shared" si="7"/>
        <v>17</v>
      </c>
      <c r="Z186" s="196">
        <f t="shared" si="8"/>
        <v>16</v>
      </c>
    </row>
    <row r="187" spans="1:26" ht="12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73">
        <v>6685</v>
      </c>
      <c r="O187" s="195">
        <f t="shared" si="1"/>
        <v>798</v>
      </c>
      <c r="P187" s="195">
        <f t="shared" si="2"/>
        <v>40</v>
      </c>
      <c r="Q187" s="195">
        <f t="shared" si="3"/>
        <v>7</v>
      </c>
      <c r="R187" s="196">
        <f t="shared" si="4"/>
        <v>5</v>
      </c>
      <c r="S187" s="18"/>
      <c r="T187" s="18"/>
      <c r="U187" s="18"/>
      <c r="V187" s="197">
        <f t="shared" si="9"/>
        <v>18491.200000000012</v>
      </c>
      <c r="W187" s="195">
        <f t="shared" si="5"/>
        <v>0</v>
      </c>
      <c r="X187" s="195">
        <f t="shared" si="6"/>
        <v>346.20000000001164</v>
      </c>
      <c r="Y187" s="195">
        <f t="shared" si="7"/>
        <v>17</v>
      </c>
      <c r="Z187" s="196">
        <f t="shared" si="8"/>
        <v>16</v>
      </c>
    </row>
    <row r="188" spans="1:26" ht="12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73">
        <v>6718</v>
      </c>
      <c r="O188" s="195">
        <f t="shared" si="1"/>
        <v>831</v>
      </c>
      <c r="P188" s="195">
        <f t="shared" si="2"/>
        <v>40</v>
      </c>
      <c r="Q188" s="195">
        <f t="shared" si="3"/>
        <v>7</v>
      </c>
      <c r="R188" s="196">
        <f t="shared" si="4"/>
        <v>5</v>
      </c>
      <c r="S188" s="18"/>
      <c r="T188" s="18"/>
      <c r="U188" s="18"/>
      <c r="V188" s="197">
        <f t="shared" si="9"/>
        <v>18592.80000000001</v>
      </c>
      <c r="W188" s="195">
        <f t="shared" si="5"/>
        <v>0</v>
      </c>
      <c r="X188" s="195">
        <f t="shared" si="6"/>
        <v>447.80000000001019</v>
      </c>
      <c r="Y188" s="195">
        <f t="shared" si="7"/>
        <v>17</v>
      </c>
      <c r="Z188" s="196">
        <f t="shared" si="8"/>
        <v>16</v>
      </c>
    </row>
    <row r="189" spans="1:26" ht="12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73">
        <v>6751</v>
      </c>
      <c r="O189" s="195">
        <f t="shared" si="1"/>
        <v>864</v>
      </c>
      <c r="P189" s="195">
        <f t="shared" si="2"/>
        <v>40</v>
      </c>
      <c r="Q189" s="195">
        <f t="shared" si="3"/>
        <v>7</v>
      </c>
      <c r="R189" s="196">
        <f t="shared" si="4"/>
        <v>5</v>
      </c>
      <c r="S189" s="18"/>
      <c r="T189" s="18"/>
      <c r="U189" s="18"/>
      <c r="V189" s="197">
        <f t="shared" si="9"/>
        <v>18694.400000000009</v>
      </c>
      <c r="W189" s="195">
        <f t="shared" si="5"/>
        <v>400.40000000000873</v>
      </c>
      <c r="X189" s="195">
        <f t="shared" si="6"/>
        <v>149</v>
      </c>
      <c r="Y189" s="195">
        <f t="shared" si="7"/>
        <v>18</v>
      </c>
      <c r="Z189" s="196">
        <f t="shared" si="8"/>
        <v>16</v>
      </c>
    </row>
    <row r="190" spans="1:26" ht="12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73">
        <v>6784</v>
      </c>
      <c r="O190" s="195">
        <f t="shared" si="1"/>
        <v>897</v>
      </c>
      <c r="P190" s="195">
        <f t="shared" si="2"/>
        <v>40</v>
      </c>
      <c r="Q190" s="195">
        <f t="shared" si="3"/>
        <v>7</v>
      </c>
      <c r="R190" s="196">
        <f t="shared" si="4"/>
        <v>5</v>
      </c>
      <c r="S190" s="18"/>
      <c r="T190" s="18"/>
      <c r="U190" s="18"/>
      <c r="V190" s="197">
        <f t="shared" si="9"/>
        <v>18796.000000000007</v>
      </c>
      <c r="W190" s="195">
        <f t="shared" si="5"/>
        <v>502.00000000000728</v>
      </c>
      <c r="X190" s="195">
        <f t="shared" si="6"/>
        <v>149</v>
      </c>
      <c r="Y190" s="195">
        <f t="shared" si="7"/>
        <v>18</v>
      </c>
      <c r="Z190" s="196">
        <f t="shared" si="8"/>
        <v>16</v>
      </c>
    </row>
    <row r="191" spans="1:26" ht="12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73">
        <v>6817</v>
      </c>
      <c r="O191" s="195">
        <f t="shared" si="1"/>
        <v>930</v>
      </c>
      <c r="P191" s="195">
        <f t="shared" si="2"/>
        <v>40</v>
      </c>
      <c r="Q191" s="195">
        <f t="shared" si="3"/>
        <v>7</v>
      </c>
      <c r="R191" s="196">
        <f t="shared" si="4"/>
        <v>5</v>
      </c>
      <c r="S191" s="18"/>
      <c r="T191" s="18"/>
      <c r="U191" s="18"/>
      <c r="V191" s="197">
        <f t="shared" si="9"/>
        <v>18897.600000000006</v>
      </c>
      <c r="W191" s="195">
        <f t="shared" si="5"/>
        <v>603.60000000000582</v>
      </c>
      <c r="X191" s="195">
        <f t="shared" si="6"/>
        <v>149</v>
      </c>
      <c r="Y191" s="195">
        <f t="shared" si="7"/>
        <v>18</v>
      </c>
      <c r="Z191" s="196">
        <f t="shared" si="8"/>
        <v>16</v>
      </c>
    </row>
    <row r="192" spans="1:26" ht="12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73">
        <v>6850</v>
      </c>
      <c r="O192" s="195">
        <f t="shared" si="1"/>
        <v>963</v>
      </c>
      <c r="P192" s="195">
        <f t="shared" si="2"/>
        <v>40</v>
      </c>
      <c r="Q192" s="195">
        <f t="shared" si="3"/>
        <v>7</v>
      </c>
      <c r="R192" s="196">
        <f t="shared" si="4"/>
        <v>5</v>
      </c>
      <c r="S192" s="18"/>
      <c r="T192" s="18"/>
      <c r="U192" s="18"/>
      <c r="V192" s="197">
        <f t="shared" si="9"/>
        <v>18999.200000000004</v>
      </c>
      <c r="W192" s="195">
        <f t="shared" si="5"/>
        <v>705.20000000000437</v>
      </c>
      <c r="X192" s="195">
        <f t="shared" si="6"/>
        <v>149</v>
      </c>
      <c r="Y192" s="195">
        <f t="shared" si="7"/>
        <v>18</v>
      </c>
      <c r="Z192" s="196">
        <f t="shared" si="8"/>
        <v>16</v>
      </c>
    </row>
    <row r="193" spans="1:26" ht="12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73">
        <v>6883</v>
      </c>
      <c r="O193" s="195">
        <f t="shared" si="1"/>
        <v>996</v>
      </c>
      <c r="P193" s="195">
        <f t="shared" si="2"/>
        <v>40</v>
      </c>
      <c r="Q193" s="195">
        <f t="shared" si="3"/>
        <v>7</v>
      </c>
      <c r="R193" s="196">
        <f t="shared" si="4"/>
        <v>5</v>
      </c>
      <c r="S193" s="18"/>
      <c r="T193" s="18"/>
      <c r="U193" s="18"/>
      <c r="V193" s="197">
        <f t="shared" si="9"/>
        <v>19100.800000000003</v>
      </c>
      <c r="W193" s="195">
        <f t="shared" si="5"/>
        <v>806.80000000000291</v>
      </c>
      <c r="X193" s="195">
        <f t="shared" si="6"/>
        <v>149</v>
      </c>
      <c r="Y193" s="195">
        <f t="shared" si="7"/>
        <v>18</v>
      </c>
      <c r="Z193" s="196">
        <f t="shared" si="8"/>
        <v>16</v>
      </c>
    </row>
    <row r="194" spans="1:26" ht="12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73">
        <v>6916</v>
      </c>
      <c r="O194" s="195">
        <f t="shared" si="1"/>
        <v>1029</v>
      </c>
      <c r="P194" s="195">
        <f t="shared" si="2"/>
        <v>40</v>
      </c>
      <c r="Q194" s="195">
        <f t="shared" si="3"/>
        <v>7</v>
      </c>
      <c r="R194" s="196">
        <f t="shared" si="4"/>
        <v>5</v>
      </c>
      <c r="S194" s="18"/>
      <c r="T194" s="18"/>
      <c r="U194" s="18"/>
      <c r="V194" s="197">
        <f t="shared" si="9"/>
        <v>19202.400000000001</v>
      </c>
      <c r="W194" s="195">
        <f t="shared" si="5"/>
        <v>908.40000000000146</v>
      </c>
      <c r="X194" s="195">
        <f t="shared" si="6"/>
        <v>149</v>
      </c>
      <c r="Y194" s="195">
        <f t="shared" si="7"/>
        <v>18</v>
      </c>
      <c r="Z194" s="196">
        <f t="shared" si="8"/>
        <v>16</v>
      </c>
    </row>
    <row r="195" spans="1:26" ht="12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73">
        <v>6949</v>
      </c>
      <c r="O195" s="195">
        <f t="shared" si="1"/>
        <v>1062</v>
      </c>
      <c r="P195" s="195">
        <f t="shared" si="2"/>
        <v>40</v>
      </c>
      <c r="Q195" s="195">
        <f t="shared" si="3"/>
        <v>7</v>
      </c>
      <c r="R195" s="196">
        <f t="shared" si="4"/>
        <v>5</v>
      </c>
      <c r="S195" s="18"/>
      <c r="T195" s="18"/>
      <c r="U195" s="18"/>
      <c r="V195" s="197">
        <f t="shared" si="9"/>
        <v>19304</v>
      </c>
      <c r="W195" s="195">
        <f t="shared" si="5"/>
        <v>0</v>
      </c>
      <c r="X195" s="195">
        <f t="shared" si="6"/>
        <v>41</v>
      </c>
      <c r="Y195" s="195">
        <f t="shared" si="7"/>
        <v>18</v>
      </c>
      <c r="Z195" s="196">
        <f t="shared" si="8"/>
        <v>17</v>
      </c>
    </row>
    <row r="196" spans="1:26" ht="12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73">
        <v>6982</v>
      </c>
      <c r="O196" s="195">
        <f t="shared" si="1"/>
        <v>0</v>
      </c>
      <c r="P196" s="195">
        <f t="shared" si="2"/>
        <v>17</v>
      </c>
      <c r="Q196" s="195">
        <f t="shared" si="3"/>
        <v>7</v>
      </c>
      <c r="R196" s="196">
        <f t="shared" si="4"/>
        <v>6</v>
      </c>
      <c r="S196" s="18"/>
      <c r="T196" s="18"/>
      <c r="U196" s="18"/>
      <c r="V196" s="197">
        <f t="shared" si="9"/>
        <v>19405.599999999999</v>
      </c>
      <c r="W196" s="195">
        <f t="shared" si="5"/>
        <v>0</v>
      </c>
      <c r="X196" s="195">
        <f t="shared" si="6"/>
        <v>142.59999999999854</v>
      </c>
      <c r="Y196" s="195">
        <f t="shared" si="7"/>
        <v>18</v>
      </c>
      <c r="Z196" s="196">
        <f t="shared" si="8"/>
        <v>17</v>
      </c>
    </row>
    <row r="197" spans="1:26" ht="12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7"/>
      <c r="N197" s="177">
        <v>7015</v>
      </c>
      <c r="O197" s="222">
        <f t="shared" si="1"/>
        <v>0</v>
      </c>
      <c r="P197" s="222">
        <f t="shared" si="2"/>
        <v>50</v>
      </c>
      <c r="Q197" s="222">
        <f t="shared" si="3"/>
        <v>7</v>
      </c>
      <c r="R197" s="223">
        <f t="shared" si="4"/>
        <v>6</v>
      </c>
      <c r="S197" s="18"/>
      <c r="T197" s="18"/>
      <c r="U197" s="18"/>
      <c r="V197" s="197">
        <f t="shared" si="9"/>
        <v>19507.199999999997</v>
      </c>
      <c r="W197" s="195">
        <f t="shared" si="5"/>
        <v>0</v>
      </c>
      <c r="X197" s="195">
        <f t="shared" si="6"/>
        <v>244.19999999999709</v>
      </c>
      <c r="Y197" s="195">
        <f t="shared" si="7"/>
        <v>18</v>
      </c>
      <c r="Z197" s="196">
        <f t="shared" si="8"/>
        <v>17</v>
      </c>
    </row>
    <row r="198" spans="1:26" ht="12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7"/>
      <c r="N198" s="18"/>
      <c r="O198" s="18"/>
      <c r="P198" s="18"/>
      <c r="Q198" s="18"/>
      <c r="R198" s="18"/>
      <c r="S198" s="18"/>
      <c r="T198" s="18"/>
      <c r="U198" s="18"/>
      <c r="V198" s="197">
        <f t="shared" si="9"/>
        <v>19608.799999999996</v>
      </c>
      <c r="W198" s="195">
        <f t="shared" si="5"/>
        <v>0</v>
      </c>
      <c r="X198" s="195">
        <f t="shared" si="6"/>
        <v>345.79999999999563</v>
      </c>
      <c r="Y198" s="195">
        <f t="shared" si="7"/>
        <v>18</v>
      </c>
      <c r="Z198" s="196">
        <f t="shared" si="8"/>
        <v>17</v>
      </c>
    </row>
    <row r="199" spans="1:26" ht="12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7"/>
      <c r="N199" s="18"/>
      <c r="O199" s="18"/>
      <c r="P199" s="18"/>
      <c r="Q199" s="18"/>
      <c r="R199" s="18"/>
      <c r="S199" s="18"/>
      <c r="T199" s="18"/>
      <c r="U199" s="18"/>
      <c r="V199" s="197">
        <f t="shared" si="9"/>
        <v>19710.399999999994</v>
      </c>
      <c r="W199" s="195">
        <f t="shared" si="5"/>
        <v>0</v>
      </c>
      <c r="X199" s="195">
        <f t="shared" si="6"/>
        <v>447.39999999999418</v>
      </c>
      <c r="Y199" s="195">
        <f t="shared" si="7"/>
        <v>18</v>
      </c>
      <c r="Z199" s="196">
        <f t="shared" si="8"/>
        <v>17</v>
      </c>
    </row>
    <row r="200" spans="1:26" ht="12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7"/>
      <c r="N200" s="18"/>
      <c r="O200" s="18"/>
      <c r="P200" s="18"/>
      <c r="Q200" s="18"/>
      <c r="R200" s="18"/>
      <c r="S200" s="18"/>
      <c r="T200" s="18"/>
      <c r="U200" s="18"/>
      <c r="V200" s="197">
        <f t="shared" si="9"/>
        <v>19811.999999999993</v>
      </c>
      <c r="W200" s="195">
        <f t="shared" si="5"/>
        <v>399.99999999999272</v>
      </c>
      <c r="X200" s="195">
        <f t="shared" si="6"/>
        <v>149</v>
      </c>
      <c r="Y200" s="195">
        <f t="shared" si="7"/>
        <v>19</v>
      </c>
      <c r="Z200" s="196">
        <f t="shared" si="8"/>
        <v>17</v>
      </c>
    </row>
    <row r="201" spans="1:26" ht="12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7"/>
      <c r="N201" s="18"/>
      <c r="O201" s="18"/>
      <c r="P201" s="18"/>
      <c r="Q201" s="18"/>
      <c r="R201" s="18"/>
      <c r="S201" s="18"/>
      <c r="T201" s="18"/>
      <c r="U201" s="18"/>
      <c r="V201" s="197">
        <f t="shared" si="9"/>
        <v>19913.599999999991</v>
      </c>
      <c r="W201" s="195">
        <f t="shared" si="5"/>
        <v>501.59999999999127</v>
      </c>
      <c r="X201" s="195">
        <f t="shared" si="6"/>
        <v>149</v>
      </c>
      <c r="Y201" s="195">
        <f t="shared" si="7"/>
        <v>19</v>
      </c>
      <c r="Z201" s="196">
        <f t="shared" si="8"/>
        <v>17</v>
      </c>
    </row>
    <row r="202" spans="1:26" ht="12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7"/>
      <c r="N202" s="18"/>
      <c r="O202" s="18"/>
      <c r="P202" s="18"/>
      <c r="Q202" s="18"/>
      <c r="R202" s="18"/>
      <c r="S202" s="18"/>
      <c r="T202" s="18"/>
      <c r="U202" s="18"/>
      <c r="V202" s="224">
        <f t="shared" si="9"/>
        <v>20015.19999999999</v>
      </c>
      <c r="W202" s="222">
        <f t="shared" si="5"/>
        <v>603.19999999998981</v>
      </c>
      <c r="X202" s="222">
        <f t="shared" si="6"/>
        <v>149</v>
      </c>
      <c r="Y202" s="222">
        <f t="shared" si="7"/>
        <v>19</v>
      </c>
      <c r="Z202" s="223">
        <f t="shared" si="8"/>
        <v>17</v>
      </c>
    </row>
    <row r="203" spans="1:26" ht="12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7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2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7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2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7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2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7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2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7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2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7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2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7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2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7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2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7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2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7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2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7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2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7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2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7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2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7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2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7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2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7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2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7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2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7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2.75" customHeight="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7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2.75" customHeight="1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7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2.75" customHeight="1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7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2.75" customHeight="1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7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2.75" customHeight="1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7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2.75" customHeight="1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7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2.75" customHeight="1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7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2.75" customHeight="1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7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2.75" customHeight="1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7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2.75" customHeight="1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7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2.75" customHeight="1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7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2.75" customHeight="1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7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2.75" customHeight="1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7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2.75" customHeight="1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7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2.75" customHeight="1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7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2.75" customHeight="1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7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2.75" customHeight="1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7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2.75" customHeight="1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7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2.75" customHeight="1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7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2.75" customHeight="1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7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2.75" customHeight="1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7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2.75" customHeight="1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7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2.75" customHeight="1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7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2.75" customHeight="1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7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2.75" customHeight="1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7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2.75" customHeight="1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7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2.75" customHeight="1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7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2.75" customHeight="1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7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2.75" customHeight="1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7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2.75" customHeight="1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7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2.75" customHeight="1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7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2.75" customHeight="1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7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2.75" customHeight="1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7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2.75" customHeight="1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7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2.75" customHeight="1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7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2.75" customHeight="1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7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2.75" customHeight="1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7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2.75" customHeight="1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7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2.75" customHeight="1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7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2.75" customHeight="1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7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2.75" customHeight="1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7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2.75" customHeight="1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7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2.75" customHeight="1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7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2.75" customHeight="1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7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2.75" customHeight="1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7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2.75" customHeight="1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7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2.75" customHeight="1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7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2.75" customHeight="1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7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2.75" customHeight="1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7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2.75" customHeight="1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7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2.75" customHeight="1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7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2.75" customHeight="1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7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2.75" customHeight="1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7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2.75" customHeight="1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7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2.75" customHeight="1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7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2.75" customHeight="1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7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2.75" customHeight="1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7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2.75" customHeight="1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7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2.75" customHeight="1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7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2.75" customHeight="1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7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2.75" customHeight="1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7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2.75" customHeight="1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7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2.75" customHeight="1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7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2.75" customHeight="1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7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2.75" customHeight="1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7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2.75" customHeight="1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7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2.75" customHeight="1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7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2.75" customHeight="1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7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2.75" customHeight="1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7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2.75" customHeight="1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7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2.75" customHeight="1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7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2.75" customHeight="1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7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2.75" customHeight="1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7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2.75" customHeight="1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7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2.75" customHeight="1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7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2.75" customHeight="1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7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2.75" customHeight="1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7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2.75" customHeight="1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7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2.75" customHeight="1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7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2.75" customHeight="1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7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2.75" customHeight="1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7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2.75" customHeight="1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7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2.75" customHeight="1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7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2.75" customHeight="1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7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2.75" customHeight="1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7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2.75" customHeight="1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7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2.75" customHeight="1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7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2.75" customHeight="1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7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2.75" customHeight="1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7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2.75" customHeight="1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7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2.75" customHeight="1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7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2.75" customHeight="1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7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2.75" customHeight="1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7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2.75" customHeight="1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7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2.75" customHeight="1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7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2.75" customHeight="1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7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2.75" customHeight="1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7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2.75" customHeight="1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7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2.75" customHeight="1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7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2.75" customHeight="1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7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2.75" customHeight="1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7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2.75" customHeight="1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7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2.75" customHeight="1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7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2.75" customHeight="1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7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2.75" customHeight="1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7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2.75" customHeight="1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7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2.75" customHeight="1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7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2.75" customHeight="1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7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2.75" customHeight="1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7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2.75" customHeight="1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7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2.75" customHeight="1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7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2.75" customHeight="1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7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2.75" customHeight="1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7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2.75" customHeight="1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7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2.75" customHeight="1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7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2.75" customHeight="1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7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2.75" customHeight="1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7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2.75" customHeight="1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7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2.75" customHeight="1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7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2.75" customHeight="1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7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2.75" customHeight="1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7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2.75" customHeight="1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7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2.75" customHeight="1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7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2.75" customHeight="1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7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2.75" customHeight="1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7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2.75" customHeight="1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7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2.75" customHeight="1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7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2.75" customHeight="1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7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2.75" customHeight="1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7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2.75" customHeight="1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7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2.75" customHeight="1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7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2.75" customHeight="1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7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2.75" customHeight="1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7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2.75" customHeight="1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7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2.75" customHeight="1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7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2.75" customHeight="1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7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2.75" customHeight="1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7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2.75" customHeight="1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7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2.75" customHeight="1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7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2.75" customHeight="1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7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2.75" customHeight="1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7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2.75" customHeight="1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7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2.75" customHeight="1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7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2.75" customHeight="1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7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2.75" customHeight="1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7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2.75" customHeight="1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7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2.75" customHeight="1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7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2.75" customHeight="1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7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2.75" customHeight="1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7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2.75" customHeight="1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7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2.75" customHeight="1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7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2.75" customHeight="1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7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2.75" customHeight="1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7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2.75" customHeight="1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7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2.75" customHeight="1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7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2.75" customHeight="1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7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2.75" customHeight="1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7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2.75" customHeight="1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7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2.75" customHeight="1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7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2.75" customHeight="1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7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2.75" customHeight="1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7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2.75" customHeight="1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7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2.75" customHeight="1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7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2.75" customHeight="1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7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2.75" customHeight="1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7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2.75" customHeight="1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7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2.75" customHeight="1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7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2.75" customHeight="1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7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2.75" customHeight="1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7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2.75" customHeight="1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7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2.75" customHeight="1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7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2.75" customHeight="1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7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2.75" customHeight="1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7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2.75" customHeight="1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7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2.75" customHeight="1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7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2.75" customHeight="1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7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2.75" customHeight="1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7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2.75" customHeight="1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7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2.75" customHeight="1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7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2.75" customHeight="1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7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ht="12.75" customHeight="1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7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ht="12.75" customHeight="1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7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ht="15.75" customHeight="1"/>
    <row r="404" spans="1:26" ht="15.75" customHeight="1"/>
    <row r="405" spans="1:26" ht="15.75" customHeight="1"/>
    <row r="406" spans="1:26" ht="15.75" customHeight="1"/>
    <row r="407" spans="1:26" ht="15.75" customHeight="1"/>
    <row r="408" spans="1:26" ht="15.75" customHeight="1"/>
    <row r="409" spans="1:26" ht="15.75" customHeight="1"/>
    <row r="410" spans="1:26" ht="15.75" customHeight="1"/>
    <row r="411" spans="1:26" ht="15.75" customHeight="1"/>
    <row r="412" spans="1:26" ht="15.75" customHeight="1"/>
    <row r="413" spans="1:26" ht="15.75" customHeight="1"/>
    <row r="414" spans="1:26" ht="15.75" customHeight="1"/>
    <row r="415" spans="1:26" ht="15.75" customHeight="1"/>
    <row r="416" spans="1:2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5" right="0.75" top="1" bottom="1" header="0" footer="0"/>
  <pageSetup orientation="portrait"/>
  <colBreaks count="1" manualBreakCount="1">
    <brk id="11" man="1"/>
  </colBreak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Z1000"/>
  <sheetViews>
    <sheetView topLeftCell="A61" workbookViewId="0">
      <selection activeCell="M72" sqref="M72"/>
    </sheetView>
  </sheetViews>
  <sheetFormatPr baseColWidth="10" defaultColWidth="14.44140625" defaultRowHeight="15" customHeight="1"/>
  <cols>
    <col min="1" max="1" width="2.5546875" customWidth="1"/>
    <col min="2" max="2" width="10.33203125" customWidth="1"/>
    <col min="3" max="3" width="41.6640625" customWidth="1"/>
    <col min="4" max="4" width="23" customWidth="1"/>
    <col min="5" max="5" width="3.6640625" customWidth="1"/>
    <col min="6" max="8" width="11.5546875" customWidth="1"/>
    <col min="9" max="9" width="12.33203125" customWidth="1"/>
    <col min="10" max="10" width="14.6640625" customWidth="1"/>
    <col min="11" max="11" width="11.5546875" customWidth="1"/>
    <col min="12" max="12" width="15.6640625" customWidth="1"/>
    <col min="13" max="13" width="14.33203125" customWidth="1"/>
    <col min="14" max="14" width="13.6640625" customWidth="1"/>
    <col min="15" max="15" width="15.5546875" customWidth="1"/>
    <col min="16" max="16" width="20.33203125" customWidth="1"/>
    <col min="17" max="18" width="11.5546875" customWidth="1"/>
    <col min="19" max="19" width="13.33203125" customWidth="1"/>
    <col min="20" max="20" width="11.5546875" customWidth="1"/>
    <col min="21" max="21" width="16.5546875" customWidth="1"/>
    <col min="22" max="23" width="11.5546875" customWidth="1"/>
    <col min="24" max="26" width="10.6640625" customWidth="1"/>
  </cols>
  <sheetData>
    <row r="1" spans="1:26" ht="12.75" customHeight="1">
      <c r="A1" s="18"/>
      <c r="B1" s="18"/>
      <c r="C1" s="18"/>
      <c r="D1" s="18"/>
      <c r="E1" s="18"/>
      <c r="F1" s="18"/>
      <c r="G1" s="18"/>
      <c r="H1" s="18"/>
      <c r="I1" s="18"/>
      <c r="J1" s="69"/>
      <c r="K1" s="32"/>
      <c r="L1" s="32"/>
      <c r="M1" s="71"/>
      <c r="N1" s="225"/>
      <c r="O1" s="32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12.75" customHeight="1">
      <c r="A2" s="18"/>
      <c r="B2" s="18"/>
      <c r="C2" s="226" t="s">
        <v>337</v>
      </c>
      <c r="D2" s="227" t="str">
        <f>'Calculador Selectivo'!H5</f>
        <v>CZR090VSL</v>
      </c>
      <c r="E2" s="18"/>
      <c r="F2" s="18"/>
      <c r="G2" s="18"/>
      <c r="H2" s="18"/>
      <c r="I2" s="158" t="s">
        <v>338</v>
      </c>
      <c r="J2" s="228">
        <v>2100000</v>
      </c>
      <c r="K2" s="18"/>
      <c r="L2" s="32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2.75" customHeight="1">
      <c r="A3" s="18"/>
      <c r="B3" s="18"/>
      <c r="C3" s="229" t="s">
        <v>339</v>
      </c>
      <c r="D3" s="230" t="str">
        <f>'Calculador Selectivo'!H6</f>
        <v>Gota 3P</v>
      </c>
      <c r="E3" s="18"/>
      <c r="F3" s="18"/>
      <c r="G3" s="18"/>
      <c r="H3" s="18"/>
      <c r="I3" s="158" t="s">
        <v>340</v>
      </c>
      <c r="J3" s="228">
        <v>1510</v>
      </c>
      <c r="K3" s="18" t="s">
        <v>341</v>
      </c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ht="12.75" customHeight="1">
      <c r="A4" s="18"/>
      <c r="B4" s="18"/>
      <c r="C4" s="229" t="s">
        <v>342</v>
      </c>
      <c r="D4" s="231">
        <f>'Calculador Selectivo'!H7</f>
        <v>2438.3999999999996</v>
      </c>
      <c r="E4" s="18"/>
      <c r="F4" s="18"/>
      <c r="G4" s="18"/>
      <c r="H4" s="18"/>
      <c r="I4" s="158" t="s">
        <v>343</v>
      </c>
      <c r="J4" s="228">
        <v>2105</v>
      </c>
      <c r="K4" s="18" t="s">
        <v>344</v>
      </c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ht="12.75" customHeight="1">
      <c r="A5" s="18"/>
      <c r="B5" s="18"/>
      <c r="C5" s="229" t="s">
        <v>345</v>
      </c>
      <c r="D5" s="232">
        <f>'Calculador Selectivo'!H8</f>
        <v>150</v>
      </c>
      <c r="E5" s="18"/>
      <c r="F5" s="18"/>
      <c r="G5" s="18"/>
      <c r="H5" s="18"/>
      <c r="I5" s="158" t="s">
        <v>346</v>
      </c>
      <c r="J5" s="228">
        <v>2308</v>
      </c>
      <c r="K5" s="18" t="s">
        <v>347</v>
      </c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ht="12.75" customHeight="1">
      <c r="A6" s="18"/>
      <c r="B6" s="18"/>
      <c r="C6" s="229" t="s">
        <v>348</v>
      </c>
      <c r="D6" s="233" t="s">
        <v>349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ht="12.75" customHeight="1">
      <c r="A7" s="18"/>
      <c r="B7" s="18"/>
      <c r="C7" s="234" t="s">
        <v>350</v>
      </c>
      <c r="D7" s="235" t="str">
        <f>J166</f>
        <v>ℓ/180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ht="12.75" customHeight="1">
      <c r="A8" s="18"/>
      <c r="B8" s="18"/>
      <c r="C8" s="18" t="s">
        <v>351</v>
      </c>
      <c r="D8" s="18" t="s">
        <v>352</v>
      </c>
      <c r="E8" s="18"/>
      <c r="F8" s="18">
        <f>1146/3</f>
        <v>382</v>
      </c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ht="12.75" customHeight="1">
      <c r="A9" s="18"/>
      <c r="B9" s="18"/>
      <c r="C9" s="18" t="s">
        <v>353</v>
      </c>
      <c r="D9" s="18" t="s">
        <v>354</v>
      </c>
      <c r="E9" s="18"/>
      <c r="F9" s="18">
        <f>+F8*2</f>
        <v>764</v>
      </c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ht="12.75" customHeight="1">
      <c r="A10" s="18"/>
      <c r="B10" s="18"/>
      <c r="C10" s="18" t="s">
        <v>355</v>
      </c>
      <c r="D10" s="18" t="s">
        <v>356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ht="12.75" customHeight="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ht="12.75" customHeight="1">
      <c r="A12" s="18"/>
      <c r="B12" s="236"/>
      <c r="C12" s="237" t="s">
        <v>357</v>
      </c>
      <c r="D12" s="238">
        <f>+$L$40</f>
        <v>1.3546666666666665</v>
      </c>
      <c r="E12" s="18"/>
      <c r="F12" s="18"/>
      <c r="G12" s="18"/>
      <c r="H12" s="18"/>
      <c r="I12" s="18"/>
      <c r="J12" s="18"/>
      <c r="K12" s="18"/>
      <c r="L12" s="18"/>
      <c r="M12" s="158" t="s">
        <v>358</v>
      </c>
      <c r="N12" s="228">
        <f>+IF($D$7="ℓ/180",180,IF($D$7="ℓ/240",240,360))</f>
        <v>180</v>
      </c>
      <c r="O12" s="239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ht="12.75" customHeight="1">
      <c r="A13" s="18"/>
      <c r="B13" s="240"/>
      <c r="C13" s="154" t="s">
        <v>359</v>
      </c>
      <c r="D13" s="241">
        <f>+$L$50</f>
        <v>890.60594787856269</v>
      </c>
      <c r="E13" s="18"/>
      <c r="F13" s="18"/>
      <c r="G13" s="18"/>
      <c r="H13" s="18"/>
      <c r="I13" s="18"/>
      <c r="J13" s="18"/>
      <c r="K13" s="18"/>
      <c r="L13" s="18"/>
      <c r="M13" s="158" t="s">
        <v>360</v>
      </c>
      <c r="N13" s="228">
        <f>+IF($D$6="A55",$J$5,IF($D$6="A36",$J$3,$J$4))</f>
        <v>2308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ht="12.75" customHeight="1">
      <c r="A14" s="18"/>
      <c r="B14" s="240"/>
      <c r="C14" s="154" t="s">
        <v>361</v>
      </c>
      <c r="D14" s="242">
        <f>+$L$32</f>
        <v>0.22815926671501083</v>
      </c>
      <c r="E14" s="18"/>
      <c r="F14" s="18"/>
      <c r="G14" s="18"/>
      <c r="H14" s="18"/>
      <c r="I14" s="18"/>
      <c r="J14" s="18" t="s">
        <v>362</v>
      </c>
      <c r="K14" s="18"/>
      <c r="L14" s="18"/>
      <c r="M14" s="158" t="s">
        <v>363</v>
      </c>
      <c r="N14" s="243">
        <f>VLOOKUP(CONCATENATE($D$2,$J$14),$U$29:$W$199,2,FALSE)</f>
        <v>59.1</v>
      </c>
      <c r="O14" s="22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2.75" customHeight="1">
      <c r="A15" s="18"/>
      <c r="B15" s="240"/>
      <c r="C15" s="154" t="s">
        <v>364</v>
      </c>
      <c r="D15" s="241">
        <f>+$L$60</f>
        <v>913.20472440944889</v>
      </c>
      <c r="E15" s="18"/>
      <c r="F15" s="18"/>
      <c r="G15" s="18"/>
      <c r="H15" s="18"/>
      <c r="I15" s="18"/>
      <c r="J15" s="18" t="s">
        <v>365</v>
      </c>
      <c r="K15" s="18"/>
      <c r="L15" s="18"/>
      <c r="M15" s="158" t="s">
        <v>366</v>
      </c>
      <c r="N15" s="243">
        <f>VLOOKUP(CONCATENATE($D$2,$J$15),$U$29:$W$199,2,FALSE)</f>
        <v>12.06</v>
      </c>
      <c r="O15" s="22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12.75" customHeight="1">
      <c r="A16" s="18"/>
      <c r="B16" s="240" t="s">
        <v>367</v>
      </c>
      <c r="C16" s="158" t="s">
        <v>368</v>
      </c>
      <c r="D16" s="244" t="str">
        <f>+IF($D$14&gt;$D$12,"FALLA","OK")</f>
        <v>OK</v>
      </c>
      <c r="E16" s="18"/>
      <c r="F16" s="18">
        <f>IF(D16="falla",0,1)</f>
        <v>1</v>
      </c>
      <c r="G16" s="18"/>
      <c r="H16" s="18"/>
      <c r="I16" s="18"/>
      <c r="J16" s="18"/>
      <c r="K16" s="18"/>
      <c r="L16" s="18"/>
      <c r="M16" s="158" t="s">
        <v>369</v>
      </c>
      <c r="N16" s="228">
        <f>+$D$4/10</f>
        <v>243.83999999999997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ht="12.75" customHeight="1">
      <c r="A17" s="18"/>
      <c r="B17" s="240" t="s">
        <v>370</v>
      </c>
      <c r="C17" s="158" t="s">
        <v>371</v>
      </c>
      <c r="D17" s="244" t="str">
        <f>+IF($N$17&gt;$D$15,"FALLA","OK")</f>
        <v>OK</v>
      </c>
      <c r="E17" s="18"/>
      <c r="F17" s="18">
        <f>IF(D17="falla",0,1)</f>
        <v>1</v>
      </c>
      <c r="G17" s="18"/>
      <c r="H17" s="18"/>
      <c r="I17" s="18"/>
      <c r="J17" s="18"/>
      <c r="K17" s="18"/>
      <c r="L17" s="18"/>
      <c r="M17" s="158" t="s">
        <v>372</v>
      </c>
      <c r="N17" s="228">
        <f>+$D$5</f>
        <v>150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ht="12.75" customHeight="1">
      <c r="A18" s="18"/>
      <c r="B18" s="245"/>
      <c r="C18" s="246" t="s">
        <v>373</v>
      </c>
      <c r="D18" s="247">
        <f>+$M$71+1</f>
        <v>13.163743999999999</v>
      </c>
      <c r="E18" s="18"/>
      <c r="F18" s="18">
        <f>SUM(F16:F17)</f>
        <v>2</v>
      </c>
      <c r="G18" s="18" t="str">
        <f>IF(F18=2,"Correcto","Falla")</f>
        <v>Correcto</v>
      </c>
      <c r="H18" s="18"/>
      <c r="I18" s="18"/>
      <c r="J18" s="18"/>
      <c r="K18" s="18"/>
      <c r="L18" s="18"/>
      <c r="M18" s="158" t="s">
        <v>374</v>
      </c>
      <c r="N18" s="248">
        <f>+$N$17/$N$16</f>
        <v>0.61515748031496065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ht="12.75" customHeight="1">
      <c r="A19" s="18"/>
      <c r="B19" s="249"/>
      <c r="C19" s="250" t="s">
        <v>375</v>
      </c>
      <c r="D19" s="251">
        <f>+$D$20/2</f>
        <v>890.60594787856269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ht="12.75" customHeight="1">
      <c r="A20" s="18"/>
      <c r="B20" s="252"/>
      <c r="C20" s="253" t="s">
        <v>376</v>
      </c>
      <c r="D20" s="254">
        <f>+IF($D$17="FALLA","- - - - -",IF($D$16="FALLA","- - - - -",(MIN($D$13,$D$15))*2))</f>
        <v>1781.2118957571254</v>
      </c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ht="12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ht="12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ht="12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ht="12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ht="12.75" customHeight="1">
      <c r="A25" s="18"/>
      <c r="B25" s="18"/>
      <c r="C25" s="255" t="s">
        <v>377</v>
      </c>
      <c r="D25" s="256">
        <f>((D4/1000)*1.4)+D18</f>
        <v>16.577503999999998</v>
      </c>
      <c r="E25" s="18"/>
      <c r="F25" s="18"/>
      <c r="G25" s="18"/>
      <c r="H25" s="257" t="s">
        <v>378</v>
      </c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ht="12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ht="12.75" customHeight="1">
      <c r="A27" s="18"/>
      <c r="B27" s="18"/>
      <c r="C27" s="18"/>
      <c r="D27" s="18"/>
      <c r="E27" s="18"/>
      <c r="F27" s="18"/>
      <c r="G27" s="18"/>
      <c r="H27" s="258" t="s">
        <v>379</v>
      </c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259" t="s">
        <v>380</v>
      </c>
      <c r="V27" s="1100" t="s">
        <v>381</v>
      </c>
      <c r="W27" s="1101"/>
      <c r="X27" s="18"/>
      <c r="Y27" s="18"/>
      <c r="Z27" s="18"/>
    </row>
    <row r="28" spans="1:26" ht="12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200">
        <f>+IF($L$40-$L$32&lt;0.1,$S$32,$L$40)</f>
        <v>1.3546666666666665</v>
      </c>
      <c r="S28" s="18"/>
      <c r="T28" s="18"/>
      <c r="U28" s="260" t="s">
        <v>4</v>
      </c>
      <c r="V28" s="1102" t="s">
        <v>382</v>
      </c>
      <c r="W28" s="1103"/>
      <c r="X28" s="18"/>
      <c r="Y28" s="18"/>
      <c r="Z28" s="18"/>
    </row>
    <row r="29" spans="1:26" ht="12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69" t="s">
        <v>383</v>
      </c>
      <c r="L29" s="261" t="s">
        <v>384</v>
      </c>
      <c r="M29" s="18"/>
      <c r="N29" s="69" t="s">
        <v>383</v>
      </c>
      <c r="O29" s="261" t="s">
        <v>385</v>
      </c>
      <c r="P29" s="18"/>
      <c r="Q29" s="18"/>
      <c r="R29" s="200">
        <f>+IF($L$40-$L$32&lt;0.1,$S$50,$L$50)</f>
        <v>890.60594787856269</v>
      </c>
      <c r="S29" s="18"/>
      <c r="T29" s="18"/>
      <c r="U29" s="262" t="s">
        <v>386</v>
      </c>
      <c r="V29" s="263">
        <v>62.27</v>
      </c>
      <c r="W29" s="264" t="s">
        <v>387</v>
      </c>
      <c r="X29" s="18"/>
      <c r="Y29" s="18"/>
      <c r="Z29" s="18"/>
    </row>
    <row r="30" spans="1:26" ht="12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32"/>
      <c r="L30" s="265" t="s">
        <v>388</v>
      </c>
      <c r="M30" s="18"/>
      <c r="N30" s="32"/>
      <c r="O30" s="265" t="s">
        <v>388</v>
      </c>
      <c r="P30" s="18"/>
      <c r="Q30" s="18"/>
      <c r="R30" s="18"/>
      <c r="S30" s="18"/>
      <c r="T30" s="18"/>
      <c r="U30" s="262" t="s">
        <v>389</v>
      </c>
      <c r="V30" s="263">
        <v>16.309999999999999</v>
      </c>
      <c r="W30" s="264" t="s">
        <v>390</v>
      </c>
      <c r="X30" s="18"/>
      <c r="Y30" s="18"/>
      <c r="Z30" s="18"/>
    </row>
    <row r="31" spans="1:26" ht="12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262" t="s">
        <v>391</v>
      </c>
      <c r="V31" s="263">
        <v>5.21</v>
      </c>
      <c r="W31" s="264" t="s">
        <v>392</v>
      </c>
      <c r="X31" s="18"/>
      <c r="Y31" s="18"/>
      <c r="Z31" s="18"/>
    </row>
    <row r="32" spans="1:26" ht="12.75" customHeight="1">
      <c r="A32" s="18"/>
      <c r="B32" s="18"/>
      <c r="C32" s="18"/>
      <c r="D32" s="18"/>
      <c r="E32" s="18"/>
      <c r="F32" s="18"/>
      <c r="G32" s="18"/>
      <c r="H32" s="18"/>
      <c r="I32" s="18"/>
      <c r="J32" s="154"/>
      <c r="K32" s="266" t="s">
        <v>393</v>
      </c>
      <c r="L32" s="267">
        <f>+(5*$N$17*($N$16)^3)/(384*$J$2*$N$14)</f>
        <v>0.22815926671501083</v>
      </c>
      <c r="M32" s="18"/>
      <c r="N32" s="18"/>
      <c r="O32" s="18"/>
      <c r="P32" s="18"/>
      <c r="Q32" s="18"/>
      <c r="R32" s="266" t="s">
        <v>394</v>
      </c>
      <c r="S32" s="267">
        <f>+$L$32+0.1</f>
        <v>0.32815926671501083</v>
      </c>
      <c r="T32" s="18"/>
      <c r="U32" s="262" t="s">
        <v>395</v>
      </c>
      <c r="V32" s="263">
        <v>68.099999999999994</v>
      </c>
      <c r="W32" s="264" t="s">
        <v>387</v>
      </c>
      <c r="X32" s="18"/>
      <c r="Y32" s="18"/>
      <c r="Z32" s="18"/>
    </row>
    <row r="33" spans="1:26" ht="12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262" t="s">
        <v>396</v>
      </c>
      <c r="V33" s="263">
        <v>17.899999999999999</v>
      </c>
      <c r="W33" s="264" t="s">
        <v>390</v>
      </c>
      <c r="X33" s="18"/>
      <c r="Y33" s="18"/>
      <c r="Z33" s="18"/>
    </row>
    <row r="34" spans="1:26" ht="12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268" t="s">
        <v>397</v>
      </c>
      <c r="S34" s="269">
        <f>-S32+L32</f>
        <v>-0.1</v>
      </c>
      <c r="T34" s="18"/>
      <c r="U34" s="262" t="s">
        <v>398</v>
      </c>
      <c r="V34" s="263">
        <v>6.1</v>
      </c>
      <c r="W34" s="264" t="s">
        <v>392</v>
      </c>
      <c r="X34" s="18"/>
      <c r="Y34" s="18"/>
      <c r="Z34" s="18"/>
    </row>
    <row r="35" spans="1:26" ht="12.75" customHeight="1">
      <c r="A35" s="18"/>
      <c r="B35" s="18"/>
      <c r="C35" s="18"/>
      <c r="D35" s="18"/>
      <c r="E35" s="18"/>
      <c r="F35" s="18"/>
      <c r="G35" s="18"/>
      <c r="H35" s="258" t="s">
        <v>399</v>
      </c>
      <c r="I35" s="18"/>
      <c r="J35" s="18"/>
      <c r="K35" s="18"/>
      <c r="L35" s="265"/>
      <c r="M35" s="18"/>
      <c r="N35" s="18"/>
      <c r="O35" s="18"/>
      <c r="P35" s="18"/>
      <c r="Q35" s="18"/>
      <c r="R35" s="18"/>
      <c r="S35" s="18"/>
      <c r="T35" s="18"/>
      <c r="U35" s="262" t="s">
        <v>400</v>
      </c>
      <c r="V35" s="263">
        <v>128.12</v>
      </c>
      <c r="W35" s="264" t="s">
        <v>387</v>
      </c>
      <c r="X35" s="18"/>
      <c r="Y35" s="18"/>
      <c r="Z35" s="18"/>
    </row>
    <row r="36" spans="1:26" ht="12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32"/>
      <c r="L36" s="265"/>
      <c r="M36" s="18"/>
      <c r="N36" s="18"/>
      <c r="O36" s="18"/>
      <c r="P36" s="18"/>
      <c r="Q36" s="18"/>
      <c r="R36" s="18"/>
      <c r="S36" s="18"/>
      <c r="T36" s="18"/>
      <c r="U36" s="262" t="s">
        <v>401</v>
      </c>
      <c r="V36" s="263">
        <v>25.2</v>
      </c>
      <c r="W36" s="264" t="s">
        <v>390</v>
      </c>
      <c r="X36" s="18"/>
      <c r="Y36" s="18"/>
      <c r="Z36" s="18"/>
    </row>
    <row r="37" spans="1:26" ht="12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69" t="s">
        <v>383</v>
      </c>
      <c r="L37" s="270" t="s">
        <v>402</v>
      </c>
      <c r="M37" s="18"/>
      <c r="N37" s="18"/>
      <c r="O37" s="18"/>
      <c r="P37" s="18"/>
      <c r="Q37" s="18"/>
      <c r="R37" s="18"/>
      <c r="S37" s="18"/>
      <c r="T37" s="18"/>
      <c r="U37" s="262" t="s">
        <v>403</v>
      </c>
      <c r="V37" s="263">
        <v>6.7</v>
      </c>
      <c r="W37" s="264" t="s">
        <v>392</v>
      </c>
      <c r="X37" s="18"/>
      <c r="Y37" s="18"/>
      <c r="Z37" s="18"/>
    </row>
    <row r="38" spans="1:26" ht="12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32"/>
      <c r="L38" s="71" t="s">
        <v>404</v>
      </c>
      <c r="M38" s="18"/>
      <c r="N38" s="18"/>
      <c r="O38" s="18"/>
      <c r="P38" s="18"/>
      <c r="Q38" s="18"/>
      <c r="R38" s="18"/>
      <c r="S38" s="18"/>
      <c r="T38" s="18"/>
      <c r="U38" s="262" t="s">
        <v>405</v>
      </c>
      <c r="V38" s="263">
        <v>157.9</v>
      </c>
      <c r="W38" s="264" t="s">
        <v>387</v>
      </c>
      <c r="X38" s="18"/>
      <c r="Y38" s="18"/>
      <c r="Z38" s="18"/>
    </row>
    <row r="39" spans="1:26" ht="12.75" customHeight="1">
      <c r="A39" s="18"/>
      <c r="B39" s="18"/>
      <c r="C39" s="18"/>
      <c r="D39" s="18"/>
      <c r="E39" s="18"/>
      <c r="F39" s="18"/>
      <c r="G39" s="18"/>
      <c r="H39" s="18"/>
      <c r="I39" s="18" t="s">
        <v>406</v>
      </c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262" t="s">
        <v>407</v>
      </c>
      <c r="V39" s="263">
        <v>31.1</v>
      </c>
      <c r="W39" s="264" t="s">
        <v>390</v>
      </c>
      <c r="X39" s="18"/>
      <c r="Y39" s="18"/>
      <c r="Z39" s="18"/>
    </row>
    <row r="40" spans="1:26" ht="12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266" t="s">
        <v>408</v>
      </c>
      <c r="L40" s="267">
        <f>+$N$16/$N$12</f>
        <v>1.3546666666666665</v>
      </c>
      <c r="M40" s="18"/>
      <c r="N40" s="18"/>
      <c r="O40" s="18"/>
      <c r="P40" s="18"/>
      <c r="Q40" s="18"/>
      <c r="R40" s="18"/>
      <c r="S40" s="18"/>
      <c r="T40" s="18"/>
      <c r="U40" s="262" t="s">
        <v>409</v>
      </c>
      <c r="V40" s="263">
        <v>8.0399999999999991</v>
      </c>
      <c r="W40" s="264" t="s">
        <v>392</v>
      </c>
      <c r="X40" s="18"/>
      <c r="Y40" s="18"/>
      <c r="Z40" s="18"/>
    </row>
    <row r="41" spans="1:26" ht="12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262" t="s">
        <v>410</v>
      </c>
      <c r="V41" s="263">
        <v>311.76</v>
      </c>
      <c r="W41" s="264" t="s">
        <v>387</v>
      </c>
      <c r="X41" s="18"/>
      <c r="Y41" s="18"/>
      <c r="Z41" s="18"/>
    </row>
    <row r="42" spans="1:26" ht="12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262" t="s">
        <v>411</v>
      </c>
      <c r="V42" s="263">
        <v>49.16</v>
      </c>
      <c r="W42" s="264" t="s">
        <v>390</v>
      </c>
      <c r="X42" s="18"/>
      <c r="Y42" s="18"/>
      <c r="Z42" s="18"/>
    </row>
    <row r="43" spans="1:26" ht="12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262" t="s">
        <v>412</v>
      </c>
      <c r="V43" s="263">
        <v>9.9700000000000006</v>
      </c>
      <c r="W43" s="264" t="s">
        <v>392</v>
      </c>
      <c r="X43" s="18"/>
      <c r="Y43" s="18"/>
      <c r="Z43" s="18"/>
    </row>
    <row r="44" spans="1:26" ht="12.75" customHeight="1">
      <c r="A44" s="18"/>
      <c r="B44" s="18"/>
      <c r="C44" s="18"/>
      <c r="D44" s="18"/>
      <c r="E44" s="18"/>
      <c r="F44" s="18"/>
      <c r="G44" s="18"/>
      <c r="H44" s="258" t="s">
        <v>413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262" t="s">
        <v>414</v>
      </c>
      <c r="V44" s="263">
        <v>541</v>
      </c>
      <c r="W44" s="264" t="s">
        <v>387</v>
      </c>
      <c r="X44" s="18"/>
      <c r="Y44" s="18"/>
      <c r="Z44" s="18"/>
    </row>
    <row r="45" spans="1:26" ht="12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262" t="s">
        <v>415</v>
      </c>
      <c r="V45" s="263">
        <v>71</v>
      </c>
      <c r="W45" s="264" t="s">
        <v>390</v>
      </c>
      <c r="X45" s="18"/>
      <c r="Y45" s="18"/>
      <c r="Z45" s="18"/>
    </row>
    <row r="46" spans="1:26" ht="12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 t="s">
        <v>416</v>
      </c>
      <c r="P46" s="18"/>
      <c r="Q46" s="18"/>
      <c r="R46" s="18"/>
      <c r="S46" s="18"/>
      <c r="T46" s="18"/>
      <c r="U46" s="262" t="s">
        <v>417</v>
      </c>
      <c r="V46" s="263">
        <v>12.2</v>
      </c>
      <c r="W46" s="264" t="s">
        <v>392</v>
      </c>
      <c r="X46" s="18"/>
      <c r="Y46" s="18"/>
      <c r="Z46" s="18"/>
    </row>
    <row r="47" spans="1:26" ht="12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58" t="s">
        <v>418</v>
      </c>
      <c r="L47" s="261" t="s">
        <v>388</v>
      </c>
      <c r="M47" s="18"/>
      <c r="N47" s="18"/>
      <c r="O47" s="158" t="s">
        <v>419</v>
      </c>
      <c r="P47" s="261" t="s">
        <v>420</v>
      </c>
      <c r="Q47" s="18"/>
      <c r="R47" s="18"/>
      <c r="S47" s="18"/>
      <c r="T47" s="18"/>
      <c r="U47" s="262" t="s">
        <v>421</v>
      </c>
      <c r="V47" s="263">
        <v>724.2</v>
      </c>
      <c r="W47" s="264" t="s">
        <v>387</v>
      </c>
      <c r="X47" s="18"/>
      <c r="Y47" s="18"/>
      <c r="Z47" s="18"/>
    </row>
    <row r="48" spans="1:26" ht="12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265" t="s">
        <v>422</v>
      </c>
      <c r="M48" s="18"/>
      <c r="N48" s="18"/>
      <c r="O48" s="18"/>
      <c r="P48" s="265" t="s">
        <v>423</v>
      </c>
      <c r="Q48" s="18"/>
      <c r="R48" s="18"/>
      <c r="S48" s="18"/>
      <c r="T48" s="18"/>
      <c r="U48" s="262" t="s">
        <v>424</v>
      </c>
      <c r="V48" s="263">
        <v>95</v>
      </c>
      <c r="W48" s="264" t="s">
        <v>390</v>
      </c>
      <c r="X48" s="18"/>
      <c r="Y48" s="18"/>
      <c r="Z48" s="18"/>
    </row>
    <row r="49" spans="1:26" ht="12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262" t="s">
        <v>425</v>
      </c>
      <c r="V49" s="263">
        <v>19.34</v>
      </c>
      <c r="W49" s="264" t="s">
        <v>392</v>
      </c>
      <c r="X49" s="18"/>
      <c r="Y49" s="18"/>
      <c r="Z49" s="18"/>
    </row>
    <row r="50" spans="1:26" ht="12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266" t="s">
        <v>426</v>
      </c>
      <c r="L50" s="267">
        <f>+(384*$J$2*$N$14)/(900*($N$16)^2)</f>
        <v>890.60594787856269</v>
      </c>
      <c r="M50" s="18"/>
      <c r="N50" s="18"/>
      <c r="O50" s="18"/>
      <c r="P50" s="18"/>
      <c r="Q50" s="18"/>
      <c r="R50" s="266" t="s">
        <v>427</v>
      </c>
      <c r="S50" s="267">
        <f>+((($N$16/$N$12)-0.1)*384*$J$2*$N$14)/(5*$N$16^3)</f>
        <v>824.86239857650332</v>
      </c>
      <c r="T50" s="18"/>
      <c r="U50" s="262" t="s">
        <v>428</v>
      </c>
      <c r="V50" s="263">
        <v>1356.9</v>
      </c>
      <c r="W50" s="264" t="s">
        <v>387</v>
      </c>
      <c r="X50" s="18"/>
      <c r="Y50" s="18"/>
      <c r="Z50" s="18"/>
    </row>
    <row r="51" spans="1:26" ht="12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262" t="s">
        <v>429</v>
      </c>
      <c r="V51" s="263">
        <v>133.4</v>
      </c>
      <c r="W51" s="264" t="s">
        <v>390</v>
      </c>
      <c r="X51" s="18"/>
      <c r="Y51" s="18"/>
      <c r="Z51" s="18"/>
    </row>
    <row r="52" spans="1:26" ht="12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262" t="s">
        <v>430</v>
      </c>
      <c r="V52" s="263">
        <v>17.11</v>
      </c>
      <c r="W52" s="264" t="s">
        <v>392</v>
      </c>
      <c r="X52" s="18"/>
      <c r="Y52" s="18"/>
      <c r="Z52" s="18"/>
    </row>
    <row r="53" spans="1:26" ht="12.75" customHeight="1">
      <c r="A53" s="18"/>
      <c r="B53" s="18"/>
      <c r="C53" s="18"/>
      <c r="D53" s="18"/>
      <c r="E53" s="18"/>
      <c r="F53" s="18"/>
      <c r="G53" s="18"/>
      <c r="H53" s="258" t="s">
        <v>431</v>
      </c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262" t="s">
        <v>432</v>
      </c>
      <c r="V53" s="263">
        <v>51.6</v>
      </c>
      <c r="W53" s="264" t="s">
        <v>387</v>
      </c>
      <c r="X53" s="18"/>
      <c r="Y53" s="18"/>
      <c r="Z53" s="18"/>
    </row>
    <row r="54" spans="1:26" ht="12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262" t="s">
        <v>433</v>
      </c>
      <c r="V54" s="263">
        <v>9.5</v>
      </c>
      <c r="W54" s="264" t="s">
        <v>390</v>
      </c>
      <c r="X54" s="18"/>
      <c r="Y54" s="18"/>
      <c r="Z54" s="18"/>
    </row>
    <row r="55" spans="1:26" ht="12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262" t="s">
        <v>434</v>
      </c>
      <c r="V55" s="263">
        <v>7.29</v>
      </c>
      <c r="W55" s="264" t="s">
        <v>392</v>
      </c>
      <c r="X55" s="18"/>
      <c r="Y55" s="18"/>
      <c r="Z55" s="18"/>
    </row>
    <row r="56" spans="1:26" ht="12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58" t="s">
        <v>435</v>
      </c>
      <c r="L56" s="271" t="s">
        <v>436</v>
      </c>
      <c r="M56" s="18"/>
      <c r="N56" s="18"/>
      <c r="O56" s="18"/>
      <c r="P56" s="18"/>
      <c r="Q56" s="18"/>
      <c r="R56" s="18"/>
      <c r="S56" s="18"/>
      <c r="T56" s="18"/>
      <c r="U56" s="262" t="s">
        <v>437</v>
      </c>
      <c r="V56" s="263">
        <v>40.01</v>
      </c>
      <c r="W56" s="264" t="s">
        <v>387</v>
      </c>
      <c r="X56" s="18"/>
      <c r="Y56" s="18"/>
      <c r="Z56" s="18"/>
    </row>
    <row r="57" spans="1:26" ht="12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58"/>
      <c r="L57" s="187" t="s">
        <v>402</v>
      </c>
      <c r="M57" s="18"/>
      <c r="N57" s="18"/>
      <c r="O57" s="18"/>
      <c r="P57" s="18"/>
      <c r="Q57" s="18"/>
      <c r="R57" s="18"/>
      <c r="S57" s="18"/>
      <c r="T57" s="18"/>
      <c r="U57" s="262" t="s">
        <v>438</v>
      </c>
      <c r="V57" s="263">
        <v>7.22</v>
      </c>
      <c r="W57" s="264" t="s">
        <v>390</v>
      </c>
      <c r="X57" s="18"/>
      <c r="Y57" s="18"/>
      <c r="Z57" s="18"/>
    </row>
    <row r="58" spans="1:26" ht="12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262" t="s">
        <v>439</v>
      </c>
      <c r="V58" s="263">
        <v>5.52</v>
      </c>
      <c r="W58" s="264" t="s">
        <v>392</v>
      </c>
      <c r="X58" s="18"/>
      <c r="Y58" s="18"/>
      <c r="Z58" s="18"/>
    </row>
    <row r="59" spans="1:26" ht="12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272" t="s">
        <v>380</v>
      </c>
      <c r="Q59" s="273"/>
      <c r="R59" s="274" t="s">
        <v>32</v>
      </c>
      <c r="S59" s="275"/>
      <c r="T59" s="18">
        <f>IF(D3=P61,1,IF(D3=P62,2,IF(D3=P63,3,IF(D3=P64,4,IF(D3=P65,5,IF(D3=P66,6,IF(D3=P67,7,IF(D3=P68,8,IF(D3=P69,9,IF(D3=P70,10,IF(D3=P71,11,"-")))))))))))</f>
        <v>4</v>
      </c>
      <c r="U59" s="262" t="s">
        <v>440</v>
      </c>
      <c r="V59" s="263">
        <v>124.9</v>
      </c>
      <c r="W59" s="264" t="s">
        <v>387</v>
      </c>
      <c r="X59" s="18"/>
      <c r="Y59" s="18"/>
      <c r="Z59" s="18"/>
    </row>
    <row r="60" spans="1:26" ht="12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266" t="s">
        <v>441</v>
      </c>
      <c r="L60" s="267">
        <f>+(8*$N$15*$N$13)/$N$16</f>
        <v>913.20472440944889</v>
      </c>
      <c r="M60" s="18"/>
      <c r="N60" s="18"/>
      <c r="O60" s="18"/>
      <c r="P60" s="276" t="s">
        <v>16</v>
      </c>
      <c r="Q60" s="277"/>
      <c r="R60" s="278" t="s">
        <v>442</v>
      </c>
      <c r="S60" s="279"/>
      <c r="T60" s="18"/>
      <c r="U60" s="262" t="s">
        <v>443</v>
      </c>
      <c r="V60" s="263">
        <v>17.2</v>
      </c>
      <c r="W60" s="264" t="s">
        <v>390</v>
      </c>
      <c r="X60" s="18"/>
      <c r="Y60" s="18"/>
      <c r="Z60" s="18"/>
    </row>
    <row r="61" spans="1:26" ht="12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280" t="s">
        <v>444</v>
      </c>
      <c r="Q61" s="281"/>
      <c r="R61" s="282">
        <v>0.16</v>
      </c>
      <c r="S61" s="283" t="s">
        <v>204</v>
      </c>
      <c r="T61" s="18"/>
      <c r="U61" s="262" t="s">
        <v>445</v>
      </c>
      <c r="V61" s="263">
        <v>9.82</v>
      </c>
      <c r="W61" s="264" t="s">
        <v>392</v>
      </c>
      <c r="X61" s="18"/>
      <c r="Y61" s="18"/>
      <c r="Z61" s="18"/>
    </row>
    <row r="62" spans="1:26" ht="12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284" t="s">
        <v>446</v>
      </c>
      <c r="Q62" s="285"/>
      <c r="R62" s="286">
        <v>0.31</v>
      </c>
      <c r="S62" s="287" t="s">
        <v>204</v>
      </c>
      <c r="T62" s="18"/>
      <c r="U62" s="288" t="s">
        <v>447</v>
      </c>
      <c r="V62" s="289">
        <v>366.12</v>
      </c>
      <c r="W62" s="290" t="s">
        <v>387</v>
      </c>
      <c r="X62" s="18"/>
      <c r="Y62" s="18"/>
      <c r="Z62" s="18"/>
    </row>
    <row r="63" spans="1:26" ht="12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284" t="s">
        <v>448</v>
      </c>
      <c r="Q63" s="285"/>
      <c r="R63" s="286">
        <v>0.72</v>
      </c>
      <c r="S63" s="287" t="s">
        <v>204</v>
      </c>
      <c r="T63" s="18"/>
      <c r="U63" s="288" t="s">
        <v>449</v>
      </c>
      <c r="V63" s="289">
        <v>48.17</v>
      </c>
      <c r="W63" s="290" t="s">
        <v>390</v>
      </c>
      <c r="X63" s="18"/>
      <c r="Y63" s="18"/>
      <c r="Z63" s="18"/>
    </row>
    <row r="64" spans="1:26" ht="12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284" t="s">
        <v>450</v>
      </c>
      <c r="Q64" s="285"/>
      <c r="R64" s="286">
        <v>0.51</v>
      </c>
      <c r="S64" s="287" t="s">
        <v>204</v>
      </c>
      <c r="T64" s="18"/>
      <c r="U64" s="288" t="s">
        <v>451</v>
      </c>
      <c r="V64" s="289">
        <v>7.3</v>
      </c>
      <c r="W64" s="290" t="s">
        <v>392</v>
      </c>
      <c r="X64" s="18"/>
      <c r="Y64" s="18"/>
      <c r="Z64" s="18"/>
    </row>
    <row r="65" spans="1:26" ht="12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284" t="s">
        <v>17</v>
      </c>
      <c r="Q65" s="285"/>
      <c r="R65" s="286">
        <v>0.72</v>
      </c>
      <c r="S65" s="287" t="s">
        <v>204</v>
      </c>
      <c r="T65" s="18"/>
      <c r="U65" s="262" t="s">
        <v>452</v>
      </c>
      <c r="V65" s="263">
        <v>15.34</v>
      </c>
      <c r="W65" s="264" t="s">
        <v>387</v>
      </c>
      <c r="X65" s="18"/>
      <c r="Y65" s="18"/>
      <c r="Z65" s="18"/>
    </row>
    <row r="66" spans="1:26" ht="12.75" customHeight="1">
      <c r="A66" s="18"/>
      <c r="B66" s="18"/>
      <c r="C66" s="18"/>
      <c r="D66" s="18"/>
      <c r="E66" s="18"/>
      <c r="F66" s="18"/>
      <c r="G66" s="18"/>
      <c r="H66" s="258" t="s">
        <v>453</v>
      </c>
      <c r="I66" s="18"/>
      <c r="J66" s="18"/>
      <c r="K66" s="18"/>
      <c r="L66" s="18"/>
      <c r="M66" s="18"/>
      <c r="N66" s="18"/>
      <c r="O66" s="18"/>
      <c r="P66" s="284" t="s">
        <v>454</v>
      </c>
      <c r="Q66" s="285"/>
      <c r="R66" s="286">
        <v>0.85</v>
      </c>
      <c r="S66" s="287" t="s">
        <v>204</v>
      </c>
      <c r="T66" s="18"/>
      <c r="U66" s="262" t="s">
        <v>455</v>
      </c>
      <c r="V66" s="263">
        <v>4.97</v>
      </c>
      <c r="W66" s="264" t="s">
        <v>390</v>
      </c>
      <c r="X66" s="18"/>
      <c r="Y66" s="18"/>
      <c r="Z66" s="18"/>
    </row>
    <row r="67" spans="1:26" ht="12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284" t="s">
        <v>456</v>
      </c>
      <c r="Q67" s="285"/>
      <c r="R67" s="286">
        <v>1.28</v>
      </c>
      <c r="S67" s="287" t="s">
        <v>204</v>
      </c>
      <c r="T67" s="18"/>
      <c r="U67" s="262" t="s">
        <v>457</v>
      </c>
      <c r="V67" s="263">
        <v>2.94</v>
      </c>
      <c r="W67" s="264" t="s">
        <v>392</v>
      </c>
      <c r="X67" s="18"/>
      <c r="Y67" s="18"/>
      <c r="Z67" s="18"/>
    </row>
    <row r="68" spans="1:26" ht="12.75" customHeight="1">
      <c r="A68" s="18"/>
      <c r="B68" s="18"/>
      <c r="C68" s="18"/>
      <c r="D68" s="18"/>
      <c r="E68" s="18"/>
      <c r="F68" s="18"/>
      <c r="G68" s="18"/>
      <c r="H68" s="18"/>
      <c r="I68" s="69" t="s">
        <v>32</v>
      </c>
      <c r="J68" s="291" t="s">
        <v>458</v>
      </c>
      <c r="K68" s="32"/>
      <c r="L68" s="71" t="s">
        <v>189</v>
      </c>
      <c r="M68" s="292">
        <f>VLOOKUP(CONCATENATE($D$2,$I$68),$U$29:$W$199,2,FALSE)*($D$4/1000)</f>
        <v>10.143744</v>
      </c>
      <c r="N68" s="102" t="s">
        <v>204</v>
      </c>
      <c r="O68" s="18"/>
      <c r="P68" s="284" t="s">
        <v>459</v>
      </c>
      <c r="Q68" s="285"/>
      <c r="R68" s="286">
        <v>0.95</v>
      </c>
      <c r="S68" s="287" t="s">
        <v>204</v>
      </c>
      <c r="T68" s="18"/>
      <c r="U68" s="262" t="s">
        <v>460</v>
      </c>
      <c r="V68" s="263">
        <v>32.04</v>
      </c>
      <c r="W68" s="264" t="s">
        <v>387</v>
      </c>
      <c r="X68" s="18"/>
      <c r="Y68" s="18"/>
      <c r="Z68" s="18"/>
    </row>
    <row r="69" spans="1:26" ht="12.75" customHeight="1">
      <c r="A69" s="18"/>
      <c r="B69" s="18"/>
      <c r="C69" s="18"/>
      <c r="D69" s="18"/>
      <c r="E69" s="18"/>
      <c r="F69" s="18"/>
      <c r="G69" s="18"/>
      <c r="H69" s="18"/>
      <c r="I69" s="69" t="s">
        <v>16</v>
      </c>
      <c r="J69" s="291" t="s">
        <v>461</v>
      </c>
      <c r="K69" s="32"/>
      <c r="L69" s="71" t="s">
        <v>189</v>
      </c>
      <c r="M69" s="293">
        <f t="array" ref="M69">2*INDEX($R$61:$R$71,$T$59)</f>
        <v>1.02</v>
      </c>
      <c r="N69" s="102" t="s">
        <v>204</v>
      </c>
      <c r="O69" s="18"/>
      <c r="P69" s="284" t="s">
        <v>462</v>
      </c>
      <c r="Q69" s="285"/>
      <c r="R69" s="286">
        <v>0.76</v>
      </c>
      <c r="S69" s="287" t="s">
        <v>204</v>
      </c>
      <c r="T69" s="18"/>
      <c r="U69" s="262" t="s">
        <v>463</v>
      </c>
      <c r="V69" s="263">
        <v>7.99</v>
      </c>
      <c r="W69" s="264" t="s">
        <v>390</v>
      </c>
      <c r="X69" s="18"/>
      <c r="Y69" s="18"/>
      <c r="Z69" s="18"/>
    </row>
    <row r="70" spans="1:26" ht="12.75" customHeight="1">
      <c r="A70" s="18"/>
      <c r="B70" s="18"/>
      <c r="C70" s="18"/>
      <c r="D70" s="18"/>
      <c r="E70" s="18"/>
      <c r="F70" s="18"/>
      <c r="G70" s="18"/>
      <c r="H70" s="18"/>
      <c r="I70" s="32"/>
      <c r="J70" s="32"/>
      <c r="K70" s="32"/>
      <c r="L70" s="71"/>
      <c r="M70" s="32"/>
      <c r="N70" s="32"/>
      <c r="O70" s="18"/>
      <c r="P70" s="284" t="s">
        <v>464</v>
      </c>
      <c r="Q70" s="285"/>
      <c r="R70" s="286">
        <v>1.4</v>
      </c>
      <c r="S70" s="287" t="s">
        <v>204</v>
      </c>
      <c r="T70" s="18"/>
      <c r="U70" s="262" t="s">
        <v>465</v>
      </c>
      <c r="V70" s="263">
        <v>3.52</v>
      </c>
      <c r="W70" s="264" t="s">
        <v>466</v>
      </c>
      <c r="X70" s="18"/>
      <c r="Y70" s="18"/>
      <c r="Z70" s="18"/>
    </row>
    <row r="71" spans="1:26" ht="12.75" customHeight="1">
      <c r="A71" s="18"/>
      <c r="B71" s="18"/>
      <c r="C71" s="18"/>
      <c r="D71" s="18"/>
      <c r="E71" s="18"/>
      <c r="F71" s="18"/>
      <c r="G71" s="18"/>
      <c r="H71" s="18"/>
      <c r="I71" s="32"/>
      <c r="J71" s="105"/>
      <c r="K71" s="107" t="s">
        <v>467</v>
      </c>
      <c r="L71" s="294" t="s">
        <v>189</v>
      </c>
      <c r="M71" s="295">
        <f>SUM(M68:M69)+1</f>
        <v>12.163743999999999</v>
      </c>
      <c r="N71" s="296" t="s">
        <v>204</v>
      </c>
      <c r="O71" s="18"/>
      <c r="P71" s="297" t="s">
        <v>468</v>
      </c>
      <c r="Q71" s="298"/>
      <c r="R71" s="299">
        <v>0.72</v>
      </c>
      <c r="S71" s="300" t="s">
        <v>204</v>
      </c>
      <c r="T71" s="18"/>
      <c r="U71" s="288" t="s">
        <v>469</v>
      </c>
      <c r="V71" s="289">
        <v>48.24</v>
      </c>
      <c r="W71" s="290" t="s">
        <v>387</v>
      </c>
      <c r="X71" s="18"/>
      <c r="Y71" s="18"/>
      <c r="Z71" s="18"/>
    </row>
    <row r="72" spans="1:26" ht="12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288" t="s">
        <v>470</v>
      </c>
      <c r="V72" s="289">
        <v>10.87</v>
      </c>
      <c r="W72" s="290" t="s">
        <v>390</v>
      </c>
      <c r="X72" s="18"/>
      <c r="Y72" s="18"/>
      <c r="Z72" s="18"/>
    </row>
    <row r="73" spans="1:26" ht="12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288" t="s">
        <v>471</v>
      </c>
      <c r="V73" s="289">
        <v>3.89</v>
      </c>
      <c r="W73" s="290" t="s">
        <v>392</v>
      </c>
      <c r="X73" s="18"/>
      <c r="Y73" s="18"/>
      <c r="Z73" s="18"/>
    </row>
    <row r="74" spans="1:26" ht="12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288" t="s">
        <v>472</v>
      </c>
      <c r="V74" s="289">
        <v>63.89</v>
      </c>
      <c r="W74" s="290" t="s">
        <v>473</v>
      </c>
      <c r="X74" s="18"/>
      <c r="Y74" s="18"/>
      <c r="Z74" s="18"/>
    </row>
    <row r="75" spans="1:26" ht="12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288" t="s">
        <v>474</v>
      </c>
      <c r="V75" s="289">
        <v>12.98</v>
      </c>
      <c r="W75" s="290" t="s">
        <v>475</v>
      </c>
      <c r="X75" s="18"/>
      <c r="Y75" s="18"/>
      <c r="Z75" s="18"/>
    </row>
    <row r="76" spans="1:26" ht="12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288" t="s">
        <v>476</v>
      </c>
      <c r="V76" s="289">
        <v>4.59</v>
      </c>
      <c r="W76" s="290" t="s">
        <v>466</v>
      </c>
      <c r="X76" s="18"/>
      <c r="Y76" s="18"/>
      <c r="Z76" s="18"/>
    </row>
    <row r="77" spans="1:26" ht="12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288" t="s">
        <v>477</v>
      </c>
      <c r="V77" s="289">
        <v>80.47</v>
      </c>
      <c r="W77" s="290" t="s">
        <v>478</v>
      </c>
      <c r="X77" s="18"/>
      <c r="Y77" s="18"/>
      <c r="Z77" s="18"/>
    </row>
    <row r="78" spans="1:26" ht="12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288" t="s">
        <v>479</v>
      </c>
      <c r="V78" s="289">
        <v>15.02</v>
      </c>
      <c r="W78" s="290" t="s">
        <v>480</v>
      </c>
      <c r="X78" s="18"/>
      <c r="Y78" s="18"/>
      <c r="Z78" s="18"/>
    </row>
    <row r="79" spans="1:26" ht="12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288" t="s">
        <v>481</v>
      </c>
      <c r="V79" s="289">
        <v>4.88</v>
      </c>
      <c r="W79" s="290" t="s">
        <v>466</v>
      </c>
      <c r="X79" s="18"/>
      <c r="Y79" s="18"/>
      <c r="Z79" s="18"/>
    </row>
    <row r="80" spans="1:26" ht="12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288" t="s">
        <v>482</v>
      </c>
      <c r="V80" s="289">
        <v>101.85</v>
      </c>
      <c r="W80" s="290" t="s">
        <v>483</v>
      </c>
      <c r="X80" s="18"/>
      <c r="Y80" s="18"/>
      <c r="Z80" s="18"/>
    </row>
    <row r="81" spans="1:26" ht="12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288" t="s">
        <v>484</v>
      </c>
      <c r="V81" s="289">
        <v>17.43</v>
      </c>
      <c r="W81" s="290" t="s">
        <v>485</v>
      </c>
      <c r="X81" s="18"/>
      <c r="Y81" s="18"/>
      <c r="Z81" s="18"/>
    </row>
    <row r="82" spans="1:26" ht="12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288" t="s">
        <v>486</v>
      </c>
      <c r="V82" s="289">
        <v>5.17</v>
      </c>
      <c r="W82" s="290" t="s">
        <v>466</v>
      </c>
      <c r="X82" s="18"/>
      <c r="Y82" s="18"/>
      <c r="Z82" s="18"/>
    </row>
    <row r="83" spans="1:26" ht="12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288" t="s">
        <v>487</v>
      </c>
      <c r="V83" s="289">
        <v>126.52</v>
      </c>
      <c r="W83" s="290" t="s">
        <v>488</v>
      </c>
      <c r="X83" s="18"/>
      <c r="Y83" s="18"/>
      <c r="Z83" s="18"/>
    </row>
    <row r="84" spans="1:26" ht="12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88" t="s">
        <v>489</v>
      </c>
      <c r="V84" s="289">
        <v>19.989999999999998</v>
      </c>
      <c r="W84" s="290" t="s">
        <v>490</v>
      </c>
      <c r="X84" s="18"/>
      <c r="Y84" s="18"/>
      <c r="Z84" s="18"/>
    </row>
    <row r="85" spans="1:26" ht="12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288" t="s">
        <v>491</v>
      </c>
      <c r="V85" s="289">
        <v>5.47</v>
      </c>
      <c r="W85" s="290" t="s">
        <v>466</v>
      </c>
      <c r="X85" s="18"/>
      <c r="Y85" s="18"/>
      <c r="Z85" s="18"/>
    </row>
    <row r="86" spans="1:26" ht="12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262" t="s">
        <v>492</v>
      </c>
      <c r="V86" s="263">
        <v>151.69999999999999</v>
      </c>
      <c r="W86" s="264" t="s">
        <v>493</v>
      </c>
      <c r="X86" s="18"/>
      <c r="Y86" s="18"/>
      <c r="Z86" s="18"/>
    </row>
    <row r="87" spans="1:26" ht="12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262" t="s">
        <v>494</v>
      </c>
      <c r="V87" s="263">
        <v>22.41</v>
      </c>
      <c r="W87" s="264" t="s">
        <v>495</v>
      </c>
      <c r="X87" s="18"/>
      <c r="Y87" s="18"/>
      <c r="Z87" s="18"/>
    </row>
    <row r="88" spans="1:26" ht="12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262" t="s">
        <v>496</v>
      </c>
      <c r="V88" s="263">
        <v>5.81</v>
      </c>
      <c r="W88" s="264" t="s">
        <v>466</v>
      </c>
      <c r="X88" s="18"/>
      <c r="Y88" s="18"/>
      <c r="Z88" s="18"/>
    </row>
    <row r="89" spans="1:26" ht="12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262" t="s">
        <v>497</v>
      </c>
      <c r="V89" s="263">
        <v>183.16</v>
      </c>
      <c r="W89" s="264" t="s">
        <v>498</v>
      </c>
      <c r="X89" s="18"/>
      <c r="Y89" s="18"/>
      <c r="Z89" s="18"/>
    </row>
    <row r="90" spans="1:26" ht="12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262" t="s">
        <v>499</v>
      </c>
      <c r="V90" s="263">
        <v>25.23</v>
      </c>
      <c r="W90" s="264" t="s">
        <v>500</v>
      </c>
      <c r="X90" s="18"/>
      <c r="Y90" s="18"/>
      <c r="Z90" s="18"/>
    </row>
    <row r="91" spans="1:26" ht="12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262" t="s">
        <v>501</v>
      </c>
      <c r="V91" s="263">
        <v>6.05</v>
      </c>
      <c r="W91" s="264" t="s">
        <v>466</v>
      </c>
      <c r="X91" s="18"/>
      <c r="Y91" s="18"/>
      <c r="Z91" s="18"/>
    </row>
    <row r="92" spans="1:26" ht="12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262" t="s">
        <v>502</v>
      </c>
      <c r="V92" s="263">
        <v>214.75</v>
      </c>
      <c r="W92" s="264" t="s">
        <v>503</v>
      </c>
      <c r="X92" s="18"/>
      <c r="Y92" s="18"/>
      <c r="Z92" s="18"/>
    </row>
    <row r="93" spans="1:26" ht="12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262" t="s">
        <v>504</v>
      </c>
      <c r="V93" s="263">
        <v>27.89</v>
      </c>
      <c r="W93" s="264" t="s">
        <v>505</v>
      </c>
      <c r="X93" s="18"/>
      <c r="Y93" s="18"/>
      <c r="Z93" s="18"/>
    </row>
    <row r="94" spans="1:26" ht="12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262" t="s">
        <v>506</v>
      </c>
      <c r="V94" s="263">
        <v>6.33</v>
      </c>
      <c r="W94" s="264" t="s">
        <v>466</v>
      </c>
      <c r="X94" s="18"/>
      <c r="Y94" s="18"/>
      <c r="Z94" s="18"/>
    </row>
    <row r="95" spans="1:26" ht="12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262" t="s">
        <v>507</v>
      </c>
      <c r="V95" s="263">
        <v>253.68</v>
      </c>
      <c r="W95" s="264" t="s">
        <v>508</v>
      </c>
      <c r="X95" s="18"/>
      <c r="Y95" s="18"/>
      <c r="Z95" s="18"/>
    </row>
    <row r="96" spans="1:26" ht="12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301" t="s">
        <v>509</v>
      </c>
      <c r="V96" s="302">
        <v>30.96</v>
      </c>
      <c r="W96" s="303" t="s">
        <v>510</v>
      </c>
      <c r="X96" s="18"/>
      <c r="Y96" s="18"/>
      <c r="Z96" s="18"/>
    </row>
    <row r="97" spans="1:26" ht="12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262" t="s">
        <v>511</v>
      </c>
      <c r="V97" s="263">
        <v>6.63</v>
      </c>
      <c r="W97" s="264" t="s">
        <v>466</v>
      </c>
      <c r="X97" s="18"/>
      <c r="Y97" s="18"/>
      <c r="Z97" s="18"/>
    </row>
    <row r="98" spans="1:26" ht="12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288" t="s">
        <v>512</v>
      </c>
      <c r="V98" s="289">
        <v>59</v>
      </c>
      <c r="W98" s="290" t="s">
        <v>513</v>
      </c>
      <c r="X98" s="18"/>
      <c r="Y98" s="18"/>
      <c r="Z98" s="18"/>
    </row>
    <row r="99" spans="1:26" ht="12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288" t="s">
        <v>514</v>
      </c>
      <c r="V99" s="289">
        <v>13.4</v>
      </c>
      <c r="W99" s="290" t="s">
        <v>515</v>
      </c>
      <c r="X99" s="18"/>
      <c r="Y99" s="18"/>
      <c r="Z99" s="18"/>
    </row>
    <row r="100" spans="1:26" ht="12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288" t="s">
        <v>516</v>
      </c>
      <c r="V100" s="289">
        <v>5.4</v>
      </c>
      <c r="W100" s="290" t="s">
        <v>466</v>
      </c>
      <c r="X100" s="18"/>
      <c r="Y100" s="18"/>
      <c r="Z100" s="18"/>
    </row>
    <row r="101" spans="1:26" ht="12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288" t="s">
        <v>517</v>
      </c>
      <c r="V101" s="289">
        <v>77.2</v>
      </c>
      <c r="W101" s="290" t="s">
        <v>518</v>
      </c>
      <c r="X101" s="18"/>
      <c r="Y101" s="18"/>
      <c r="Z101" s="18"/>
    </row>
    <row r="102" spans="1:26" ht="12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288" t="s">
        <v>519</v>
      </c>
      <c r="V102" s="289">
        <v>15.75</v>
      </c>
      <c r="W102" s="290" t="s">
        <v>520</v>
      </c>
      <c r="X102" s="18"/>
      <c r="Y102" s="18"/>
      <c r="Z102" s="18"/>
    </row>
    <row r="103" spans="1:26" ht="12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288" t="s">
        <v>521</v>
      </c>
      <c r="V103" s="289">
        <v>5.76</v>
      </c>
      <c r="W103" s="290" t="s">
        <v>466</v>
      </c>
      <c r="X103" s="18"/>
      <c r="Y103" s="18"/>
      <c r="Z103" s="18"/>
    </row>
    <row r="104" spans="1:26" ht="12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288" t="s">
        <v>522</v>
      </c>
      <c r="V104" s="289">
        <v>98.5</v>
      </c>
      <c r="W104" s="290" t="s">
        <v>523</v>
      </c>
      <c r="X104" s="18"/>
      <c r="Y104" s="18"/>
      <c r="Z104" s="18"/>
    </row>
    <row r="105" spans="1:26" ht="12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288" t="s">
        <v>524</v>
      </c>
      <c r="V105" s="289">
        <v>18.579999999999998</v>
      </c>
      <c r="W105" s="290" t="s">
        <v>525</v>
      </c>
      <c r="X105" s="18"/>
      <c r="Y105" s="18"/>
      <c r="Z105" s="18"/>
    </row>
    <row r="106" spans="1:26" ht="12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288" t="s">
        <v>526</v>
      </c>
      <c r="V106" s="289">
        <v>6.09</v>
      </c>
      <c r="W106" s="290" t="s">
        <v>466</v>
      </c>
      <c r="X106" s="18"/>
      <c r="Y106" s="18"/>
      <c r="Z106" s="18"/>
    </row>
    <row r="107" spans="1:26" ht="12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288" t="s">
        <v>527</v>
      </c>
      <c r="V107" s="289">
        <v>124</v>
      </c>
      <c r="W107" s="290" t="s">
        <v>528</v>
      </c>
      <c r="X107" s="18"/>
      <c r="Y107" s="18"/>
      <c r="Z107" s="18"/>
    </row>
    <row r="108" spans="1:26" ht="12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288" t="s">
        <v>529</v>
      </c>
      <c r="V108" s="289">
        <v>21.37</v>
      </c>
      <c r="W108" s="290" t="s">
        <v>530</v>
      </c>
      <c r="X108" s="18"/>
      <c r="Y108" s="18"/>
      <c r="Z108" s="18"/>
    </row>
    <row r="109" spans="1:26" ht="12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288" t="s">
        <v>531</v>
      </c>
      <c r="V109" s="289">
        <v>6.48</v>
      </c>
      <c r="W109" s="290" t="s">
        <v>466</v>
      </c>
      <c r="X109" s="18"/>
      <c r="Y109" s="18"/>
      <c r="Z109" s="18"/>
    </row>
    <row r="110" spans="1:26" ht="12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288" t="s">
        <v>532</v>
      </c>
      <c r="V110" s="289">
        <v>152</v>
      </c>
      <c r="W110" s="290" t="s">
        <v>533</v>
      </c>
      <c r="X110" s="18"/>
      <c r="Y110" s="18"/>
      <c r="Z110" s="18"/>
    </row>
    <row r="111" spans="1:26" ht="12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288" t="s">
        <v>534</v>
      </c>
      <c r="V111" s="289">
        <v>24.12</v>
      </c>
      <c r="W111" s="290" t="s">
        <v>535</v>
      </c>
      <c r="X111" s="18"/>
      <c r="Y111" s="18"/>
      <c r="Z111" s="18"/>
    </row>
    <row r="112" spans="1:26" ht="12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288" t="s">
        <v>536</v>
      </c>
      <c r="V112" s="289">
        <v>6.81</v>
      </c>
      <c r="W112" s="290" t="s">
        <v>466</v>
      </c>
      <c r="X112" s="18"/>
      <c r="Y112" s="18"/>
      <c r="Z112" s="18"/>
    </row>
    <row r="113" spans="1:26" ht="12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288" t="s">
        <v>537</v>
      </c>
      <c r="V113" s="289">
        <v>184</v>
      </c>
      <c r="W113" s="290" t="s">
        <v>538</v>
      </c>
      <c r="X113" s="18"/>
      <c r="Y113" s="18"/>
      <c r="Z113" s="18"/>
    </row>
    <row r="114" spans="1:26" ht="12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288" t="s">
        <v>539</v>
      </c>
      <c r="V114" s="289">
        <v>24.17</v>
      </c>
      <c r="W114" s="290" t="s">
        <v>540</v>
      </c>
      <c r="X114" s="18"/>
      <c r="Y114" s="18"/>
      <c r="Z114" s="18"/>
    </row>
    <row r="115" spans="1:26" ht="12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288" t="s">
        <v>541</v>
      </c>
      <c r="V115" s="289">
        <v>7.14</v>
      </c>
      <c r="W115" s="290" t="s">
        <v>466</v>
      </c>
      <c r="X115" s="18"/>
      <c r="Y115" s="18"/>
      <c r="Z115" s="18"/>
    </row>
    <row r="116" spans="1:26" ht="12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288" t="s">
        <v>542</v>
      </c>
      <c r="V116" s="289">
        <v>220</v>
      </c>
      <c r="W116" s="290" t="s">
        <v>543</v>
      </c>
      <c r="X116" s="18"/>
      <c r="Y116" s="18"/>
      <c r="Z116" s="18"/>
    </row>
    <row r="117" spans="1:26" ht="12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288" t="s">
        <v>544</v>
      </c>
      <c r="V117" s="289">
        <v>20.55</v>
      </c>
      <c r="W117" s="290" t="s">
        <v>545</v>
      </c>
      <c r="X117" s="18"/>
      <c r="Y117" s="18"/>
      <c r="Z117" s="18"/>
    </row>
    <row r="118" spans="1:26" ht="12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288" t="s">
        <v>546</v>
      </c>
      <c r="V118" s="289">
        <v>7.5</v>
      </c>
      <c r="W118" s="290" t="s">
        <v>466</v>
      </c>
      <c r="X118" s="18"/>
      <c r="Y118" s="18"/>
      <c r="Z118" s="18"/>
    </row>
    <row r="119" spans="1:26" ht="12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288" t="s">
        <v>547</v>
      </c>
      <c r="V119" s="289">
        <v>261</v>
      </c>
      <c r="W119" s="290" t="s">
        <v>548</v>
      </c>
      <c r="X119" s="18"/>
      <c r="Y119" s="18"/>
      <c r="Z119" s="18"/>
    </row>
    <row r="120" spans="1:26" ht="12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288" t="s">
        <v>549</v>
      </c>
      <c r="V120" s="289">
        <v>33.89</v>
      </c>
      <c r="W120" s="290" t="s">
        <v>550</v>
      </c>
      <c r="X120" s="18"/>
      <c r="Y120" s="18"/>
      <c r="Z120" s="18"/>
    </row>
    <row r="121" spans="1:26" ht="12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288" t="s">
        <v>551</v>
      </c>
      <c r="V121" s="289">
        <v>7.83</v>
      </c>
      <c r="W121" s="290" t="s">
        <v>466</v>
      </c>
      <c r="X121" s="18"/>
      <c r="Y121" s="18"/>
      <c r="Z121" s="18"/>
    </row>
    <row r="122" spans="1:26" ht="12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288" t="s">
        <v>552</v>
      </c>
      <c r="V122" s="289">
        <v>306</v>
      </c>
      <c r="W122" s="290" t="s">
        <v>553</v>
      </c>
      <c r="X122" s="18"/>
      <c r="Y122" s="18"/>
      <c r="Z122" s="18"/>
    </row>
    <row r="123" spans="1:26" ht="12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288" t="s">
        <v>554</v>
      </c>
      <c r="V123" s="289">
        <v>37.450000000000003</v>
      </c>
      <c r="W123" s="290" t="s">
        <v>555</v>
      </c>
      <c r="X123" s="18"/>
      <c r="Y123" s="18"/>
      <c r="Z123" s="18"/>
    </row>
    <row r="124" spans="1:26" ht="12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288" t="s">
        <v>556</v>
      </c>
      <c r="V124" s="289">
        <v>8.1999999999999993</v>
      </c>
      <c r="W124" s="290" t="s">
        <v>466</v>
      </c>
      <c r="X124" s="18"/>
      <c r="Y124" s="18"/>
      <c r="Z124" s="18"/>
    </row>
    <row r="125" spans="1:26" ht="12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262" t="s">
        <v>557</v>
      </c>
      <c r="V125" s="263">
        <v>45.3</v>
      </c>
      <c r="W125" s="264" t="s">
        <v>558</v>
      </c>
      <c r="X125" s="18"/>
      <c r="Y125" s="18"/>
      <c r="Z125" s="18"/>
    </row>
    <row r="126" spans="1:26" ht="12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262" t="s">
        <v>559</v>
      </c>
      <c r="V126" s="263">
        <v>10.29</v>
      </c>
      <c r="W126" s="264" t="s">
        <v>560</v>
      </c>
      <c r="X126" s="18"/>
      <c r="Y126" s="18"/>
      <c r="Z126" s="18"/>
    </row>
    <row r="127" spans="1:26" ht="12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262" t="s">
        <v>561</v>
      </c>
      <c r="V127" s="263">
        <v>3.89</v>
      </c>
      <c r="W127" s="264" t="s">
        <v>466</v>
      </c>
      <c r="X127" s="18"/>
      <c r="Y127" s="18"/>
      <c r="Z127" s="18"/>
    </row>
    <row r="128" spans="1:26" ht="12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262" t="s">
        <v>562</v>
      </c>
      <c r="V128" s="263">
        <v>59.1</v>
      </c>
      <c r="W128" s="264" t="s">
        <v>563</v>
      </c>
      <c r="X128" s="18"/>
      <c r="Y128" s="18"/>
      <c r="Z128" s="18"/>
    </row>
    <row r="129" spans="1:26" ht="12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262" t="s">
        <v>564</v>
      </c>
      <c r="V129" s="263">
        <v>12.06</v>
      </c>
      <c r="W129" s="264" t="s">
        <v>565</v>
      </c>
      <c r="X129" s="18"/>
      <c r="Y129" s="18"/>
      <c r="Z129" s="18"/>
    </row>
    <row r="130" spans="1:26" ht="12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262" t="s">
        <v>566</v>
      </c>
      <c r="V130" s="263">
        <v>4.16</v>
      </c>
      <c r="W130" s="264" t="s">
        <v>466</v>
      </c>
      <c r="X130" s="18"/>
      <c r="Y130" s="18"/>
      <c r="Z130" s="18"/>
    </row>
    <row r="131" spans="1:26" ht="12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262" t="s">
        <v>567</v>
      </c>
      <c r="V131" s="263">
        <v>75.099999999999994</v>
      </c>
      <c r="W131" s="264" t="s">
        <v>568</v>
      </c>
      <c r="X131" s="18"/>
      <c r="Y131" s="18"/>
      <c r="Z131" s="18"/>
    </row>
    <row r="132" spans="1:26" ht="12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262" t="s">
        <v>569</v>
      </c>
      <c r="V132" s="263">
        <v>14.16</v>
      </c>
      <c r="W132" s="264" t="s">
        <v>570</v>
      </c>
      <c r="X132" s="18"/>
      <c r="Y132" s="18"/>
      <c r="Z132" s="18"/>
    </row>
    <row r="133" spans="1:26" ht="12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262" t="s">
        <v>571</v>
      </c>
      <c r="V133" s="263">
        <v>4.42</v>
      </c>
      <c r="W133" s="264" t="s">
        <v>466</v>
      </c>
      <c r="X133" s="18"/>
      <c r="Y133" s="18"/>
      <c r="Z133" s="18"/>
    </row>
    <row r="134" spans="1:26" ht="12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262" t="s">
        <v>572</v>
      </c>
      <c r="V134" s="263">
        <v>94.3</v>
      </c>
      <c r="W134" s="264" t="s">
        <v>573</v>
      </c>
      <c r="X134" s="18"/>
      <c r="Y134" s="18"/>
      <c r="Z134" s="18"/>
    </row>
    <row r="135" spans="1:26" ht="12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262" t="s">
        <v>574</v>
      </c>
      <c r="V135" s="263">
        <v>16.25</v>
      </c>
      <c r="W135" s="264" t="s">
        <v>575</v>
      </c>
      <c r="X135" s="18"/>
      <c r="Y135" s="18"/>
      <c r="Z135" s="18"/>
    </row>
    <row r="136" spans="1:26" ht="12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262" t="s">
        <v>576</v>
      </c>
      <c r="V136" s="263">
        <v>4.68</v>
      </c>
      <c r="W136" s="264" t="s">
        <v>466</v>
      </c>
      <c r="X136" s="18"/>
      <c r="Y136" s="18"/>
      <c r="Z136" s="18"/>
    </row>
    <row r="137" spans="1:26" ht="12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262" t="s">
        <v>577</v>
      </c>
      <c r="V137" s="263">
        <v>116</v>
      </c>
      <c r="W137" s="264" t="s">
        <v>578</v>
      </c>
      <c r="X137" s="18"/>
      <c r="Y137" s="18"/>
      <c r="Z137" s="18"/>
    </row>
    <row r="138" spans="1:26" ht="12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262" t="s">
        <v>579</v>
      </c>
      <c r="V138" s="263">
        <v>18.41</v>
      </c>
      <c r="W138" s="264" t="s">
        <v>580</v>
      </c>
      <c r="X138" s="18"/>
      <c r="Y138" s="18"/>
      <c r="Z138" s="18"/>
    </row>
    <row r="139" spans="1:26" ht="12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262" t="s">
        <v>581</v>
      </c>
      <c r="V139" s="263">
        <v>4.9400000000000004</v>
      </c>
      <c r="W139" s="264" t="s">
        <v>466</v>
      </c>
      <c r="X139" s="18"/>
      <c r="Y139" s="18"/>
      <c r="Z139" s="18"/>
    </row>
    <row r="140" spans="1:26" ht="12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262" t="s">
        <v>582</v>
      </c>
      <c r="V140" s="263">
        <v>140</v>
      </c>
      <c r="W140" s="264" t="s">
        <v>583</v>
      </c>
      <c r="X140" s="18"/>
      <c r="Y140" s="18"/>
      <c r="Z140" s="18"/>
    </row>
    <row r="141" spans="1:26" ht="12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262" t="s">
        <v>584</v>
      </c>
      <c r="V141" s="263">
        <v>20.67</v>
      </c>
      <c r="W141" s="264" t="s">
        <v>585</v>
      </c>
      <c r="X141" s="18"/>
      <c r="Y141" s="18"/>
      <c r="Z141" s="18"/>
    </row>
    <row r="142" spans="1:26" ht="12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262" t="s">
        <v>586</v>
      </c>
      <c r="V142" s="263">
        <v>5.26</v>
      </c>
      <c r="W142" s="264" t="s">
        <v>466</v>
      </c>
      <c r="X142" s="18"/>
      <c r="Y142" s="18"/>
      <c r="Z142" s="18"/>
    </row>
    <row r="143" spans="1:26" ht="12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262" t="s">
        <v>587</v>
      </c>
      <c r="V143" s="263">
        <v>168</v>
      </c>
      <c r="W143" s="264" t="s">
        <v>588</v>
      </c>
      <c r="X143" s="18"/>
      <c r="Y143" s="18"/>
      <c r="Z143" s="18"/>
    </row>
    <row r="144" spans="1:26" ht="12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262" t="s">
        <v>589</v>
      </c>
      <c r="V144" s="263">
        <v>23.33</v>
      </c>
      <c r="W144" s="264" t="s">
        <v>590</v>
      </c>
      <c r="X144" s="18"/>
      <c r="Y144" s="18"/>
      <c r="Z144" s="18"/>
    </row>
    <row r="145" spans="1:26" ht="12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262" t="s">
        <v>591</v>
      </c>
      <c r="V145" s="263">
        <v>5.47</v>
      </c>
      <c r="W145" s="264" t="s">
        <v>466</v>
      </c>
      <c r="X145" s="18"/>
      <c r="Y145" s="18"/>
      <c r="Z145" s="18"/>
    </row>
    <row r="146" spans="1:26" ht="12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262" t="s">
        <v>592</v>
      </c>
      <c r="V146" s="263">
        <v>199</v>
      </c>
      <c r="W146" s="264" t="s">
        <v>593</v>
      </c>
      <c r="X146" s="18"/>
      <c r="Y146" s="18"/>
      <c r="Z146" s="18"/>
    </row>
    <row r="147" spans="1:26" ht="12.75" customHeight="1">
      <c r="A147" s="18"/>
      <c r="B147" s="18"/>
      <c r="C147" s="18"/>
      <c r="D147" s="18"/>
      <c r="E147" s="18"/>
      <c r="F147" s="18"/>
      <c r="G147" s="18"/>
      <c r="H147" s="304" t="s">
        <v>70</v>
      </c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262" t="s">
        <v>594</v>
      </c>
      <c r="V147" s="263">
        <v>25.84</v>
      </c>
      <c r="W147" s="264" t="s">
        <v>595</v>
      </c>
      <c r="X147" s="18"/>
      <c r="Y147" s="18"/>
      <c r="Z147" s="18"/>
    </row>
    <row r="148" spans="1:26" ht="12.75" customHeight="1">
      <c r="A148" s="18"/>
      <c r="B148" s="18"/>
      <c r="C148" s="18"/>
      <c r="D148" s="18"/>
      <c r="E148" s="18"/>
      <c r="F148" s="18"/>
      <c r="G148" s="18"/>
      <c r="H148" s="304" t="s">
        <v>11</v>
      </c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262" t="s">
        <v>596</v>
      </c>
      <c r="V148" s="263">
        <v>5.73</v>
      </c>
      <c r="W148" s="264" t="s">
        <v>466</v>
      </c>
      <c r="X148" s="18"/>
      <c r="Y148" s="18"/>
      <c r="Z148" s="18"/>
    </row>
    <row r="149" spans="1:26" ht="12.75" customHeight="1">
      <c r="A149" s="18"/>
      <c r="B149" s="18"/>
      <c r="C149" s="18"/>
      <c r="D149" s="18"/>
      <c r="E149" s="18"/>
      <c r="F149" s="18"/>
      <c r="G149" s="18"/>
      <c r="H149" s="305" t="s">
        <v>75</v>
      </c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262" t="s">
        <v>597</v>
      </c>
      <c r="V149" s="263">
        <v>233</v>
      </c>
      <c r="W149" s="264" t="s">
        <v>598</v>
      </c>
      <c r="X149" s="18"/>
      <c r="Y149" s="18"/>
      <c r="Z149" s="18"/>
    </row>
    <row r="150" spans="1:26" ht="12.75" customHeight="1">
      <c r="A150" s="18"/>
      <c r="B150" s="18"/>
      <c r="C150" s="18"/>
      <c r="D150" s="18"/>
      <c r="E150" s="18"/>
      <c r="F150" s="18"/>
      <c r="G150" s="18"/>
      <c r="H150" s="305" t="s">
        <v>79</v>
      </c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262" t="s">
        <v>599</v>
      </c>
      <c r="V150" s="263">
        <v>28.51</v>
      </c>
      <c r="W150" s="264" t="s">
        <v>600</v>
      </c>
      <c r="X150" s="18"/>
      <c r="Y150" s="18"/>
      <c r="Z150" s="18"/>
    </row>
    <row r="151" spans="1:26" ht="12.75" customHeight="1">
      <c r="A151" s="18"/>
      <c r="B151" s="18"/>
      <c r="C151" s="18"/>
      <c r="D151" s="18"/>
      <c r="E151" s="18"/>
      <c r="F151" s="18"/>
      <c r="G151" s="18"/>
      <c r="H151" s="305" t="s">
        <v>83</v>
      </c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262" t="s">
        <v>601</v>
      </c>
      <c r="V151" s="263">
        <v>5.99</v>
      </c>
      <c r="W151" s="264" t="s">
        <v>466</v>
      </c>
      <c r="X151" s="18"/>
      <c r="Y151" s="18"/>
      <c r="Z151" s="18"/>
    </row>
    <row r="152" spans="1:26" ht="12.75" customHeight="1">
      <c r="A152" s="18"/>
      <c r="B152" s="18"/>
      <c r="C152" s="18"/>
      <c r="D152" s="18"/>
      <c r="E152" s="18"/>
      <c r="F152" s="18"/>
      <c r="G152" s="18"/>
      <c r="H152" s="305" t="s">
        <v>87</v>
      </c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306" t="s">
        <v>602</v>
      </c>
      <c r="V152" s="307">
        <v>683</v>
      </c>
      <c r="W152" s="308" t="s">
        <v>387</v>
      </c>
      <c r="X152" s="18"/>
      <c r="Y152" s="18"/>
      <c r="Z152" s="18"/>
    </row>
    <row r="153" spans="1:26" ht="12.75" customHeight="1">
      <c r="A153" s="18"/>
      <c r="B153" s="18"/>
      <c r="C153" s="18"/>
      <c r="D153" s="18"/>
      <c r="E153" s="18"/>
      <c r="F153" s="18"/>
      <c r="G153" s="18"/>
      <c r="H153" s="305" t="s">
        <v>90</v>
      </c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306" t="s">
        <v>603</v>
      </c>
      <c r="V153" s="307">
        <v>91</v>
      </c>
      <c r="W153" s="308" t="s">
        <v>390</v>
      </c>
      <c r="X153" s="18"/>
      <c r="Y153" s="18"/>
      <c r="Z153" s="18"/>
    </row>
    <row r="154" spans="1:26" ht="12.75" customHeight="1">
      <c r="A154" s="18"/>
      <c r="B154" s="18"/>
      <c r="C154" s="18"/>
      <c r="D154" s="18"/>
      <c r="E154" s="18"/>
      <c r="F154" s="18"/>
      <c r="G154" s="18"/>
      <c r="H154" s="305" t="s">
        <v>95</v>
      </c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306" t="s">
        <v>604</v>
      </c>
      <c r="V154" s="307">
        <v>6.3</v>
      </c>
      <c r="W154" s="308" t="s">
        <v>392</v>
      </c>
      <c r="X154" s="18"/>
      <c r="Y154" s="18"/>
      <c r="Z154" s="18"/>
    </row>
    <row r="155" spans="1:26" ht="12.75" customHeight="1">
      <c r="A155" s="18"/>
      <c r="B155" s="18"/>
      <c r="C155" s="18"/>
      <c r="D155" s="18"/>
      <c r="E155" s="18"/>
      <c r="F155" s="18"/>
      <c r="G155" s="18"/>
      <c r="H155" s="305" t="s">
        <v>605</v>
      </c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306" t="s">
        <v>606</v>
      </c>
      <c r="V155" s="307">
        <v>920</v>
      </c>
      <c r="W155" s="308" t="s">
        <v>387</v>
      </c>
      <c r="X155" s="18"/>
      <c r="Y155" s="18"/>
      <c r="Z155" s="18"/>
    </row>
    <row r="156" spans="1:26" ht="12.75" customHeight="1">
      <c r="A156" s="18"/>
      <c r="B156" s="18"/>
      <c r="C156" s="18"/>
      <c r="D156" s="18"/>
      <c r="E156" s="18"/>
      <c r="F156" s="18"/>
      <c r="G156" s="18"/>
      <c r="H156" s="305" t="s">
        <v>103</v>
      </c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306" t="s">
        <v>607</v>
      </c>
      <c r="V156" s="307">
        <v>120</v>
      </c>
      <c r="W156" s="308" t="s">
        <v>390</v>
      </c>
      <c r="X156" s="18"/>
      <c r="Y156" s="18"/>
      <c r="Z156" s="18"/>
    </row>
    <row r="157" spans="1:26" ht="12.75" customHeight="1">
      <c r="A157" s="18"/>
      <c r="B157" s="18"/>
      <c r="C157" s="18"/>
      <c r="D157" s="18"/>
      <c r="E157" s="18"/>
      <c r="F157" s="18"/>
      <c r="G157" s="18"/>
      <c r="H157" s="305" t="s">
        <v>107</v>
      </c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306" t="s">
        <v>608</v>
      </c>
      <c r="V157" s="307">
        <v>6.3</v>
      </c>
      <c r="W157" s="308" t="s">
        <v>392</v>
      </c>
      <c r="X157" s="18"/>
      <c r="Y157" s="18"/>
      <c r="Z157" s="18"/>
    </row>
    <row r="158" spans="1:26" ht="12.75" customHeight="1">
      <c r="A158" s="18"/>
      <c r="B158" s="18"/>
      <c r="C158" s="18"/>
      <c r="D158" s="18"/>
      <c r="E158" s="18"/>
      <c r="F158" s="18"/>
      <c r="G158" s="18"/>
      <c r="H158" s="309" t="s">
        <v>112</v>
      </c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306" t="s">
        <v>609</v>
      </c>
      <c r="V158" s="307">
        <v>1336</v>
      </c>
      <c r="W158" s="308" t="s">
        <v>387</v>
      </c>
      <c r="X158" s="18"/>
      <c r="Y158" s="18"/>
      <c r="Z158" s="18"/>
    </row>
    <row r="159" spans="1:26" ht="12.75" customHeight="1">
      <c r="A159" s="18"/>
      <c r="B159" s="18"/>
      <c r="C159" s="18"/>
      <c r="D159" s="18"/>
      <c r="E159" s="18"/>
      <c r="F159" s="18"/>
      <c r="G159" s="18"/>
      <c r="H159" s="309" t="s">
        <v>113</v>
      </c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306" t="s">
        <v>610</v>
      </c>
      <c r="V159" s="307">
        <v>167</v>
      </c>
      <c r="W159" s="308" t="s">
        <v>390</v>
      </c>
      <c r="X159" s="18"/>
      <c r="Y159" s="18"/>
      <c r="Z159" s="18"/>
    </row>
    <row r="160" spans="1:26" ht="12.75" customHeight="1">
      <c r="A160" s="18"/>
      <c r="B160" s="18"/>
      <c r="C160" s="18"/>
      <c r="D160" s="18"/>
      <c r="E160" s="18"/>
      <c r="F160" s="18"/>
      <c r="G160" s="18"/>
      <c r="H160" s="309" t="s">
        <v>115</v>
      </c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306" t="s">
        <v>611</v>
      </c>
      <c r="V160" s="307">
        <v>6.6</v>
      </c>
      <c r="W160" s="308" t="s">
        <v>392</v>
      </c>
      <c r="X160" s="18"/>
      <c r="Y160" s="18"/>
      <c r="Z160" s="18"/>
    </row>
    <row r="161" spans="1:26" ht="12.75" customHeight="1">
      <c r="A161" s="18"/>
      <c r="B161" s="18"/>
      <c r="C161" s="18"/>
      <c r="D161" s="18"/>
      <c r="E161" s="18"/>
      <c r="F161" s="18"/>
      <c r="G161" s="18"/>
      <c r="H161" s="309" t="s">
        <v>120</v>
      </c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306" t="s">
        <v>612</v>
      </c>
      <c r="V161" s="307">
        <v>1282</v>
      </c>
      <c r="W161" s="308" t="s">
        <v>387</v>
      </c>
      <c r="X161" s="18"/>
      <c r="Y161" s="18"/>
      <c r="Z161" s="18"/>
    </row>
    <row r="162" spans="1:26" ht="12.75" customHeight="1">
      <c r="A162" s="18"/>
      <c r="B162" s="18"/>
      <c r="C162" s="18"/>
      <c r="D162" s="18"/>
      <c r="E162" s="18"/>
      <c r="F162" s="18"/>
      <c r="G162" s="18"/>
      <c r="H162" s="310" t="s">
        <v>613</v>
      </c>
      <c r="I162" s="18" t="s">
        <v>614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306" t="s">
        <v>615</v>
      </c>
      <c r="V162" s="307">
        <v>128</v>
      </c>
      <c r="W162" s="308" t="s">
        <v>390</v>
      </c>
      <c r="X162" s="18"/>
      <c r="Y162" s="18"/>
      <c r="Z162" s="18"/>
    </row>
    <row r="163" spans="1:26" ht="12.75" customHeight="1">
      <c r="A163" s="18"/>
      <c r="B163" s="18"/>
      <c r="C163" s="18"/>
      <c r="D163" s="18"/>
      <c r="E163" s="18"/>
      <c r="F163" s="18"/>
      <c r="G163" s="18"/>
      <c r="H163" s="310" t="s">
        <v>616</v>
      </c>
      <c r="I163" s="18" t="s">
        <v>617</v>
      </c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306" t="s">
        <v>618</v>
      </c>
      <c r="V163" s="307">
        <v>8.1999999999999993</v>
      </c>
      <c r="W163" s="308" t="s">
        <v>392</v>
      </c>
      <c r="X163" s="18"/>
      <c r="Y163" s="18"/>
      <c r="Z163" s="18"/>
    </row>
    <row r="164" spans="1:26" ht="12.75" customHeight="1">
      <c r="A164" s="18"/>
      <c r="B164" s="18"/>
      <c r="C164" s="18"/>
      <c r="D164" s="18"/>
      <c r="E164" s="18"/>
      <c r="F164" s="18"/>
      <c r="G164" s="18"/>
      <c r="H164" s="310" t="s">
        <v>619</v>
      </c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306" t="s">
        <v>620</v>
      </c>
      <c r="V164" s="307">
        <v>1648</v>
      </c>
      <c r="W164" s="308" t="s">
        <v>387</v>
      </c>
      <c r="X164" s="18"/>
      <c r="Y164" s="18"/>
      <c r="Z164" s="18"/>
    </row>
    <row r="165" spans="1:26" ht="12.75" customHeight="1">
      <c r="A165" s="18"/>
      <c r="B165" s="18"/>
      <c r="C165" s="18"/>
      <c r="D165" s="18"/>
      <c r="E165" s="18"/>
      <c r="F165" s="18"/>
      <c r="G165" s="18"/>
      <c r="H165" s="310" t="s">
        <v>621</v>
      </c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306" t="s">
        <v>622</v>
      </c>
      <c r="V165" s="307">
        <v>162</v>
      </c>
      <c r="W165" s="308" t="s">
        <v>390</v>
      </c>
      <c r="X165" s="18"/>
      <c r="Y165" s="18"/>
      <c r="Z165" s="18"/>
    </row>
    <row r="166" spans="1:26" ht="12.75" customHeight="1">
      <c r="A166" s="18"/>
      <c r="B166" s="18"/>
      <c r="C166" s="18"/>
      <c r="D166" s="18"/>
      <c r="E166" s="18"/>
      <c r="F166" s="18"/>
      <c r="G166" s="18"/>
      <c r="H166" s="310" t="s">
        <v>623</v>
      </c>
      <c r="I166" s="18" t="s">
        <v>351</v>
      </c>
      <c r="J166" s="18" t="s">
        <v>352</v>
      </c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306" t="s">
        <v>624</v>
      </c>
      <c r="V166" s="307">
        <v>8.1999999999999993</v>
      </c>
      <c r="W166" s="308" t="s">
        <v>392</v>
      </c>
      <c r="X166" s="18"/>
      <c r="Y166" s="18"/>
      <c r="Z166" s="18"/>
    </row>
    <row r="167" spans="1:26" ht="12.75" customHeight="1">
      <c r="A167" s="18"/>
      <c r="B167" s="18"/>
      <c r="C167" s="18"/>
      <c r="D167" s="18"/>
      <c r="E167" s="18"/>
      <c r="F167" s="18"/>
      <c r="G167" s="18"/>
      <c r="H167" s="310" t="s">
        <v>625</v>
      </c>
      <c r="I167" s="18" t="s">
        <v>353</v>
      </c>
      <c r="J167" s="18" t="s">
        <v>354</v>
      </c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306" t="s">
        <v>626</v>
      </c>
      <c r="V167" s="307">
        <v>1998</v>
      </c>
      <c r="W167" s="308" t="s">
        <v>387</v>
      </c>
      <c r="X167" s="18"/>
      <c r="Y167" s="18"/>
      <c r="Z167" s="18"/>
    </row>
    <row r="168" spans="1:26" ht="12.75" customHeight="1">
      <c r="A168" s="18"/>
      <c r="B168" s="18"/>
      <c r="C168" s="18"/>
      <c r="D168" s="18"/>
      <c r="E168" s="18"/>
      <c r="F168" s="18"/>
      <c r="G168" s="18"/>
      <c r="H168" s="310" t="s">
        <v>627</v>
      </c>
      <c r="I168" s="18" t="s">
        <v>355</v>
      </c>
      <c r="J168" s="18" t="s">
        <v>356</v>
      </c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306" t="s">
        <v>628</v>
      </c>
      <c r="V168" s="307">
        <v>193</v>
      </c>
      <c r="W168" s="308" t="s">
        <v>390</v>
      </c>
      <c r="X168" s="18"/>
      <c r="Y168" s="18"/>
      <c r="Z168" s="18"/>
    </row>
    <row r="169" spans="1:26" ht="12.75" customHeight="1">
      <c r="A169" s="18"/>
      <c r="B169" s="18"/>
      <c r="C169" s="18"/>
      <c r="D169" s="18"/>
      <c r="E169" s="18"/>
      <c r="F169" s="18"/>
      <c r="G169" s="18"/>
      <c r="H169" s="310" t="s">
        <v>629</v>
      </c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306" t="s">
        <v>630</v>
      </c>
      <c r="V169" s="307">
        <v>8.4</v>
      </c>
      <c r="W169" s="308" t="s">
        <v>392</v>
      </c>
      <c r="X169" s="18"/>
      <c r="Y169" s="18"/>
      <c r="Z169" s="18"/>
    </row>
    <row r="170" spans="1:26" ht="12.75" customHeight="1">
      <c r="A170" s="18"/>
      <c r="B170" s="18"/>
      <c r="C170" s="18"/>
      <c r="D170" s="18"/>
      <c r="E170" s="18"/>
      <c r="F170" s="18"/>
      <c r="G170" s="18"/>
      <c r="H170" s="310" t="s">
        <v>631</v>
      </c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306" t="s">
        <v>632</v>
      </c>
      <c r="V170" s="307">
        <v>2239</v>
      </c>
      <c r="W170" s="308" t="s">
        <v>387</v>
      </c>
      <c r="X170" s="18"/>
      <c r="Y170" s="18"/>
      <c r="Z170" s="18"/>
    </row>
    <row r="171" spans="1:26" ht="12.75" customHeight="1">
      <c r="A171" s="18"/>
      <c r="B171" s="18"/>
      <c r="C171" s="18"/>
      <c r="D171" s="18"/>
      <c r="E171" s="18"/>
      <c r="F171" s="18"/>
      <c r="G171" s="18"/>
      <c r="H171" s="310" t="s">
        <v>633</v>
      </c>
      <c r="I171" s="18" t="s">
        <v>349</v>
      </c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306" t="s">
        <v>634</v>
      </c>
      <c r="V171" s="307">
        <v>179</v>
      </c>
      <c r="W171" s="308" t="s">
        <v>390</v>
      </c>
      <c r="X171" s="18"/>
      <c r="Y171" s="18"/>
      <c r="Z171" s="18"/>
    </row>
    <row r="172" spans="1:26" ht="12.75" customHeight="1">
      <c r="A172" s="18"/>
      <c r="B172" s="18"/>
      <c r="C172" s="18"/>
      <c r="D172" s="18"/>
      <c r="E172" s="18"/>
      <c r="F172" s="18"/>
      <c r="G172" s="18"/>
      <c r="H172" s="310" t="s">
        <v>635</v>
      </c>
      <c r="I172" s="18" t="s">
        <v>636</v>
      </c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306" t="s">
        <v>637</v>
      </c>
      <c r="V172" s="307">
        <v>9.9</v>
      </c>
      <c r="W172" s="308" t="s">
        <v>392</v>
      </c>
      <c r="X172" s="18"/>
      <c r="Y172" s="18"/>
      <c r="Z172" s="18"/>
    </row>
    <row r="173" spans="1:26" ht="12.75" customHeight="1">
      <c r="A173" s="18"/>
      <c r="B173" s="18"/>
      <c r="C173" s="18"/>
      <c r="D173" s="18"/>
      <c r="E173" s="18"/>
      <c r="F173" s="18"/>
      <c r="G173" s="18"/>
      <c r="H173" s="310" t="s">
        <v>638</v>
      </c>
      <c r="I173" s="18" t="s">
        <v>639</v>
      </c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306" t="s">
        <v>640</v>
      </c>
      <c r="V173" s="307">
        <v>2868</v>
      </c>
      <c r="W173" s="308" t="s">
        <v>387</v>
      </c>
      <c r="X173" s="18"/>
      <c r="Y173" s="18"/>
      <c r="Z173" s="18"/>
    </row>
    <row r="174" spans="1:26" ht="12.75" customHeight="1">
      <c r="A174" s="18"/>
      <c r="B174" s="18"/>
      <c r="C174" s="18"/>
      <c r="D174" s="18"/>
      <c r="E174" s="18"/>
      <c r="F174" s="18"/>
      <c r="G174" s="18"/>
      <c r="H174" s="310" t="s">
        <v>641</v>
      </c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306" t="s">
        <v>642</v>
      </c>
      <c r="V174" s="307">
        <v>226</v>
      </c>
      <c r="W174" s="308" t="s">
        <v>390</v>
      </c>
      <c r="X174" s="18"/>
      <c r="Y174" s="18"/>
      <c r="Z174" s="18"/>
    </row>
    <row r="175" spans="1:26" ht="12.75" customHeight="1">
      <c r="A175" s="18"/>
      <c r="B175" s="18"/>
      <c r="C175" s="18"/>
      <c r="D175" s="18"/>
      <c r="E175" s="18"/>
      <c r="F175" s="18"/>
      <c r="G175" s="18"/>
      <c r="H175" s="310" t="s">
        <v>643</v>
      </c>
      <c r="I175" s="18" t="s">
        <v>644</v>
      </c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306" t="s">
        <v>645</v>
      </c>
      <c r="V175" s="307">
        <v>10</v>
      </c>
      <c r="W175" s="308" t="s">
        <v>392</v>
      </c>
      <c r="X175" s="18"/>
      <c r="Y175" s="18"/>
      <c r="Z175" s="18"/>
    </row>
    <row r="176" spans="1:26" ht="12.75" customHeight="1">
      <c r="A176" s="18"/>
      <c r="B176" s="18"/>
      <c r="C176" s="18"/>
      <c r="D176" s="18"/>
      <c r="E176" s="18"/>
      <c r="F176" s="18"/>
      <c r="G176" s="18"/>
      <c r="H176" s="310" t="s">
        <v>646</v>
      </c>
      <c r="I176" s="18" t="s">
        <v>647</v>
      </c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306" t="s">
        <v>648</v>
      </c>
      <c r="V176" s="307">
        <v>3409</v>
      </c>
      <c r="W176" s="308" t="s">
        <v>387</v>
      </c>
      <c r="X176" s="18"/>
      <c r="Y176" s="18"/>
      <c r="Z176" s="18"/>
    </row>
    <row r="177" spans="1:26" ht="12.75" customHeight="1">
      <c r="A177" s="18"/>
      <c r="B177" s="18"/>
      <c r="C177" s="18"/>
      <c r="D177" s="18"/>
      <c r="E177" s="18"/>
      <c r="F177" s="18"/>
      <c r="G177" s="18"/>
      <c r="H177" s="310" t="s">
        <v>649</v>
      </c>
      <c r="I177" s="18" t="s">
        <v>650</v>
      </c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306" t="s">
        <v>651</v>
      </c>
      <c r="V177" s="307">
        <v>265</v>
      </c>
      <c r="W177" s="308" t="s">
        <v>390</v>
      </c>
      <c r="X177" s="18"/>
      <c r="Y177" s="18"/>
      <c r="Z177" s="18"/>
    </row>
    <row r="178" spans="1:26" ht="12.75" customHeight="1">
      <c r="A178" s="18"/>
      <c r="B178" s="18"/>
      <c r="C178" s="18"/>
      <c r="D178" s="18"/>
      <c r="E178" s="18"/>
      <c r="F178" s="18"/>
      <c r="G178" s="18"/>
      <c r="H178" s="310" t="s">
        <v>652</v>
      </c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306" t="s">
        <v>653</v>
      </c>
      <c r="V178" s="307">
        <v>10.3</v>
      </c>
      <c r="W178" s="308" t="s">
        <v>392</v>
      </c>
      <c r="X178" s="18"/>
      <c r="Y178" s="18"/>
      <c r="Z178" s="18"/>
    </row>
    <row r="179" spans="1:26" ht="12.75" customHeight="1">
      <c r="A179" s="18"/>
      <c r="B179" s="18"/>
      <c r="C179" s="18"/>
      <c r="D179" s="18"/>
      <c r="E179" s="18"/>
      <c r="F179" s="18"/>
      <c r="G179" s="18"/>
      <c r="H179" s="310" t="s">
        <v>654</v>
      </c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306" t="s">
        <v>655</v>
      </c>
      <c r="V179" s="307">
        <v>4008</v>
      </c>
      <c r="W179" s="308" t="s">
        <v>387</v>
      </c>
      <c r="X179" s="18"/>
      <c r="Y179" s="18"/>
      <c r="Z179" s="18"/>
    </row>
    <row r="180" spans="1:26" ht="12.75" customHeight="1">
      <c r="A180" s="18"/>
      <c r="B180" s="18"/>
      <c r="C180" s="18"/>
      <c r="D180" s="18"/>
      <c r="E180" s="18"/>
      <c r="F180" s="18"/>
      <c r="G180" s="18"/>
      <c r="H180" s="310" t="s">
        <v>656</v>
      </c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306" t="s">
        <v>657</v>
      </c>
      <c r="V180" s="307">
        <v>308</v>
      </c>
      <c r="W180" s="308" t="s">
        <v>390</v>
      </c>
      <c r="X180" s="18"/>
      <c r="Y180" s="18"/>
      <c r="Z180" s="18"/>
    </row>
    <row r="181" spans="1:26" ht="12.75" customHeight="1">
      <c r="A181" s="18"/>
      <c r="B181" s="18"/>
      <c r="C181" s="18"/>
      <c r="D181" s="18"/>
      <c r="E181" s="18"/>
      <c r="F181" s="18"/>
      <c r="G181" s="18"/>
      <c r="H181" s="310" t="s">
        <v>658</v>
      </c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306" t="s">
        <v>659</v>
      </c>
      <c r="V181" s="307">
        <v>10.5</v>
      </c>
      <c r="W181" s="308" t="s">
        <v>392</v>
      </c>
      <c r="X181" s="18"/>
      <c r="Y181" s="18"/>
      <c r="Z181" s="18"/>
    </row>
    <row r="182" spans="1:26" ht="12.75" customHeight="1">
      <c r="A182" s="18"/>
      <c r="B182" s="18"/>
      <c r="C182" s="18"/>
      <c r="D182" s="18"/>
      <c r="E182" s="18"/>
      <c r="F182" s="18"/>
      <c r="G182" s="18"/>
      <c r="H182" s="310" t="s">
        <v>660</v>
      </c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306" t="s">
        <v>661</v>
      </c>
      <c r="V182" s="307">
        <v>3688</v>
      </c>
      <c r="W182" s="308" t="s">
        <v>387</v>
      </c>
      <c r="X182" s="18"/>
      <c r="Y182" s="18"/>
      <c r="Z182" s="18"/>
    </row>
    <row r="183" spans="1:26" ht="12.75" customHeight="1">
      <c r="A183" s="18"/>
      <c r="B183" s="18"/>
      <c r="C183" s="18"/>
      <c r="D183" s="18"/>
      <c r="E183" s="18"/>
      <c r="F183" s="18"/>
      <c r="G183" s="18"/>
      <c r="H183" s="310" t="s">
        <v>662</v>
      </c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306" t="s">
        <v>663</v>
      </c>
      <c r="V183" s="307">
        <v>243</v>
      </c>
      <c r="W183" s="308" t="s">
        <v>390</v>
      </c>
      <c r="X183" s="18"/>
      <c r="Y183" s="18"/>
      <c r="Z183" s="18"/>
    </row>
    <row r="184" spans="1:26" ht="12.75" customHeight="1">
      <c r="A184" s="18"/>
      <c r="B184" s="18"/>
      <c r="C184" s="18"/>
      <c r="D184" s="18"/>
      <c r="E184" s="18"/>
      <c r="F184" s="18"/>
      <c r="G184" s="18"/>
      <c r="H184" s="310" t="s">
        <v>664</v>
      </c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306" t="s">
        <v>665</v>
      </c>
      <c r="V184" s="307">
        <v>11.7</v>
      </c>
      <c r="W184" s="308" t="s">
        <v>392</v>
      </c>
      <c r="X184" s="18"/>
      <c r="Y184" s="18"/>
      <c r="Z184" s="18"/>
    </row>
    <row r="185" spans="1:26" ht="12.75" customHeight="1">
      <c r="A185" s="18"/>
      <c r="B185" s="18"/>
      <c r="C185" s="18"/>
      <c r="D185" s="18"/>
      <c r="E185" s="18"/>
      <c r="F185" s="18"/>
      <c r="G185" s="18"/>
      <c r="H185" s="310" t="s">
        <v>666</v>
      </c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306" t="s">
        <v>667</v>
      </c>
      <c r="V185" s="307">
        <v>4287</v>
      </c>
      <c r="W185" s="308" t="s">
        <v>387</v>
      </c>
      <c r="X185" s="18"/>
      <c r="Y185" s="18"/>
      <c r="Z185" s="18"/>
    </row>
    <row r="186" spans="1:26" ht="12.75" customHeight="1">
      <c r="A186" s="18"/>
      <c r="B186" s="18"/>
      <c r="C186" s="18"/>
      <c r="D186" s="18"/>
      <c r="E186" s="18"/>
      <c r="F186" s="18"/>
      <c r="G186" s="18"/>
      <c r="H186" s="310" t="s">
        <v>668</v>
      </c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306" t="s">
        <v>669</v>
      </c>
      <c r="V186" s="307">
        <v>280</v>
      </c>
      <c r="W186" s="308" t="s">
        <v>390</v>
      </c>
      <c r="X186" s="18"/>
      <c r="Y186" s="18"/>
      <c r="Z186" s="18"/>
    </row>
    <row r="187" spans="1:26" ht="12.75" customHeight="1">
      <c r="A187" s="18"/>
      <c r="B187" s="18"/>
      <c r="C187" s="18"/>
      <c r="D187" s="18"/>
      <c r="E187" s="18"/>
      <c r="F187" s="18"/>
      <c r="G187" s="18"/>
      <c r="H187" s="310" t="s">
        <v>670</v>
      </c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306" t="s">
        <v>671</v>
      </c>
      <c r="V187" s="307">
        <v>11.9</v>
      </c>
      <c r="W187" s="308" t="s">
        <v>392</v>
      </c>
      <c r="X187" s="18"/>
      <c r="Y187" s="18"/>
      <c r="Z187" s="18"/>
    </row>
    <row r="188" spans="1:26" ht="12.75" customHeight="1">
      <c r="A188" s="18"/>
      <c r="B188" s="18"/>
      <c r="C188" s="18"/>
      <c r="D188" s="18"/>
      <c r="E188" s="18"/>
      <c r="F188" s="18"/>
      <c r="G188" s="18"/>
      <c r="H188" s="310" t="s">
        <v>672</v>
      </c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306" t="s">
        <v>673</v>
      </c>
      <c r="V188" s="307">
        <v>5411</v>
      </c>
      <c r="W188" s="308" t="s">
        <v>387</v>
      </c>
      <c r="X188" s="18"/>
      <c r="Y188" s="18"/>
      <c r="Z188" s="18"/>
    </row>
    <row r="189" spans="1:26" ht="12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306" t="s">
        <v>674</v>
      </c>
      <c r="V189" s="307">
        <v>349</v>
      </c>
      <c r="W189" s="308" t="s">
        <v>390</v>
      </c>
      <c r="X189" s="18"/>
      <c r="Y189" s="18"/>
      <c r="Z189" s="18"/>
    </row>
    <row r="190" spans="1:26" ht="12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306" t="s">
        <v>675</v>
      </c>
      <c r="V190" s="307">
        <v>12.2</v>
      </c>
      <c r="W190" s="308" t="s">
        <v>392</v>
      </c>
      <c r="X190" s="18"/>
      <c r="Y190" s="18"/>
      <c r="Z190" s="18"/>
    </row>
    <row r="191" spans="1:26" ht="12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306" t="s">
        <v>676</v>
      </c>
      <c r="V191" s="307">
        <v>6493</v>
      </c>
      <c r="W191" s="308" t="s">
        <v>387</v>
      </c>
      <c r="X191" s="18"/>
      <c r="Y191" s="18"/>
      <c r="Z191" s="18"/>
    </row>
    <row r="192" spans="1:26" ht="12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306" t="s">
        <v>677</v>
      </c>
      <c r="V192" s="307">
        <v>416</v>
      </c>
      <c r="W192" s="308" t="s">
        <v>390</v>
      </c>
      <c r="X192" s="18"/>
      <c r="Y192" s="18"/>
      <c r="Z192" s="18"/>
    </row>
    <row r="193" spans="1:26" ht="12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306" t="s">
        <v>678</v>
      </c>
      <c r="V193" s="307">
        <v>12.5</v>
      </c>
      <c r="W193" s="308" t="s">
        <v>392</v>
      </c>
      <c r="X193" s="18"/>
      <c r="Y193" s="18"/>
      <c r="Z193" s="18"/>
    </row>
    <row r="194" spans="1:26" ht="12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306" t="s">
        <v>679</v>
      </c>
      <c r="V194" s="307">
        <v>8283</v>
      </c>
      <c r="W194" s="308" t="s">
        <v>387</v>
      </c>
      <c r="X194" s="18"/>
      <c r="Y194" s="18"/>
      <c r="Z194" s="18"/>
    </row>
    <row r="195" spans="1:26" ht="12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306" t="s">
        <v>680</v>
      </c>
      <c r="V195" s="307">
        <v>475</v>
      </c>
      <c r="W195" s="308" t="s">
        <v>390</v>
      </c>
      <c r="X195" s="18"/>
      <c r="Y195" s="18"/>
      <c r="Z195" s="18"/>
    </row>
    <row r="196" spans="1:26" ht="12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306" t="s">
        <v>681</v>
      </c>
      <c r="V196" s="307">
        <v>14.1</v>
      </c>
      <c r="W196" s="308" t="s">
        <v>392</v>
      </c>
      <c r="X196" s="18"/>
      <c r="Y196" s="18"/>
      <c r="Z196" s="18"/>
    </row>
    <row r="197" spans="1:26" ht="12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306" t="s">
        <v>682</v>
      </c>
      <c r="V197" s="307">
        <v>10198</v>
      </c>
      <c r="W197" s="308" t="s">
        <v>387</v>
      </c>
      <c r="X197" s="18"/>
      <c r="Y197" s="18"/>
      <c r="Z197" s="18"/>
    </row>
    <row r="198" spans="1:26" ht="12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306" t="s">
        <v>683</v>
      </c>
      <c r="V198" s="307">
        <v>578</v>
      </c>
      <c r="W198" s="308" t="s">
        <v>390</v>
      </c>
      <c r="X198" s="18"/>
      <c r="Y198" s="18"/>
      <c r="Z198" s="18"/>
    </row>
    <row r="199" spans="1:26" ht="12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306" t="s">
        <v>684</v>
      </c>
      <c r="V199" s="307">
        <v>14.4</v>
      </c>
      <c r="W199" s="308" t="s">
        <v>392</v>
      </c>
      <c r="X199" s="18"/>
      <c r="Y199" s="18"/>
      <c r="Z199" s="18"/>
    </row>
    <row r="200" spans="1:26" ht="12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ht="12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ht="12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ht="12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ht="12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ht="12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ht="12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ht="12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ht="12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ht="12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ht="12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ht="12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ht="12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ht="12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ht="12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ht="12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ht="12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ht="12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ht="12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ht="12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ht="12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ht="12.75" customHeight="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ht="12.75" customHeight="1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ht="12.75" customHeight="1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ht="12.75" customHeight="1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ht="12.75" customHeight="1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ht="12.75" customHeight="1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ht="12.75" customHeight="1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ht="12.75" customHeight="1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ht="12.75" customHeight="1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ht="12.75" customHeight="1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ht="12.75" customHeight="1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ht="12.75" customHeight="1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ht="12.75" customHeight="1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ht="12.75" customHeight="1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ht="12.75" customHeight="1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ht="12.75" customHeight="1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ht="12.75" customHeight="1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ht="12.75" customHeight="1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ht="12.75" customHeight="1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ht="12.75" customHeight="1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ht="12.75" customHeight="1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ht="12.75" customHeight="1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ht="12.75" customHeight="1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ht="12.75" customHeight="1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ht="12.75" customHeight="1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ht="12.75" customHeight="1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ht="12.75" customHeight="1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ht="12.75" customHeight="1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ht="12.75" customHeight="1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ht="12.75" customHeight="1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ht="12.75" customHeight="1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ht="12.75" customHeight="1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ht="12.75" customHeight="1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ht="12.75" customHeight="1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ht="12.75" customHeight="1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ht="12.75" customHeight="1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ht="12.75" customHeight="1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ht="12.75" customHeight="1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ht="12.75" customHeight="1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ht="12.75" customHeight="1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ht="12.75" customHeight="1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ht="12.75" customHeight="1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ht="12.75" customHeight="1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ht="12.75" customHeight="1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ht="12.75" customHeight="1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ht="12.75" customHeight="1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ht="12.75" customHeight="1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ht="12.75" customHeight="1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ht="12.75" customHeight="1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ht="12.75" customHeight="1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ht="12.75" customHeight="1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ht="12.75" customHeight="1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ht="12.75" customHeight="1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ht="12.75" customHeight="1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ht="12.75" customHeight="1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ht="12.75" customHeight="1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ht="12.75" customHeight="1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ht="12.75" customHeight="1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ht="12.75" customHeight="1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ht="12.75" customHeight="1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ht="12.75" customHeight="1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ht="12.75" customHeight="1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ht="12.75" customHeight="1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ht="12.75" customHeight="1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ht="12.75" customHeight="1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ht="12.75" customHeight="1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ht="12.75" customHeight="1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ht="12.75" customHeight="1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ht="12.75" customHeight="1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ht="12.75" customHeight="1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ht="12.75" customHeight="1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ht="12.75" customHeight="1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ht="12.75" customHeight="1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ht="12.75" customHeight="1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ht="12.75" customHeight="1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ht="12.75" customHeight="1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ht="12.75" customHeight="1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ht="12.75" customHeight="1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ht="12.75" customHeight="1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ht="12.75" customHeight="1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ht="12.75" customHeight="1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ht="12.75" customHeight="1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ht="12.75" customHeight="1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ht="12.75" customHeight="1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ht="12.75" customHeight="1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ht="12.75" customHeight="1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ht="12.75" customHeight="1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ht="12.75" customHeight="1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ht="12.75" customHeight="1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ht="12.75" customHeight="1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ht="12.75" customHeight="1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ht="12.75" customHeight="1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ht="12.75" customHeight="1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ht="12.75" customHeight="1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ht="12.75" customHeight="1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ht="12.75" customHeight="1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ht="12.75" customHeight="1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ht="12.75" customHeight="1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ht="12.75" customHeight="1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ht="12.75" customHeight="1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ht="12.75" customHeight="1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ht="12.75" customHeight="1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ht="12.75" customHeight="1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ht="12.75" customHeight="1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ht="12.75" customHeight="1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ht="12.75" customHeight="1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ht="12.75" customHeight="1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ht="12.75" customHeight="1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ht="12.75" customHeight="1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ht="12.75" customHeight="1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ht="12.75" customHeight="1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ht="12.75" customHeight="1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ht="12.75" customHeight="1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ht="12.75" customHeight="1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ht="12.75" customHeight="1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ht="12.75" customHeight="1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ht="12.75" customHeight="1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ht="12.75" customHeight="1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ht="12.75" customHeight="1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ht="12.75" customHeight="1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ht="12.75" customHeight="1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ht="12.75" customHeight="1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ht="12.75" customHeight="1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ht="12.75" customHeight="1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ht="12.75" customHeight="1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ht="12.75" customHeight="1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ht="12.75" customHeight="1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ht="12.75" customHeight="1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ht="12.75" customHeight="1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ht="12.75" customHeight="1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ht="12.75" customHeight="1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ht="12.75" customHeight="1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ht="12.75" customHeight="1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ht="12.75" customHeight="1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ht="12.75" customHeight="1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ht="12.75" customHeight="1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ht="12.75" customHeight="1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ht="12.75" customHeight="1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ht="12.75" customHeight="1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ht="12.75" customHeight="1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ht="12.75" customHeight="1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ht="12.75" customHeight="1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ht="12.75" customHeight="1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ht="12.75" customHeight="1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ht="12.75" customHeight="1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ht="12.75" customHeight="1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ht="12.75" customHeight="1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ht="12.75" customHeight="1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ht="12.75" customHeight="1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ht="12.75" customHeight="1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ht="12.75" customHeight="1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ht="12.75" customHeight="1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ht="12.75" customHeight="1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ht="12.75" customHeight="1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ht="12.75" customHeight="1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ht="12.75" customHeight="1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ht="12.75" customHeight="1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ht="12.75" customHeight="1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ht="12.75" customHeight="1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ht="12.75" customHeight="1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ht="12.75" customHeight="1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ht="12.75" customHeight="1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ht="12.75" customHeight="1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ht="12.75" customHeight="1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ht="12.75" customHeight="1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ht="12.75" customHeight="1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ht="12.75" customHeight="1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ht="12.75" customHeight="1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ht="12.75" customHeight="1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ht="12.75" customHeight="1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ht="12.75" customHeight="1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ht="12.75" customHeight="1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ht="12.75" customHeight="1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ht="12.75" customHeight="1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ht="12.75" customHeight="1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ht="12.75" customHeight="1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ht="12.75" customHeight="1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ht="12.75" customHeight="1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ht="12.75" customHeight="1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V27:W27"/>
    <mergeCell ref="V28:W28"/>
  </mergeCells>
  <conditionalFormatting sqref="D16:D17">
    <cfRule type="cellIs" dxfId="1" priority="1" stopIfTrue="1" operator="equal">
      <formula>"FALLA"</formula>
    </cfRule>
  </conditionalFormatting>
  <conditionalFormatting sqref="D16:D17">
    <cfRule type="cellIs" dxfId="0" priority="2" stopIfTrue="1" operator="equal">
      <formula>"OK"</formula>
    </cfRule>
  </conditionalFormatting>
  <dataValidations count="1">
    <dataValidation type="list" allowBlank="1" showErrorMessage="1" sqref="D6" xr:uid="{00000000-0002-0000-0300-000000000000}">
      <formula1>$I$171:$I$173</formula1>
    </dataValidation>
  </dataValidations>
  <printOptions horizontalCentered="1" verticalCentered="1"/>
  <pageMargins left="0.78740157480314965" right="0.78740157480314965" top="0.98425196850393704" bottom="0.98425196850393704" header="0" footer="0"/>
  <pageSetup scale="11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E1000"/>
  <sheetViews>
    <sheetView workbookViewId="0"/>
  </sheetViews>
  <sheetFormatPr baseColWidth="10" defaultColWidth="14.44140625" defaultRowHeight="15" customHeight="1"/>
  <cols>
    <col min="1" max="6" width="10.6640625" customWidth="1"/>
  </cols>
  <sheetData>
    <row r="1" spans="1:5" ht="14.4">
      <c r="A1" s="311">
        <f>'Calculador Selectivo'!B19</f>
        <v>203.2</v>
      </c>
    </row>
    <row r="2" spans="1:5" ht="14.4">
      <c r="A2">
        <f>SUM(E2:E7)</f>
        <v>1.00576</v>
      </c>
      <c r="B2" s="312" t="s">
        <v>685</v>
      </c>
      <c r="C2">
        <v>1.8</v>
      </c>
      <c r="D2">
        <v>0.15</v>
      </c>
      <c r="E2">
        <f>IF('Calculador Selectivo'!$B$18="ZD1",((C2*$A$1)/1000)+D2*2,0)</f>
        <v>0</v>
      </c>
    </row>
    <row r="3" spans="1:5" ht="14.4">
      <c r="B3" s="312" t="s">
        <v>61</v>
      </c>
      <c r="C3">
        <v>1.8</v>
      </c>
      <c r="D3">
        <v>0.32</v>
      </c>
      <c r="E3">
        <f>IF('Calculador Selectivo'!$B$18="ZD2",((C3*$A$1)/1000)+D3*2,0)</f>
        <v>1.00576</v>
      </c>
    </row>
    <row r="4" spans="1:5" ht="14.4">
      <c r="B4" s="312" t="s">
        <v>686</v>
      </c>
      <c r="C4">
        <v>1.83</v>
      </c>
      <c r="D4">
        <v>0.56999999999999995</v>
      </c>
      <c r="E4">
        <f>IF('Calculador Selectivo'!$B$18="ZD3",((C4*$A$1)/1000)+D4*2,0)</f>
        <v>0</v>
      </c>
    </row>
    <row r="5" spans="1:5" ht="14.4">
      <c r="B5" s="312" t="s">
        <v>687</v>
      </c>
      <c r="C5">
        <v>1.83</v>
      </c>
      <c r="D5">
        <v>0.76</v>
      </c>
      <c r="E5">
        <f>IF('Calculador Selectivo'!$B$18="ZD4",((C5*$A$1)/1000)+D5*2,0)</f>
        <v>0</v>
      </c>
    </row>
    <row r="6" spans="1:5" ht="14.4">
      <c r="B6" s="312" t="s">
        <v>688</v>
      </c>
      <c r="E6">
        <f>IF('Calculador Selectivo'!$B$18="ZD5",((($A$1+136.5)*82)/1000)*(15.262/1000),0)</f>
        <v>0</v>
      </c>
    </row>
    <row r="7" spans="1:5" ht="14.4">
      <c r="B7" s="312" t="s">
        <v>689</v>
      </c>
      <c r="E7">
        <f>IF('Calculador Selectivo'!$B$18="ZD6",((($A$1+136.5)*82)/1000)*(15.262/1000)*2,0)</f>
        <v>0</v>
      </c>
    </row>
    <row r="8" spans="1:5" ht="14.4"/>
    <row r="9" spans="1:5" ht="14.4"/>
    <row r="10" spans="1:5" ht="14.4"/>
    <row r="11" spans="1:5" ht="14.4"/>
    <row r="12" spans="1:5" ht="14.4"/>
    <row r="13" spans="1:5" ht="14.4"/>
    <row r="14" spans="1:5" ht="14.4"/>
    <row r="15" spans="1:5" ht="14.4"/>
    <row r="16" spans="1:5" ht="14.4"/>
    <row r="17" ht="14.4"/>
    <row r="18" ht="14.4"/>
    <row r="19" ht="14.4"/>
    <row r="20" ht="14.4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H1000"/>
  <sheetViews>
    <sheetView workbookViewId="0"/>
  </sheetViews>
  <sheetFormatPr baseColWidth="10" defaultColWidth="14.44140625" defaultRowHeight="15" customHeight="1"/>
  <cols>
    <col min="1" max="8" width="10.6640625" customWidth="1"/>
  </cols>
  <sheetData>
    <row r="1" spans="1:8" ht="14.4"/>
    <row r="2" spans="1:8" ht="14.4">
      <c r="A2" t="s">
        <v>690</v>
      </c>
      <c r="B2" s="313">
        <f>'Calculador Selectivo'!Q5</f>
        <v>220</v>
      </c>
    </row>
    <row r="3" spans="1:8" ht="14.4">
      <c r="A3" t="s">
        <v>691</v>
      </c>
      <c r="B3" s="311">
        <f>'Calculador Selectivo'!Q6</f>
        <v>0</v>
      </c>
    </row>
    <row r="4" spans="1:8" ht="14.4">
      <c r="A4" t="s">
        <v>692</v>
      </c>
      <c r="B4">
        <f>'Calculador Selectivo'!Q7</f>
        <v>20</v>
      </c>
    </row>
    <row r="5" spans="1:8" ht="14.4">
      <c r="A5" t="s">
        <v>693</v>
      </c>
      <c r="B5">
        <f>'Calculador Selectivo'!Q8</f>
        <v>19</v>
      </c>
    </row>
    <row r="6" spans="1:8" ht="14.4"/>
    <row r="7" spans="1:8" ht="14.4">
      <c r="B7" s="1183" t="s">
        <v>694</v>
      </c>
      <c r="C7" s="1110"/>
      <c r="F7" s="1183" t="s">
        <v>32</v>
      </c>
      <c r="G7" s="1110"/>
    </row>
    <row r="8" spans="1:8" ht="14.4">
      <c r="A8" t="s">
        <v>693</v>
      </c>
      <c r="B8" t="s">
        <v>690</v>
      </c>
      <c r="C8" t="s">
        <v>691</v>
      </c>
      <c r="D8" t="s">
        <v>23</v>
      </c>
      <c r="E8" t="s">
        <v>695</v>
      </c>
      <c r="F8">
        <v>19</v>
      </c>
      <c r="G8">
        <v>41</v>
      </c>
    </row>
    <row r="9" spans="1:8" ht="14.4">
      <c r="A9">
        <v>19</v>
      </c>
      <c r="B9">
        <f>(B2+53)/1000</f>
        <v>0.27300000000000002</v>
      </c>
      <c r="C9">
        <f>(B3-55)/1000</f>
        <v>-5.5E-2</v>
      </c>
      <c r="D9">
        <v>14</v>
      </c>
      <c r="E9">
        <v>15.26</v>
      </c>
      <c r="F9">
        <f>IF($B$4=D9,$B$9*$C$9*E9,0)</f>
        <v>0</v>
      </c>
      <c r="G9">
        <f>IF($B$4=D9,$B$10*$C$10*E9,0)</f>
        <v>0</v>
      </c>
    </row>
    <row r="10" spans="1:8" ht="14.4">
      <c r="A10">
        <v>41</v>
      </c>
      <c r="B10">
        <f>(B2+95)/1000</f>
        <v>0.315</v>
      </c>
      <c r="C10">
        <f>(B3-93)/1000</f>
        <v>-9.2999999999999999E-2</v>
      </c>
      <c r="D10">
        <v>18</v>
      </c>
      <c r="E10">
        <v>9.76</v>
      </c>
      <c r="F10">
        <f>IF($B$4=D10,$B$9*$C$9*E10,0)</f>
        <v>0</v>
      </c>
      <c r="G10">
        <f>IF($B$4=D10,$B$10*$C$10*E10,0)</f>
        <v>0</v>
      </c>
    </row>
    <row r="11" spans="1:8" ht="14.4">
      <c r="D11">
        <v>20</v>
      </c>
      <c r="E11">
        <v>7.32</v>
      </c>
      <c r="F11">
        <f>IF($B$4=D11,$B$9*$C$9*E11,0)</f>
        <v>-0.1099098</v>
      </c>
      <c r="G11">
        <f>IF($B$4=D11,$B$10*$C$10*E11,0)</f>
        <v>-0.21443940000000003</v>
      </c>
    </row>
    <row r="12" spans="1:8" ht="14.4">
      <c r="D12">
        <v>22</v>
      </c>
      <c r="E12">
        <v>6.1</v>
      </c>
      <c r="F12">
        <f>IF($B$4=D12,$B$9*$C$9*E12,0)</f>
        <v>0</v>
      </c>
      <c r="G12">
        <f>IF($B$4=D12,$B$10*$C$10*E12,0)</f>
        <v>0</v>
      </c>
    </row>
    <row r="13" spans="1:8" ht="14.4">
      <c r="F13">
        <f>IF(B5=A9,SUM(F9:F12),0)</f>
        <v>-0.1099098</v>
      </c>
      <c r="G13">
        <f>IF(B5=A10,SUM(G9:G12),0)</f>
        <v>0</v>
      </c>
      <c r="H13">
        <f>SUM(F13:G13)</f>
        <v>-0.1099098</v>
      </c>
    </row>
    <row r="14" spans="1:8" ht="14.4">
      <c r="C14">
        <f>C9*1000</f>
        <v>-55</v>
      </c>
      <c r="D14">
        <f>IF(B5=A9,C14,0)</f>
        <v>-55</v>
      </c>
    </row>
    <row r="15" spans="1:8" ht="14.4">
      <c r="C15">
        <f>+C10*1000</f>
        <v>-93</v>
      </c>
      <c r="D15">
        <f>IF(B5=A10,C15,0)</f>
        <v>0</v>
      </c>
    </row>
    <row r="16" spans="1:8" ht="14.4">
      <c r="C16" s="314" t="s">
        <v>696</v>
      </c>
      <c r="D16">
        <f>SUM(D14:D15)</f>
        <v>-55</v>
      </c>
    </row>
    <row r="17" ht="14.4"/>
    <row r="18" ht="14.4"/>
    <row r="19" ht="14.4"/>
    <row r="20" ht="14.4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7:C7"/>
    <mergeCell ref="F7:G7"/>
  </mergeCells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L1000"/>
  <sheetViews>
    <sheetView workbookViewId="0"/>
  </sheetViews>
  <sheetFormatPr baseColWidth="10" defaultColWidth="14.44140625" defaultRowHeight="15" customHeight="1"/>
  <cols>
    <col min="1" max="12" width="10.6640625" customWidth="1"/>
  </cols>
  <sheetData>
    <row r="1" spans="1:12" ht="14.4"/>
    <row r="2" spans="1:12" ht="14.4"/>
    <row r="3" spans="1:12" ht="14.4">
      <c r="A3" t="s">
        <v>697</v>
      </c>
      <c r="C3">
        <v>3</v>
      </c>
      <c r="F3">
        <v>14</v>
      </c>
      <c r="G3">
        <v>7.4700000000000003E-2</v>
      </c>
      <c r="I3">
        <v>1</v>
      </c>
      <c r="K3">
        <v>5</v>
      </c>
      <c r="L3" s="315" t="e">
        <f>'[2]PRECIO MALLAS'!$B$15*1.05</f>
        <v>#REF!</v>
      </c>
    </row>
    <row r="4" spans="1:12" ht="14.4">
      <c r="A4" t="s">
        <v>698</v>
      </c>
      <c r="C4">
        <v>4</v>
      </c>
      <c r="F4">
        <v>15</v>
      </c>
      <c r="G4">
        <v>6.7299999999999999E-2</v>
      </c>
      <c r="I4">
        <v>2</v>
      </c>
      <c r="K4">
        <v>10</v>
      </c>
      <c r="L4" s="315" t="e">
        <f>'[2]PRECIO MALLAS'!$B$15*1.1</f>
        <v>#REF!</v>
      </c>
    </row>
    <row r="5" spans="1:12" ht="14.4">
      <c r="A5" t="s">
        <v>699</v>
      </c>
      <c r="C5">
        <v>5</v>
      </c>
      <c r="F5">
        <v>16</v>
      </c>
      <c r="G5">
        <v>5.9799999999999999E-2</v>
      </c>
      <c r="I5">
        <v>3</v>
      </c>
      <c r="K5">
        <v>15</v>
      </c>
      <c r="L5" s="315" t="e">
        <f>'[2]PRECIO MALLAS'!$B$15*1.15</f>
        <v>#REF!</v>
      </c>
    </row>
    <row r="6" spans="1:12" ht="14.4">
      <c r="A6">
        <v>7</v>
      </c>
      <c r="I6">
        <v>4</v>
      </c>
      <c r="K6">
        <v>20</v>
      </c>
      <c r="L6" s="315" t="e">
        <f>'[2]PRECIO MALLAS'!$B$15*1.2</f>
        <v>#REF!</v>
      </c>
    </row>
    <row r="7" spans="1:12" ht="14.4">
      <c r="K7">
        <v>25</v>
      </c>
      <c r="L7" s="315" t="e">
        <f>'[2]PRECIO MALLAS'!$B$15*1.25</f>
        <v>#REF!</v>
      </c>
    </row>
    <row r="8" spans="1:12" ht="14.4">
      <c r="K8">
        <v>30</v>
      </c>
      <c r="L8" s="315" t="e">
        <f>'[2]PRECIO MALLAS'!$B$15*1.3</f>
        <v>#REF!</v>
      </c>
    </row>
    <row r="9" spans="1:12" ht="14.4">
      <c r="K9">
        <v>35</v>
      </c>
      <c r="L9" s="315" t="e">
        <f>'[2]PRECIO MALLAS'!$B$15*1.35</f>
        <v>#REF!</v>
      </c>
    </row>
    <row r="10" spans="1:12" ht="14.4">
      <c r="K10">
        <v>40</v>
      </c>
      <c r="L10" s="315" t="e">
        <f>'[2]PRECIO MALLAS'!$B$15*1.4</f>
        <v>#REF!</v>
      </c>
    </row>
    <row r="11" spans="1:12" ht="14.4">
      <c r="K11">
        <v>50</v>
      </c>
      <c r="L11" s="315" t="e">
        <f>'[2]PRECIO MALLAS'!$B$15*1.5</f>
        <v>#REF!</v>
      </c>
    </row>
    <row r="12" spans="1:12" ht="14.4">
      <c r="C12" t="s">
        <v>700</v>
      </c>
      <c r="F12" t="s">
        <v>701</v>
      </c>
    </row>
    <row r="13" spans="1:12" ht="14.4">
      <c r="C13">
        <f>'Calculador Selectivo'!H7/25.4</f>
        <v>95.999999999999986</v>
      </c>
      <c r="D13">
        <f>C13/'Calculador Selectivo'!N7</f>
        <v>47.999999999999993</v>
      </c>
      <c r="E13" t="b">
        <f>ISEVEN(D13)</f>
        <v>1</v>
      </c>
      <c r="F13">
        <f>ROUNDUP(D13,0)</f>
        <v>48</v>
      </c>
      <c r="H13">
        <f>+F13-2</f>
        <v>46</v>
      </c>
    </row>
    <row r="14" spans="1:12" ht="14.4">
      <c r="C14">
        <f>'Calculador Selectivo'!N6/25.4</f>
        <v>0</v>
      </c>
      <c r="F14">
        <f>ROUNDUP(C14,0)</f>
        <v>0</v>
      </c>
    </row>
    <row r="15" spans="1:12" ht="14.4"/>
    <row r="16" spans="1:12" ht="14.4"/>
    <row r="17" spans="1:11" ht="14.4">
      <c r="E17" s="316"/>
      <c r="F17" s="316"/>
      <c r="G17" s="316"/>
      <c r="H17" s="316"/>
      <c r="I17" s="316"/>
      <c r="J17" s="316"/>
      <c r="K17" s="316"/>
    </row>
    <row r="18" spans="1:11" ht="14.4">
      <c r="E18" s="1185" t="s">
        <v>702</v>
      </c>
      <c r="F18" s="1112"/>
      <c r="G18" s="1113"/>
      <c r="H18" s="316"/>
      <c r="I18" s="316"/>
      <c r="J18" s="316">
        <f>'Calculador Selectivo'!K11/1000</f>
        <v>0.30479999999999996</v>
      </c>
      <c r="K18" s="316">
        <f>IF(J18&gt;4,3,2)</f>
        <v>2</v>
      </c>
    </row>
    <row r="19" spans="1:11" ht="14.4">
      <c r="A19" s="1186" t="s">
        <v>703</v>
      </c>
      <c r="B19" s="1112"/>
      <c r="C19" s="1113"/>
      <c r="E19" s="316">
        <f>IF('Calculador Selectivo'!K8=C21,1,0)</f>
        <v>0</v>
      </c>
      <c r="F19" s="316">
        <v>6.7</v>
      </c>
      <c r="G19" s="316">
        <f>F19*E19</f>
        <v>0</v>
      </c>
      <c r="H19" s="316"/>
      <c r="I19" s="316"/>
      <c r="J19" s="316"/>
      <c r="K19" s="316">
        <f>IF(K18=2,0,1)</f>
        <v>0</v>
      </c>
    </row>
    <row r="20" spans="1:11" ht="14.4">
      <c r="A20" s="317">
        <v>1</v>
      </c>
      <c r="B20" s="317"/>
      <c r="C20" s="317" t="s">
        <v>35</v>
      </c>
      <c r="E20" s="316">
        <f>IF('Calculador Selectivo'!K8=C20,1,0)</f>
        <v>1</v>
      </c>
      <c r="F20" s="316">
        <v>9.1999999999999993</v>
      </c>
      <c r="G20" s="316">
        <f>+E20*F20</f>
        <v>9.1999999999999993</v>
      </c>
      <c r="H20" s="316"/>
      <c r="I20" s="316"/>
      <c r="J20" s="316"/>
      <c r="K20" s="316"/>
    </row>
    <row r="21" spans="1:11" ht="15.75" customHeight="1">
      <c r="A21" s="317">
        <v>2</v>
      </c>
      <c r="B21" s="317"/>
      <c r="C21" s="317" t="s">
        <v>704</v>
      </c>
      <c r="E21" s="316"/>
      <c r="F21" s="316"/>
      <c r="G21" s="316">
        <f>SUM(G19:G20)</f>
        <v>9.1999999999999993</v>
      </c>
      <c r="H21" s="316"/>
      <c r="I21" s="316"/>
      <c r="J21" s="316"/>
      <c r="K21" s="316"/>
    </row>
    <row r="22" spans="1:11" ht="15.75" customHeight="1"/>
    <row r="23" spans="1:11" ht="15.75" customHeight="1"/>
    <row r="24" spans="1:11" ht="15.75" customHeight="1">
      <c r="A24" s="1187" t="s">
        <v>155</v>
      </c>
      <c r="B24" s="1112"/>
      <c r="C24" s="1112"/>
      <c r="D24" s="1112"/>
      <c r="E24" s="1112"/>
      <c r="F24" s="1113"/>
      <c r="G24" s="318"/>
      <c r="H24" s="318"/>
      <c r="I24" s="318"/>
    </row>
    <row r="25" spans="1:11" ht="15.75" customHeight="1">
      <c r="A25" s="318"/>
      <c r="B25" s="318"/>
      <c r="C25" s="318" t="s">
        <v>705</v>
      </c>
      <c r="D25" s="318" t="s">
        <v>145</v>
      </c>
      <c r="E25" s="318" t="s">
        <v>706</v>
      </c>
      <c r="F25" s="318"/>
      <c r="G25" s="318"/>
      <c r="H25" s="318"/>
      <c r="I25" s="318"/>
    </row>
    <row r="26" spans="1:11" ht="15.75" customHeight="1">
      <c r="A26" s="318" t="s">
        <v>62</v>
      </c>
      <c r="B26" s="318"/>
      <c r="C26" s="319">
        <f>'Calculador Selectivo'!E19-30*2-3</f>
        <v>-63</v>
      </c>
      <c r="D26" s="318">
        <f>(C26/1000)*0.151*15.262</f>
        <v>-0.14518740600000002</v>
      </c>
      <c r="E26" s="318"/>
      <c r="F26" s="318">
        <f>+D26+E26*2</f>
        <v>-0.14518740600000002</v>
      </c>
      <c r="G26" s="318">
        <f>IF('Calculador Selectivo'!E18=Datos!A26,1,0)</f>
        <v>1</v>
      </c>
      <c r="H26" s="318">
        <f>G26*F26</f>
        <v>-0.14518740600000002</v>
      </c>
      <c r="I26" s="318">
        <f>3*G26</f>
        <v>3</v>
      </c>
    </row>
    <row r="27" spans="1:11" ht="15.75" customHeight="1">
      <c r="A27" s="318" t="s">
        <v>707</v>
      </c>
      <c r="B27" s="318"/>
      <c r="C27" s="319">
        <f>'Calculador Selectivo'!E19-113</f>
        <v>-113</v>
      </c>
      <c r="D27" s="318">
        <f>C27*2.46/1000</f>
        <v>-0.27798</v>
      </c>
      <c r="E27" s="318">
        <v>0.38</v>
      </c>
      <c r="F27" s="318">
        <f>+D27+E27*2</f>
        <v>0.48202</v>
      </c>
      <c r="G27" s="318">
        <f>IF('Calculador Selectivo'!E18=Datos!A27,1,0)</f>
        <v>0</v>
      </c>
      <c r="H27" s="318">
        <f>G27*F27</f>
        <v>0</v>
      </c>
      <c r="I27" s="318"/>
    </row>
    <row r="28" spans="1:11" ht="15.75" customHeight="1">
      <c r="A28" s="318" t="s">
        <v>708</v>
      </c>
      <c r="B28" s="318"/>
      <c r="C28" s="319">
        <f>'Calculador Selectivo'!E19-113</f>
        <v>-113</v>
      </c>
      <c r="D28" s="318">
        <f>C28*2.81/1000</f>
        <v>-0.31753000000000003</v>
      </c>
      <c r="E28" s="318">
        <v>0.38</v>
      </c>
      <c r="F28" s="318">
        <f>+D28+E28*2</f>
        <v>0.44246999999999997</v>
      </c>
      <c r="G28" s="318">
        <f>IF('Calculador Selectivo'!E18=Datos!A28,1,0)</f>
        <v>0</v>
      </c>
      <c r="H28" s="318">
        <f>G28*F28</f>
        <v>0</v>
      </c>
      <c r="I28" s="318"/>
    </row>
    <row r="29" spans="1:11" ht="15.75" customHeight="1">
      <c r="A29" s="318" t="s">
        <v>709</v>
      </c>
      <c r="B29" s="318"/>
      <c r="C29" s="319">
        <f>'Calculador Selectivo'!E19-113</f>
        <v>-113</v>
      </c>
      <c r="D29" s="318">
        <f>C28*5.21/1000</f>
        <v>-0.58872999999999998</v>
      </c>
      <c r="E29" s="318">
        <v>0.38</v>
      </c>
      <c r="F29" s="318">
        <f>+D29+E29*2</f>
        <v>0.17127000000000003</v>
      </c>
      <c r="G29" s="318">
        <f>IF('Calculador Selectivo'!E18=Datos!A29,1,0)</f>
        <v>0</v>
      </c>
      <c r="H29" s="318">
        <f>G29*F29</f>
        <v>0</v>
      </c>
      <c r="I29" s="318"/>
    </row>
    <row r="30" spans="1:11" ht="15.75" customHeight="1">
      <c r="A30" s="318" t="s">
        <v>710</v>
      </c>
      <c r="B30" s="318"/>
      <c r="C30" s="319">
        <f>'Calculador Selectivo'!E19-30*2-3</f>
        <v>-63</v>
      </c>
      <c r="D30" s="318">
        <f>(C26/1000)*0.128*15.262</f>
        <v>-0.123072768</v>
      </c>
      <c r="E30" s="318"/>
      <c r="F30" s="318">
        <f>+D30+E30*2</f>
        <v>-0.123072768</v>
      </c>
      <c r="G30" s="318">
        <f>IF('Calculador Selectivo'!E18=Datos!A30,1,0)</f>
        <v>0</v>
      </c>
      <c r="H30" s="318">
        <f>G30*F30</f>
        <v>0</v>
      </c>
      <c r="I30" s="318">
        <f>+G30*3</f>
        <v>0</v>
      </c>
    </row>
    <row r="31" spans="1:11" ht="15.75" customHeight="1">
      <c r="A31" s="318"/>
      <c r="B31" s="318"/>
      <c r="C31" s="318"/>
      <c r="D31" s="318"/>
      <c r="E31" s="318"/>
      <c r="F31" s="318"/>
      <c r="G31" s="318"/>
      <c r="H31" s="318">
        <f>SUM(H26:H30)</f>
        <v>-0.14518740600000002</v>
      </c>
      <c r="I31" s="318">
        <f>SUM(I26:I30)</f>
        <v>3</v>
      </c>
    </row>
    <row r="32" spans="1:11" ht="15.75" customHeight="1"/>
    <row r="33" spans="1:6" ht="15.75" customHeight="1"/>
    <row r="34" spans="1:6" ht="15.75" customHeight="1">
      <c r="A34" s="1188" t="s">
        <v>711</v>
      </c>
      <c r="B34" s="1112"/>
      <c r="C34" s="1112"/>
      <c r="D34" s="1112"/>
      <c r="E34" s="1112"/>
      <c r="F34" s="1113"/>
    </row>
    <row r="35" spans="1:6" ht="15.75" customHeight="1">
      <c r="A35" s="320"/>
      <c r="B35" s="320"/>
      <c r="C35" s="320"/>
      <c r="D35" s="320"/>
      <c r="E35" s="320"/>
      <c r="F35" s="320"/>
    </row>
    <row r="36" spans="1:6" ht="15.75" customHeight="1">
      <c r="A36" s="321">
        <v>2</v>
      </c>
      <c r="B36" s="322"/>
      <c r="C36" s="1184" t="s">
        <v>132</v>
      </c>
      <c r="D36" s="1108"/>
      <c r="E36" s="323">
        <f>0.049*0.074*21.367</f>
        <v>7.7476742000000001E-2</v>
      </c>
      <c r="F36" s="320">
        <f>+E36*A36</f>
        <v>0.154953484</v>
      </c>
    </row>
    <row r="37" spans="1:6" ht="15.75" customHeight="1">
      <c r="A37" s="321">
        <v>2</v>
      </c>
      <c r="B37" s="322"/>
      <c r="C37" s="1184" t="s">
        <v>132</v>
      </c>
      <c r="D37" s="1108"/>
      <c r="E37" s="324">
        <f>0.04*0.2*36.628</f>
        <v>0.29302400000000001</v>
      </c>
      <c r="F37" s="320">
        <f>+E37*A37</f>
        <v>0.58604800000000001</v>
      </c>
    </row>
    <row r="38" spans="1:6" ht="15.75" customHeight="1">
      <c r="A38" s="321">
        <v>2</v>
      </c>
      <c r="B38" s="325">
        <f>+'Calculador Selectivo'!H18</f>
        <v>2438.3999999999996</v>
      </c>
      <c r="C38" s="1184" t="s">
        <v>132</v>
      </c>
      <c r="D38" s="1108"/>
      <c r="E38" s="324">
        <f>B38/1000*1.8</f>
        <v>4.3891199999999992</v>
      </c>
      <c r="F38" s="320">
        <f>+E38*A38</f>
        <v>8.7782399999999985</v>
      </c>
    </row>
    <row r="39" spans="1:6" ht="15.75" customHeight="1">
      <c r="A39" s="321">
        <v>1</v>
      </c>
      <c r="B39" s="325">
        <f>+'Calculador Selectivo'!H19+40-3*2</f>
        <v>110.2</v>
      </c>
      <c r="C39" s="326" t="s">
        <v>712</v>
      </c>
      <c r="D39" s="327">
        <f>B39/25.4</f>
        <v>4.3385826771653546</v>
      </c>
      <c r="E39" s="324">
        <f>+B39*3.52/1000</f>
        <v>0.38790399999999997</v>
      </c>
      <c r="F39" s="320">
        <f>+E39*A39</f>
        <v>0.38790399999999997</v>
      </c>
    </row>
    <row r="40" spans="1:6" ht="15.75" customHeight="1">
      <c r="A40" s="320"/>
      <c r="B40" s="320"/>
      <c r="C40" s="320"/>
      <c r="D40" s="320"/>
      <c r="E40" s="328"/>
      <c r="F40" s="320">
        <f>SUM(F36:F39)</f>
        <v>9.9071454839999991</v>
      </c>
    </row>
    <row r="41" spans="1:6" ht="15.75" customHeight="1"/>
    <row r="42" spans="1:6" ht="15.75" customHeight="1"/>
    <row r="43" spans="1:6" ht="15.75" customHeight="1"/>
    <row r="44" spans="1:6" ht="15.75" customHeight="1"/>
    <row r="45" spans="1:6" ht="15.75" customHeight="1"/>
    <row r="46" spans="1:6" ht="15.75" customHeight="1"/>
    <row r="47" spans="1:6" ht="15.75" customHeight="1"/>
    <row r="48" spans="1:6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C37:D37"/>
    <mergeCell ref="C38:D38"/>
    <mergeCell ref="E18:G18"/>
    <mergeCell ref="A19:C19"/>
    <mergeCell ref="A24:F24"/>
    <mergeCell ref="A34:F34"/>
    <mergeCell ref="C36:D36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Distanciadores (2)</vt:lpstr>
      <vt:lpstr>Datos (2)</vt:lpstr>
      <vt:lpstr>Cálculo Drive Thru</vt:lpstr>
      <vt:lpstr>Marco de Lámina con Refuerzo</vt:lpstr>
      <vt:lpstr>Marco Estructural (2)</vt:lpstr>
      <vt:lpstr>Intro</vt:lpstr>
      <vt:lpstr>Calculador Selectivo</vt:lpstr>
      <vt:lpstr>Cotizador Selectivo</vt:lpstr>
      <vt:lpstr>Dibujos</vt:lpstr>
      <vt:lpstr>Vigas (2)</vt:lpstr>
      <vt:lpstr>Pesos</vt:lpstr>
      <vt:lpstr>Distribuidores</vt:lpstr>
      <vt:lpstr>CalEstant</vt:lpstr>
      <vt:lpstr>Calculos</vt:lpstr>
      <vt:lpstr>Marco Estructural</vt:lpstr>
      <vt:lpstr>Vigas</vt:lpstr>
      <vt:lpstr>Distanciadores</vt:lpstr>
      <vt:lpstr>Panel</vt:lpstr>
      <vt:lpstr>Datos</vt:lpstr>
      <vt:lpstr>'Cálculo Drive Thru'!Área_de_impresión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Castañeda</dc:creator>
  <cp:lastModifiedBy>Paulo Chávez</cp:lastModifiedBy>
  <cp:lastPrinted>2023-06-06T19:31:28Z</cp:lastPrinted>
  <dcterms:created xsi:type="dcterms:W3CDTF">2022-01-25T18:24:31Z</dcterms:created>
  <dcterms:modified xsi:type="dcterms:W3CDTF">2026-05-29T16:14:00Z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2024-09-02T18:50:11Z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012456c3-e5d9-4a2f-8364-c76158f2c9ce</vt:lpwstr>
  </property>
  <property fmtid="{D5CDD505-2E9C-101B-9397-08002B2CF9AE}" pid="7" name="MSIP_Label_defa4170-0d19-0005-0004-bc88714345d2_ActionId">
    <vt:lpwstr>30392f2f-31fc-4244-847d-8734ff4841b8</vt:lpwstr>
  </property>
  <property fmtid="{D5CDD505-2E9C-101B-9397-08002B2CF9AE}" pid="8" name="MSIP_Label_defa4170-0d19-0005-0004-bc88714345d2_ContentBits">
    <vt:lpwstr>0</vt:lpwstr>
  </property>
</Properties>
</file>