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8.xml" ContentType="application/vnd.openxmlformats-officedocument.spreadsheetml.pivot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dwin.paz\Documents\Tablero_Seguimient_Andje\"/>
    </mc:Choice>
  </mc:AlternateContent>
  <xr:revisionPtr revIDLastSave="0" documentId="13_ncr:1_{9E82FB0C-DDC0-47B6-898B-BBE13AB5F078}" xr6:coauthVersionLast="47" xr6:coauthVersionMax="47" xr10:uidLastSave="{00000000-0000-0000-0000-000000000000}"/>
  <bookViews>
    <workbookView xWindow="-120" yWindow="-120" windowWidth="29040" windowHeight="15720" firstSheet="4" activeTab="5" xr2:uid="{00000000-000D-0000-FFFF-FFFF00000000}"/>
  </bookViews>
  <sheets>
    <sheet name="Hoja3" sheetId="47" state="hidden" r:id="rId1"/>
    <sheet name="Tempo" sheetId="46" state="hidden" r:id="rId2"/>
    <sheet name="Seguimiento19-11-2024" sheetId="62" r:id="rId3"/>
    <sheet name="BID-EKOGUI" sheetId="59" r:id="rId4"/>
    <sheet name="VigFuturas" sheetId="61" r:id="rId5"/>
    <sheet name="Contratos 2024" sheetId="1" r:id="rId6"/>
    <sheet name="Hoja2" sheetId="58" r:id="rId7"/>
    <sheet name="Cuadro 31 de julio" sheetId="56" r:id="rId8"/>
    <sheet name="Compromisos" sheetId="57" r:id="rId9"/>
    <sheet name="Cuadro 9 Jul" sheetId="51" r:id="rId10"/>
    <sheet name="personas" sheetId="54" r:id="rId11"/>
    <sheet name="CDP_PTES" sheetId="53" r:id="rId12"/>
    <sheet name="LiberacionesRP" sheetId="30" r:id="rId13"/>
    <sheet name="Todo" sheetId="45" r:id="rId14"/>
    <sheet name="Gráfico" sheetId="28" r:id="rId15"/>
    <sheet name="TablaDinamica" sheetId="29" state="hidden" r:id="rId16"/>
    <sheet name="Consolidado" sheetId="35" r:id="rId17"/>
    <sheet name="Calculo%Financiero" sheetId="31" r:id="rId18"/>
    <sheet name="ContratosInclAugus26-jun" sheetId="48" r:id="rId19"/>
    <sheet name="Cuadros 02 Abril" sheetId="33" r:id="rId20"/>
    <sheet name="Tempo-falta" sheetId="37" r:id="rId21"/>
    <sheet name="Tempo-FaltaDinamica" sheetId="38" r:id="rId22"/>
    <sheet name="Hoja1" sheetId="39" r:id="rId23"/>
    <sheet name="Cuadro PAA" sheetId="41" r:id="rId24"/>
    <sheet name="segun PAA" sheetId="40" r:id="rId25"/>
    <sheet name="Cto_PAA2024" sheetId="42" r:id="rId26"/>
    <sheet name="TVEC" sheetId="27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_xlnm._FilterDatabase" localSheetId="3" hidden="1">'BID-EKOGUI'!$A$7:$AX$62</definedName>
    <definedName name="_xlnm._FilterDatabase" localSheetId="11" hidden="1">CDP_PTES!$A$1:$AV$11</definedName>
    <definedName name="_xlnm._FilterDatabase" localSheetId="5" hidden="1">'Contratos 2024'!$A$7:$AX$63</definedName>
    <definedName name="_xlnm._FilterDatabase" localSheetId="18" hidden="1">'ContratosInclAugus26-jun'!$A$1:$AT$55</definedName>
    <definedName name="_xlnm._FilterDatabase" localSheetId="25" hidden="1">Cto_PAA2024!$A$1:$AS$46</definedName>
    <definedName name="_xlnm._FilterDatabase" localSheetId="10" hidden="1">personas!$A$3:$E$23</definedName>
    <definedName name="_xlnm._FilterDatabase" localSheetId="2" hidden="1">'Seguimiento19-11-2024'!$A$7:$AW$63</definedName>
    <definedName name="_xlnm._FilterDatabase" localSheetId="24" hidden="1">'segun PAA'!$A$1:$AS$39</definedName>
    <definedName name="_xlnm._FilterDatabase" localSheetId="1" hidden="1">Tempo!$A$1:$AT$44</definedName>
    <definedName name="_xlnm._FilterDatabase" localSheetId="20" hidden="1">'Tempo-falta'!$A$1:$AS$29</definedName>
    <definedName name="_xlnm._FilterDatabase" localSheetId="13" hidden="1">Todo!$A$1:$K$45</definedName>
    <definedName name="_xlnm._FilterDatabase" localSheetId="26" hidden="1">TVEC!$B$2:$O$6</definedName>
    <definedName name="A">#REF!</definedName>
    <definedName name="AFC">[1]BDAFC08!$A$2:$E$14</definedName>
    <definedName name="an">'[2]Anticipo al 2006'!$G$3:$H$6</definedName>
    <definedName name="Apellido">'[3]Plan General'!$C$15:$C$24</definedName>
    <definedName name="_xlnm.Print_Area" localSheetId="14">#REF!</definedName>
    <definedName name="_xlnm.Print_Area" localSheetId="26">#REF!</definedName>
    <definedName name="_xlnm.Print_Area">#REF!</definedName>
    <definedName name="ARP">'[4]Datos Básicos'!$F$9</definedName>
    <definedName name="AT">'[4]Datos Básicos'!$B$6</definedName>
    <definedName name="atc">[5]Parametros!$A$2:$A$9</definedName>
    <definedName name="BD_UC">[6]UC!$A:$IV</definedName>
    <definedName name="CAJA">'[4]Datos Básicos'!$B$11</definedName>
    <definedName name="Cesantia">'[4]Datos Básicos'!$B$19</definedName>
    <definedName name="Comerciales">'[3]Plan General'!$C$15:$AB$24</definedName>
    <definedName name="CREAR">#REF!</definedName>
    <definedName name="ERROR_ANS_CALIDAD">[7]Tipos!$C$2:$C$5</definedName>
    <definedName name="ESAP">'[4]Datos Básicos'!$F$15</definedName>
    <definedName name="ESSTTT">'[4]Datos Básicos'!#REF!</definedName>
    <definedName name="Estado">[8]Parametros!$A$2:$A$9</definedName>
    <definedName name="EXPOR">#REF!</definedName>
    <definedName name="ExportarAExcel">#REF!</definedName>
    <definedName name="FactorVariable">[3]Formuleo!$A$4:$C$8</definedName>
    <definedName name="FonSol1">'[4]Datos Básicos'!$B$26</definedName>
    <definedName name="FonSol2">'[4]Datos Básicos'!$B$27</definedName>
    <definedName name="FonSol3">'[4]Datos Básicos'!$B$28</definedName>
    <definedName name="FonSol4">'[4]Datos Básicos'!$B$29</definedName>
    <definedName name="FonSol5">'[4]Datos Básicos'!$B$30</definedName>
    <definedName name="FonSol6">'[4]Datos Básicos'!$B$31</definedName>
    <definedName name="GAS">[1]BDGAS08!$A$2:$E$3</definedName>
    <definedName name="General">'[3]Plan General'!$A$15:$O$24</definedName>
    <definedName name="ICBF">'[4]Datos Básicos'!$B$10</definedName>
    <definedName name="IND">'[4]Datos Básicos'!$F$16</definedName>
    <definedName name="IntCesantia">'[4]Datos Básicos'!$B$22</definedName>
    <definedName name="K">[9]Tipos!$A$2:$A$12</definedName>
    <definedName name="l">[10]Tipos!$C$2:$C$3</definedName>
    <definedName name="LINEA">[11]Tipos!$E$2:$E$7</definedName>
    <definedName name="lnkContractReferenceLink_0" localSheetId="3">'BID-EKOGUI'!#REF!</definedName>
    <definedName name="lnkContractReferenceLink_0" localSheetId="11">CDP_PTES!#REF!</definedName>
    <definedName name="lnkContractReferenceLink_0" localSheetId="5">'Contratos 2024'!#REF!</definedName>
    <definedName name="lnkContractReferenceLink_0" localSheetId="18">'ContratosInclAugus26-jun'!#REF!</definedName>
    <definedName name="lnkContractReferenceLink_0" localSheetId="25">Cto_PAA2024!#REF!</definedName>
    <definedName name="lnkContractReferenceLink_0" localSheetId="10">personas!#REF!</definedName>
    <definedName name="lnkContractReferenceLink_0" localSheetId="2">'Seguimiento19-11-2024'!#REF!</definedName>
    <definedName name="lnkContractReferenceLink_0" localSheetId="24">'segun PAA'!#REF!</definedName>
    <definedName name="lnkContractReferenceLink_0" localSheetId="1">Tempo!#REF!</definedName>
    <definedName name="lnkContractReferenceLink_0" localSheetId="20">'Tempo-falta'!#REF!</definedName>
    <definedName name="lnkContractReferenceLink_0" localSheetId="13">Todo!#REF!</definedName>
    <definedName name="N">#REF!</definedName>
    <definedName name="NOMBRE">'[4]Datos Básicos'!#REF!</definedName>
    <definedName name="O">[9]Tipos!$E$2:$E$7</definedName>
    <definedName name="ORDINARIA">'[4]Datos Básicos'!#REF!</definedName>
    <definedName name="PensionEmpleado">'[4]Datos Básicos'!$B$16</definedName>
    <definedName name="PensionEmpresa">'[4]Datos Básicos'!$C$16</definedName>
    <definedName name="Prima">'[4]Datos Básicos'!$B$20</definedName>
    <definedName name="PROV">[12]PROVEEDORES!$B$10:$DC$5001</definedName>
    <definedName name="RAVEC" localSheetId="14">#REF!</definedName>
    <definedName name="RAVEC" localSheetId="26">#REF!</definedName>
    <definedName name="RAVEC">#REF!</definedName>
    <definedName name="RECARGO">'[4]Datos Básicos'!#REF!</definedName>
    <definedName name="RET">[1]BDRET08!$A$2:$E$53</definedName>
    <definedName name="SaludEmpleado">'[4]Datos Básicos'!$B$15</definedName>
    <definedName name="SaludEmpresa">'[4]Datos Básicos'!$C$15</definedName>
    <definedName name="SENA">'[4]Datos Básicos'!$B$9</definedName>
    <definedName name="SM">'[4]Datos Básicos'!$B$5</definedName>
    <definedName name="SOLUCION">[11]Tipos!$A$2:$A$11</definedName>
    <definedName name="sonia">#REF!</definedName>
    <definedName name="tab">#REF!</definedName>
    <definedName name="U">[9]Tipos!$A$2:$A$12</definedName>
    <definedName name="UVT">'[4]Datos Básicos'!$F$11</definedName>
    <definedName name="Vacaciones">'[4]Datos Básicos'!$B$21</definedName>
    <definedName name="ValorHora">[4]Calculos!$B$4</definedName>
    <definedName name="zxzx">'[4]Datos Básicos'!#REF!</definedName>
  </definedNames>
  <calcPr calcId="191028"/>
  <pivotCaches>
    <pivotCache cacheId="0" r:id="rId40"/>
    <pivotCache cacheId="1" r:id="rId41"/>
    <pivotCache cacheId="2" r:id="rId42"/>
    <pivotCache cacheId="3" r:id="rId43"/>
    <pivotCache cacheId="4" r:id="rId44"/>
    <pivotCache cacheId="5" r:id="rId45"/>
    <pivotCache cacheId="6" r:id="rId46"/>
    <pivotCache cacheId="7" r:id="rId4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" i="30" l="1"/>
  <c r="U6" i="30" s="1"/>
  <c r="AT63" i="62"/>
  <c r="AS63" i="62"/>
  <c r="AN63" i="62"/>
  <c r="AI63" i="62"/>
  <c r="AT62" i="62"/>
  <c r="AS62" i="62"/>
  <c r="AN62" i="62"/>
  <c r="AI62" i="62"/>
  <c r="AT61" i="62"/>
  <c r="AS61" i="62"/>
  <c r="AN61" i="62"/>
  <c r="AI61" i="62"/>
  <c r="AT60" i="62"/>
  <c r="AS60" i="62"/>
  <c r="AN60" i="62"/>
  <c r="AI60" i="62"/>
  <c r="AT59" i="62"/>
  <c r="AS59" i="62"/>
  <c r="AI59" i="62"/>
  <c r="AT58" i="62"/>
  <c r="AS58" i="62"/>
  <c r="AN58" i="62"/>
  <c r="AI58" i="62"/>
  <c r="AT57" i="62"/>
  <c r="AS57" i="62"/>
  <c r="AN57" i="62"/>
  <c r="AI57" i="62"/>
  <c r="AT56" i="62"/>
  <c r="AS56" i="62"/>
  <c r="AN56" i="62"/>
  <c r="AI56" i="62"/>
  <c r="AT54" i="62"/>
  <c r="AS54" i="62"/>
  <c r="AN54" i="62"/>
  <c r="AI54" i="62"/>
  <c r="AT53" i="62"/>
  <c r="AS53" i="62"/>
  <c r="AN53" i="62"/>
  <c r="AI53" i="62"/>
  <c r="AT52" i="62"/>
  <c r="AS52" i="62"/>
  <c r="AN52" i="62"/>
  <c r="AI52" i="62"/>
  <c r="AT50" i="62"/>
  <c r="AS50" i="62"/>
  <c r="AI50" i="62"/>
  <c r="AN50" i="62" s="1"/>
  <c r="AT49" i="62"/>
  <c r="AS49" i="62"/>
  <c r="AI49" i="62"/>
  <c r="AN49" i="62" s="1"/>
  <c r="AT48" i="62"/>
  <c r="AS48" i="62"/>
  <c r="AN48" i="62"/>
  <c r="AI48" i="62"/>
  <c r="AQ47" i="62"/>
  <c r="AT47" i="62" s="1"/>
  <c r="AN47" i="62"/>
  <c r="AI47" i="62"/>
  <c r="AT46" i="62"/>
  <c r="AS46" i="62"/>
  <c r="AN46" i="62"/>
  <c r="AI46" i="62"/>
  <c r="AS45" i="62"/>
  <c r="AN45" i="62"/>
  <c r="AI45" i="62"/>
  <c r="AS44" i="62"/>
  <c r="AN44" i="62"/>
  <c r="AI44" i="62"/>
  <c r="AT43" i="62"/>
  <c r="AS43" i="62"/>
  <c r="AN43" i="62"/>
  <c r="AI43" i="62"/>
  <c r="AT42" i="62"/>
  <c r="AS42" i="62"/>
  <c r="AN42" i="62"/>
  <c r="AI42" i="62"/>
  <c r="AT41" i="62"/>
  <c r="AS41" i="62"/>
  <c r="AN41" i="62"/>
  <c r="AI41" i="62"/>
  <c r="AT40" i="62"/>
  <c r="AS40" i="62"/>
  <c r="AN40" i="62"/>
  <c r="AI40" i="62"/>
  <c r="AT39" i="62"/>
  <c r="AS39" i="62"/>
  <c r="AN39" i="62"/>
  <c r="AI39" i="62"/>
  <c r="AT38" i="62"/>
  <c r="AS38" i="62"/>
  <c r="AN38" i="62"/>
  <c r="AI38" i="62"/>
  <c r="AN37" i="62"/>
  <c r="AI37" i="62"/>
  <c r="AK37" i="62" s="1"/>
  <c r="AN36" i="62"/>
  <c r="AI36" i="62"/>
  <c r="AK36" i="62" s="1"/>
  <c r="AQ35" i="62"/>
  <c r="AS35" i="62" s="1"/>
  <c r="AN35" i="62"/>
  <c r="AI35" i="62"/>
  <c r="AT34" i="62"/>
  <c r="AQ34" i="62"/>
  <c r="AS34" i="62" s="1"/>
  <c r="AM34" i="62"/>
  <c r="AN34" i="62" s="1"/>
  <c r="AI34" i="62"/>
  <c r="AT33" i="62"/>
  <c r="AQ33" i="62"/>
  <c r="AS33" i="62" s="1"/>
  <c r="AN33" i="62"/>
  <c r="AI33" i="62"/>
  <c r="AQ32" i="62"/>
  <c r="AS32" i="62" s="1"/>
  <c r="AN32" i="62"/>
  <c r="AI32" i="62"/>
  <c r="AQ31" i="62"/>
  <c r="AS31" i="62" s="1"/>
  <c r="AN31" i="62"/>
  <c r="AI31" i="62"/>
  <c r="AT30" i="62"/>
  <c r="AS30" i="62"/>
  <c r="AN30" i="62"/>
  <c r="AI30" i="62"/>
  <c r="AT29" i="62"/>
  <c r="AS29" i="62"/>
  <c r="AN29" i="62"/>
  <c r="AI29" i="62"/>
  <c r="AQ28" i="62"/>
  <c r="AT28" i="62" s="1"/>
  <c r="AN28" i="62"/>
  <c r="AI28" i="62"/>
  <c r="AQ27" i="62"/>
  <c r="AT27" i="62" s="1"/>
  <c r="AN27" i="62"/>
  <c r="AI27" i="62"/>
  <c r="AT26" i="62"/>
  <c r="AS26" i="62"/>
  <c r="AN26" i="62"/>
  <c r="AI26" i="62"/>
  <c r="AQ25" i="62"/>
  <c r="AT25" i="62" s="1"/>
  <c r="AN25" i="62"/>
  <c r="AH25" i="62"/>
  <c r="AI25" i="62" s="1"/>
  <c r="AT24" i="62"/>
  <c r="AQ24" i="62"/>
  <c r="AS24" i="62" s="1"/>
  <c r="AN24" i="62"/>
  <c r="AI24" i="62"/>
  <c r="AQ23" i="62"/>
  <c r="AT23" i="62" s="1"/>
  <c r="AN23" i="62"/>
  <c r="AI23" i="62"/>
  <c r="AQ22" i="62"/>
  <c r="AT22" i="62" s="1"/>
  <c r="AN22" i="62"/>
  <c r="AI22" i="62"/>
  <c r="AQ21" i="62"/>
  <c r="AT21" i="62" s="1"/>
  <c r="AN21" i="62"/>
  <c r="AI21" i="62"/>
  <c r="AQ20" i="62"/>
  <c r="AS20" i="62" s="1"/>
  <c r="AN20" i="62"/>
  <c r="AI20" i="62"/>
  <c r="AQ19" i="62"/>
  <c r="AT19" i="62" s="1"/>
  <c r="AN19" i="62"/>
  <c r="AI19" i="62"/>
  <c r="AQ18" i="62"/>
  <c r="AT18" i="62" s="1"/>
  <c r="AN18" i="62"/>
  <c r="AI18" i="62"/>
  <c r="AQ17" i="62"/>
  <c r="AT17" i="62" s="1"/>
  <c r="AN17" i="62"/>
  <c r="AI17" i="62"/>
  <c r="AQ16" i="62"/>
  <c r="AS16" i="62" s="1"/>
  <c r="AN16" i="62"/>
  <c r="AI16" i="62"/>
  <c r="AQ15" i="62"/>
  <c r="AT15" i="62" s="1"/>
  <c r="AN15" i="62"/>
  <c r="AQ14" i="62"/>
  <c r="AS14" i="62" s="1"/>
  <c r="AN14" i="62"/>
  <c r="AK14" i="62"/>
  <c r="AI14" i="62"/>
  <c r="AQ13" i="62"/>
  <c r="AT13" i="62" s="1"/>
  <c r="AN13" i="62"/>
  <c r="AI13" i="62"/>
  <c r="AT12" i="62"/>
  <c r="AQ12" i="62"/>
  <c r="AS12" i="62" s="1"/>
  <c r="AN12" i="62"/>
  <c r="AI12" i="62"/>
  <c r="AT11" i="62"/>
  <c r="AS11" i="62"/>
  <c r="AN11" i="62"/>
  <c r="AI11" i="62"/>
  <c r="AQ10" i="62"/>
  <c r="AT10" i="62" s="1"/>
  <c r="AN10" i="62"/>
  <c r="AI10" i="62"/>
  <c r="AQ9" i="62"/>
  <c r="AS9" i="62" s="1"/>
  <c r="AN9" i="62"/>
  <c r="AI9" i="62"/>
  <c r="AQ8" i="62"/>
  <c r="AS8" i="62" s="1"/>
  <c r="AN8" i="62"/>
  <c r="AI8" i="62"/>
  <c r="AT35" i="62" l="1"/>
  <c r="AT31" i="62"/>
  <c r="AT8" i="62"/>
  <c r="AT20" i="62"/>
  <c r="AT9" i="62"/>
  <c r="AT16" i="62"/>
  <c r="AS47" i="62"/>
  <c r="AS37" i="62"/>
  <c r="AT37" i="62"/>
  <c r="AS36" i="62"/>
  <c r="AT36" i="62"/>
  <c r="AS15" i="62"/>
  <c r="AS19" i="62"/>
  <c r="AS23" i="62"/>
  <c r="AT32" i="62"/>
  <c r="AS28" i="62"/>
  <c r="AS13" i="62"/>
  <c r="AS17" i="62"/>
  <c r="AS21" i="62"/>
  <c r="AS25" i="62"/>
  <c r="AS22" i="62"/>
  <c r="AT14" i="62"/>
  <c r="AS18" i="62"/>
  <c r="AS10" i="62"/>
  <c r="AS27" i="62"/>
  <c r="I19" i="61"/>
  <c r="AU43" i="1" l="1"/>
  <c r="AT43" i="1"/>
  <c r="I12" i="61" l="1"/>
  <c r="AU62" i="59"/>
  <c r="AT62" i="59"/>
  <c r="AO62" i="59"/>
  <c r="AJ62" i="59"/>
  <c r="AU61" i="59"/>
  <c r="AT61" i="59"/>
  <c r="AO61" i="59"/>
  <c r="AJ61" i="59"/>
  <c r="AU60" i="59"/>
  <c r="AT60" i="59"/>
  <c r="AO60" i="59"/>
  <c r="AJ60" i="59"/>
  <c r="AU59" i="59"/>
  <c r="AT59" i="59"/>
  <c r="AO59" i="59"/>
  <c r="AJ59" i="59"/>
  <c r="AU58" i="59"/>
  <c r="AT58" i="59"/>
  <c r="AJ58" i="59"/>
  <c r="AU57" i="59"/>
  <c r="AT57" i="59"/>
  <c r="AO57" i="59"/>
  <c r="AJ57" i="59"/>
  <c r="AU56" i="59"/>
  <c r="AT56" i="59"/>
  <c r="AO56" i="59"/>
  <c r="AJ56" i="59"/>
  <c r="AU55" i="59"/>
  <c r="AT55" i="59"/>
  <c r="AO55" i="59"/>
  <c r="AJ55" i="59"/>
  <c r="AU54" i="59"/>
  <c r="AT54" i="59"/>
  <c r="AO54" i="59"/>
  <c r="AJ54" i="59"/>
  <c r="AU53" i="59"/>
  <c r="AT53" i="59"/>
  <c r="AO53" i="59"/>
  <c r="AJ53" i="59"/>
  <c r="AU52" i="59"/>
  <c r="AT52" i="59"/>
  <c r="AO52" i="59"/>
  <c r="AJ52" i="59"/>
  <c r="AU51" i="59"/>
  <c r="AT51" i="59"/>
  <c r="AO51" i="59"/>
  <c r="AJ51" i="59"/>
  <c r="AU50" i="59"/>
  <c r="AT50" i="59"/>
  <c r="AO50" i="59"/>
  <c r="AJ50" i="59"/>
  <c r="AU49" i="59"/>
  <c r="AT49" i="59"/>
  <c r="AO49" i="59"/>
  <c r="AJ49" i="59"/>
  <c r="AU48" i="59"/>
  <c r="AT48" i="59"/>
  <c r="AO48" i="59"/>
  <c r="AJ48" i="59"/>
  <c r="AU46" i="59"/>
  <c r="AT46" i="59"/>
  <c r="AJ46" i="59"/>
  <c r="AO46" i="59" s="1"/>
  <c r="AU45" i="59"/>
  <c r="AT45" i="59"/>
  <c r="AJ45" i="59"/>
  <c r="AO45" i="59" s="1"/>
  <c r="AU44" i="59"/>
  <c r="AT44" i="59"/>
  <c r="AO44" i="59"/>
  <c r="AJ44" i="59"/>
  <c r="AR43" i="59"/>
  <c r="AU43" i="59" s="1"/>
  <c r="AO43" i="59"/>
  <c r="AJ43" i="59"/>
  <c r="AU42" i="59"/>
  <c r="AT42" i="59"/>
  <c r="AO42" i="59"/>
  <c r="AJ42" i="59"/>
  <c r="AU41" i="59"/>
  <c r="AT41" i="59"/>
  <c r="AO41" i="59"/>
  <c r="AJ41" i="59"/>
  <c r="AU40" i="59"/>
  <c r="AT40" i="59"/>
  <c r="AO40" i="59"/>
  <c r="AJ40" i="59"/>
  <c r="AU39" i="59"/>
  <c r="AT39" i="59"/>
  <c r="AO39" i="59"/>
  <c r="AJ39" i="59"/>
  <c r="AU38" i="59"/>
  <c r="AT38" i="59"/>
  <c r="AO38" i="59"/>
  <c r="AJ38" i="59"/>
  <c r="AO37" i="59"/>
  <c r="AJ37" i="59"/>
  <c r="AL37" i="59" s="1"/>
  <c r="AO36" i="59"/>
  <c r="AJ36" i="59"/>
  <c r="AL36" i="59" s="1"/>
  <c r="AR35" i="59"/>
  <c r="AU35" i="59" s="1"/>
  <c r="AO35" i="59"/>
  <c r="AJ35" i="59"/>
  <c r="AR34" i="59"/>
  <c r="AU34" i="59" s="1"/>
  <c r="AN34" i="59"/>
  <c r="AO34" i="59" s="1"/>
  <c r="AJ34" i="59"/>
  <c r="AR33" i="59"/>
  <c r="AU33" i="59" s="1"/>
  <c r="AO33" i="59"/>
  <c r="AJ33" i="59"/>
  <c r="AR32" i="59"/>
  <c r="AU32" i="59" s="1"/>
  <c r="AO32" i="59"/>
  <c r="AJ32" i="59"/>
  <c r="AR31" i="59"/>
  <c r="AU31" i="59" s="1"/>
  <c r="AO31" i="59"/>
  <c r="AJ31" i="59"/>
  <c r="AU30" i="59"/>
  <c r="AT30" i="59"/>
  <c r="AO30" i="59"/>
  <c r="AJ30" i="59"/>
  <c r="AU29" i="59"/>
  <c r="AT29" i="59"/>
  <c r="AO29" i="59"/>
  <c r="AJ29" i="59"/>
  <c r="AR28" i="59"/>
  <c r="AT28" i="59" s="1"/>
  <c r="AO28" i="59"/>
  <c r="AJ28" i="59"/>
  <c r="AR27" i="59"/>
  <c r="AU27" i="59" s="1"/>
  <c r="AO27" i="59"/>
  <c r="AJ27" i="59"/>
  <c r="AU26" i="59"/>
  <c r="AT26" i="59"/>
  <c r="AO26" i="59"/>
  <c r="AJ26" i="59"/>
  <c r="AR25" i="59"/>
  <c r="AT25" i="59" s="1"/>
  <c r="AO25" i="59"/>
  <c r="AI25" i="59"/>
  <c r="AJ25" i="59" s="1"/>
  <c r="AR24" i="59"/>
  <c r="AU24" i="59" s="1"/>
  <c r="AO24" i="59"/>
  <c r="AJ24" i="59"/>
  <c r="AR23" i="59"/>
  <c r="AU23" i="59" s="1"/>
  <c r="AO23" i="59"/>
  <c r="AJ23" i="59"/>
  <c r="AR22" i="59"/>
  <c r="AT22" i="59" s="1"/>
  <c r="AO22" i="59"/>
  <c r="AJ22" i="59"/>
  <c r="AR21" i="59"/>
  <c r="AU21" i="59" s="1"/>
  <c r="AO21" i="59"/>
  <c r="AJ21" i="59"/>
  <c r="AR20" i="59"/>
  <c r="AU20" i="59" s="1"/>
  <c r="AO20" i="59"/>
  <c r="AJ20" i="59"/>
  <c r="AR19" i="59"/>
  <c r="AT19" i="59" s="1"/>
  <c r="AO19" i="59"/>
  <c r="AJ19" i="59"/>
  <c r="AR18" i="59"/>
  <c r="AT18" i="59" s="1"/>
  <c r="AO18" i="59"/>
  <c r="AJ18" i="59"/>
  <c r="AR17" i="59"/>
  <c r="AU17" i="59" s="1"/>
  <c r="AO17" i="59"/>
  <c r="AJ17" i="59"/>
  <c r="AR16" i="59"/>
  <c r="AU16" i="59" s="1"/>
  <c r="AO16" i="59"/>
  <c r="AJ16" i="59"/>
  <c r="AR15" i="59"/>
  <c r="AU15" i="59" s="1"/>
  <c r="AO15" i="59"/>
  <c r="AR14" i="59"/>
  <c r="AO14" i="59"/>
  <c r="AL14" i="59"/>
  <c r="AT14" i="59" s="1"/>
  <c r="AJ14" i="59"/>
  <c r="AR13" i="59"/>
  <c r="AU13" i="59" s="1"/>
  <c r="AO13" i="59"/>
  <c r="AJ13" i="59"/>
  <c r="AR12" i="59"/>
  <c r="AU12" i="59" s="1"/>
  <c r="AO12" i="59"/>
  <c r="AJ12" i="59"/>
  <c r="AU11" i="59"/>
  <c r="AT11" i="59"/>
  <c r="AO11" i="59"/>
  <c r="AJ11" i="59"/>
  <c r="AR10" i="59"/>
  <c r="AU10" i="59" s="1"/>
  <c r="AO10" i="59"/>
  <c r="AJ10" i="59"/>
  <c r="AR9" i="59"/>
  <c r="AT9" i="59" s="1"/>
  <c r="AO9" i="59"/>
  <c r="AJ9" i="59"/>
  <c r="AR8" i="59"/>
  <c r="AU8" i="59" s="1"/>
  <c r="AO8" i="59"/>
  <c r="AJ8" i="59"/>
  <c r="AO42" i="1"/>
  <c r="AT42" i="1"/>
  <c r="AU42" i="1"/>
  <c r="AJ42" i="1"/>
  <c r="AT24" i="59" l="1"/>
  <c r="AT12" i="59"/>
  <c r="AT33" i="59"/>
  <c r="AT20" i="59"/>
  <c r="AT16" i="59"/>
  <c r="AU28" i="59"/>
  <c r="AU36" i="59"/>
  <c r="AT36" i="59"/>
  <c r="AU37" i="59"/>
  <c r="AT37" i="59"/>
  <c r="AT13" i="59"/>
  <c r="AT21" i="59"/>
  <c r="AU9" i="59"/>
  <c r="AU25" i="59"/>
  <c r="AT34" i="59"/>
  <c r="AU22" i="59"/>
  <c r="AT31" i="59"/>
  <c r="AT35" i="59"/>
  <c r="AT23" i="59"/>
  <c r="AT8" i="59"/>
  <c r="AT17" i="59"/>
  <c r="AT43" i="59"/>
  <c r="AT10" i="59"/>
  <c r="AU18" i="59"/>
  <c r="AU14" i="59"/>
  <c r="AT15" i="59"/>
  <c r="AT27" i="59"/>
  <c r="AU19" i="59"/>
  <c r="AT32" i="59"/>
  <c r="AO41" i="1"/>
  <c r="AJ40" i="1" l="1"/>
  <c r="AR48" i="1"/>
  <c r="G134" i="56"/>
  <c r="G133" i="56"/>
  <c r="G132" i="56"/>
  <c r="G123" i="56"/>
  <c r="G122" i="56"/>
  <c r="G121" i="56"/>
  <c r="G120" i="56"/>
  <c r="G119" i="56"/>
  <c r="AR14" i="1"/>
  <c r="I132" i="56"/>
  <c r="I120" i="56"/>
  <c r="I119" i="56"/>
  <c r="I118" i="56"/>
  <c r="H123" i="56"/>
  <c r="H122" i="56"/>
  <c r="H121" i="56"/>
  <c r="H120" i="56"/>
  <c r="H119" i="56"/>
  <c r="H118" i="56"/>
  <c r="I134" i="56"/>
  <c r="I133" i="56"/>
  <c r="H124" i="56" l="1"/>
  <c r="I124" i="56"/>
  <c r="I135" i="56"/>
  <c r="I137" i="56"/>
  <c r="G118" i="56" l="1"/>
  <c r="AR35" i="1" l="1"/>
  <c r="AR33" i="1"/>
  <c r="AR31" i="1" l="1"/>
  <c r="AR32" i="1"/>
  <c r="AR25" i="1"/>
  <c r="AR24" i="1"/>
  <c r="AR23" i="1"/>
  <c r="AR22" i="1"/>
  <c r="AR21" i="1"/>
  <c r="AR20" i="1"/>
  <c r="AR19" i="1"/>
  <c r="AR18" i="1"/>
  <c r="AR17" i="1"/>
  <c r="AR16" i="1"/>
  <c r="AR15" i="1"/>
  <c r="AR13" i="1"/>
  <c r="AR12" i="1"/>
  <c r="AR10" i="1"/>
  <c r="AR9" i="1"/>
  <c r="AR8" i="1"/>
  <c r="AO8" i="1" l="1"/>
  <c r="AO9" i="1"/>
  <c r="AO10" i="1"/>
  <c r="AO11" i="1"/>
  <c r="AO12" i="1"/>
  <c r="AO13" i="1"/>
  <c r="AL14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48" i="1"/>
  <c r="AN34" i="1"/>
  <c r="AO34" i="1" s="1"/>
  <c r="AO35" i="1"/>
  <c r="AO36" i="1"/>
  <c r="AO37" i="1"/>
  <c r="AO38" i="1"/>
  <c r="AO49" i="1"/>
  <c r="AO39" i="1"/>
  <c r="AO43" i="1"/>
  <c r="AO53" i="1"/>
  <c r="AO56" i="1"/>
  <c r="AO57" i="1"/>
  <c r="AO58" i="1"/>
  <c r="AO44" i="1"/>
  <c r="AO45" i="1"/>
  <c r="AO40" i="1"/>
  <c r="AO46" i="1"/>
  <c r="AO47" i="1"/>
  <c r="AO54" i="1"/>
  <c r="AO60" i="1"/>
  <c r="AO61" i="1"/>
  <c r="AO62" i="1"/>
  <c r="AO63" i="1"/>
  <c r="G136" i="56"/>
  <c r="B109" i="56"/>
  <c r="B108" i="56"/>
  <c r="B107" i="56"/>
  <c r="B106" i="56"/>
  <c r="B105" i="56"/>
  <c r="B91" i="56"/>
  <c r="H91" i="56" s="1"/>
  <c r="B90" i="56"/>
  <c r="H90" i="56" s="1"/>
  <c r="B89" i="56"/>
  <c r="H89" i="56" s="1"/>
  <c r="B88" i="56"/>
  <c r="H88" i="56" s="1"/>
  <c r="B87" i="56"/>
  <c r="H87" i="56" s="1"/>
  <c r="B54" i="56"/>
  <c r="B53" i="56"/>
  <c r="B52" i="56"/>
  <c r="B51" i="56"/>
  <c r="B50" i="56"/>
  <c r="B35" i="56"/>
  <c r="H35" i="56" s="1"/>
  <c r="B34" i="56"/>
  <c r="H34" i="56" s="1"/>
  <c r="B33" i="56"/>
  <c r="H33" i="56" s="1"/>
  <c r="B32" i="56"/>
  <c r="H32" i="56" s="1"/>
  <c r="B31" i="56"/>
  <c r="H31" i="56" s="1"/>
  <c r="C90" i="56"/>
  <c r="D108" i="56"/>
  <c r="C68" i="56"/>
  <c r="C89" i="56"/>
  <c r="C105" i="56"/>
  <c r="D11" i="56"/>
  <c r="B68" i="56"/>
  <c r="C11" i="56"/>
  <c r="C107" i="56"/>
  <c r="C106" i="56"/>
  <c r="C73" i="56"/>
  <c r="D73" i="56"/>
  <c r="D87" i="56"/>
  <c r="C91" i="56"/>
  <c r="C109" i="56"/>
  <c r="D89" i="56"/>
  <c r="D72" i="56"/>
  <c r="D91" i="56"/>
  <c r="D88" i="56"/>
  <c r="C87" i="56"/>
  <c r="D109" i="56"/>
  <c r="D107" i="56"/>
  <c r="C108" i="56"/>
  <c r="C88" i="56"/>
  <c r="J11" i="56"/>
  <c r="D90" i="56"/>
  <c r="D106" i="56"/>
  <c r="C72" i="56"/>
  <c r="D105" i="56"/>
  <c r="C17" i="56"/>
  <c r="D52" i="56"/>
  <c r="D50" i="56"/>
  <c r="C35" i="56"/>
  <c r="D31" i="56"/>
  <c r="H132" i="56"/>
  <c r="D54" i="56"/>
  <c r="C54" i="56"/>
  <c r="D33" i="56"/>
  <c r="C34" i="56"/>
  <c r="D51" i="56"/>
  <c r="D17" i="56"/>
  <c r="H133" i="56"/>
  <c r="C52" i="56"/>
  <c r="D32" i="56"/>
  <c r="D35" i="56"/>
  <c r="D10" i="56"/>
  <c r="C33" i="56"/>
  <c r="D16" i="56"/>
  <c r="D53" i="56"/>
  <c r="C31" i="56"/>
  <c r="C53" i="56"/>
  <c r="D34" i="56"/>
  <c r="H134" i="56"/>
  <c r="C16" i="56"/>
  <c r="C50" i="56"/>
  <c r="J10" i="56"/>
  <c r="C10" i="56"/>
  <c r="C51" i="56"/>
  <c r="C32" i="56"/>
  <c r="H135" i="56" l="1"/>
  <c r="H126" i="56" s="1"/>
  <c r="H137" i="56"/>
  <c r="E108" i="56"/>
  <c r="C74" i="56"/>
  <c r="E32" i="56"/>
  <c r="J32" i="56" s="1"/>
  <c r="D18" i="56"/>
  <c r="I17" i="56"/>
  <c r="E35" i="56"/>
  <c r="J35" i="56" s="1"/>
  <c r="E87" i="56"/>
  <c r="C92" i="56"/>
  <c r="E105" i="56"/>
  <c r="C110" i="56"/>
  <c r="D74" i="56"/>
  <c r="E109" i="56"/>
  <c r="E52" i="56"/>
  <c r="D92" i="56"/>
  <c r="D110" i="56"/>
  <c r="D12" i="56"/>
  <c r="E10" i="56" s="1"/>
  <c r="E33" i="56"/>
  <c r="J33" i="56" s="1"/>
  <c r="E106" i="56"/>
  <c r="E88" i="56"/>
  <c r="J88" i="56" s="1"/>
  <c r="E51" i="56"/>
  <c r="E89" i="56"/>
  <c r="J89" i="56" s="1"/>
  <c r="C18" i="56"/>
  <c r="H17" i="56"/>
  <c r="H18" i="56"/>
  <c r="I18" i="56"/>
  <c r="C12" i="56"/>
  <c r="E53" i="56"/>
  <c r="E90" i="56"/>
  <c r="J90" i="56" s="1"/>
  <c r="J12" i="56"/>
  <c r="I11" i="56" s="1"/>
  <c r="E54" i="56"/>
  <c r="E31" i="56"/>
  <c r="C36" i="56"/>
  <c r="E91" i="56"/>
  <c r="J91" i="56" s="1"/>
  <c r="E107" i="56"/>
  <c r="D36" i="56"/>
  <c r="E34" i="56"/>
  <c r="J34" i="56" s="1"/>
  <c r="E50" i="56"/>
  <c r="C55" i="56"/>
  <c r="D55" i="56"/>
  <c r="I10" i="56" l="1"/>
  <c r="I12" i="56" s="1"/>
  <c r="E11" i="56"/>
  <c r="E55" i="56"/>
  <c r="E110" i="56"/>
  <c r="H19" i="56"/>
  <c r="J87" i="56"/>
  <c r="E92" i="56"/>
  <c r="I19" i="56"/>
  <c r="E36" i="56"/>
  <c r="J31" i="56"/>
  <c r="J92" i="56" l="1"/>
  <c r="J36" i="56"/>
  <c r="I31" i="56" s="1"/>
  <c r="I32" i="56" l="1"/>
  <c r="I33" i="56"/>
  <c r="I34" i="56"/>
  <c r="I35" i="56"/>
  <c r="I90" i="56"/>
  <c r="I89" i="56"/>
  <c r="I91" i="56"/>
  <c r="I88" i="56"/>
  <c r="I87" i="56"/>
  <c r="G133" i="51"/>
  <c r="L132" i="51" s="1"/>
  <c r="G134" i="51"/>
  <c r="L133" i="51" s="1"/>
  <c r="G135" i="51"/>
  <c r="G136" i="51"/>
  <c r="G132" i="51"/>
  <c r="L131" i="51" s="1"/>
  <c r="G131" i="51"/>
  <c r="G122" i="51"/>
  <c r="L120" i="51" s="1"/>
  <c r="G123" i="51"/>
  <c r="L121" i="51" s="1"/>
  <c r="I119" i="51"/>
  <c r="I134" i="51"/>
  <c r="I118" i="51"/>
  <c r="I133" i="51"/>
  <c r="H123" i="51"/>
  <c r="H134" i="51"/>
  <c r="H122" i="51"/>
  <c r="H132" i="51"/>
  <c r="I123" i="51"/>
  <c r="I122" i="51"/>
  <c r="H133" i="51"/>
  <c r="I132" i="51"/>
  <c r="I92" i="56" l="1"/>
  <c r="N131" i="51"/>
  <c r="N132" i="51"/>
  <c r="N133" i="51"/>
  <c r="I36" i="56"/>
  <c r="N120" i="51"/>
  <c r="N121" i="51"/>
  <c r="I124" i="51"/>
  <c r="H137" i="51"/>
  <c r="I137" i="51"/>
  <c r="G119" i="51"/>
  <c r="L119" i="51" s="1"/>
  <c r="L118" i="51"/>
  <c r="AR34" i="1"/>
  <c r="AR28" i="1"/>
  <c r="AR27" i="1"/>
  <c r="J11" i="51"/>
  <c r="H119" i="51"/>
  <c r="H118" i="51"/>
  <c r="J10" i="51"/>
  <c r="N134" i="51" l="1"/>
  <c r="M132" i="51" s="1"/>
  <c r="N118" i="51"/>
  <c r="N119" i="51"/>
  <c r="H124" i="51"/>
  <c r="J12" i="51"/>
  <c r="I10" i="51" s="1"/>
  <c r="M131" i="51" l="1"/>
  <c r="M133" i="51"/>
  <c r="N122" i="51"/>
  <c r="I11" i="51"/>
  <c r="I12" i="51" s="1"/>
  <c r="M121" i="51" l="1"/>
  <c r="M120" i="51"/>
  <c r="M118" i="51"/>
  <c r="M119" i="51"/>
  <c r="AS6" i="53"/>
  <c r="AR6" i="53"/>
  <c r="AN6" i="53"/>
  <c r="AI6" i="53"/>
  <c r="AS5" i="53"/>
  <c r="AR5" i="53"/>
  <c r="AN5" i="53"/>
  <c r="AI5" i="53"/>
  <c r="AS4" i="53"/>
  <c r="AR4" i="53"/>
  <c r="AN4" i="53"/>
  <c r="AI4" i="53"/>
  <c r="AS11" i="53"/>
  <c r="AR11" i="53"/>
  <c r="AN11" i="53"/>
  <c r="AI11" i="53"/>
  <c r="AS10" i="53"/>
  <c r="AR10" i="53"/>
  <c r="AN10" i="53"/>
  <c r="AI10" i="53"/>
  <c r="AS9" i="53"/>
  <c r="AR9" i="53"/>
  <c r="AN9" i="53"/>
  <c r="AI9" i="53"/>
  <c r="AS8" i="53"/>
  <c r="AR8" i="53"/>
  <c r="AN8" i="53"/>
  <c r="AI8" i="53"/>
  <c r="AS7" i="53"/>
  <c r="AR7" i="53"/>
  <c r="AN7" i="53"/>
  <c r="AI7" i="53"/>
  <c r="AS3" i="53"/>
  <c r="AR3" i="53"/>
  <c r="AN3" i="53"/>
  <c r="AI3" i="53"/>
  <c r="AS2" i="53"/>
  <c r="AR2" i="53"/>
  <c r="AN2" i="53"/>
  <c r="AI2" i="53"/>
  <c r="B109" i="51"/>
  <c r="B108" i="51"/>
  <c r="B107" i="51"/>
  <c r="B106" i="51"/>
  <c r="B105" i="51"/>
  <c r="B91" i="51"/>
  <c r="H91" i="51" s="1"/>
  <c r="B90" i="51"/>
  <c r="H90" i="51" s="1"/>
  <c r="B89" i="51"/>
  <c r="H89" i="51" s="1"/>
  <c r="B88" i="51"/>
  <c r="H88" i="51" s="1"/>
  <c r="B87" i="51"/>
  <c r="H87" i="51" s="1"/>
  <c r="J48" i="51"/>
  <c r="B54" i="51"/>
  <c r="B53" i="51"/>
  <c r="B52" i="51"/>
  <c r="B51" i="51"/>
  <c r="B50" i="51"/>
  <c r="B35" i="51"/>
  <c r="H35" i="51" s="1"/>
  <c r="B34" i="51"/>
  <c r="H34" i="51" s="1"/>
  <c r="B33" i="51"/>
  <c r="H33" i="51" s="1"/>
  <c r="B32" i="51"/>
  <c r="H32" i="51" s="1"/>
  <c r="B31" i="51"/>
  <c r="H31" i="51" s="1"/>
  <c r="AQ55" i="48"/>
  <c r="AP55" i="48"/>
  <c r="AL55" i="48"/>
  <c r="AG55" i="48"/>
  <c r="AQ54" i="48"/>
  <c r="AP54" i="48"/>
  <c r="AL54" i="48"/>
  <c r="AG54" i="48"/>
  <c r="AQ53" i="48"/>
  <c r="AP53" i="48"/>
  <c r="AL53" i="48"/>
  <c r="AG53" i="48"/>
  <c r="AQ52" i="48"/>
  <c r="AP52" i="48"/>
  <c r="AL52" i="48"/>
  <c r="AG52" i="48"/>
  <c r="AQ51" i="48"/>
  <c r="AP51" i="48"/>
  <c r="AG51" i="48"/>
  <c r="AL51" i="48" s="1"/>
  <c r="AQ50" i="48"/>
  <c r="AP50" i="48"/>
  <c r="AG50" i="48"/>
  <c r="AL50" i="48" s="1"/>
  <c r="AQ49" i="48"/>
  <c r="AP49" i="48"/>
  <c r="AL49" i="48"/>
  <c r="AG49" i="48"/>
  <c r="AQ48" i="48"/>
  <c r="AP48" i="48"/>
  <c r="AL48" i="48"/>
  <c r="AG48" i="48"/>
  <c r="AQ47" i="48"/>
  <c r="AP47" i="48"/>
  <c r="AL47" i="48"/>
  <c r="AG47" i="48"/>
  <c r="AQ46" i="48"/>
  <c r="AP46" i="48"/>
  <c r="AL46" i="48"/>
  <c r="AG46" i="48"/>
  <c r="AQ45" i="48"/>
  <c r="AP45" i="48"/>
  <c r="AL45" i="48"/>
  <c r="AG45" i="48"/>
  <c r="AQ44" i="48"/>
  <c r="AP44" i="48"/>
  <c r="AL44" i="48"/>
  <c r="AG44" i="48"/>
  <c r="AQ43" i="48"/>
  <c r="AP43" i="48"/>
  <c r="AL43" i="48"/>
  <c r="AG43" i="48"/>
  <c r="AQ42" i="48"/>
  <c r="AP42" i="48"/>
  <c r="AL42" i="48"/>
  <c r="AG42" i="48"/>
  <c r="AQ41" i="48"/>
  <c r="AP41" i="48"/>
  <c r="AL41" i="48"/>
  <c r="AG41" i="48"/>
  <c r="AQ40" i="48"/>
  <c r="AP40" i="48"/>
  <c r="AL40" i="48"/>
  <c r="AG40" i="48"/>
  <c r="AQ39" i="48"/>
  <c r="AP39" i="48"/>
  <c r="AL39" i="48"/>
  <c r="AG39" i="48"/>
  <c r="AQ38" i="48"/>
  <c r="AP38" i="48"/>
  <c r="AL38" i="48"/>
  <c r="AG38" i="48"/>
  <c r="AQ37" i="48"/>
  <c r="AP37" i="48"/>
  <c r="AL37" i="48"/>
  <c r="AG37" i="48"/>
  <c r="AQ36" i="48"/>
  <c r="AP36" i="48"/>
  <c r="AL36" i="48"/>
  <c r="AG36" i="48"/>
  <c r="AQ35" i="48"/>
  <c r="AP35" i="48"/>
  <c r="AL35" i="48"/>
  <c r="AG35" i="48"/>
  <c r="AQ34" i="48"/>
  <c r="AP34" i="48"/>
  <c r="AL34" i="48"/>
  <c r="AG34" i="48"/>
  <c r="AL33" i="48"/>
  <c r="AG33" i="48"/>
  <c r="AI33" i="48" s="1"/>
  <c r="AQ32" i="48"/>
  <c r="AP32" i="48"/>
  <c r="AL32" i="48"/>
  <c r="AG32" i="48"/>
  <c r="AQ31" i="48"/>
  <c r="AP31" i="48"/>
  <c r="AK31" i="48"/>
  <c r="AL31" i="48" s="1"/>
  <c r="AG31" i="48"/>
  <c r="AQ30" i="48"/>
  <c r="AP30" i="48"/>
  <c r="AL30" i="48"/>
  <c r="AG30" i="48"/>
  <c r="AQ29" i="48"/>
  <c r="AP29" i="48"/>
  <c r="AL29" i="48"/>
  <c r="AG29" i="48"/>
  <c r="AQ28" i="48"/>
  <c r="AP28" i="48"/>
  <c r="AL28" i="48"/>
  <c r="AG28" i="48"/>
  <c r="AQ27" i="48"/>
  <c r="AP27" i="48"/>
  <c r="AL27" i="48"/>
  <c r="AG27" i="48"/>
  <c r="AQ26" i="48"/>
  <c r="AP26" i="48"/>
  <c r="AL26" i="48"/>
  <c r="AG26" i="48"/>
  <c r="AQ25" i="48"/>
  <c r="AP25" i="48"/>
  <c r="AL25" i="48"/>
  <c r="AG25" i="48"/>
  <c r="AL24" i="48"/>
  <c r="AG24" i="48"/>
  <c r="AI24" i="48" s="1"/>
  <c r="AQ23" i="48"/>
  <c r="AP23" i="48"/>
  <c r="AL23" i="48"/>
  <c r="AG23" i="48"/>
  <c r="AQ22" i="48"/>
  <c r="AP22" i="48"/>
  <c r="AL22" i="48"/>
  <c r="AG22" i="48"/>
  <c r="AQ21" i="48"/>
  <c r="AP21" i="48"/>
  <c r="AL21" i="48"/>
  <c r="AG21" i="48"/>
  <c r="AQ20" i="48"/>
  <c r="AP20" i="48"/>
  <c r="AL20" i="48"/>
  <c r="AG20" i="48"/>
  <c r="AQ19" i="48"/>
  <c r="AP19" i="48"/>
  <c r="AL19" i="48"/>
  <c r="AF19" i="48"/>
  <c r="AG19" i="48" s="1"/>
  <c r="AQ18" i="48"/>
  <c r="AP18" i="48"/>
  <c r="AL18" i="48"/>
  <c r="AG18" i="48"/>
  <c r="AQ17" i="48"/>
  <c r="AP17" i="48"/>
  <c r="AL17" i="48"/>
  <c r="AG17" i="48"/>
  <c r="AQ16" i="48"/>
  <c r="AP16" i="48"/>
  <c r="AL16" i="48"/>
  <c r="AG16" i="48"/>
  <c r="AQ15" i="48"/>
  <c r="AP15" i="48"/>
  <c r="AL15" i="48"/>
  <c r="AG15" i="48"/>
  <c r="AQ14" i="48"/>
  <c r="AP14" i="48"/>
  <c r="AL14" i="48"/>
  <c r="AG14" i="48"/>
  <c r="AQ13" i="48"/>
  <c r="AP13" i="48"/>
  <c r="AL13" i="48"/>
  <c r="AG13" i="48"/>
  <c r="AQ12" i="48"/>
  <c r="AP12" i="48"/>
  <c r="AL12" i="48"/>
  <c r="AG12" i="48"/>
  <c r="AQ11" i="48"/>
  <c r="AP11" i="48"/>
  <c r="AL11" i="48"/>
  <c r="AG11" i="48"/>
  <c r="AQ10" i="48"/>
  <c r="AP10" i="48"/>
  <c r="AL10" i="48"/>
  <c r="AG10" i="48"/>
  <c r="AQ9" i="48"/>
  <c r="AP9" i="48"/>
  <c r="AL9" i="48"/>
  <c r="AL8" i="48"/>
  <c r="AI8" i="48"/>
  <c r="AQ8" i="48" s="1"/>
  <c r="AG8" i="48"/>
  <c r="AQ7" i="48"/>
  <c r="AP7" i="48"/>
  <c r="AL7" i="48"/>
  <c r="AG7" i="48"/>
  <c r="AQ6" i="48"/>
  <c r="AP6" i="48"/>
  <c r="AL6" i="48"/>
  <c r="AG6" i="48"/>
  <c r="AQ5" i="48"/>
  <c r="AP5" i="48"/>
  <c r="AL5" i="48"/>
  <c r="AG5" i="48"/>
  <c r="AQ4" i="48"/>
  <c r="AP4" i="48"/>
  <c r="AL4" i="48"/>
  <c r="AG4" i="48"/>
  <c r="AQ3" i="48"/>
  <c r="AP3" i="48"/>
  <c r="AL3" i="48"/>
  <c r="AG3" i="48"/>
  <c r="AQ2" i="48"/>
  <c r="AP2" i="48"/>
  <c r="AL2" i="48"/>
  <c r="AG2" i="48"/>
  <c r="D108" i="51"/>
  <c r="D109" i="51"/>
  <c r="D105" i="51"/>
  <c r="D72" i="51"/>
  <c r="D88" i="51"/>
  <c r="C89" i="51"/>
  <c r="C72" i="51"/>
  <c r="B68" i="51"/>
  <c r="D11" i="51"/>
  <c r="D106" i="51"/>
  <c r="C106" i="51"/>
  <c r="D87" i="51"/>
  <c r="C108" i="51"/>
  <c r="C11" i="51"/>
  <c r="C107" i="51"/>
  <c r="C88" i="51"/>
  <c r="C87" i="51"/>
  <c r="D73" i="51"/>
  <c r="D90" i="51"/>
  <c r="C73" i="51"/>
  <c r="C68" i="51"/>
  <c r="C105" i="51"/>
  <c r="C91" i="51"/>
  <c r="D107" i="51"/>
  <c r="C90" i="51"/>
  <c r="D89" i="51"/>
  <c r="C109" i="51"/>
  <c r="D91" i="51"/>
  <c r="D33" i="51"/>
  <c r="D10" i="51"/>
  <c r="C51" i="51"/>
  <c r="D32" i="51"/>
  <c r="C52" i="51"/>
  <c r="D34" i="51"/>
  <c r="D16" i="51"/>
  <c r="D51" i="51"/>
  <c r="C50" i="51"/>
  <c r="C31" i="51"/>
  <c r="C32" i="51"/>
  <c r="C17" i="51"/>
  <c r="C35" i="51"/>
  <c r="D53" i="51"/>
  <c r="D35" i="51"/>
  <c r="C10" i="51"/>
  <c r="D31" i="51"/>
  <c r="C16" i="51"/>
  <c r="C53" i="51"/>
  <c r="C33" i="51"/>
  <c r="C54" i="51"/>
  <c r="C34" i="51"/>
  <c r="D54" i="51"/>
  <c r="D17" i="51"/>
  <c r="D50" i="51"/>
  <c r="D52" i="51"/>
  <c r="H18" i="51" l="1"/>
  <c r="I18" i="51"/>
  <c r="H17" i="51"/>
  <c r="I17" i="51"/>
  <c r="E106" i="51"/>
  <c r="E105" i="51"/>
  <c r="C110" i="51"/>
  <c r="E107" i="51"/>
  <c r="E108" i="51"/>
  <c r="E109" i="51"/>
  <c r="D110" i="51"/>
  <c r="D74" i="51"/>
  <c r="D12" i="51"/>
  <c r="E10" i="51" s="1"/>
  <c r="C12" i="51"/>
  <c r="E87" i="51"/>
  <c r="E88" i="51"/>
  <c r="J88" i="51" s="1"/>
  <c r="E89" i="51"/>
  <c r="J89" i="51" s="1"/>
  <c r="E90" i="51"/>
  <c r="J90" i="51" s="1"/>
  <c r="E91" i="51"/>
  <c r="J91" i="51" s="1"/>
  <c r="C74" i="51"/>
  <c r="C92" i="51"/>
  <c r="D92" i="51"/>
  <c r="C55" i="51"/>
  <c r="D55" i="51"/>
  <c r="E54" i="51"/>
  <c r="E50" i="51"/>
  <c r="E51" i="51"/>
  <c r="E52" i="51"/>
  <c r="E53" i="51"/>
  <c r="C36" i="51"/>
  <c r="D36" i="51"/>
  <c r="E35" i="51"/>
  <c r="J35" i="51" s="1"/>
  <c r="E31" i="51"/>
  <c r="E34" i="51"/>
  <c r="J34" i="51" s="1"/>
  <c r="E32" i="51"/>
  <c r="J32" i="51" s="1"/>
  <c r="E33" i="51"/>
  <c r="J33" i="51" s="1"/>
  <c r="C18" i="51"/>
  <c r="D18" i="51"/>
  <c r="AQ33" i="48"/>
  <c r="AP33" i="48"/>
  <c r="AQ24" i="48"/>
  <c r="AP24" i="48"/>
  <c r="AP8" i="48"/>
  <c r="I19" i="51" l="1"/>
  <c r="H19" i="51"/>
  <c r="E11" i="51"/>
  <c r="E110" i="51"/>
  <c r="E92" i="51"/>
  <c r="J87" i="51"/>
  <c r="E55" i="51"/>
  <c r="E36" i="51"/>
  <c r="J31" i="51"/>
  <c r="J92" i="51" l="1"/>
  <c r="J36" i="51"/>
  <c r="AT45" i="1"/>
  <c r="AJ45" i="1"/>
  <c r="AT44" i="1"/>
  <c r="AJ44" i="1"/>
  <c r="AU58" i="1"/>
  <c r="AT58" i="1"/>
  <c r="AJ58" i="1"/>
  <c r="AU57" i="1"/>
  <c r="AT57" i="1"/>
  <c r="AJ57" i="1"/>
  <c r="AU56" i="1"/>
  <c r="AT56" i="1"/>
  <c r="AJ56" i="1"/>
  <c r="L80" i="30"/>
  <c r="L79" i="30"/>
  <c r="I91" i="51" l="1"/>
  <c r="I90" i="51"/>
  <c r="I89" i="51"/>
  <c r="I88" i="51"/>
  <c r="I87" i="51"/>
  <c r="I31" i="51"/>
  <c r="I33" i="51"/>
  <c r="I34" i="51"/>
  <c r="I35" i="51"/>
  <c r="I32" i="51"/>
  <c r="F5" i="47"/>
  <c r="AQ44" i="46"/>
  <c r="AP44" i="46"/>
  <c r="AL44" i="46"/>
  <c r="AG44" i="46"/>
  <c r="AQ43" i="46"/>
  <c r="AP43" i="46"/>
  <c r="AL43" i="46"/>
  <c r="AG43" i="46"/>
  <c r="AQ42" i="46"/>
  <c r="AP42" i="46"/>
  <c r="AL42" i="46"/>
  <c r="AG42" i="46"/>
  <c r="AQ41" i="46"/>
  <c r="AP41" i="46"/>
  <c r="AL41" i="46"/>
  <c r="AG41" i="46"/>
  <c r="AQ40" i="46"/>
  <c r="AP40" i="46"/>
  <c r="AL40" i="46"/>
  <c r="AG40" i="46"/>
  <c r="AQ39" i="46"/>
  <c r="AP39" i="46"/>
  <c r="AL39" i="46"/>
  <c r="AG39" i="46"/>
  <c r="AQ38" i="46"/>
  <c r="AP38" i="46"/>
  <c r="AL38" i="46"/>
  <c r="AG38" i="46"/>
  <c r="AQ37" i="46"/>
  <c r="AP37" i="46"/>
  <c r="AL37" i="46"/>
  <c r="AG37" i="46"/>
  <c r="AQ36" i="46"/>
  <c r="AP36" i="46"/>
  <c r="AL36" i="46"/>
  <c r="AG36" i="46"/>
  <c r="AQ35" i="46"/>
  <c r="AP35" i="46"/>
  <c r="AL35" i="46"/>
  <c r="AG35" i="46"/>
  <c r="AQ34" i="46"/>
  <c r="AP34" i="46"/>
  <c r="AL34" i="46"/>
  <c r="AG34" i="46"/>
  <c r="AQ33" i="46"/>
  <c r="AP33" i="46"/>
  <c r="AL33" i="46"/>
  <c r="AG33" i="46"/>
  <c r="AQ32" i="46"/>
  <c r="AP32" i="46"/>
  <c r="AL32" i="46"/>
  <c r="AG32" i="46"/>
  <c r="AQ31" i="46"/>
  <c r="AP31" i="46"/>
  <c r="AK31" i="46"/>
  <c r="AL31" i="46" s="1"/>
  <c r="AG31" i="46"/>
  <c r="AQ30" i="46"/>
  <c r="AP30" i="46"/>
  <c r="AL30" i="46"/>
  <c r="AG30" i="46"/>
  <c r="AQ29" i="46"/>
  <c r="AP29" i="46"/>
  <c r="AL29" i="46"/>
  <c r="AG29" i="46"/>
  <c r="AQ28" i="46"/>
  <c r="AP28" i="46"/>
  <c r="AL28" i="46"/>
  <c r="AG28" i="46"/>
  <c r="AQ27" i="46"/>
  <c r="AP27" i="46"/>
  <c r="AL27" i="46"/>
  <c r="AG27" i="46"/>
  <c r="AQ26" i="46"/>
  <c r="AP26" i="46"/>
  <c r="AL26" i="46"/>
  <c r="AG26" i="46"/>
  <c r="AQ25" i="46"/>
  <c r="AP25" i="46"/>
  <c r="AL25" i="46"/>
  <c r="AG25" i="46"/>
  <c r="AL24" i="46"/>
  <c r="AG24" i="46"/>
  <c r="AI24" i="46" s="1"/>
  <c r="AQ23" i="46"/>
  <c r="AP23" i="46"/>
  <c r="AL23" i="46"/>
  <c r="AG23" i="46"/>
  <c r="AQ22" i="46"/>
  <c r="AP22" i="46"/>
  <c r="AL22" i="46"/>
  <c r="AG22" i="46"/>
  <c r="AQ21" i="46"/>
  <c r="AP21" i="46"/>
  <c r="AL21" i="46"/>
  <c r="AG21" i="46"/>
  <c r="AQ20" i="46"/>
  <c r="AP20" i="46"/>
  <c r="AL20" i="46"/>
  <c r="AG20" i="46"/>
  <c r="AQ19" i="46"/>
  <c r="AP19" i="46"/>
  <c r="AL19" i="46"/>
  <c r="AF19" i="46"/>
  <c r="AG19" i="46" s="1"/>
  <c r="AQ18" i="46"/>
  <c r="AP18" i="46"/>
  <c r="AL18" i="46"/>
  <c r="AG18" i="46"/>
  <c r="AQ17" i="46"/>
  <c r="AP17" i="46"/>
  <c r="AL17" i="46"/>
  <c r="AG17" i="46"/>
  <c r="AQ16" i="46"/>
  <c r="AP16" i="46"/>
  <c r="AL16" i="46"/>
  <c r="AG16" i="46"/>
  <c r="AQ15" i="46"/>
  <c r="AP15" i="46"/>
  <c r="AL15" i="46"/>
  <c r="AG15" i="46"/>
  <c r="AQ14" i="46"/>
  <c r="AP14" i="46"/>
  <c r="AL14" i="46"/>
  <c r="AG14" i="46"/>
  <c r="AQ13" i="46"/>
  <c r="AP13" i="46"/>
  <c r="AL13" i="46"/>
  <c r="AG13" i="46"/>
  <c r="AQ12" i="46"/>
  <c r="AP12" i="46"/>
  <c r="AL12" i="46"/>
  <c r="AG12" i="46"/>
  <c r="AQ11" i="46"/>
  <c r="AP11" i="46"/>
  <c r="AL11" i="46"/>
  <c r="AG11" i="46"/>
  <c r="AQ10" i="46"/>
  <c r="AP10" i="46"/>
  <c r="AL10" i="46"/>
  <c r="AG10" i="46"/>
  <c r="AQ9" i="46"/>
  <c r="AP9" i="46"/>
  <c r="AL9" i="46"/>
  <c r="AL8" i="46"/>
  <c r="AI8" i="46"/>
  <c r="AQ8" i="46" s="1"/>
  <c r="AG8" i="46"/>
  <c r="AQ7" i="46"/>
  <c r="AP7" i="46"/>
  <c r="AL7" i="46"/>
  <c r="AG7" i="46"/>
  <c r="AQ6" i="46"/>
  <c r="AP6" i="46"/>
  <c r="AL6" i="46"/>
  <c r="AG6" i="46"/>
  <c r="AQ5" i="46"/>
  <c r="AP5" i="46"/>
  <c r="AL5" i="46"/>
  <c r="AG5" i="46"/>
  <c r="AQ4" i="46"/>
  <c r="AP4" i="46"/>
  <c r="AL4" i="46"/>
  <c r="AG4" i="46"/>
  <c r="AQ3" i="46"/>
  <c r="AP3" i="46"/>
  <c r="AL3" i="46"/>
  <c r="AG3" i="46"/>
  <c r="AQ2" i="46"/>
  <c r="AP2" i="46"/>
  <c r="AL2" i="46"/>
  <c r="AG2" i="46"/>
  <c r="L47" i="30"/>
  <c r="I36" i="51" l="1"/>
  <c r="I92" i="51"/>
  <c r="AQ24" i="46"/>
  <c r="AP24" i="46"/>
  <c r="AP8" i="46"/>
  <c r="AU35" i="1"/>
  <c r="AT35" i="1"/>
  <c r="AJ35" i="1"/>
  <c r="AU38" i="1"/>
  <c r="AT38" i="1"/>
  <c r="AJ38" i="1"/>
  <c r="AU59" i="1"/>
  <c r="AT59" i="1"/>
  <c r="AJ59" i="1"/>
  <c r="AJ34" i="1"/>
  <c r="AT49" i="1"/>
  <c r="AJ49" i="1"/>
  <c r="AJ36" i="1"/>
  <c r="AL36" i="1" s="1"/>
  <c r="AU9" i="1"/>
  <c r="AT9" i="1"/>
  <c r="AJ9" i="1"/>
  <c r="AT36" i="1" l="1"/>
  <c r="AP46" i="42"/>
  <c r="AO46" i="42"/>
  <c r="AL46" i="42"/>
  <c r="AG46" i="42"/>
  <c r="AP45" i="42"/>
  <c r="AO45" i="42"/>
  <c r="AL45" i="42"/>
  <c r="AG45" i="42"/>
  <c r="AP44" i="42"/>
  <c r="AO44" i="42"/>
  <c r="AL44" i="42"/>
  <c r="AG44" i="42"/>
  <c r="AP43" i="42"/>
  <c r="AO43" i="42"/>
  <c r="AL43" i="42"/>
  <c r="AG43" i="42"/>
  <c r="AP42" i="42"/>
  <c r="AO42" i="42"/>
  <c r="AL42" i="42"/>
  <c r="AG42" i="42"/>
  <c r="AP41" i="42"/>
  <c r="AO41" i="42"/>
  <c r="AL41" i="42"/>
  <c r="AG41" i="42"/>
  <c r="AP40" i="42"/>
  <c r="AO40" i="42"/>
  <c r="AL40" i="42"/>
  <c r="AG40" i="42"/>
  <c r="AP39" i="42"/>
  <c r="AO39" i="42"/>
  <c r="AL39" i="42"/>
  <c r="AG39" i="42"/>
  <c r="AP38" i="42"/>
  <c r="AO38" i="42"/>
  <c r="AL38" i="42"/>
  <c r="AG38" i="42"/>
  <c r="AP37" i="42"/>
  <c r="AO37" i="42"/>
  <c r="AL37" i="42"/>
  <c r="AG37" i="42"/>
  <c r="AP36" i="42"/>
  <c r="AO36" i="42"/>
  <c r="AL36" i="42"/>
  <c r="AG36" i="42"/>
  <c r="AP35" i="42"/>
  <c r="AO35" i="42"/>
  <c r="AL35" i="42"/>
  <c r="AG35" i="42"/>
  <c r="AP34" i="42"/>
  <c r="AO34" i="42"/>
  <c r="AL34" i="42"/>
  <c r="AG34" i="42"/>
  <c r="AP33" i="42"/>
  <c r="AO33" i="42"/>
  <c r="AL33" i="42"/>
  <c r="AG33" i="42"/>
  <c r="AP32" i="42"/>
  <c r="AO32" i="42"/>
  <c r="AL32" i="42"/>
  <c r="AG32" i="42"/>
  <c r="AP31" i="42"/>
  <c r="AO31" i="42"/>
  <c r="AL31" i="42"/>
  <c r="AG31" i="42"/>
  <c r="AP30" i="42"/>
  <c r="AO30" i="42"/>
  <c r="AL30" i="42"/>
  <c r="AG30" i="42"/>
  <c r="AP29" i="42"/>
  <c r="AO29" i="42"/>
  <c r="AL29" i="42"/>
  <c r="AG29" i="42"/>
  <c r="AP28" i="42"/>
  <c r="AO28" i="42"/>
  <c r="AL28" i="42"/>
  <c r="AG28" i="42"/>
  <c r="AP27" i="42"/>
  <c r="AO27" i="42"/>
  <c r="AL27" i="42"/>
  <c r="AG27" i="42"/>
  <c r="AP26" i="42"/>
  <c r="AO26" i="42"/>
  <c r="AL26" i="42"/>
  <c r="AG26" i="42"/>
  <c r="AP25" i="42"/>
  <c r="AO25" i="42"/>
  <c r="AL25" i="42"/>
  <c r="AG25" i="42"/>
  <c r="AP24" i="42"/>
  <c r="AO24" i="42"/>
  <c r="AL24" i="42"/>
  <c r="AG24" i="42"/>
  <c r="AP23" i="42"/>
  <c r="AO23" i="42"/>
  <c r="AG23" i="42"/>
  <c r="AL23" i="42" s="1"/>
  <c r="AP22" i="42"/>
  <c r="AO22" i="42"/>
  <c r="AL22" i="42"/>
  <c r="AG22" i="42"/>
  <c r="AP21" i="42"/>
  <c r="AO21" i="42"/>
  <c r="AL21" i="42"/>
  <c r="AG21" i="42"/>
  <c r="AP20" i="42"/>
  <c r="AO20" i="42"/>
  <c r="AL20" i="42"/>
  <c r="AG20" i="42"/>
  <c r="AP19" i="42"/>
  <c r="AO19" i="42"/>
  <c r="AL19" i="42"/>
  <c r="AG19" i="42"/>
  <c r="AP18" i="42"/>
  <c r="AO18" i="42"/>
  <c r="AL18" i="42"/>
  <c r="AG18" i="42"/>
  <c r="AP17" i="42"/>
  <c r="AO17" i="42"/>
  <c r="AL17" i="42"/>
  <c r="AG17" i="42"/>
  <c r="AP16" i="42"/>
  <c r="AO16" i="42"/>
  <c r="AL16" i="42"/>
  <c r="AG16" i="42"/>
  <c r="AP15" i="42"/>
  <c r="AO15" i="42"/>
  <c r="AL15" i="42"/>
  <c r="AG15" i="42"/>
  <c r="AP14" i="42"/>
  <c r="AO14" i="42"/>
  <c r="AL14" i="42"/>
  <c r="AG14" i="42"/>
  <c r="AP13" i="42"/>
  <c r="AO13" i="42"/>
  <c r="AL13" i="42"/>
  <c r="AG13" i="42"/>
  <c r="AP12" i="42"/>
  <c r="AO12" i="42"/>
  <c r="AL12" i="42"/>
  <c r="AG12" i="42"/>
  <c r="AP11" i="42"/>
  <c r="AO11" i="42"/>
  <c r="AL11" i="42"/>
  <c r="AG11" i="42"/>
  <c r="AP10" i="42"/>
  <c r="AO10" i="42"/>
  <c r="AL10" i="42"/>
  <c r="AP9" i="42"/>
  <c r="AO9" i="42"/>
  <c r="AL9" i="42"/>
  <c r="AG9" i="42"/>
  <c r="AP8" i="42"/>
  <c r="AO8" i="42"/>
  <c r="AL8" i="42"/>
  <c r="AG8" i="42"/>
  <c r="AP7" i="42"/>
  <c r="AO7" i="42"/>
  <c r="AL7" i="42"/>
  <c r="AG7" i="42"/>
  <c r="AP6" i="42"/>
  <c r="AL6" i="42"/>
  <c r="AI6" i="42"/>
  <c r="AO6" i="42" s="1"/>
  <c r="AG6" i="42"/>
  <c r="AP5" i="42"/>
  <c r="AO5" i="42"/>
  <c r="AL5" i="42"/>
  <c r="AG5" i="42"/>
  <c r="AF5" i="42"/>
  <c r="AP4" i="42"/>
  <c r="AO4" i="42"/>
  <c r="AL4" i="42"/>
  <c r="AG4" i="42"/>
  <c r="AP3" i="42"/>
  <c r="AO3" i="42"/>
  <c r="AL3" i="42"/>
  <c r="AG3" i="42"/>
  <c r="AP2" i="42"/>
  <c r="AO2" i="42"/>
  <c r="AL2" i="42"/>
  <c r="AG2" i="42"/>
  <c r="AP39" i="40"/>
  <c r="AO39" i="40"/>
  <c r="AL39" i="40"/>
  <c r="AG39" i="40"/>
  <c r="AP38" i="40"/>
  <c r="AO38" i="40"/>
  <c r="AL38" i="40"/>
  <c r="AG38" i="40"/>
  <c r="AP37" i="40"/>
  <c r="AO37" i="40"/>
  <c r="AL37" i="40"/>
  <c r="AG37" i="40"/>
  <c r="AP36" i="40"/>
  <c r="AO36" i="40"/>
  <c r="AL36" i="40"/>
  <c r="AG36" i="40"/>
  <c r="AP35" i="40"/>
  <c r="AO35" i="40"/>
  <c r="AL35" i="40"/>
  <c r="AG35" i="40"/>
  <c r="AP34" i="40"/>
  <c r="AO34" i="40"/>
  <c r="AL34" i="40"/>
  <c r="AG34" i="40"/>
  <c r="AP33" i="40"/>
  <c r="AO33" i="40"/>
  <c r="AL33" i="40"/>
  <c r="AG33" i="40"/>
  <c r="AP32" i="40"/>
  <c r="AO32" i="40"/>
  <c r="AL32" i="40"/>
  <c r="AG32" i="40"/>
  <c r="AP31" i="40"/>
  <c r="AO31" i="40"/>
  <c r="AL31" i="40"/>
  <c r="AG31" i="40"/>
  <c r="AP30" i="40"/>
  <c r="AO30" i="40"/>
  <c r="AL30" i="40"/>
  <c r="AG30" i="40"/>
  <c r="AP29" i="40"/>
  <c r="AO29" i="40"/>
  <c r="AL29" i="40"/>
  <c r="AG29" i="40"/>
  <c r="AP28" i="40"/>
  <c r="AO28" i="40"/>
  <c r="AL28" i="40"/>
  <c r="AG28" i="40"/>
  <c r="AP27" i="40"/>
  <c r="AO27" i="40"/>
  <c r="AL27" i="40"/>
  <c r="AG27" i="40"/>
  <c r="AP26" i="40"/>
  <c r="AO26" i="40"/>
  <c r="AL26" i="40"/>
  <c r="AG26" i="40"/>
  <c r="AP25" i="40"/>
  <c r="AO25" i="40"/>
  <c r="AL25" i="40"/>
  <c r="AG25" i="40"/>
  <c r="AP24" i="40"/>
  <c r="AO24" i="40"/>
  <c r="AL24" i="40"/>
  <c r="AG24" i="40"/>
  <c r="AP23" i="40"/>
  <c r="AO23" i="40"/>
  <c r="AL23" i="40"/>
  <c r="AG23" i="40"/>
  <c r="AP22" i="40"/>
  <c r="AO22" i="40"/>
  <c r="AL22" i="40"/>
  <c r="AG22" i="40"/>
  <c r="AP21" i="40"/>
  <c r="AO21" i="40"/>
  <c r="AL21" i="40"/>
  <c r="AG21" i="40"/>
  <c r="AP20" i="40"/>
  <c r="AO20" i="40"/>
  <c r="AL20" i="40"/>
  <c r="AG20" i="40"/>
  <c r="AP19" i="40"/>
  <c r="AO19" i="40"/>
  <c r="AL19" i="40"/>
  <c r="AG19" i="40"/>
  <c r="AP18" i="40"/>
  <c r="AO18" i="40"/>
  <c r="AL18" i="40"/>
  <c r="AG18" i="40"/>
  <c r="AP17" i="40"/>
  <c r="AO17" i="40"/>
  <c r="AL17" i="40"/>
  <c r="AG17" i="40"/>
  <c r="AP16" i="40"/>
  <c r="AO16" i="40"/>
  <c r="AG16" i="40"/>
  <c r="AL16" i="40" s="1"/>
  <c r="AP15" i="40"/>
  <c r="AO15" i="40"/>
  <c r="AL15" i="40"/>
  <c r="AG15" i="40"/>
  <c r="AP14" i="40"/>
  <c r="AO14" i="40"/>
  <c r="AL14" i="40"/>
  <c r="AG14" i="40"/>
  <c r="AP13" i="40"/>
  <c r="AO13" i="40"/>
  <c r="AL13" i="40"/>
  <c r="AG13" i="40"/>
  <c r="AP12" i="40"/>
  <c r="AO12" i="40"/>
  <c r="AL12" i="40"/>
  <c r="AG12" i="40"/>
  <c r="AP11" i="40"/>
  <c r="AO11" i="40"/>
  <c r="AL11" i="40"/>
  <c r="AG11" i="40"/>
  <c r="AP10" i="40"/>
  <c r="AO10" i="40"/>
  <c r="AL10" i="40"/>
  <c r="AG10" i="40"/>
  <c r="AP9" i="40"/>
  <c r="AO9" i="40"/>
  <c r="AL9" i="40"/>
  <c r="AG9" i="40"/>
  <c r="AP8" i="40"/>
  <c r="AO8" i="40"/>
  <c r="AL8" i="40"/>
  <c r="AG8" i="40"/>
  <c r="AP7" i="40"/>
  <c r="AO7" i="40"/>
  <c r="AL7" i="40"/>
  <c r="AG7" i="40"/>
  <c r="AP6" i="40"/>
  <c r="AO6" i="40"/>
  <c r="AL6" i="40"/>
  <c r="AG6" i="40"/>
  <c r="AP5" i="40"/>
  <c r="AO5" i="40"/>
  <c r="AL5" i="40"/>
  <c r="AG5" i="40"/>
  <c r="AP4" i="40"/>
  <c r="AO4" i="40"/>
  <c r="AL4" i="40"/>
  <c r="AG4" i="40"/>
  <c r="AP3" i="40"/>
  <c r="AO3" i="40"/>
  <c r="AL3" i="40"/>
  <c r="AP2" i="40"/>
  <c r="AO2" i="40"/>
  <c r="AL2" i="40"/>
  <c r="AG2" i="40"/>
  <c r="C11" i="39"/>
  <c r="B11" i="39"/>
  <c r="H27" i="38"/>
  <c r="H28" i="38"/>
  <c r="H29" i="38"/>
  <c r="H30" i="38"/>
  <c r="H31" i="38"/>
  <c r="H26" i="38"/>
  <c r="I32" i="38"/>
  <c r="C32" i="38"/>
  <c r="B32" i="38"/>
  <c r="A31" i="38"/>
  <c r="A30" i="38"/>
  <c r="A29" i="38"/>
  <c r="A28" i="38"/>
  <c r="A27" i="38"/>
  <c r="A26" i="38"/>
  <c r="AP23" i="37"/>
  <c r="AO23" i="37"/>
  <c r="AL23" i="37"/>
  <c r="AG23" i="37"/>
  <c r="AP22" i="37"/>
  <c r="AO22" i="37"/>
  <c r="AL22" i="37"/>
  <c r="AG22" i="37"/>
  <c r="AP21" i="37"/>
  <c r="AO21" i="37"/>
  <c r="AL21" i="37"/>
  <c r="AG21" i="37"/>
  <c r="AP20" i="37"/>
  <c r="AO20" i="37"/>
  <c r="AL20" i="37"/>
  <c r="AG20" i="37"/>
  <c r="AP19" i="37"/>
  <c r="AO19" i="37"/>
  <c r="AL19" i="37"/>
  <c r="AG19" i="37"/>
  <c r="AP18" i="37"/>
  <c r="AO18" i="37"/>
  <c r="AL18" i="37"/>
  <c r="AG18" i="37"/>
  <c r="AP17" i="37"/>
  <c r="AO17" i="37"/>
  <c r="AL17" i="37"/>
  <c r="AG17" i="37"/>
  <c r="AP16" i="37"/>
  <c r="AO16" i="37"/>
  <c r="AL16" i="37"/>
  <c r="AG16" i="37"/>
  <c r="AP15" i="37"/>
  <c r="AO15" i="37"/>
  <c r="AL15" i="37"/>
  <c r="AG15" i="37"/>
  <c r="AP14" i="37"/>
  <c r="AO14" i="37"/>
  <c r="AL14" i="37"/>
  <c r="AG14" i="37"/>
  <c r="AP13" i="37"/>
  <c r="AO13" i="37"/>
  <c r="AL13" i="37"/>
  <c r="AG13" i="37"/>
  <c r="AP12" i="37"/>
  <c r="AO12" i="37"/>
  <c r="AL12" i="37"/>
  <c r="AG12" i="37"/>
  <c r="AP11" i="37"/>
  <c r="AO11" i="37"/>
  <c r="AL11" i="37"/>
  <c r="AG11" i="37"/>
  <c r="AP10" i="37"/>
  <c r="AO10" i="37"/>
  <c r="AL10" i="37"/>
  <c r="AG10" i="37"/>
  <c r="AP9" i="37"/>
  <c r="AO9" i="37"/>
  <c r="AL9" i="37"/>
  <c r="AG9" i="37"/>
  <c r="AP8" i="37"/>
  <c r="AO8" i="37"/>
  <c r="AL8" i="37"/>
  <c r="AG8" i="37"/>
  <c r="AP7" i="37"/>
  <c r="AO7" i="37"/>
  <c r="AL7" i="37"/>
  <c r="AG7" i="37"/>
  <c r="AP6" i="37"/>
  <c r="AO6" i="37"/>
  <c r="AL6" i="37"/>
  <c r="AG6" i="37"/>
  <c r="AP5" i="37"/>
  <c r="AO5" i="37"/>
  <c r="AL5" i="37"/>
  <c r="AG5" i="37"/>
  <c r="AP4" i="37"/>
  <c r="AO4" i="37"/>
  <c r="AL4" i="37"/>
  <c r="AG4" i="37"/>
  <c r="AP3" i="37"/>
  <c r="AO3" i="37"/>
  <c r="AL3" i="37"/>
  <c r="AG3" i="37"/>
  <c r="AP2" i="37"/>
  <c r="AO2" i="37"/>
  <c r="AL2" i="37"/>
  <c r="AG2" i="37"/>
  <c r="V17" i="35"/>
  <c r="V18" i="35"/>
  <c r="V19" i="35"/>
  <c r="V20" i="35"/>
  <c r="V21" i="35"/>
  <c r="V16" i="35"/>
  <c r="W17" i="35"/>
  <c r="W18" i="35"/>
  <c r="W19" i="35"/>
  <c r="W20" i="35"/>
  <c r="W21" i="35"/>
  <c r="W16" i="35"/>
  <c r="Q32" i="35"/>
  <c r="R32" i="35" s="1"/>
  <c r="Q30" i="35"/>
  <c r="P31" i="35"/>
  <c r="R31" i="35" s="1"/>
  <c r="P30" i="35"/>
  <c r="P27" i="35"/>
  <c r="Q28" i="35"/>
  <c r="Q29" i="35"/>
  <c r="Q31" i="35"/>
  <c r="Q27" i="35"/>
  <c r="P28" i="35"/>
  <c r="P29" i="35"/>
  <c r="P32" i="35"/>
  <c r="P16" i="35"/>
  <c r="P22" i="35"/>
  <c r="Q21" i="35"/>
  <c r="Q22" i="35" s="1"/>
  <c r="Q19" i="35"/>
  <c r="P20" i="35"/>
  <c r="P19" i="35"/>
  <c r="P18" i="35"/>
  <c r="P17" i="35"/>
  <c r="Q17" i="35"/>
  <c r="Q18" i="35"/>
  <c r="Q20" i="35"/>
  <c r="Q16" i="35"/>
  <c r="P21" i="35"/>
  <c r="Q10" i="35"/>
  <c r="Q9" i="35"/>
  <c r="Q8" i="35"/>
  <c r="P9" i="35"/>
  <c r="P8" i="35"/>
  <c r="P4" i="35"/>
  <c r="O4" i="35"/>
  <c r="I33" i="35"/>
  <c r="H33" i="35"/>
  <c r="J32" i="35"/>
  <c r="J31" i="35"/>
  <c r="J30" i="35"/>
  <c r="J29" i="35"/>
  <c r="J28" i="35"/>
  <c r="J27" i="35"/>
  <c r="D17" i="35"/>
  <c r="D18" i="35"/>
  <c r="D19" i="35"/>
  <c r="D16" i="35"/>
  <c r="A51" i="33"/>
  <c r="A50" i="33"/>
  <c r="A49" i="33"/>
  <c r="A48" i="33"/>
  <c r="A34" i="33"/>
  <c r="G34" i="33" s="1"/>
  <c r="A33" i="33"/>
  <c r="G33" i="33" s="1"/>
  <c r="A32" i="33"/>
  <c r="G32" i="33" s="1"/>
  <c r="A31" i="33"/>
  <c r="G31" i="33" s="1"/>
  <c r="Q11" i="31"/>
  <c r="Q12" i="31" s="1"/>
  <c r="Q13" i="31" s="1"/>
  <c r="Q14" i="31" s="1"/>
  <c r="Q15" i="31" s="1"/>
  <c r="Q16" i="31" s="1"/>
  <c r="Q10" i="31"/>
  <c r="N10" i="31"/>
  <c r="N11" i="31" s="1"/>
  <c r="N12" i="31" s="1"/>
  <c r="N13" i="31" s="1"/>
  <c r="N14" i="31" s="1"/>
  <c r="N15" i="31" s="1"/>
  <c r="N16" i="31" s="1"/>
  <c r="H10" i="31"/>
  <c r="H11" i="31" s="1"/>
  <c r="H12" i="31" s="1"/>
  <c r="H13" i="31" s="1"/>
  <c r="H14" i="31" s="1"/>
  <c r="H15" i="31" s="1"/>
  <c r="H16" i="31" s="1"/>
  <c r="Q9" i="31"/>
  <c r="N9" i="31"/>
  <c r="N17" i="31" s="1"/>
  <c r="H9" i="31"/>
  <c r="H17" i="31" s="1"/>
  <c r="E9" i="31"/>
  <c r="Q8" i="31"/>
  <c r="Q17" i="31" s="1"/>
  <c r="K8" i="31"/>
  <c r="K9" i="31" s="1"/>
  <c r="K10" i="31" s="1"/>
  <c r="K11" i="31" s="1"/>
  <c r="K12" i="31" s="1"/>
  <c r="K13" i="31" s="1"/>
  <c r="K14" i="31" s="1"/>
  <c r="K15" i="31" s="1"/>
  <c r="K16" i="31" s="1"/>
  <c r="I8" i="31"/>
  <c r="I9" i="31" s="1"/>
  <c r="H8" i="31"/>
  <c r="E8" i="31"/>
  <c r="B8" i="31"/>
  <c r="R7" i="31"/>
  <c r="S7" i="31" s="1"/>
  <c r="L7" i="31"/>
  <c r="M7" i="31" s="1"/>
  <c r="I7" i="31"/>
  <c r="J7" i="31" s="1"/>
  <c r="F7" i="31"/>
  <c r="F8" i="31" s="1"/>
  <c r="C7" i="31"/>
  <c r="C8" i="31" s="1"/>
  <c r="S6" i="31"/>
  <c r="R6" i="31"/>
  <c r="O6" i="31"/>
  <c r="P6" i="31" s="1"/>
  <c r="L6" i="31"/>
  <c r="M6" i="31" s="1"/>
  <c r="I6" i="31"/>
  <c r="J6" i="31" s="1"/>
  <c r="F6" i="31"/>
  <c r="G6" i="31" s="1"/>
  <c r="D6" i="31"/>
  <c r="C6" i="31"/>
  <c r="I31" i="38"/>
  <c r="I30" i="38"/>
  <c r="I29" i="38"/>
  <c r="I28" i="38"/>
  <c r="I27" i="38"/>
  <c r="I26" i="38"/>
  <c r="C31" i="38"/>
  <c r="C30" i="38"/>
  <c r="C29" i="38"/>
  <c r="C28" i="38"/>
  <c r="C27" i="38"/>
  <c r="C26" i="38"/>
  <c r="B31" i="38"/>
  <c r="B30" i="38"/>
  <c r="B29" i="38"/>
  <c r="B28" i="38"/>
  <c r="B27" i="38"/>
  <c r="B26" i="38"/>
  <c r="C11" i="38"/>
  <c r="C10" i="38"/>
  <c r="B11" i="38"/>
  <c r="B10" i="38"/>
  <c r="B10" i="41"/>
  <c r="C11" i="41"/>
  <c r="B11" i="41"/>
  <c r="C10" i="41"/>
  <c r="C10" i="39"/>
  <c r="B10" i="39"/>
  <c r="C9" i="39"/>
  <c r="B9" i="39"/>
  <c r="C15" i="33"/>
  <c r="C14" i="33"/>
  <c r="B14" i="33"/>
  <c r="C51" i="33"/>
  <c r="C50" i="33"/>
  <c r="C49" i="33"/>
  <c r="B51" i="33"/>
  <c r="B50" i="33"/>
  <c r="B49" i="33"/>
  <c r="B48" i="33"/>
  <c r="B15" i="33"/>
  <c r="B10" i="33"/>
  <c r="A10" i="33"/>
  <c r="C48" i="33"/>
  <c r="C17" i="41"/>
  <c r="B17" i="41"/>
  <c r="C16" i="41"/>
  <c r="B16" i="41"/>
  <c r="C33" i="33"/>
  <c r="B33" i="33"/>
  <c r="B31" i="33"/>
  <c r="C34" i="33"/>
  <c r="B34" i="33"/>
  <c r="C32" i="33"/>
  <c r="B32" i="33"/>
  <c r="C31" i="33"/>
  <c r="AU36" i="1" l="1"/>
  <c r="B18" i="41"/>
  <c r="C18" i="41"/>
  <c r="C12" i="41"/>
  <c r="B12" i="41"/>
  <c r="H32" i="38"/>
  <c r="B12" i="38"/>
  <c r="C12" i="38"/>
  <c r="V22" i="35"/>
  <c r="W22" i="35"/>
  <c r="R30" i="35"/>
  <c r="R29" i="35"/>
  <c r="R28" i="35"/>
  <c r="Q33" i="35"/>
  <c r="R27" i="35"/>
  <c r="P33" i="35"/>
  <c r="R21" i="35"/>
  <c r="R20" i="35"/>
  <c r="R19" i="35"/>
  <c r="R18" i="35"/>
  <c r="R17" i="35"/>
  <c r="R16" i="35"/>
  <c r="P10" i="35"/>
  <c r="J33" i="35"/>
  <c r="J17" i="35"/>
  <c r="J21" i="35"/>
  <c r="J19" i="35"/>
  <c r="H22" i="35"/>
  <c r="J16" i="35"/>
  <c r="J18" i="35"/>
  <c r="J20" i="35"/>
  <c r="I22" i="35"/>
  <c r="H10" i="35"/>
  <c r="I10" i="35"/>
  <c r="D30" i="35"/>
  <c r="B20" i="35"/>
  <c r="D28" i="35"/>
  <c r="B10" i="35"/>
  <c r="C20" i="35"/>
  <c r="C10" i="35"/>
  <c r="B31" i="35"/>
  <c r="D27" i="35"/>
  <c r="D29" i="35"/>
  <c r="C31" i="35"/>
  <c r="D49" i="33"/>
  <c r="D51" i="33"/>
  <c r="B52" i="33"/>
  <c r="D48" i="33"/>
  <c r="D50" i="33"/>
  <c r="C52" i="33"/>
  <c r="D31" i="33"/>
  <c r="I31" i="33" s="1"/>
  <c r="B35" i="33"/>
  <c r="D32" i="33"/>
  <c r="I32" i="33" s="1"/>
  <c r="D34" i="33"/>
  <c r="I34" i="33" s="1"/>
  <c r="D33" i="33"/>
  <c r="I33" i="33" s="1"/>
  <c r="C35" i="33"/>
  <c r="B16" i="33"/>
  <c r="C16" i="33"/>
  <c r="D8" i="31"/>
  <c r="G8" i="31"/>
  <c r="F9" i="31"/>
  <c r="I10" i="31"/>
  <c r="J9" i="31"/>
  <c r="J8" i="31"/>
  <c r="D7" i="31"/>
  <c r="G7" i="31"/>
  <c r="R8" i="31"/>
  <c r="O7" i="31"/>
  <c r="B9" i="31"/>
  <c r="B10" i="31" s="1"/>
  <c r="B11" i="31" s="1"/>
  <c r="B12" i="31" s="1"/>
  <c r="B13" i="31" s="1"/>
  <c r="B14" i="31" s="1"/>
  <c r="B15" i="31" s="1"/>
  <c r="B16" i="31" s="1"/>
  <c r="E10" i="31"/>
  <c r="E11" i="31" s="1"/>
  <c r="E12" i="31" s="1"/>
  <c r="E13" i="31" s="1"/>
  <c r="E14" i="31" s="1"/>
  <c r="E15" i="31" s="1"/>
  <c r="E16" i="31" s="1"/>
  <c r="K17" i="31"/>
  <c r="L8" i="31"/>
  <c r="AT51" i="1"/>
  <c r="AT31" i="1"/>
  <c r="AT32" i="1"/>
  <c r="AT30" i="1"/>
  <c r="AT48" i="1"/>
  <c r="AT34" i="1"/>
  <c r="AT63" i="1"/>
  <c r="AT53" i="1"/>
  <c r="AT46" i="1"/>
  <c r="AT47" i="1"/>
  <c r="AT54" i="1"/>
  <c r="AT61" i="1"/>
  <c r="AT39" i="1"/>
  <c r="AT40" i="1"/>
  <c r="AT41" i="1"/>
  <c r="AT33" i="1"/>
  <c r="AT62" i="1"/>
  <c r="AT60" i="1"/>
  <c r="AT13" i="1"/>
  <c r="AT24" i="1"/>
  <c r="AT25" i="1"/>
  <c r="AT26" i="1"/>
  <c r="AT27" i="1"/>
  <c r="AT28" i="1"/>
  <c r="AT15" i="1"/>
  <c r="AT16" i="1"/>
  <c r="AT17" i="1"/>
  <c r="AT18" i="1"/>
  <c r="AT19" i="1"/>
  <c r="AT20" i="1"/>
  <c r="AT21" i="1"/>
  <c r="AT22" i="1"/>
  <c r="AT10" i="1"/>
  <c r="AT8" i="1"/>
  <c r="AT11" i="1"/>
  <c r="AT23" i="1"/>
  <c r="AT50" i="1"/>
  <c r="I35" i="33" l="1"/>
  <c r="H34" i="33" s="1"/>
  <c r="H33" i="33"/>
  <c r="R33" i="35"/>
  <c r="R22" i="35"/>
  <c r="J22" i="35"/>
  <c r="D31" i="35"/>
  <c r="D20" i="35"/>
  <c r="D52" i="33"/>
  <c r="D35" i="33"/>
  <c r="S8" i="31"/>
  <c r="R9" i="31"/>
  <c r="E17" i="31"/>
  <c r="J10" i="31"/>
  <c r="I11" i="31"/>
  <c r="B17" i="31"/>
  <c r="C9" i="31"/>
  <c r="L9" i="31"/>
  <c r="M8" i="31"/>
  <c r="P7" i="31"/>
  <c r="O8" i="31"/>
  <c r="G9" i="31"/>
  <c r="F10" i="31"/>
  <c r="AI25" i="1"/>
  <c r="AJ25" i="1" s="1"/>
  <c r="H31" i="33" l="1"/>
  <c r="H32" i="33"/>
  <c r="G10" i="31"/>
  <c r="F11" i="31"/>
  <c r="P8" i="31"/>
  <c r="O9" i="31"/>
  <c r="L10" i="31"/>
  <c r="M9" i="31"/>
  <c r="D9" i="31"/>
  <c r="C10" i="31"/>
  <c r="J11" i="31"/>
  <c r="I12" i="31"/>
  <c r="R10" i="31"/>
  <c r="S9" i="31"/>
  <c r="AU13" i="1"/>
  <c r="AU24" i="1"/>
  <c r="AU25" i="1"/>
  <c r="AU26" i="1"/>
  <c r="AU27" i="1"/>
  <c r="AU28" i="1"/>
  <c r="AU15" i="1"/>
  <c r="AU16" i="1"/>
  <c r="AU17" i="1"/>
  <c r="AU18" i="1"/>
  <c r="AU19" i="1"/>
  <c r="AU20" i="1"/>
  <c r="AU21" i="1"/>
  <c r="AU22" i="1"/>
  <c r="AU10" i="1"/>
  <c r="AU8" i="1"/>
  <c r="AU11" i="1"/>
  <c r="AU23" i="1"/>
  <c r="AU50" i="1"/>
  <c r="AU51" i="1"/>
  <c r="AU31" i="1"/>
  <c r="AU32" i="1"/>
  <c r="AU30" i="1"/>
  <c r="AU49" i="1"/>
  <c r="AU48" i="1"/>
  <c r="AU34" i="1"/>
  <c r="AU63" i="1"/>
  <c r="AU53" i="1"/>
  <c r="AU46" i="1"/>
  <c r="AU47" i="1"/>
  <c r="AU54" i="1"/>
  <c r="AU61" i="1"/>
  <c r="AU39" i="1"/>
  <c r="AU40" i="1"/>
  <c r="AU41" i="1"/>
  <c r="AU33" i="1"/>
  <c r="AU62" i="1"/>
  <c r="AU60" i="1"/>
  <c r="AU12" i="1"/>
  <c r="AT12" i="1"/>
  <c r="H35" i="33" l="1"/>
  <c r="D10" i="31"/>
  <c r="C11" i="31"/>
  <c r="R11" i="31"/>
  <c r="S10" i="31"/>
  <c r="J12" i="31"/>
  <c r="I13" i="31"/>
  <c r="M10" i="31"/>
  <c r="L11" i="31"/>
  <c r="P9" i="31"/>
  <c r="O10" i="31"/>
  <c r="G11" i="31"/>
  <c r="F12" i="31"/>
  <c r="AJ63" i="1"/>
  <c r="AJ48" i="1"/>
  <c r="G12" i="31" l="1"/>
  <c r="F13" i="31"/>
  <c r="O11" i="31"/>
  <c r="P10" i="31"/>
  <c r="M11" i="31"/>
  <c r="L12" i="31"/>
  <c r="J13" i="31"/>
  <c r="I14" i="31"/>
  <c r="S11" i="31"/>
  <c r="R12" i="31"/>
  <c r="C12" i="31"/>
  <c r="D11" i="31"/>
  <c r="AJ18" i="1"/>
  <c r="AJ17" i="1"/>
  <c r="AJ11" i="1"/>
  <c r="AJ30" i="1"/>
  <c r="AJ29" i="1"/>
  <c r="AJ50" i="1"/>
  <c r="AO50" i="1" s="1"/>
  <c r="AJ8" i="1"/>
  <c r="AJ51" i="1"/>
  <c r="AO51" i="1" s="1"/>
  <c r="AJ43" i="1"/>
  <c r="AJ53" i="1"/>
  <c r="AJ46" i="1"/>
  <c r="AJ47" i="1"/>
  <c r="AJ54" i="1"/>
  <c r="AJ61" i="1"/>
  <c r="AJ39" i="1"/>
  <c r="AJ41" i="1"/>
  <c r="AJ33" i="1"/>
  <c r="AJ37" i="1"/>
  <c r="AL37" i="1" s="1"/>
  <c r="AJ62" i="1"/>
  <c r="AJ23" i="1"/>
  <c r="AJ31" i="1"/>
  <c r="AJ32" i="1"/>
  <c r="AJ20" i="1"/>
  <c r="AJ19" i="1"/>
  <c r="AJ22" i="1"/>
  <c r="AJ21" i="1"/>
  <c r="AJ60" i="1"/>
  <c r="AJ10" i="1"/>
  <c r="AT37" i="1" l="1"/>
  <c r="AU37" i="1"/>
  <c r="AT29" i="1"/>
  <c r="AU29" i="1"/>
  <c r="C13" i="31"/>
  <c r="D12" i="31"/>
  <c r="R13" i="31"/>
  <c r="S12" i="31"/>
  <c r="I15" i="31"/>
  <c r="J14" i="31"/>
  <c r="M12" i="31"/>
  <c r="L13" i="31"/>
  <c r="O12" i="31"/>
  <c r="P11" i="31"/>
  <c r="F14" i="31"/>
  <c r="G13" i="31"/>
  <c r="AJ16" i="1"/>
  <c r="AJ28" i="1"/>
  <c r="F15" i="31" l="1"/>
  <c r="G14" i="31"/>
  <c r="O13" i="31"/>
  <c r="P12" i="31"/>
  <c r="M13" i="31"/>
  <c r="L14" i="31"/>
  <c r="I16" i="31"/>
  <c r="J16" i="31" s="1"/>
  <c r="J15" i="31"/>
  <c r="S13" i="31"/>
  <c r="R14" i="31"/>
  <c r="C14" i="31"/>
  <c r="D13" i="31"/>
  <c r="C15" i="31" l="1"/>
  <c r="D14" i="31"/>
  <c r="S14" i="31"/>
  <c r="R15" i="31"/>
  <c r="M14" i="31"/>
  <c r="L15" i="31"/>
  <c r="P13" i="31"/>
  <c r="O14" i="31"/>
  <c r="F16" i="31"/>
  <c r="G16" i="31" s="1"/>
  <c r="G15" i="31"/>
  <c r="AT14" i="1"/>
  <c r="AU14" i="1"/>
  <c r="AJ27" i="1"/>
  <c r="P14" i="31" l="1"/>
  <c r="O15" i="31"/>
  <c r="M15" i="31"/>
  <c r="L16" i="31"/>
  <c r="M16" i="31" s="1"/>
  <c r="S15" i="31"/>
  <c r="R16" i="31"/>
  <c r="S16" i="31" s="1"/>
  <c r="C16" i="31"/>
  <c r="D16" i="31" s="1"/>
  <c r="D15" i="31"/>
  <c r="AJ26" i="1"/>
  <c r="AJ14" i="1"/>
  <c r="AJ12" i="1"/>
  <c r="AJ13" i="1"/>
  <c r="AJ24" i="1"/>
  <c r="P15" i="31" l="1"/>
  <c r="O16" i="31"/>
  <c r="P16" i="31" s="1"/>
  <c r="O6" i="27"/>
  <c r="O5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tc={DB016134-E0D5-4311-9B21-205339523CC6}</author>
  </authors>
  <commentList>
    <comment ref="Z30" authorId="0" shapeId="0" xr:uid="{DB016134-E0D5-4311-9B21-205339523C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secop ii la fecha fin es 12 de oct sin embargo deberia ser 15 de oct ya que son 6 meses de ejecucio´n a partir de la póliza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tc={88861BCC-E6C7-4EA6-BF55-FA90F18CB67F}</author>
  </authors>
  <commentList>
    <comment ref="AA48" authorId="0" shapeId="0" xr:uid="{88861BCC-E6C7-4EA6-BF55-FA90F18CB6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secop ii la fecha fin es 12 de oct sin embargo deberia ser 15 de oct ya que son 6 meses de ejecucio´n a partir de la póliza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tc={7A8C8FE0-FB69-4BB9-99D4-F0E4813B2079}</author>
  </authors>
  <commentList>
    <comment ref="AB44" authorId="0" shapeId="0" xr:uid="{7A8C8FE0-FB69-4BB9-99D4-F0E4813B20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secop ii la fecha fin es 12 de oct sin embargo deberia ser 15 de oct ya que son 6 meses de ejecucio´n a partir de la póliza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tc={EE759690-9FA8-4D18-B3E5-F81CF5B95B2E}</author>
  </authors>
  <commentList>
    <comment ref="AB49" authorId="0" shapeId="0" xr:uid="{EE759690-9FA8-4D18-B3E5-F81CF5B95B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secop ii la fecha fin es 12 de oct sin embargo deberia ser 15 de oct ya que son 6 meses de ejecucio´n a partir de la póliza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tc={6E189C66-7377-440D-B72D-21A2CFA772D4}</author>
  </authors>
  <commentList>
    <comment ref="Z30" authorId="0" shapeId="0" xr:uid="{6E189C66-7377-440D-B72D-21A2CFA772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secop ii la fecha fin es 12 de oct sin embargo deberia ser 15 de oct ya que son 6 meses de ejecucio´n a partir de la póliza</t>
      </text>
    </comment>
  </commentList>
</comments>
</file>

<file path=xl/sharedStrings.xml><?xml version="1.0" encoding="utf-8"?>
<sst xmlns="http://schemas.openxmlformats.org/spreadsheetml/2006/main" count="10095" uniqueCount="813">
  <si>
    <t>Etiquetas de fila</t>
  </si>
  <si>
    <t>Cuenta de Adjudicado ?</t>
  </si>
  <si>
    <t>Adjudicado 2023</t>
  </si>
  <si>
    <t>Adjudicado 2024</t>
  </si>
  <si>
    <t>36 procesos</t>
  </si>
  <si>
    <t>Proceso pendiente 2024</t>
  </si>
  <si>
    <t>19 procesos adjudicados</t>
  </si>
  <si>
    <t>Total general</t>
  </si>
  <si>
    <t>*52% de procesos adjudicados en OASTI en el primer trimestre respecto al PAA</t>
  </si>
  <si>
    <t xml:space="preserve">Cumplir con lo programado en el PAA y tramitar las vigencias </t>
  </si>
  <si>
    <t>num</t>
  </si>
  <si>
    <t>Código UNSPSC</t>
  </si>
  <si>
    <t>Rubro</t>
  </si>
  <si>
    <t>Grupo</t>
  </si>
  <si>
    <t>Subgrupo</t>
  </si>
  <si>
    <t>Detalle</t>
  </si>
  <si>
    <t>Pertenece a la OASTI</t>
  </si>
  <si>
    <t>Area a la que pertenece</t>
  </si>
  <si>
    <t>Año PAA</t>
  </si>
  <si>
    <t>Línea PAA</t>
  </si>
  <si>
    <t>Contratado 2024</t>
  </si>
  <si>
    <t>Adjudicado ?</t>
  </si>
  <si>
    <t>Supervisor del contrato</t>
  </si>
  <si>
    <t>Apoyo de la supervisión</t>
  </si>
  <si>
    <t>Fecha de designacion de supervisión</t>
  </si>
  <si>
    <t>Sistema de Información donde esta publicado el proceso</t>
  </si>
  <si>
    <t>Nombre del Contratista</t>
  </si>
  <si>
    <t>Objeto</t>
  </si>
  <si>
    <t>Numero de proceso o de evento de cotización</t>
  </si>
  <si>
    <t>Numero del
 contrato</t>
  </si>
  <si>
    <t>Numero de Orden de compra</t>
  </si>
  <si>
    <t xml:space="preserve">Cantidad de pagos vigencia 2024 con corte al 29 de febrero </t>
  </si>
  <si>
    <t>Fecha de suscripción de contrato</t>
  </si>
  <si>
    <t>Fecha aprobación póliza</t>
  </si>
  <si>
    <t>Fecha de inicio de ejecución (acta de inicio)</t>
  </si>
  <si>
    <t>Fecha Final</t>
  </si>
  <si>
    <t>Fecha de inicio de servicio</t>
  </si>
  <si>
    <t>Fecha Final del servicio</t>
  </si>
  <si>
    <t xml:space="preserve">Fuente vigencia </t>
  </si>
  <si>
    <t>Tipo de proceso</t>
  </si>
  <si>
    <t>Valor total incial del contrato</t>
  </si>
  <si>
    <t>Valor adiciones/reducciones</t>
  </si>
  <si>
    <t>Valor total final del contrato</t>
  </si>
  <si>
    <t>Valor antes del 2024</t>
  </si>
  <si>
    <t>Valor asignado al 2024</t>
  </si>
  <si>
    <t>Valor despues del 2024</t>
  </si>
  <si>
    <t>Valor total asignado al PAA 2024</t>
  </si>
  <si>
    <t>Diferencia con lo contratado respecto al PAA</t>
  </si>
  <si>
    <t>Liberaciones de CDP</t>
  </si>
  <si>
    <t>Valor ejecutado vigencia 2024
Corte 29 de febrero
presupuesto 2024</t>
  </si>
  <si>
    <t>Pago Mensual
Aproximado</t>
  </si>
  <si>
    <t>Porcentaje de ejecución presupuestal 2024</t>
  </si>
  <si>
    <t>Presupuesto pendiente de ejecutar o  liberar en el 2024</t>
  </si>
  <si>
    <t>Expediente Orfeo</t>
  </si>
  <si>
    <t>URL SECOP II/TVEC</t>
  </si>
  <si>
    <t>Observaciones</t>
  </si>
  <si>
    <t>Contratista Persona Natural</t>
  </si>
  <si>
    <t>Ekogui</t>
  </si>
  <si>
    <t>Requerimientos</t>
  </si>
  <si>
    <t>Si</t>
  </si>
  <si>
    <t>OASTI</t>
  </si>
  <si>
    <t>Oswaldo Useche Acevedo</t>
  </si>
  <si>
    <t>Compartida DGI-OASTI (Giovanna)</t>
  </si>
  <si>
    <t>Se envía a Giovana por Orfeo el 12 de febrero de 2024</t>
  </si>
  <si>
    <t>SECOP II</t>
  </si>
  <si>
    <t>Edna Viviana Katherine Peña Rivera</t>
  </si>
  <si>
    <t>Consultoría  Individual  como  Analista de Flujos de Procesos  y  Requisitos  funcionales para  el mejoramiento de funcionalidades y evolución del sistema eKOGUI.</t>
  </si>
  <si>
    <t>CO-L1251-P187498</t>
  </si>
  <si>
    <t>BID 012 2024</t>
  </si>
  <si>
    <t>N/A</t>
  </si>
  <si>
    <t>No Aplica</t>
  </si>
  <si>
    <t>No aplica</t>
  </si>
  <si>
    <t>Inversión BID</t>
  </si>
  <si>
    <t>Persona Natural (Contratista)</t>
  </si>
  <si>
    <t>20241044501000017E</t>
  </si>
  <si>
    <t>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</t>
  </si>
  <si>
    <t>Clara Ines Perez Caceres</t>
  </si>
  <si>
    <t>CO-L1251-P187497</t>
  </si>
  <si>
    <t>BID 011 2024</t>
  </si>
  <si>
    <t>20241044501000016E</t>
  </si>
  <si>
    <t>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</t>
  </si>
  <si>
    <t>A-02-02-02-008-003</t>
  </si>
  <si>
    <t>eKOGUI</t>
  </si>
  <si>
    <t>Análista de Bodega de Datos</t>
  </si>
  <si>
    <t>Compartida OASTI- DGI (Giovanna)</t>
  </si>
  <si>
    <t>Se envía a Giovana por Orfeo el 29 de enero de 2024</t>
  </si>
  <si>
    <t>Angela María Franco Perez</t>
  </si>
  <si>
    <t>Prestación de servicios profesionales como análista de bodega de datos del Sistema eKOGUI.</t>
  </si>
  <si>
    <t>CD-026-2024</t>
  </si>
  <si>
    <t>026-2024</t>
  </si>
  <si>
    <t>Funcionamiento</t>
  </si>
  <si>
    <t>20241100801000005E</t>
  </si>
  <si>
    <t>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</t>
  </si>
  <si>
    <t>Servicios Tecnológicos</t>
  </si>
  <si>
    <t>Suscripción Garantías</t>
  </si>
  <si>
    <t>Renovación de garantía para equipos de infraestructura.</t>
  </si>
  <si>
    <t>Daniel</t>
  </si>
  <si>
    <t>Se envía a Daniel por Orfeo el 15 de febrero de 2024</t>
  </si>
  <si>
    <t>Computel System S.A.S.</t>
  </si>
  <si>
    <t xml:space="preserve">Renovación de soporte y garantía de equipo de infraestructura </t>
  </si>
  <si>
    <t>SASIE-001-2024</t>
  </si>
  <si>
    <t>048-2024</t>
  </si>
  <si>
    <t>- Dos Switches: 14/02/2024
-Cinco servidores 
12/02/2024</t>
  </si>
  <si>
    <t xml:space="preserve">- Dos Switches: 12/11/2026
-Cinco servidores: 11/02/2027 </t>
  </si>
  <si>
    <t>Selección abreviada subasta inversa</t>
  </si>
  <si>
    <t>20241100803000001E</t>
  </si>
  <si>
    <t>https://www.secop.gov.co/CO1ContractsManagement/Tendering/ProcurementContractEdit/View?docUniqueIdentifier=CO1.PCCNTR.5900803&amp;awardUniqueIdentifier=CO1.AWD.1844823&amp;buyerDossierUniqueIdentifier=CO1.BDOS.5392298&amp;id=3304019</t>
  </si>
  <si>
    <t>Centro de datos</t>
  </si>
  <si>
    <t>servicios de centro de datos, Nube Privada IV</t>
  </si>
  <si>
    <t>No</t>
  </si>
  <si>
    <t>Daniel Rojas Rubio</t>
  </si>
  <si>
    <t>Se envía por orfeo a Daniel el 14 de diciembre de 2023</t>
  </si>
  <si>
    <t>TVEC</t>
  </si>
  <si>
    <t>Comunicación Celular S.A Comcel S.A</t>
  </si>
  <si>
    <t>Orden de compra para la prestación de servicios de centro de datos para los sistemas misionales de la Agencia Nacional de Defensa Jurídica del Estado.</t>
  </si>
  <si>
    <t>157-2023</t>
  </si>
  <si>
    <t xml:space="preserve">Acuerdo Marco de Precios </t>
  </si>
  <si>
    <t>2023110080700005E</t>
  </si>
  <si>
    <t xml:space="preserve">https://www.colombiacompra.gov.co/tienda-virtual-del-estado-colombiano/ordenes-compra/121005
</t>
  </si>
  <si>
    <t>Conectividad</t>
  </si>
  <si>
    <t>Internet Agencia y canal entre sistemas de información</t>
  </si>
  <si>
    <t>Se envía por orfeo a Daniel el 29 de noviembre de 2023</t>
  </si>
  <si>
    <t>Prestación de servicios de conectividad para la Agencia Nacional de Defensa
Jurídica del Estado.</t>
  </si>
  <si>
    <t>150-2023</t>
  </si>
  <si>
    <t>2023110080700004E</t>
  </si>
  <si>
    <t>https://www.colombiacompra.gov.co/tienda-virtual-del-estado-colombiano/ordenes-compra/120075</t>
  </si>
  <si>
    <t>Fábrica de software</t>
  </si>
  <si>
    <t>Servicios de desarrollo de software para la funcionalidad de Extrajudiciales</t>
  </si>
  <si>
    <t>OASTI-DGI</t>
  </si>
  <si>
    <t xml:space="preserve">Diana Giovanna Rivera Pineda </t>
  </si>
  <si>
    <t>Se envía por orfeo a Giovanna el 27 de agosto de 2023</t>
  </si>
  <si>
    <t>LinkTIC S.A.S.</t>
  </si>
  <si>
    <t>Contratar la prestación de servicios de desarrollo de software e implementación del módulo de conciliaciones extrajudiciales que hace parte del eKOGUI.</t>
  </si>
  <si>
    <t>AEI desarrollo de software e implementación</t>
  </si>
  <si>
    <t>BID-049-2023</t>
  </si>
  <si>
    <t>Servicio de consultoría</t>
  </si>
  <si>
    <t>2023104450100002E</t>
  </si>
  <si>
    <t>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</t>
  </si>
  <si>
    <t>-El 26 de marzo se realiza el Otrosí No. 4 para el contrato, donde, el plazo de ejecución va hasta el 30 de septiembre de 2024 sin adición de recursos.</t>
  </si>
  <si>
    <t>Pruebas Operación</t>
  </si>
  <si>
    <t>Se envía a Giovana por Orfeo el 23 de enero de 2024</t>
  </si>
  <si>
    <t>Solanyel Guerrero Fúneme</t>
  </si>
  <si>
    <t>Prestación de servicios profesionales para revisión de flujos de procesos y pruebas para la operación del eKOGUI.</t>
  </si>
  <si>
    <t>CD-018-2024</t>
  </si>
  <si>
    <t>18-2024</t>
  </si>
  <si>
    <t>20241100801000004E</t>
  </si>
  <si>
    <t>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</t>
  </si>
  <si>
    <t>Liliana Maritza Urueña Rodriguez</t>
  </si>
  <si>
    <t>CD-020-2024</t>
  </si>
  <si>
    <t>020-2024</t>
  </si>
  <si>
    <t>20241100801000003E</t>
  </si>
  <si>
    <t>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</t>
  </si>
  <si>
    <t>Migración y Calidad de Datos</t>
  </si>
  <si>
    <t>Claudia Marcela Peña Hernandez</t>
  </si>
  <si>
    <t>Prestación de servicios profesionales para la migración y calidad de datos de eKOGUI.</t>
  </si>
  <si>
    <t>CD-014-2024</t>
  </si>
  <si>
    <t>014-2024</t>
  </si>
  <si>
    <t>20241100801000002E</t>
  </si>
  <si>
    <t>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</t>
  </si>
  <si>
    <t xml:space="preserve">Pruebas transformación </t>
  </si>
  <si>
    <t>Gigliola Esmeralda Montañez Murillo</t>
  </si>
  <si>
    <t>Prestación de servicios profesionales para apoyar la articulación de los roles de pruebas funcionales para la evolución y transformación del eKOGUI.</t>
  </si>
  <si>
    <t>CD-022-2024</t>
  </si>
  <si>
    <t>022-2024</t>
  </si>
  <si>
    <t>20241100801000006E</t>
  </si>
  <si>
    <t>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</t>
  </si>
  <si>
    <t>Desarrollador</t>
  </si>
  <si>
    <t>Michael Andres Salgado Salazar</t>
  </si>
  <si>
    <t>Consultoría  como  desarrollador de software senior en el marco de la operación y evolución del eKOGUI</t>
  </si>
  <si>
    <t xml:space="preserve">CO-L1251-P187516	</t>
  </si>
  <si>
    <t>BID 006 2024</t>
  </si>
  <si>
    <t>20241044501000010E</t>
  </si>
  <si>
    <t>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</t>
  </si>
  <si>
    <t xml:space="preserve">Desarrollador  </t>
  </si>
  <si>
    <t>Carlos Andres Gómez Durán</t>
  </si>
  <si>
    <t>Consultoría para acompañar a la Oficina Asesora de Tecnologías de la información  como desarrollador de software senior en el marco de la operación y evolución del eKOGUI.</t>
  </si>
  <si>
    <t>CO-L1251- P187515</t>
  </si>
  <si>
    <t>BID 007 2024</t>
  </si>
  <si>
    <t>20241044501000011E</t>
  </si>
  <si>
    <t>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</t>
  </si>
  <si>
    <t>Requerimientos Líder</t>
  </si>
  <si>
    <t>Julia Alejandra Leal López</t>
  </si>
  <si>
    <t>Consultoría individual como lider del equipo de levantamiento de flujos de procesos y requisitos funcionales para el mejoramiento y evolución del Sistema eKOGUI.</t>
  </si>
  <si>
    <t>CO-L1251- P187518</t>
  </si>
  <si>
    <t>BID 008 2024</t>
  </si>
  <si>
    <t>20241044501000012E</t>
  </si>
  <si>
    <t>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</t>
  </si>
  <si>
    <t>Arquitecto de Software</t>
  </si>
  <si>
    <t>Carlos Alberto López Narváez</t>
  </si>
  <si>
    <t>Consultoría para acompañar a la Oficina Asesora de Tecnologías de la información  como Arquitecto de Software en el marco de la evolución y transformación del eKOGUI</t>
  </si>
  <si>
    <t>CO-L1241-P187517</t>
  </si>
  <si>
    <t>BID 009 2024</t>
  </si>
  <si>
    <t>20241044501000014E</t>
  </si>
  <si>
    <t>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</t>
  </si>
  <si>
    <t>Arquitecto de Soluciones</t>
  </si>
  <si>
    <t>Oscar Javier Suarez Ramos</t>
  </si>
  <si>
    <t>Diego Gabriel Forero</t>
  </si>
  <si>
    <t>Consultoría para acompañar a la Oficina Asesora de tecnologías de la información en la arquitectura de Soluciones de Negocio e Información en el marco de la evolución y transformación de los Sistemas de información misionales de la ANDJE.</t>
  </si>
  <si>
    <t>CO-L1251-P187512</t>
  </si>
  <si>
    <t>BID 016 2024</t>
  </si>
  <si>
    <t>20241044501000021E</t>
  </si>
  <si>
    <t>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</t>
  </si>
  <si>
    <t>Alquiler</t>
  </si>
  <si>
    <t>Impresora</t>
  </si>
  <si>
    <t>Jefferson Giraldo Muñoz</t>
  </si>
  <si>
    <t>Se envía por orfeo a Jefferson el 6 de diciembre de 2023</t>
  </si>
  <si>
    <t>Gran Imagen S.A.</t>
  </si>
  <si>
    <t>Prestación de servicios de alquiler de impresoras para la Agencia Nacional de Defensa Jurídica del Estado</t>
  </si>
  <si>
    <t>162-2023</t>
  </si>
  <si>
    <t xml:space="preserve">2023110080700006E </t>
  </si>
  <si>
    <t>https://www.colombiacompra.gov.co/tienda-virtual-del-estado-colombiano/ordenes-compra/121233</t>
  </si>
  <si>
    <t>Servicios de Atención</t>
  </si>
  <si>
    <t>Mesa de Servicio</t>
  </si>
  <si>
    <t>AMP Mesa de Servicio II. 3 profesionales y 3 técnicos</t>
  </si>
  <si>
    <t>Se envía por orfeo a Jefferson el 19 de diciembre de 2023</t>
  </si>
  <si>
    <t>Unión Temporal Sinergy - Hi Ware</t>
  </si>
  <si>
    <t>Orden de copra para adquirir servicios BPO y/o Mesa de ayuda de tecnologia que permita garantizar la operación de los sistemas misionales y de apoyo de la Agencia Nacional de Defensa Jurídica del Estado.</t>
  </si>
  <si>
    <t>164-2023</t>
  </si>
  <si>
    <t>2023110080700003E</t>
  </si>
  <si>
    <t>https://www.colombiacompra.gov.co/tienda-virtual-del-estado-colombiano/ordenes-compra/?number_order=121992&amp;state=&amp;entity=&amp;tool=&amp;date_to&amp;date_from</t>
  </si>
  <si>
    <t>Aplicaciones</t>
  </si>
  <si>
    <t>Gestión Documental</t>
  </si>
  <si>
    <t>Licenciamiento de gestor documental orfeo</t>
  </si>
  <si>
    <t>Oswaldo Useche Acevedo - Carlos Andrés Higuera Velez</t>
  </si>
  <si>
    <t>Se envía por orfeo a Jefferson el 7 de diciembre de 2023</t>
  </si>
  <si>
    <t xml:space="preserve">Servisoft S.A. </t>
  </si>
  <si>
    <t>Adquirir licenciamiento de un sistema de gestión documental electrónico de archivo – SGDEA- que incluya implementación, capacitación, soporte y mantenimiento en el marco del Programa de Fortalecimiento de la Agencia Nacional de Defensa Jurídica del Estado”</t>
  </si>
  <si>
    <t>CO-L1251-P173216</t>
  </si>
  <si>
    <t>BID-055-2023</t>
  </si>
  <si>
    <t>20231044501000064E</t>
  </si>
  <si>
    <t>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</t>
  </si>
  <si>
    <t>VideoProyectores</t>
  </si>
  <si>
    <t>Se envía por orfeo a Jefferson el 28 de diciembre de 2023</t>
  </si>
  <si>
    <t>Colsof SAS</t>
  </si>
  <si>
    <t xml:space="preserve">Prestación de servicios de alquiler de video proyectores para la Agencia Nacional de Defensa Jurídica del Estado. </t>
  </si>
  <si>
    <t>165-2023</t>
  </si>
  <si>
    <t>2023110080700009E</t>
  </si>
  <si>
    <t xml:space="preserve">https://www.colombiacompra.gov.co/tienda-virtual-del-estado-colombiano/ordenes-compra/122184
</t>
  </si>
  <si>
    <t>Desarrollo</t>
  </si>
  <si>
    <t>Desarrollador (Hardy) para temas de gestión documental</t>
  </si>
  <si>
    <t>Se envía a Liliana por Orfeo el 29 de enero de 2024.
Se envía a Jfferson el 19 de febrero y se le quita la actividad a Liliana</t>
  </si>
  <si>
    <t>Hardy Deimont Niño Velasquez</t>
  </si>
  <si>
    <t>Prestación de servicios profesionales para acompañar a la Oficina Asesora de Tecnologías de la Información en  el desarrollo de las nuevas funcionalidades en los portales o cualquier otra aplicación que permita tener contacto con los grupos de interés de la Agencia Nacional de Defensa Jurídica del Estado.</t>
  </si>
  <si>
    <t>CD-024-2024</t>
  </si>
  <si>
    <t>024-2024</t>
  </si>
  <si>
    <t>20241100801000001E</t>
  </si>
  <si>
    <t>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</t>
  </si>
  <si>
    <t>Especialista TI</t>
  </si>
  <si>
    <t>Especialista Operativo en Gestión de TI</t>
  </si>
  <si>
    <t>Unidad Ejecutora BID</t>
  </si>
  <si>
    <t>Liliana Barbosa</t>
  </si>
  <si>
    <t>Se envía a Giovana por Orfeo el 15 de febrero de 2024</t>
  </si>
  <si>
    <t>Augusto Rafael Gutierrez Rivera</t>
  </si>
  <si>
    <t>Consultoría individual como Especialista Operativo en Gestión de Información y Tecnologías de la Información para el Programa Fortalecimiento de la Agencia Nacional de Defensa Jurídica del Estado.</t>
  </si>
  <si>
    <t>CO-L1251-187520</t>
  </si>
  <si>
    <t>BID 014 2024</t>
  </si>
  <si>
    <t>20241044501000001E</t>
  </si>
  <si>
    <t>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</t>
  </si>
  <si>
    <t>A-02-02-02-008-004</t>
  </si>
  <si>
    <t>Certificados Digitales</t>
  </si>
  <si>
    <t>Certificados digitales: persona jurídica, función pública y wildcard</t>
  </si>
  <si>
    <t>Jefferson Giraldo Muñoz y Carlos de Financiera</t>
  </si>
  <si>
    <t>CAMERFIRMA COLOMBIA S.A.S.</t>
  </si>
  <si>
    <t>Renovación y compra de certificados digitales de la Agencia Nacional de Defensa Juridica.</t>
  </si>
  <si>
    <t>MC-002-2024</t>
  </si>
  <si>
    <t>063-2024</t>
  </si>
  <si>
    <t>26/032024</t>
  </si>
  <si>
    <t>Mínima cuantía</t>
  </si>
  <si>
    <t>El 12 de marzo se remite correo  a Jennifer para liberación de saldos.</t>
  </si>
  <si>
    <t>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</t>
  </si>
  <si>
    <t>-La wildcard esta por un periodo de dos años
-La firma jurídica esta por un periodo de dos años
-Los tokens están por un año y tienen diferentes fechas de vencimiento.</t>
  </si>
  <si>
    <t>43233502;
81112501</t>
  </si>
  <si>
    <t>Suscripción Software</t>
  </si>
  <si>
    <t>Stream Yard Pro. Renovar la suscripcón y esto pertenece a Dirección de política y estratégias.</t>
  </si>
  <si>
    <t>DPE</t>
  </si>
  <si>
    <t>Diego Alexander Gamba</t>
  </si>
  <si>
    <t>Core IP S.A.S.</t>
  </si>
  <si>
    <t>Renovación del licenciamiento Stream Yard Pro para la Agencia Nacional de Defensa Jurídica del Estado.</t>
  </si>
  <si>
    <t>MC-003-2024</t>
  </si>
  <si>
    <t>065-2024</t>
  </si>
  <si>
    <t>El 3 de abril del 2024 se solicita la liberación de los recursos del CDP.</t>
  </si>
  <si>
    <t>20241100806000002E</t>
  </si>
  <si>
    <t>https://www.secop.gov.co/CO1ContractsManagement/Tendering/ProcurementContractEdit/View?docUniqueIdentifier=CO1.PCCNTR.6111870&amp;awardUniqueIdentifier=CO1.AWD.1876133&amp;buyerDossierUniqueIdentifier=CO1.BDOS.5796313&amp;id=3462825</t>
  </si>
  <si>
    <t>C-1205-0800-3-20110E-1205008-0202</t>
  </si>
  <si>
    <t>Devops</t>
  </si>
  <si>
    <t>Diana Giovanna Rivera Pineda</t>
  </si>
  <si>
    <t>Cristhian Alejandro Caycedo Torres</t>
  </si>
  <si>
    <t>Consultoría para apoyar a la Oficina Asesora de Tecnologías de Ia Información en los despliegues en ambiente de produccion, tanto de funcionalidades como de herramientas y gestión de infraestructura  en el marco de la evolución y transformación del eKOGUI.</t>
  </si>
  <si>
    <t>CO- L1251-P187513</t>
  </si>
  <si>
    <t>BID 019 2024</t>
  </si>
  <si>
    <t>Comparación de HV</t>
  </si>
  <si>
    <t>El 12 de abril del 2024 se solicita la liberación de los recursos del CDP.</t>
  </si>
  <si>
    <t>20241044501000026E</t>
  </si>
  <si>
    <t>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</t>
  </si>
  <si>
    <t>-Este contrato tiene nueve pagos.</t>
  </si>
  <si>
    <t>C-1205-0800-3-20110E-1205007-0201</t>
  </si>
  <si>
    <t>Gobierno de Datos</t>
  </si>
  <si>
    <t>Liliana Barbosa Carrillo</t>
  </si>
  <si>
    <t>Federico López Gil</t>
  </si>
  <si>
    <t>Consultor individual que elabore la política, lineamientos e instrumentos propios para la adopción y apropiación de los casos de usos seleccionados en el Modelo de gobierno de datos y la adopción de la infraestructura de datos para la Agencia Nacional de Defensa Jurídica del Estado.</t>
  </si>
  <si>
    <t>CO-L1251-P187514</t>
  </si>
  <si>
    <t>BID 018 2024</t>
  </si>
  <si>
    <t>Contratación régimen especial - Contratación directa</t>
  </si>
  <si>
    <t>20241044501000027E</t>
  </si>
  <si>
    <t>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</t>
  </si>
  <si>
    <t>Seguridad</t>
  </si>
  <si>
    <t>Ciberseguridad</t>
  </si>
  <si>
    <t>Jenny Yasmin Pinzón Perilla</t>
  </si>
  <si>
    <t>Controles Empresariales</t>
  </si>
  <si>
    <t>Servicio ciberseguridad para monitoreo de seguridad, monitoreo de red, análisis de vulnerabilidades y plan de recuperación de desastres.</t>
  </si>
  <si>
    <t>24641</t>
  </si>
  <si>
    <t>127948</t>
  </si>
  <si>
    <t>Selección abreviada - acuerdo marco</t>
  </si>
  <si>
    <t>El 30 de abril del 2024 se solicita la liberación de los recursos del CDP.</t>
  </si>
  <si>
    <t>20241044501000032E</t>
  </si>
  <si>
    <t>https://www.colombiacompra.gov.co/tienda-virtual-del-estado-colombiano/ordenes-compra/127948</t>
  </si>
  <si>
    <t>Servicios de requerimientos y calidad</t>
  </si>
  <si>
    <t>Diana Giovanna Rivera Pineda y Lina Alejandra Morales Prieto</t>
  </si>
  <si>
    <t>Karen Andrea Pastrana Pérez</t>
  </si>
  <si>
    <t>Consultor individual como analista de levantamiento de requisitos y/o aseguramiento de calidad de software   sobre   controles de cambio y/o nuevas funcionalidades para el sistema e-KOGUI.</t>
  </si>
  <si>
    <t>CO-L1251-P199961-153</t>
  </si>
  <si>
    <t>BID 021 2024</t>
  </si>
  <si>
    <t>20241044501000033E</t>
  </si>
  <si>
    <t>https://www.secop.gov.co/CO1ContractsManagement/Tendering/ProcurementContractEdit/View?docUniqueIdentifier=CO1.PCCNTR.6194722&amp;awardUniqueIdentifier=&amp;buyerDossierUniqueIdentifier=CO1.BDOS.5947818&amp;id=3538656</t>
  </si>
  <si>
    <t xml:space="preserve">El plazo de duración es de seis meses </t>
  </si>
  <si>
    <t>Diego Francisco Moreno Guzmán</t>
  </si>
  <si>
    <t>Consultor individual como analista de levantamiento de requisitos y/o aseguramiento de calidad de software sobre   controles de cambio y/o nuevas  funcionalidades para el sistema e-KOGUI.</t>
  </si>
  <si>
    <t>CO-L1251-P199961-152</t>
  </si>
  <si>
    <t>BID 022 2024</t>
  </si>
  <si>
    <t>20241044501000039E</t>
  </si>
  <si>
    <t>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</t>
  </si>
  <si>
    <t>Servicios de calidad</t>
  </si>
  <si>
    <t>Lesley Ofelia Mesa Páez</t>
  </si>
  <si>
    <t>Consultoría individual como Analista de Flujos de Procesos y Requisitos funcionales para el mejoramiento de funcionalidades y evolución del sistema e-KOGUI.</t>
  </si>
  <si>
    <t xml:space="preserve">	
CO-L1251-P199958</t>
  </si>
  <si>
    <t>BID 023 2024</t>
  </si>
  <si>
    <t>Contratación régimen especial - Comparación de hojas de vida (3CV)</t>
  </si>
  <si>
    <t>20241044501000040E</t>
  </si>
  <si>
    <t>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</t>
  </si>
  <si>
    <t>El plazo de duración es de 8 meses y entrega 8 productos</t>
  </si>
  <si>
    <t>Seguridad de la Información</t>
  </si>
  <si>
    <t>Fredy Geovany Zea Rodriguez</t>
  </si>
  <si>
    <t>Prestación de servicios profesionales especializados  para  apoyar  a la Agencia en  el seguimiento del modelo de seguridad y privacidad de la información y el acompañamiento en las actividades de definición, revisión, elaboración e implementación de políticas,   procedimientos,   estándares   y   demás acciones que se deban llevar  a  cabo  para la operación del respectivo modelo.</t>
  </si>
  <si>
    <t>CD-090-2024</t>
  </si>
  <si>
    <t>098-2024</t>
  </si>
  <si>
    <t>Inversión Nación</t>
  </si>
  <si>
    <t>20241100801000007E</t>
  </si>
  <si>
    <t>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</t>
  </si>
  <si>
    <t>81111800;81112000</t>
  </si>
  <si>
    <t>Nube pública de capacidad gestión de la información</t>
  </si>
  <si>
    <t>Nube pública capacidad gestión de la información</t>
  </si>
  <si>
    <t>176. Adquirir capacidades de nube pública de Microsoft  AZURE  y  servicios para habilitar el manejador de base de datos y complementarios, orientados a fortalecer la capacidad de gestión de información y documentos de la Agencia Nacional de Defensa Jurídica del Estado.</t>
  </si>
  <si>
    <t>Nube pública de Ekogui</t>
  </si>
  <si>
    <t>Nube pública Ekogui</t>
  </si>
  <si>
    <t>177. Adquirir capacidades de nube pública  AZURE y servicios  para realizar evoluciones funcionales y de rendimiento del Módulo de fichas de conciliación de eKOGUI, orientados a fortalecer la capacidad de gestión  misional de la Agencia Nacional de Defensa Jurídica  del Estado.</t>
  </si>
  <si>
    <t>Fabríca para Ekogui</t>
  </si>
  <si>
    <t>Oswaldo Useche Acevedo - Laura Bernal Bermudez</t>
  </si>
  <si>
    <t>Fábrica</t>
  </si>
  <si>
    <t>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artificial.</t>
  </si>
  <si>
    <t>Contratación régimen especial - Selección basada en calidad y costo</t>
  </si>
  <si>
    <t>20241044501000013E</t>
  </si>
  <si>
    <t>Interventoría</t>
  </si>
  <si>
    <t>Interventoría para Ekogui</t>
  </si>
  <si>
    <t>Prestar los servicios de interventoría técnica, jurídica, financiera, administrativa y pruebas de aceptación funcional, al contrato que tiene por objeto "Prestar,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artificial".</t>
  </si>
  <si>
    <t>20241044501000019E</t>
  </si>
  <si>
    <t>Scripcase</t>
  </si>
  <si>
    <t xml:space="preserve">Jefferson Giraldo Muñoz </t>
  </si>
  <si>
    <t>Scriptcase</t>
  </si>
  <si>
    <t>Renovación y soporte herramientas de  scripcase.</t>
  </si>
  <si>
    <t>Consultoría</t>
  </si>
  <si>
    <t>CRM enfocado en evolutivo</t>
  </si>
  <si>
    <t>CRM</t>
  </si>
  <si>
    <t>Mantenimiento de optimización de flujos de los procesos y/o flujos implementados con el producto Dynamics 365 en el marco del programa de fortalecimiento de la Agencia Nacional de Defensa Jurídica del Estado</t>
  </si>
  <si>
    <t>-•	102. CRM, Se indica la importancia de formalizar la solicitud de contratación antes del próximo 05 de abril de 2024.</t>
  </si>
  <si>
    <t>Consultoría en Gobierno de Datos</t>
  </si>
  <si>
    <t>Empresa Gobierno de Datos</t>
  </si>
  <si>
    <t>Consultoría para la Implementación del modelo de gobierno de datos en la Agencia Nacional de Defensa Jurídica del Estado - Fase II.</t>
  </si>
  <si>
    <t>-•	97. Atrasado se solicita a la OASTI implementar las acciones pertinentes para ajustar el plazo de ejecución de la línea.</t>
  </si>
  <si>
    <t>81111820;43222641</t>
  </si>
  <si>
    <t>A-02-02-01-004-007</t>
  </si>
  <si>
    <t>IPV6 renovación por un año</t>
  </si>
  <si>
    <t>Renovar la membresía del protocolo IPv6 implementada en la infraestructura tecnológica de la Agencia Nacional de Defensa Jurídica del Estado.</t>
  </si>
  <si>
    <t>Antivirus y DLP</t>
  </si>
  <si>
    <t>Renovación Antivirus y DLP.</t>
  </si>
  <si>
    <t>Adobe</t>
  </si>
  <si>
    <t>Sandra Milena Roa Gil</t>
  </si>
  <si>
    <t>Renovación de las licencias Adobe Creative Cloud y  Adobe Pro Cloud para la Agencia Nacional de Defensa Jurídica del Estado.</t>
  </si>
  <si>
    <t>Iniciar el nuevo cntrato de conectividad a finales de noviembre.</t>
  </si>
  <si>
    <t>Prestación de servicios de conectividad para la Agencia Nacional de Defensa Jurídica del Estado.</t>
  </si>
  <si>
    <t>Servicio de atención</t>
  </si>
  <si>
    <t>Continuar el servicio de mesa a inicios de diciembre</t>
  </si>
  <si>
    <t>Adquirir Servicios BPO y/o Mesa de ayuda de tecnología  que permita garantizar la operación de los sistemas misionales y de apoyo de la Agencia Nacional de Defensa Jurídica del estado.</t>
  </si>
  <si>
    <t>Supervisión</t>
  </si>
  <si>
    <t>Estado del proceso</t>
  </si>
  <si>
    <t>Contratista</t>
  </si>
  <si>
    <t>Contrato</t>
  </si>
  <si>
    <t>Fecha de inicio</t>
  </si>
  <si>
    <t>Valor total del contrato</t>
  </si>
  <si>
    <t>Area</t>
  </si>
  <si>
    <t>Adjudicado y en ejecución</t>
  </si>
  <si>
    <t>Compartida</t>
  </si>
  <si>
    <t>Financiera</t>
  </si>
  <si>
    <t>DGI</t>
  </si>
  <si>
    <t>Adjudicado y con  retraso en la ejecución</t>
  </si>
  <si>
    <t>Falta adjudicar</t>
  </si>
  <si>
    <t>Adquisición, configuración, instalación, soporte y garantía de equipos de videoconferencia.</t>
  </si>
  <si>
    <t>Adquisición de hardware, periféricos y comunicaciones</t>
  </si>
  <si>
    <t>Adquirir capacidades de nube pública de Microsoft AZURE para mantener las necesidades computacionales y de aseguramiento de la seguridad del Sistema de Información Misional Ekogui.</t>
  </si>
  <si>
    <t>Prestar bajo la modalidad de fábrica de software el desarrollo de software e implementación de los controles de cambio del módulo de conciliaciones extrajudiciales que hace parte de eKOGUI</t>
  </si>
  <si>
    <t>https://www.mindmeister.com/1259115458</t>
  </si>
  <si>
    <t>Suma de Valor asignado para el 2019</t>
  </si>
  <si>
    <t>Suma de Valor ejecutado para el 2019
Corte Junio</t>
  </si>
  <si>
    <t>Suma de Valor por ejecutar con corte a junio de 2019</t>
  </si>
  <si>
    <t>Jota</t>
  </si>
  <si>
    <t>SECOP I</t>
  </si>
  <si>
    <t>Contratistas</t>
  </si>
  <si>
    <t>Apoyo Servicios Tecnológicos</t>
  </si>
  <si>
    <t>Gestión de Aplicaciones</t>
  </si>
  <si>
    <t>Gestión de Operaciones</t>
  </si>
  <si>
    <t>Planeación TI</t>
  </si>
  <si>
    <t>Mesa de servicio CCE</t>
  </si>
  <si>
    <t>Adquisición de hardware</t>
  </si>
  <si>
    <t>Mantenimiento preventivo y correctivo</t>
  </si>
  <si>
    <t>Software</t>
  </si>
  <si>
    <t>Soporte sobre servicios</t>
  </si>
  <si>
    <t>-El contramo se solicito adición y prorroga del contrato. Del 30 de junio al 15 de julio. Adición por un valor de $3.450.000</t>
  </si>
  <si>
    <t>Diego Gabriel Forero Garcìa</t>
  </si>
  <si>
    <t>-14/06/2024 designación apoyo Carlos y Freddy</t>
  </si>
  <si>
    <t>BID 027 2024</t>
  </si>
  <si>
    <t>-El plazo de duración es de seis meses 
-23/05/2024: terminación anticipada de contrato. Se ejecuto 8.500.000 y se libera 42.500.000</t>
  </si>
  <si>
    <t>20241100806000003E</t>
  </si>
  <si>
    <t>Milena del Carmen Pulido Orellano</t>
  </si>
  <si>
    <t>CO-L1251-P187496</t>
  </si>
  <si>
    <t>BID 010 2024</t>
  </si>
  <si>
    <t>20241044501000015E</t>
  </si>
  <si>
    <t>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</t>
  </si>
  <si>
    <t>El contrato termino de forma anticipada y no se ejecuto presupuesto dentro del mismo, por eso se dejo el valor 0 ya que esto paso a la línea 154 de PAA que fue actualizada el 20 de febrero de 2024 con un presupuesto mayor para tener mayor tiempo de ejecución.</t>
  </si>
  <si>
    <t>Marxy Alejandra Botía González</t>
  </si>
  <si>
    <t>CO-L1251-P187499</t>
  </si>
  <si>
    <t>BID 013 2024</t>
  </si>
  <si>
    <t>20241044501000018E</t>
  </si>
  <si>
    <t>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</t>
  </si>
  <si>
    <t>Extrajudiciales enfocado en evolutivo</t>
  </si>
  <si>
    <t>Horas de Fabrica para nuevas funcionalidades en el módulo de extrajudiciales</t>
  </si>
  <si>
    <t>Contratación régimen especial - Selección Basada en las calificaciones de los consultores</t>
  </si>
  <si>
    <t>LÍnea fue elimina en el PAA - Mes de abril de 2024</t>
  </si>
  <si>
    <t>Videoconferencia</t>
  </si>
  <si>
    <t>Freddy Zea Rodriguez</t>
  </si>
  <si>
    <t>Se elimina la linea y nose muestra en la versión del 5 de abril de 2024</t>
  </si>
  <si>
    <t>Línea fue elimina en el PAA</t>
  </si>
  <si>
    <t>Diego Gamba</t>
  </si>
  <si>
    <t>Proceso pendiente 2028</t>
  </si>
  <si>
    <t>Calidad</t>
  </si>
  <si>
    <t>LÍnea fue elimina en el PAA - Mes de mayo de 2024</t>
  </si>
  <si>
    <t>-Se anulo el CDP 3524</t>
  </si>
  <si>
    <t>No. CDP</t>
  </si>
  <si>
    <t>No. RP</t>
  </si>
  <si>
    <t>VALOR CDP</t>
  </si>
  <si>
    <t> VALOR RP</t>
  </si>
  <si>
    <t> SALDO A LIBERAR</t>
  </si>
  <si>
    <t>OBJETO</t>
  </si>
  <si>
    <t>RUBRO</t>
  </si>
  <si>
    <t>DESCRIPCIÓN</t>
  </si>
  <si>
    <t># IDENTIFICACION</t>
  </si>
  <si>
    <t>TERCERO</t>
  </si>
  <si>
    <t>TIPO DOCUMENTO SOPORTE</t>
  </si>
  <si>
    <t>No.CONTRATO</t>
  </si>
  <si>
    <t>Fecha de ajuste</t>
  </si>
  <si>
    <t xml:space="preserve">Servicios temporales de ingeniería  </t>
  </si>
  <si>
    <t>CONTRATO DE PRESTACION DE SERVICIOS</t>
  </si>
  <si>
    <t>CDP No.</t>
  </si>
  <si>
    <t>RP No.</t>
  </si>
  <si>
    <t>IDENTIFICACION DEL TERCERO</t>
  </si>
  <si>
    <t>No. DOCUMENTO SOPORTE</t>
  </si>
  <si>
    <t>VALOR RP</t>
  </si>
  <si>
    <t>VALOR LINEA DE PAGO</t>
  </si>
  <si>
    <t>VALOR PRIMER GIRO</t>
  </si>
  <si>
    <t>POSIBLE SALDO A LIBERAR</t>
  </si>
  <si>
    <t>HARDY DEIMONT NIÑO VELASQUEZ</t>
  </si>
  <si>
    <t>A-02-02-02-008-003 SERVICIOS PROFESIONALES, CIENTÍFICOS Y TÉCNICOS (EXCEPTO LOS SERVICIOS DE INVESTIGACION, URBANISMO, JURÍDICOS Y DE CONTABILIDAD)</t>
  </si>
  <si>
    <t>INTERVENTORIA</t>
  </si>
  <si>
    <t>VALOR LINEA DE PRIMER PAGO</t>
  </si>
  <si>
    <t>SALDO A LIBERAR</t>
  </si>
  <si>
    <t>AUGUSTO RAFAEL GUTIÉRREZ RIVERA</t>
  </si>
  <si>
    <t xml:space="preserve">C-1205-0800-3-20110E-1205007-02-03 
Administración y otros Gastos Contingente		</t>
  </si>
  <si>
    <t>BID 014-2024</t>
  </si>
  <si>
    <t>Suma de Valor asignado al 2024</t>
  </si>
  <si>
    <t xml:space="preserve">Cuenta de Fuente vigencia </t>
  </si>
  <si>
    <t>Presupuesto total Vigencia 2024</t>
  </si>
  <si>
    <t>Cantidad de contratos</t>
  </si>
  <si>
    <t>Presupuesto Total Asignado 2024</t>
  </si>
  <si>
    <t>Distribución Funcionamiento e inversión</t>
  </si>
  <si>
    <t>Fuente</t>
  </si>
  <si>
    <t>5 contratos fueron adjudicados en diciembre 2023</t>
  </si>
  <si>
    <t>Inversión</t>
  </si>
  <si>
    <t>2 contratos fueron adjudicados 2023</t>
  </si>
  <si>
    <t>Total</t>
  </si>
  <si>
    <t>Distribución funcionamiento e inversión por modalidad de contratación</t>
  </si>
  <si>
    <t>Etiquetas de columna</t>
  </si>
  <si>
    <t>Modalida de contratación</t>
  </si>
  <si>
    <t>Cantidad de contratos de funcionamiento</t>
  </si>
  <si>
    <t>Cantidad de contratos de Inversión</t>
  </si>
  <si>
    <t>Total  cantidad contratos</t>
  </si>
  <si>
    <t>Porcentaje</t>
  </si>
  <si>
    <t>Valor de contratos de funcionamiento</t>
  </si>
  <si>
    <t>Valor de contratos de Inversión</t>
  </si>
  <si>
    <t>Total  valor contratos</t>
  </si>
  <si>
    <t>Presupuesto total Vigencia 2023</t>
  </si>
  <si>
    <t>Presupuesto total Vigencia 2023-2024(Febrero 29)</t>
  </si>
  <si>
    <t>Presupuesto Total Asignado 2023</t>
  </si>
  <si>
    <t>Presupuesto Total Asignado 2023-2024</t>
  </si>
  <si>
    <t>Contratación Directa</t>
  </si>
  <si>
    <t>Mínima Cuantía</t>
  </si>
  <si>
    <t>Carlos Andrés Gómez Durán</t>
  </si>
  <si>
    <t>Valor contrato</t>
  </si>
  <si>
    <t>Mes</t>
  </si>
  <si>
    <t>Pago mensual</t>
  </si>
  <si>
    <t>Pago acumulado</t>
  </si>
  <si>
    <t>Porcentaje acumulado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</si>
  <si>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</si>
  <si>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</si>
  <si>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</si>
  <si>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</si>
  <si>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</si>
  <si>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</si>
  <si>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</si>
  <si>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</si>
  <si>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</si>
  <si>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</si>
  <si>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</si>
  <si>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Valor total contrato</t>
  </si>
  <si>
    <t>https://www.colombiacompra.gov.co/tienda-virtual-del-estado-colombiano/ordenes-compra/122184</t>
  </si>
  <si>
    <t>El contrato termino de forma anticipada y no se ejecuto presupuesto dentro del mismo, por eso se dejo el valor 0 ya que esto paso a la línea 154 de PAA que fue actualizada el 28 de febrero de 2024 con un presupuesto mayor para tener mayor tiempo de ejecución.</t>
  </si>
  <si>
    <t>Jefferson</t>
  </si>
  <si>
    <t>Certificados digitales</t>
  </si>
  <si>
    <t>Compartida OASTI (Giovanna)</t>
  </si>
  <si>
    <t>Liliana Barbosa - Augusto</t>
  </si>
  <si>
    <t>Gob datos</t>
  </si>
  <si>
    <t>Sandra</t>
  </si>
  <si>
    <t>Stream Yard Pro</t>
  </si>
  <si>
    <t>Proceso pendiente 2025</t>
  </si>
  <si>
    <t>Requerimientos y calidad</t>
  </si>
  <si>
    <t>Proceso pendiente 2026</t>
  </si>
  <si>
    <t>Proceso pendiente 2027</t>
  </si>
  <si>
    <t>Freddy</t>
  </si>
  <si>
    <t>Liliana</t>
  </si>
  <si>
    <t>Diego</t>
  </si>
  <si>
    <t>Suma de Valor total asignado al PAA 2024</t>
  </si>
  <si>
    <t>Cantidad de procesos faltantes</t>
  </si>
  <si>
    <t>Presupuesto Total Asignado en PAA en 2024</t>
  </si>
  <si>
    <t>Cuenta de Tipo de proceso</t>
  </si>
  <si>
    <t>Modalidad de contratación</t>
  </si>
  <si>
    <t>Descripcion procesos</t>
  </si>
  <si>
    <t xml:space="preserve">Porcentaje </t>
  </si>
  <si>
    <t>Procesos en PAA</t>
  </si>
  <si>
    <t>Descripción General</t>
  </si>
  <si>
    <t>Nombre del contratista</t>
  </si>
  <si>
    <t>Nit</t>
  </si>
  <si>
    <t>Sistema de Información</t>
  </si>
  <si>
    <t>Fuente  1</t>
  </si>
  <si>
    <t>Valor asignado para Fuente 1</t>
  </si>
  <si>
    <t>Valor Total asignado Fuentes</t>
  </si>
  <si>
    <t>Fecha de expedición de la orden</t>
  </si>
  <si>
    <t>Valor Total del Contrato</t>
  </si>
  <si>
    <t>TVEC_ControlesE_OC35377_AssuranceSQL-Server</t>
  </si>
  <si>
    <t>800058607-2</t>
  </si>
  <si>
    <t>Jenny Pinzón</t>
  </si>
  <si>
    <t>Instrumento de agregación de demanda Microsoft II</t>
  </si>
  <si>
    <t>Nación-Funcionamiento-Gastos Generales</t>
  </si>
  <si>
    <t>Suministrar a Colombia Compra Eficiente la renovación de la suscripción con el fabricante para la actualización de componentes SQL Server en el motor de base de datos para la plataforma SECOP II.</t>
  </si>
  <si>
    <t>TVEC_Dell_OC36736_Office365</t>
  </si>
  <si>
    <t>Dell Colombia INC</t>
  </si>
  <si>
    <t>830035246-7</t>
  </si>
  <si>
    <t>Dana Pineda</t>
  </si>
  <si>
    <t>Suministrar a Colombia Compra Eficiente el licenciamiento de (i) Microsoft Office y (ii) Comunicaciones Unificadas para garantizar que todos los colaboradores de la entidad tengan la
continuidad en el uso de las herramientas ofimáticas</t>
  </si>
  <si>
    <t>TVEC_UT-IFX_OC35378_NubePrivada_SECOPII</t>
  </si>
  <si>
    <t>IFX Networks Colombia SAS</t>
  </si>
  <si>
    <t>830058677-7</t>
  </si>
  <si>
    <t>Acuerdo Marco de Precio Nube Publica II</t>
  </si>
  <si>
    <t>Nación-Inversión</t>
  </si>
  <si>
    <t>Colombia Compra Eficiente requiere contratar (i) el servicio de provisión, alistamiento y operación del centro de datos en nube publica para el funcionamiento de los ambientes de formación, pre-producció y producción del SECOP II y (ii) el servicio de migración de la plataforma tecnológica desde el centro de datos actual al centro de datos del nuevo proveedor</t>
  </si>
  <si>
    <t>TVEC-Outsourcing-OC36564_Mesa de Servicio</t>
  </si>
  <si>
    <t>Outsourcing S.A.</t>
  </si>
  <si>
    <t>800211401-8</t>
  </si>
  <si>
    <t>Acuerdo Marco de servicio de BPO</t>
  </si>
  <si>
    <t>Contratar la Mesa de Servicio de Colombia Compra Eficiente para gestionar de manera integral las solicitudes de los usuarios referentes a la misión de la entidad en el marco del proyecto de  eficiencia de servicio al ciudadano</t>
  </si>
  <si>
    <t>20 de junio se solicita la liberacion del CDP.</t>
  </si>
  <si>
    <t xml:space="preserve">19/06/2024 designada el apoyo </t>
  </si>
  <si>
    <t>MC-009-2024</t>
  </si>
  <si>
    <t>https://www.secop.gov.co/CO1ContractsManagement/Tendering/ProcurementContractEdit/View?docUniqueIdentifier=CO1.PCCNTR.6413217&amp;awardUniqueIdentifier=CO1.AWD.1946206&amp;buyerDossierUniqueIdentifier=CO1.BDOS.6150033&amp;id=3693003</t>
  </si>
  <si>
    <t>105-2024</t>
  </si>
  <si>
    <t>RP</t>
  </si>
  <si>
    <t>Identificación</t>
  </si>
  <si>
    <t>Nombre Razón Social</t>
  </si>
  <si>
    <t>CDP</t>
  </si>
  <si>
    <t>Tipo Documento Soporte</t>
  </si>
  <si>
    <t>Numero Documento Soporte</t>
  </si>
  <si>
    <t>COMUNICACION CELULAR S A COMCEL S A</t>
  </si>
  <si>
    <t>ORDEN DE COMPRA</t>
  </si>
  <si>
    <t>PRESTACIÓN DE SERVICIOS DE CONECTIVIDAD PARA LA AGENCIA NACIONAL DE DEFENSA JURÍDICA DEL ESTADO.</t>
  </si>
  <si>
    <t>ORDEN DE COMPRA PARA LA PRESTACIÓN DE SERVICIOS DE CENTRO DE DATOS PARA LOS SISTEMAS MISIONALES DE LA AGENCIA NACIONAL DE DEFENSA JURÍDICA DEL ESTADO.</t>
  </si>
  <si>
    <t>Presupuesto reserva 2023</t>
  </si>
  <si>
    <t>Valor a Liberar de la vigencia 2023</t>
  </si>
  <si>
    <t>Valor facturado por el servicio de la fracción de diciembre de 2023</t>
  </si>
  <si>
    <t> SALDO A LIBERAR RESERVA 2023</t>
  </si>
  <si>
    <t xml:space="preserve">Persona natural para </t>
  </si>
  <si>
    <t>186. Consultor individual como analista de levantamiento de requisitos y/o aseguramiento de calidad de software sobre controles de cambio y/o nuevas  funcionalidades para el sistema e-KOGUI.</t>
  </si>
  <si>
    <t>200. Consultor individual como analista de levantamiento de requisitos y/o aseguramiento de calidad de software sobre controles de cambio y/o nuevas funcionalidades para el sistema e-KOGUI.</t>
  </si>
  <si>
    <t>201. Consultor individual como analista de levantamiento de requisitos y/o aseguramiento de calidad de software sobre controles de cambio y/o nuevas funcionalidades para el sistema e-KOGUI.</t>
  </si>
  <si>
    <t>202. Consultor individual para apoyar a la Oficina Asesora de Tecnologías de la Información en el desarrollo y verificación del ciclo de construcción de software requerido para la implementación de nuevos módulos en 2024 en el marco de la evolución y transformación del eKOGUI.</t>
  </si>
  <si>
    <t>203. Consultor individual para apoyar a la Oficina Asesora de Tecnologías de la Información en el desarrollo y verificación del ciclo de construcción de software requerido para la implementación de nuevos módulos en 2024 en el marco de la evolución y transformación del eKOGUI.</t>
  </si>
  <si>
    <t>C-1205-0800-3-0-1205008-02-02</t>
  </si>
  <si>
    <t>C-1205-0800-3-20110E-1205008-0201</t>
  </si>
  <si>
    <t>C-1205-0800-3-20110E-1205008-0203</t>
  </si>
  <si>
    <t>El 23 de mayo se realiza la reduccióndel contrato.</t>
  </si>
  <si>
    <t>num
Total</t>
  </si>
  <si>
    <t>Modalida presentación General Cuadro</t>
  </si>
  <si>
    <t>PROCESOS PENDIENTES DE CONTRATAR</t>
  </si>
  <si>
    <t>Procesos pendientes por contratar</t>
  </si>
  <si>
    <t>Cantidad de contratos de BID Inversión</t>
  </si>
  <si>
    <t>Descripción</t>
  </si>
  <si>
    <t xml:space="preserve">Cantidad </t>
  </si>
  <si>
    <t>Presupuesto</t>
  </si>
  <si>
    <t>Contratos adjudicados</t>
  </si>
  <si>
    <t>Procesos pendientes</t>
  </si>
  <si>
    <t>Cantidad de procesos pendientes</t>
  </si>
  <si>
    <t>Presupuesto Total Asignado en el PAA para el  2024</t>
  </si>
  <si>
    <t>Presupuesto Total Asignado en el PAA 2024</t>
  </si>
  <si>
    <t>Valor de contratos de Inversión BID</t>
  </si>
  <si>
    <t>5 contratos fueron adjudicados en diciembre 2023 (Conectividad, Mesa de Ayuda, Centro de Datos, Impresoras, Videoproyectores)</t>
  </si>
  <si>
    <t>2 contratos fueron adjudicados 2023 (Fábrica extrajudiciales y Gestión Documental)</t>
  </si>
  <si>
    <t xml:space="preserve">Proceso de Fábrica, interventoria, Gobierno de Datos, CRM, Fichas de conciliación, Contrato persona natural. </t>
  </si>
  <si>
    <t>Servicios de Mesa de ayuda, conectividad, suscripciones (IPV6 Adobe, Antivirus)</t>
  </si>
  <si>
    <t>SOFTWARE IT S.A.S.</t>
  </si>
  <si>
    <t>-27 de junio de 2024 se realiza prorroga al contrato con fecha de corte del 4 de septiembre</t>
  </si>
  <si>
    <t>83111507;81111811</t>
  </si>
  <si>
    <t>Color</t>
  </si>
  <si>
    <t>Contrato adjudicado y en ejecución</t>
  </si>
  <si>
    <t>Contrato con terminación anticipada</t>
  </si>
  <si>
    <t>Pendiente por contratar</t>
  </si>
  <si>
    <t>Cantidad  procesos y contratos</t>
  </si>
  <si>
    <t>Distribución Funcionamiento e inversión de los contratos adjudicados</t>
  </si>
  <si>
    <t>Distribución Funcionamiento e inversión procesos pendientes</t>
  </si>
  <si>
    <t>20241100806000001E</t>
  </si>
  <si>
    <t>Distribución de  presupuesto para inversión y funcionamiento para el 2024</t>
  </si>
  <si>
    <t>Valor contratado</t>
  </si>
  <si>
    <t>Línea OASTI</t>
  </si>
  <si>
    <t>Renovaciones, suscripciones, licencias</t>
  </si>
  <si>
    <t>- Referente a la plataforma de Gestión Documental</t>
  </si>
  <si>
    <t xml:space="preserve">-Contratistas para la plataforma Ekogui </t>
  </si>
  <si>
    <t xml:space="preserve">-Extrajudiciales </t>
  </si>
  <si>
    <t>Monitoreo, vulnerabilidad y primera fase de DRP.</t>
  </si>
  <si>
    <t>-Contratistas para la plataforma Ekogui, Seguridad y Desarrollo.</t>
  </si>
  <si>
    <t>Servicio de Centro de Datos, Mesa de Ayuda, Conectividad, Servicios de  Alquiler ( impresoras, videoproyectores), certificados digitales</t>
  </si>
  <si>
    <t>- Scripcase, StreamYard, renovación de soporte y garantía de equipos</t>
  </si>
  <si>
    <t>En proceso de contratación</t>
  </si>
  <si>
    <t>Pendiente inicio de contratación</t>
  </si>
  <si>
    <t>Pagos realizados con corte al 30 de junio</t>
  </si>
  <si>
    <t>Gestión Documental Mercurio</t>
  </si>
  <si>
    <t>CO-L1251-P212373</t>
  </si>
  <si>
    <t>C-1205-0800-3-20110E-1205005-0201</t>
  </si>
  <si>
    <t>https://community.secop.gov.co/STS/users/issue.aspx?wa=wsignin1.0&amp;wtrealm=https%3a%2f%2fwww.secop.gov.co%2fCO1ContractsManagement&amp;wctx=rm%3d0%26id%3dpassive%26ru%3d%252fCO1ContractsManagement%252fTendering%252fProcurementContractEdit%252fView%253fdocUniqueIdentifier%253dCO1.PCCNTR.6474022%2526awardUniqueIdentifier%253d%2526buyerDossierUniqueIdentifier%253dCO1.BDOS.6312453%2526id%253d3730492&amp;wct=2024-07-16T16%3a12%3a14Z</t>
  </si>
  <si>
    <t>BID-039-2024</t>
  </si>
  <si>
    <t>20241044501000045E</t>
  </si>
  <si>
    <t>20241044501000041E</t>
  </si>
  <si>
    <t>-Este contrato tiene nueve pagos.
-Al inicio del contrato la supervisora era Giovanna 
-El 3/05/2024 queda designado como supervisor el ingeniero Oswaldo</t>
  </si>
  <si>
    <t>El plazo de duración es de 8 meses y entrega 8 productos
-Al inicio del contrato la supervisora era Giovanna 
-El 3/05/2024 queda designado como supervisor el ingeniero Oswaldo</t>
  </si>
  <si>
    <t>16 de julio 2024 se solicita la liberación del CDP.</t>
  </si>
  <si>
    <t>Jefferson Giraldo</t>
  </si>
  <si>
    <t>Se envía por orfeo a Daniel el 29 de noviembre de 2023.
16 de julio se envía para que el apoyo sea Jefferson Griraldo</t>
  </si>
  <si>
    <t>16/07/2024 designacion a través de la secretaria general a Carlos rangel</t>
  </si>
  <si>
    <t>-14/06/2024 designación apoyo Carlos y Freddy
-16/07/2024 solicitud de designacion a través de la secretaria general a Carlos rangel</t>
  </si>
  <si>
    <t>- 17/07/2024 se remite estudios previos por correo electrónico a Sergio. Sergio indica que el abogado asignado es Fabian.</t>
  </si>
  <si>
    <t>CORE IP S.A.S.</t>
  </si>
  <si>
    <t>16/07/2024 designacion a través de la secretaria general a Giovanna Rivera</t>
  </si>
  <si>
    <t>Diana Giovanna Rivera</t>
  </si>
  <si>
    <t>Carlos Adolfo Rangel Godoy</t>
  </si>
  <si>
    <t>20241044501000047E</t>
  </si>
  <si>
    <t>https://www.colombiacompra.gov.co/tienda-virtual-del-estado-colombiano/ordenes-compra/131057</t>
  </si>
  <si>
    <t>CO-L1251-P 208997</t>
  </si>
  <si>
    <t>Management and Quality SAS</t>
  </si>
  <si>
    <t>-El 28 de diciembre vencen las licencias</t>
  </si>
  <si>
    <t>BID 040 2024</t>
  </si>
  <si>
    <t>Unión Temporal Tigo - Bext 2021</t>
  </si>
  <si>
    <t>El 26 de julio se envía la solicitud a Secretaria General.</t>
  </si>
  <si>
    <t>9 de julio== oasti envìa visto bueno de la minuta</t>
  </si>
  <si>
    <t>17 de julio== el profesional no cumple porque le falta un certificado.</t>
  </si>
  <si>
    <t>-En julio se realiza la eliminación de esta línea del PAA. En la publicaciòn el PAA del 1 de agosto ya no se refleja.</t>
  </si>
  <si>
    <t>Perfil</t>
  </si>
  <si>
    <t>Continua para el 2024</t>
  </si>
  <si>
    <t>Sin contratar en el 2024</t>
  </si>
  <si>
    <t>Comentarios observaciones</t>
  </si>
  <si>
    <t>Impacto</t>
  </si>
  <si>
    <t xml:space="preserve">No contratar por curva de aprendizaje </t>
  </si>
  <si>
    <t xml:space="preserve">12 de julio== se envià la evaluaciòn de las 3 hv a augusto. </t>
  </si>
  <si>
    <t>Terminar el levantamiento de gestión financiera y lo puede hacer la fábrica. No contratar.</t>
  </si>
  <si>
    <t>Gestor que va para fichas. Es necesario contratar y urgente.</t>
  </si>
  <si>
    <t>Gestor financiero que va para fábrica. Es necesario contratar.</t>
  </si>
  <si>
    <t>Fichas. La firma del contratista puede asumir el alcance. No contratar.</t>
  </si>
  <si>
    <t>Jeison Gómez</t>
  </si>
  <si>
    <t>5 de agosto se radico formalmente el proceso.</t>
  </si>
  <si>
    <t>2 de agosto se envia a sergio los documentos previos de subasta inversa para revisión.</t>
  </si>
  <si>
    <t xml:space="preserve">Adobe </t>
  </si>
  <si>
    <t>Antivirus</t>
  </si>
  <si>
    <t>IPV6.</t>
  </si>
  <si>
    <t xml:space="preserve">Carlos Rangel </t>
  </si>
  <si>
    <t>Conectividad. Trámite de vigencias futuras 2024.</t>
  </si>
  <si>
    <t>Mesa de Servicio. Trámite de vigencias futuras 2024.</t>
  </si>
  <si>
    <t>-El contratoo se solicito prorroga del contrato al 31 de julio.</t>
  </si>
  <si>
    <t>-El contratoo se solicito adición y prorroga del contrato al 15 de agosto</t>
  </si>
  <si>
    <t xml:space="preserve">Cantidad de pagos vigencia 2024 con corte al 31 de julio de 2024 </t>
  </si>
  <si>
    <t>Valor ejecutado vigencia 2024
Corte 31 de Julio
presupuesto 2024</t>
  </si>
  <si>
    <t>Item</t>
  </si>
  <si>
    <t>Conciliaciones extrajudiciales</t>
  </si>
  <si>
    <t>Fichas de conciliación</t>
  </si>
  <si>
    <t>Suma de Valor ejecutado vigencia 2024
Corte 31 de Julio
presupuesto 2024</t>
  </si>
  <si>
    <t>Pagos realizados con corte al 31 de julio con presupuesto 2024</t>
  </si>
  <si>
    <t>-Contratistas para la plataforma Ekogui y Gobierno de Datos</t>
  </si>
  <si>
    <t>Valor pagado con corte al 31 de julio</t>
  </si>
  <si>
    <t>El plazo de duración es de seis meses 
-Al inicio del contrato la supervisora era Giovanna 
-El 3/05/2024 queda designado como supervisor el ingeniero Oswaldo
-9 de agosto Solicito terminación anticipada y esta en trámite</t>
  </si>
  <si>
    <t>Procesos pendientes (PAA)</t>
  </si>
  <si>
    <t xml:space="preserve">Proceso de Fábrica, interventoria, Gobierno de Datos, Contratos persona natural. </t>
  </si>
  <si>
    <t>-Adjudicado en la vigencia 2023. Total contrato $1.272.271.483</t>
  </si>
  <si>
    <t>-Adjudicado en la vigencia 2023. Total contrato $1.038.872.287</t>
  </si>
  <si>
    <t>Modulo permisos</t>
  </si>
  <si>
    <t>Jefferson y Diego Gamba</t>
  </si>
  <si>
    <t>antivirus</t>
  </si>
  <si>
    <t>23 de agosto</t>
  </si>
  <si>
    <t>Queda saldo?</t>
  </si>
  <si>
    <t xml:space="preserve">Mesa de ayuda </t>
  </si>
  <si>
    <t>Gobierno de datos</t>
  </si>
  <si>
    <t>Revisar metas y queda en amarillo… sustitución</t>
  </si>
  <si>
    <t xml:space="preserve">Fabrica </t>
  </si>
  <si>
    <t>Continua el 13 de agosto</t>
  </si>
  <si>
    <t>Interventoria</t>
  </si>
  <si>
    <t>Revisar saldos para liberar</t>
  </si>
  <si>
    <t>cancelar CDP y modificar PAA</t>
  </si>
  <si>
    <t>Enlace de atención al ciudadano</t>
  </si>
  <si>
    <t>Requiere modifcar de carácter urgente modificar los buzones</t>
  </si>
  <si>
    <t>Portal web</t>
  </si>
  <si>
    <t>Matriz ITA</t>
  </si>
  <si>
    <t xml:space="preserve">Informe de Orfeo… </t>
  </si>
  <si>
    <t>Desargaron informe se vuelve mixto … vencimiento y alertas… incumplimiento de atención</t>
  </si>
  <si>
    <t xml:space="preserve">Asiganación presupuestal </t>
  </si>
  <si>
    <t>13 de agosto</t>
  </si>
  <si>
    <t>https://www.secop.gov.co/CO1BusinessLine/Tendering/BuyerWorkArea/Index?docUniqueIdentifier=CO1.BDOS.6512542&amp;prevCtxUrl=https%3a%2f%2fwww.secop.gov.co%2fCO1BusinessLine%2fTendering%2fBuyerDossierWorkspace%2fIndex%3fcreateDateFrom%3d09%2f02%2f2024+20%3a43%3a48%26createDateTo%3d09%2f08%2f2024+20%3a43%3a48%26filteringState%3d2%26sortingState%3dLastModifiedDESC%26showAdvancedSearch%3dFalse%26showAdvancedSearchFields%3dFalse%26folderCode%3dALL%26selectedDossier%3dCO1.BDOS.6512542%26selectedRequest%3dCO1.REQ.6637958%26&amp;prevCtxLbl=Procesos+de+la+Entidad+Estatal</t>
  </si>
  <si>
    <t>25 de julio solicite la liberación de CDP</t>
  </si>
  <si>
    <t>https://www.secop.gov.co/CO1ContractsManagement/Tendering/ProcurementContractEdit/View?docUniqueIdentifier=CO1.PCCNTR.6583413&amp;prevCtxUrl=https%3a%2f%2fwww.secop.gov.co%3a443%2fCO1ContractsManagement%2fTendering%2fProcurementContractManagement%2fIndex&amp;prevCtxLbl=Contratos+</t>
  </si>
  <si>
    <t>BID 041 2024</t>
  </si>
  <si>
    <t>Compartida OASTI- DGI (Oscar Suarez, Giovanna Rivera, Johana Tautiva)</t>
  </si>
  <si>
    <t>HITTS COLOMBIA SAS</t>
  </si>
  <si>
    <t>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artificial.</t>
  </si>
  <si>
    <t>https://www.secop.gov.co/CO1ContractsManagement/Tendering/ProcurementContractEdit/Update?ProfileName=CCE-11-Procedimiento_Publicidad&amp;PPI=CO1.PPI.31157857&amp;DocUniqueName=ContratoDeCompra&amp;DocTypeName=NextWay.Entities.Marketplace.Tendering.ProcurementContract&amp;ProfileVersion=12&amp;DocUniqueIdentifier=CO1.PCCNTR.6795741&amp;prevCtxUrl=https%3a%2f%2fwww.secop.gov.co%3a443%2fCO1ContractsManagement%2fTendering%2fProcurementContractManagement%2fIndex&amp;prevCtxLbl=Contratos+</t>
  </si>
  <si>
    <t>CO1.PCCNTR.6795741</t>
  </si>
  <si>
    <t>BID 044 2024</t>
  </si>
  <si>
    <t>Oswaldo Useche Acevedo - Gleidys Blanco Cordoba</t>
  </si>
  <si>
    <t>ORGANIZACIÓN AXON 360 SAS</t>
  </si>
  <si>
    <t>BID 045 2024</t>
  </si>
  <si>
    <t>CO1.PCCNTR.6809307</t>
  </si>
  <si>
    <t>https://www.secop.gov.co/CO1ContractsManagement/Tendering/ProcurementContractEdit/Update?ProfileName=CCE-11-Procedimiento_Publicidad&amp;PPI=CO1.PPI.34524333&amp;DocUniqueName=ContratoDeCompra&amp;DocTypeName=NextWay.Entities.Marketplace.Tendering.ProcurementContract&amp;ProfileVersion=12&amp;DocUniqueIdentifier=CO1.PCCNTR.6809307&amp;prevCtxUrl=https%3a%2f%2fwww.secop.gov.co%3a443%2fCO1ContractsManagement%2fTendering%2fProcurementContractManagement%2fIndex&amp;prevCtxLbl=Contratos+</t>
  </si>
  <si>
    <t>PLAZO DEL CONTRATO: 13 MESES</t>
  </si>
  <si>
    <t>PLAZO DEL CONTRATO: 12 MESES</t>
  </si>
  <si>
    <t>Compartida OASTI- DGI (Jorge Mario Carrazco)</t>
  </si>
  <si>
    <t xml:space="preserve">27 de agosto </t>
  </si>
  <si>
    <t>Prestación de servicios profesionales para apoyar las actividades de la implementación de los proyectos del Plan Estratégico de Tecnologías de Información de la Agencia.</t>
  </si>
  <si>
    <t>PETI</t>
  </si>
  <si>
    <t>PETI - CRM</t>
  </si>
  <si>
    <t>Edwin Santiago Paz Bedoya</t>
  </si>
  <si>
    <t>141-2024</t>
  </si>
  <si>
    <t>https://www.secop.gov.co/CO1ContractsManagement/Tendering/ProcurementContractEdit/View?docUniqueIdentifier=CO1.PCCNTR.6801344&amp;prevCtxUrl=https%3a%2f%2fwww.secop.gov.co%3a443%2fCO1ContractsManagement%2fTendering%2fProcurementContractManagement%2fIndex&amp;prevCtxLbl=Contratos+</t>
  </si>
  <si>
    <t>CO1.PCCNTR.6801344</t>
  </si>
  <si>
    <t>Vigencias Futuras</t>
  </si>
  <si>
    <t xml:space="preserve">Si  </t>
  </si>
  <si>
    <t>Fabián Melo</t>
  </si>
  <si>
    <t>Manuel Vargas</t>
  </si>
  <si>
    <t>Nuevo contrato</t>
  </si>
  <si>
    <t>SI</t>
  </si>
  <si>
    <t>BID 042 2024</t>
  </si>
  <si>
    <t>BID 043 2024</t>
  </si>
  <si>
    <t>Gestor</t>
  </si>
  <si>
    <t>Ajustar funciones</t>
  </si>
  <si>
    <r>
      <t xml:space="preserve">Términa contrato directo el 20 de diciembre y requiere para continuar el proyecto de fichas. Para apoyar el tema de fábrica.
</t>
    </r>
    <r>
      <rPr>
        <b/>
        <sz val="11"/>
        <color theme="1"/>
        <rFont val="Arial"/>
        <family val="2"/>
      </rPr>
      <t>Nuevo proceso</t>
    </r>
  </si>
  <si>
    <t>Contrato Nuevo</t>
  </si>
  <si>
    <t>Prorroga hasta el 30/09/2025</t>
  </si>
  <si>
    <t xml:space="preserve">Si. Terminación contrato funcionamiento. </t>
  </si>
  <si>
    <t>Total para el 2025 hasta el 30 de septiembre)</t>
  </si>
  <si>
    <t>INFRAESTRUCTURA Y REDES SAS</t>
  </si>
  <si>
    <t xml:space="preserve">MC-010-2024	</t>
  </si>
  <si>
    <t>119-2024</t>
  </si>
  <si>
    <t xml:space="preserve">20241100806000004E </t>
  </si>
  <si>
    <t>BID-042-2024</t>
  </si>
  <si>
    <t>Fabian Mauricio Melo Garzon</t>
  </si>
  <si>
    <t>CO1.PCCNTR.6688746</t>
  </si>
  <si>
    <t>https://www.secop.gov.co/CO1ContractsManagement/Tendering/ProcurementContractEdit/View?docUniqueIdentifier=CO1.PCCNTR.6688746&amp;prevCtxUrl=https%3a%2f%2fwww.secop.gov.co%3a443%2fCO1ContractsManagement%2fTendering%2fProcurementContractManagement%2fIndex&amp;prevCtxLbl=Contratos+</t>
  </si>
  <si>
    <t>el 17 de agosto se solicito redución de $17 millones al CDP inicial</t>
  </si>
  <si>
    <t>Manuel Antonio Vargas Anzola</t>
  </si>
  <si>
    <t xml:space="preserve">	CO1.PCCNTR.6726484</t>
  </si>
  <si>
    <t>BID-043-2024</t>
  </si>
  <si>
    <t>https://www.secop.gov.co/CO1ContractsManagement/Tendering/ProcurementContractEdit/Update?ProfileName=CCE-11-Procedimiento_Publicidad&amp;PPI=CO1.PPI.34089495&amp;DocUniqueName=ContratoDeCompra&amp;DocTypeName=NextWay.Entities.Marketplace.Tendering.ProcurementContract&amp;ProfileVersion=12&amp;DocUniqueIdentifier=CO1.PCCNTR.6726484&amp;prevCtxUrl=https%3a%2f%2fwww.secop.gov.co%3a443%2fCO1ContractsManagement%2fTendering%2fProcurementContractManagement%2fIndex&amp;prevCtxLbl=Contratos+</t>
  </si>
  <si>
    <t>20241044501000048E</t>
  </si>
  <si>
    <t>Adicionar al 27 de diciembre</t>
  </si>
  <si>
    <t>MEGACAD INGENIERÍA Y SISTEMAS SAS</t>
  </si>
  <si>
    <t>174-2024</t>
  </si>
  <si>
    <t>El 13 de noviembre se solicitó liberación de $4.472.100</t>
  </si>
  <si>
    <t>El 15112024 se solicitó adición de $6.219.863 para adicionar servicios de conectividad internet y datos hasta el 31122024</t>
  </si>
  <si>
    <t>el 18112024 se solicito liberación por $ 2,200,000</t>
  </si>
  <si>
    <t>El 15112024 se solicitó liberación de $7,000,000 para adicionar OC centro de datos
El 04122024 se solicito liberación de $4.909.233, POR DIFERENCIA ENTRE PRESUPUESTADO VS CONTRATADO</t>
  </si>
  <si>
    <t>Descripción del Rubro</t>
  </si>
  <si>
    <t>Expediente Gestión Documental</t>
  </si>
  <si>
    <t>Numero del contrato</t>
  </si>
  <si>
    <t>Valor ejecutado vigencia 2024 Corte 31 de Julio presupuesto 2024</t>
  </si>
  <si>
    <t>Pago Mensual Aproximado</t>
  </si>
  <si>
    <t>num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</si>
</sst>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4" formatCode="_-&quot;$&quot;\ * #,##0.00_-;\-&quot;$&quot;\ * #,##0.00_-;_-&quot;$&quot;\ * &quot;-&quot;??_-;_-@_-"/>
    <numFmt numFmtId="164" formatCode="_-&quot;$&quot;* #,##0.00_-;\-&quot;$&quot;* #,##0.00_-;_-&quot;$&quot;* &quot;-&quot;??_-;_-@_-"/>
    <numFmt numFmtId="165" formatCode="_(* #,##0.00_);_(* \(#,##0.00\);_(* &quot;-&quot;??_);_(@_)"/>
    <numFmt numFmtId="166" formatCode="_(* #,##0_);_(* \(#,##0\);_(* &quot;-&quot;??_);_(@_)"/>
    <numFmt numFmtId="167" formatCode="0_);\(0\)"/>
    <numFmt numFmtId="168" formatCode="&quot;$&quot;\ #,##0.00"/>
    <numFmt numFmtId="169" formatCode="&quot;$&quot;\ #,##0"/>
    <numFmt numFmtId="170" formatCode="dd/mm/yyyy;@"/>
    <numFmt numFmtId="171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Candara"/>
      <family val="2"/>
    </font>
    <font>
      <sz val="10"/>
      <color theme="1"/>
      <name val="Candara"/>
      <family val="2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b/>
      <sz val="10"/>
      <color rgb="FF000000"/>
      <name val="Franklin Gothic Book"/>
      <family val="2"/>
    </font>
    <font>
      <b/>
      <sz val="10"/>
      <color rgb="FFFF0000"/>
      <name val="Franklin Gothic Book"/>
      <family val="2"/>
    </font>
    <font>
      <sz val="10"/>
      <color rgb="FF000000"/>
      <name val="Franklin Gothic Book"/>
      <family val="2"/>
    </font>
    <font>
      <sz val="10"/>
      <color theme="1"/>
      <name val="Franklin Gothic Book"/>
      <family val="2"/>
    </font>
    <font>
      <b/>
      <sz val="10"/>
      <color rgb="FF000000"/>
      <name val="Aptos Narrow"/>
      <family val="2"/>
    </font>
    <font>
      <b/>
      <sz val="10"/>
      <color rgb="FFFF0000"/>
      <name val="Aptos Narrow"/>
      <family val="2"/>
    </font>
    <font>
      <sz val="10"/>
      <color rgb="FF000000"/>
      <name val="Aptos Narrow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>
      <alignment vertical="top"/>
    </xf>
    <xf numFmtId="0" fontId="5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36">
    <xf numFmtId="0" fontId="0" fillId="0" borderId="0" xfId="0"/>
    <xf numFmtId="0" fontId="0" fillId="0" borderId="0" xfId="0" applyAlignment="1">
      <alignment vertical="center"/>
    </xf>
    <xf numFmtId="0" fontId="3" fillId="0" borderId="1" xfId="2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" fontId="3" fillId="0" borderId="1" xfId="1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5" fontId="3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2" applyFont="1" applyBorder="1" applyAlignment="1">
      <alignment horizontal="left" vertical="center" wrapText="1"/>
    </xf>
    <xf numFmtId="14" fontId="3" fillId="0" borderId="1" xfId="2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4" fontId="3" fillId="3" borderId="1" xfId="1" applyNumberFormat="1" applyFont="1" applyFill="1" applyBorder="1" applyAlignment="1">
      <alignment horizontal="left" vertical="center" wrapText="1"/>
    </xf>
    <xf numFmtId="165" fontId="3" fillId="3" borderId="1" xfId="1" applyFont="1" applyFill="1" applyBorder="1" applyAlignment="1">
      <alignment horizontal="left" vertical="center" wrapText="1"/>
    </xf>
    <xf numFmtId="167" fontId="3" fillId="3" borderId="1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vertical="center"/>
    </xf>
    <xf numFmtId="0" fontId="5" fillId="0" borderId="1" xfId="40" applyFill="1" applyBorder="1" applyAlignment="1">
      <alignment vertical="center"/>
    </xf>
    <xf numFmtId="0" fontId="4" fillId="6" borderId="1" xfId="3" applyFill="1" applyBorder="1" applyAlignment="1">
      <alignment horizontal="left" vertical="center" wrapText="1"/>
    </xf>
    <xf numFmtId="4" fontId="3" fillId="3" borderId="1" xfId="1" applyNumberFormat="1" applyFont="1" applyFill="1" applyBorder="1" applyAlignment="1">
      <alignment horizontal="right" vertical="center" wrapText="1"/>
    </xf>
    <xf numFmtId="0" fontId="5" fillId="0" borderId="0" xfId="4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11" fillId="0" borderId="0" xfId="0" applyNumberFormat="1" applyFont="1" applyAlignment="1">
      <alignment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Border="1" applyAlignment="1">
      <alignment vertical="center" wrapText="1"/>
    </xf>
    <xf numFmtId="2" fontId="11" fillId="0" borderId="1" xfId="0" applyNumberFormat="1" applyFont="1" applyBorder="1" applyAlignment="1">
      <alignment vertical="center" wrapText="1"/>
    </xf>
    <xf numFmtId="2" fontId="13" fillId="0" borderId="1" xfId="3" applyNumberFormat="1" applyFont="1" applyBorder="1" applyAlignment="1">
      <alignment horizontal="left" vertical="center" wrapText="1"/>
    </xf>
    <xf numFmtId="2" fontId="11" fillId="0" borderId="1" xfId="2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horizontal="right" vertical="center" wrapText="1"/>
    </xf>
    <xf numFmtId="2" fontId="11" fillId="0" borderId="2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14" fontId="11" fillId="0" borderId="1" xfId="2" applyNumberFormat="1" applyFont="1" applyBorder="1" applyAlignment="1">
      <alignment horizontal="center" vertical="center" wrapText="1"/>
    </xf>
    <xf numFmtId="2" fontId="11" fillId="0" borderId="1" xfId="1" applyNumberFormat="1" applyFont="1" applyFill="1" applyBorder="1" applyAlignment="1">
      <alignment horizontal="left" vertical="center" wrapText="1"/>
    </xf>
    <xf numFmtId="168" fontId="11" fillId="0" borderId="1" xfId="1" applyNumberFormat="1" applyFont="1" applyFill="1" applyBorder="1" applyAlignment="1">
      <alignment horizontal="right" vertical="center" wrapText="1"/>
    </xf>
    <xf numFmtId="9" fontId="11" fillId="0" borderId="1" xfId="43" applyFont="1" applyFill="1" applyBorder="1" applyAlignment="1">
      <alignment horizontal="right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vertical="center" wrapText="1"/>
    </xf>
    <xf numFmtId="1" fontId="11" fillId="0" borderId="0" xfId="0" applyNumberFormat="1" applyFont="1" applyAlignment="1">
      <alignment vertical="center" wrapText="1"/>
    </xf>
    <xf numFmtId="2" fontId="5" fillId="0" borderId="1" xfId="40" applyNumberFormat="1" applyBorder="1" applyAlignment="1">
      <alignment vertical="center" wrapText="1"/>
    </xf>
    <xf numFmtId="2" fontId="11" fillId="6" borderId="1" xfId="0" applyNumberFormat="1" applyFont="1" applyFill="1" applyBorder="1" applyAlignment="1">
      <alignment vertical="center" wrapText="1"/>
    </xf>
    <xf numFmtId="49" fontId="11" fillId="0" borderId="1" xfId="2" applyNumberFormat="1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vertical="center" wrapText="1"/>
    </xf>
    <xf numFmtId="2" fontId="11" fillId="0" borderId="1" xfId="0" quotePrefix="1" applyNumberFormat="1" applyFont="1" applyBorder="1" applyAlignment="1">
      <alignment vertical="center" wrapText="1"/>
    </xf>
    <xf numFmtId="2" fontId="11" fillId="0" borderId="2" xfId="0" quotePrefix="1" applyNumberFormat="1" applyFont="1" applyBorder="1" applyAlignment="1">
      <alignment vertical="center" wrapText="1"/>
    </xf>
    <xf numFmtId="2" fontId="13" fillId="7" borderId="1" xfId="0" applyNumberFormat="1" applyFont="1" applyFill="1" applyBorder="1" applyAlignment="1">
      <alignment vertical="center" wrapText="1"/>
    </xf>
    <xf numFmtId="1" fontId="13" fillId="7" borderId="1" xfId="0" applyNumberFormat="1" applyFont="1" applyFill="1" applyBorder="1" applyAlignment="1">
      <alignment vertical="center" wrapText="1"/>
    </xf>
    <xf numFmtId="2" fontId="11" fillId="7" borderId="1" xfId="2" applyNumberFormat="1" applyFont="1" applyFill="1" applyBorder="1" applyAlignment="1">
      <alignment horizontal="left" vertical="center" wrapText="1"/>
    </xf>
    <xf numFmtId="2" fontId="11" fillId="7" borderId="1" xfId="0" applyNumberFormat="1" applyFont="1" applyFill="1" applyBorder="1" applyAlignment="1">
      <alignment vertical="center" wrapText="1"/>
    </xf>
    <xf numFmtId="10" fontId="11" fillId="0" borderId="1" xfId="43" applyNumberFormat="1" applyFont="1" applyFill="1" applyBorder="1" applyAlignment="1">
      <alignment horizontal="right" vertical="center" wrapText="1"/>
    </xf>
    <xf numFmtId="49" fontId="11" fillId="0" borderId="1" xfId="2" quotePrefix="1" applyNumberFormat="1" applyFont="1" applyBorder="1" applyAlignment="1">
      <alignment horizontal="center" vertical="center" wrapText="1"/>
    </xf>
    <xf numFmtId="2" fontId="11" fillId="6" borderId="1" xfId="0" quotePrefix="1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14" fontId="11" fillId="0" borderId="1" xfId="2" quotePrefix="1" applyNumberFormat="1" applyFont="1" applyBorder="1" applyAlignment="1">
      <alignment horizontal="left" vertical="center" wrapText="1"/>
    </xf>
    <xf numFmtId="2" fontId="11" fillId="8" borderId="1" xfId="2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1" xfId="2" applyFont="1" applyBorder="1" applyAlignment="1">
      <alignment horizontal="right" vertical="center" wrapText="1"/>
    </xf>
    <xf numFmtId="0" fontId="11" fillId="7" borderId="1" xfId="2" applyFont="1" applyFill="1" applyBorder="1" applyAlignment="1">
      <alignment horizontal="right" vertical="center" wrapText="1"/>
    </xf>
    <xf numFmtId="168" fontId="11" fillId="9" borderId="1" xfId="1" applyNumberFormat="1" applyFont="1" applyFill="1" applyBorder="1" applyAlignment="1">
      <alignment horizontal="right" vertical="center" wrapText="1"/>
    </xf>
    <xf numFmtId="168" fontId="11" fillId="10" borderId="1" xfId="1" applyNumberFormat="1" applyFont="1" applyFill="1" applyBorder="1" applyAlignment="1">
      <alignment horizontal="right" vertical="center" wrapText="1"/>
    </xf>
    <xf numFmtId="2" fontId="11" fillId="10" borderId="0" xfId="0" applyNumberFormat="1" applyFont="1" applyFill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14" fontId="11" fillId="11" borderId="1" xfId="2" applyNumberFormat="1" applyFont="1" applyFill="1" applyBorder="1" applyAlignment="1">
      <alignment horizontal="center" vertical="center" wrapText="1"/>
    </xf>
    <xf numFmtId="2" fontId="11" fillId="0" borderId="1" xfId="2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168" fontId="16" fillId="0" borderId="1" xfId="1" applyNumberFormat="1" applyFont="1" applyBorder="1" applyAlignment="1">
      <alignment horizontal="right" vertical="center" wrapText="1"/>
    </xf>
    <xf numFmtId="168" fontId="16" fillId="13" borderId="1" xfId="48" applyNumberFormat="1" applyFont="1" applyFill="1" applyBorder="1" applyAlignment="1">
      <alignment horizontal="center" vertical="center" wrapText="1"/>
    </xf>
    <xf numFmtId="2" fontId="16" fillId="0" borderId="1" xfId="2" applyNumberFormat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2" fontId="16" fillId="0" borderId="1" xfId="0" applyNumberFormat="1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168" fontId="16" fillId="0" borderId="2" xfId="1" applyNumberFormat="1" applyFont="1" applyBorder="1" applyAlignment="1">
      <alignment horizontal="right" vertical="center" wrapText="1"/>
    </xf>
    <xf numFmtId="168" fontId="16" fillId="13" borderId="2" xfId="48" applyNumberFormat="1" applyFont="1" applyFill="1" applyBorder="1" applyAlignment="1">
      <alignment horizontal="center" vertical="center" wrapText="1"/>
    </xf>
    <xf numFmtId="2" fontId="16" fillId="0" borderId="2" xfId="2" applyNumberFormat="1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3" fontId="16" fillId="0" borderId="2" xfId="0" applyNumberFormat="1" applyFont="1" applyBorder="1" applyAlignment="1">
      <alignment vertical="center" wrapText="1"/>
    </xf>
    <xf numFmtId="2" fontId="16" fillId="0" borderId="2" xfId="0" applyNumberFormat="1" applyFont="1" applyBorder="1" applyAlignment="1">
      <alignment vertical="center" wrapText="1"/>
    </xf>
    <xf numFmtId="0" fontId="15" fillId="12" borderId="3" xfId="0" applyFont="1" applyFill="1" applyBorder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/>
    </xf>
    <xf numFmtId="168" fontId="0" fillId="0" borderId="0" xfId="0" applyNumberFormat="1" applyAlignment="1">
      <alignment vertical="center"/>
    </xf>
    <xf numFmtId="168" fontId="2" fillId="15" borderId="0" xfId="0" applyNumberFormat="1" applyFont="1" applyFill="1" applyAlignment="1">
      <alignment vertical="center"/>
    </xf>
    <xf numFmtId="168" fontId="2" fillId="18" borderId="0" xfId="0" applyNumberFormat="1" applyFont="1" applyFill="1" applyAlignment="1">
      <alignment horizontal="center" vertical="center" wrapText="1" shrinkToFit="1"/>
    </xf>
    <xf numFmtId="10" fontId="0" fillId="0" borderId="0" xfId="43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1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169" fontId="9" fillId="0" borderId="1" xfId="0" applyNumberFormat="1" applyFont="1" applyBorder="1" applyAlignment="1">
      <alignment vertical="center"/>
    </xf>
    <xf numFmtId="169" fontId="0" fillId="0" borderId="1" xfId="0" applyNumberFormat="1" applyBorder="1" applyAlignment="1">
      <alignment vertical="center"/>
    </xf>
    <xf numFmtId="0" fontId="2" fillId="16" borderId="1" xfId="0" applyFont="1" applyFill="1" applyBorder="1" applyAlignment="1">
      <alignment horizontal="right" vertical="center" wrapText="1"/>
    </xf>
    <xf numFmtId="0" fontId="0" fillId="0" borderId="1" xfId="0" applyBorder="1"/>
    <xf numFmtId="9" fontId="0" fillId="0" borderId="1" xfId="43" applyFont="1" applyBorder="1" applyAlignment="1">
      <alignment vertical="center"/>
    </xf>
    <xf numFmtId="9" fontId="9" fillId="0" borderId="1" xfId="43" applyFont="1" applyBorder="1" applyAlignment="1">
      <alignment vertical="center"/>
    </xf>
    <xf numFmtId="0" fontId="2" fillId="1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justify" vertical="center"/>
    </xf>
    <xf numFmtId="2" fontId="17" fillId="2" borderId="1" xfId="0" applyNumberFormat="1" applyFont="1" applyFill="1" applyBorder="1" applyAlignment="1">
      <alignment horizontal="center" vertical="center" wrapText="1"/>
    </xf>
    <xf numFmtId="2" fontId="17" fillId="16" borderId="1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Alignment="1">
      <alignment vertical="center" wrapText="1"/>
    </xf>
    <xf numFmtId="1" fontId="18" fillId="0" borderId="1" xfId="0" applyNumberFormat="1" applyFont="1" applyBorder="1" applyAlignment="1">
      <alignment vertical="center" wrapText="1"/>
    </xf>
    <xf numFmtId="2" fontId="18" fillId="0" borderId="1" xfId="1" applyNumberFormat="1" applyFont="1" applyFill="1" applyBorder="1" applyAlignment="1">
      <alignment horizontal="left" vertical="center" wrapText="1"/>
    </xf>
    <xf numFmtId="2" fontId="19" fillId="0" borderId="1" xfId="3" applyNumberFormat="1" applyFont="1" applyBorder="1" applyAlignment="1">
      <alignment horizontal="left" vertical="center" wrapText="1"/>
    </xf>
    <xf numFmtId="2" fontId="18" fillId="0" borderId="1" xfId="2" applyNumberFormat="1" applyFont="1" applyBorder="1" applyAlignment="1">
      <alignment horizontal="left" vertical="center" wrapText="1"/>
    </xf>
    <xf numFmtId="2" fontId="18" fillId="0" borderId="1" xfId="0" quotePrefix="1" applyNumberFormat="1" applyFont="1" applyBorder="1" applyAlignment="1">
      <alignment vertical="center" wrapText="1"/>
    </xf>
    <xf numFmtId="14" fontId="18" fillId="0" borderId="1" xfId="2" applyNumberFormat="1" applyFont="1" applyBorder="1" applyAlignment="1">
      <alignment horizontal="center" vertical="center" wrapText="1"/>
    </xf>
    <xf numFmtId="168" fontId="18" fillId="0" borderId="1" xfId="1" applyNumberFormat="1" applyFont="1" applyFill="1" applyBorder="1" applyAlignment="1">
      <alignment horizontal="right" vertical="center" wrapText="1"/>
    </xf>
    <xf numFmtId="2" fontId="18" fillId="0" borderId="1" xfId="0" applyNumberFormat="1" applyFont="1" applyBorder="1" applyAlignment="1">
      <alignment vertical="center" wrapText="1"/>
    </xf>
    <xf numFmtId="2" fontId="18" fillId="0" borderId="2" xfId="0" quotePrefix="1" applyNumberFormat="1" applyFont="1" applyBorder="1" applyAlignment="1">
      <alignment vertical="center" wrapText="1"/>
    </xf>
    <xf numFmtId="2" fontId="18" fillId="6" borderId="1" xfId="0" applyNumberFormat="1" applyFont="1" applyFill="1" applyBorder="1" applyAlignment="1">
      <alignment vertical="center" wrapText="1"/>
    </xf>
    <xf numFmtId="2" fontId="18" fillId="6" borderId="1" xfId="0" quotePrefix="1" applyNumberFormat="1" applyFont="1" applyFill="1" applyBorder="1" applyAlignment="1">
      <alignment vertical="center" wrapText="1"/>
    </xf>
    <xf numFmtId="2" fontId="11" fillId="19" borderId="1" xfId="0" applyNumberFormat="1" applyFont="1" applyFill="1" applyBorder="1" applyAlignment="1">
      <alignment vertical="center" wrapText="1"/>
    </xf>
    <xf numFmtId="2" fontId="11" fillId="0" borderId="1" xfId="2" quotePrefix="1" applyNumberFormat="1" applyFont="1" applyBorder="1" applyAlignment="1">
      <alignment horizontal="left" vertical="center" wrapText="1"/>
    </xf>
    <xf numFmtId="0" fontId="15" fillId="12" borderId="5" xfId="0" applyFont="1" applyFill="1" applyBorder="1" applyAlignment="1">
      <alignment horizontal="center" vertical="center" wrapText="1"/>
    </xf>
    <xf numFmtId="2" fontId="16" fillId="0" borderId="6" xfId="0" quotePrefix="1" applyNumberFormat="1" applyFont="1" applyBorder="1" applyAlignment="1">
      <alignment horizontal="center" vertical="center" wrapText="1"/>
    </xf>
    <xf numFmtId="2" fontId="16" fillId="6" borderId="7" xfId="0" applyNumberFormat="1" applyFont="1" applyFill="1" applyBorder="1" applyAlignment="1">
      <alignment horizontal="center" vertical="center" wrapText="1"/>
    </xf>
    <xf numFmtId="2" fontId="16" fillId="0" borderId="7" xfId="0" quotePrefix="1" applyNumberFormat="1" applyFont="1" applyBorder="1" applyAlignment="1">
      <alignment horizontal="center" vertical="center" wrapText="1"/>
    </xf>
    <xf numFmtId="2" fontId="16" fillId="6" borderId="7" xfId="0" quotePrefix="1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3" fontId="16" fillId="0" borderId="1" xfId="0" applyNumberFormat="1" applyFont="1" applyBorder="1" applyAlignment="1">
      <alignment vertical="center" wrapText="1"/>
    </xf>
    <xf numFmtId="170" fontId="11" fillId="0" borderId="1" xfId="2" applyNumberFormat="1" applyFont="1" applyBorder="1" applyAlignment="1">
      <alignment horizontal="left" vertical="center" wrapText="1"/>
    </xf>
    <xf numFmtId="0" fontId="11" fillId="5" borderId="1" xfId="2" applyFont="1" applyFill="1" applyBorder="1" applyAlignment="1">
      <alignment horizontal="right" vertical="center" wrapText="1"/>
    </xf>
    <xf numFmtId="2" fontId="11" fillId="5" borderId="1" xfId="2" applyNumberFormat="1" applyFont="1" applyFill="1" applyBorder="1" applyAlignment="1">
      <alignment horizontal="left" vertical="center" wrapText="1"/>
    </xf>
    <xf numFmtId="2" fontId="13" fillId="5" borderId="1" xfId="0" applyNumberFormat="1" applyFont="1" applyFill="1" applyBorder="1" applyAlignment="1">
      <alignment vertical="center" wrapText="1"/>
    </xf>
    <xf numFmtId="1" fontId="13" fillId="5" borderId="1" xfId="0" applyNumberFormat="1" applyFont="1" applyFill="1" applyBorder="1" applyAlignment="1">
      <alignment vertical="center" wrapText="1"/>
    </xf>
    <xf numFmtId="2" fontId="11" fillId="5" borderId="1" xfId="0" applyNumberFormat="1" applyFont="1" applyFill="1" applyBorder="1" applyAlignment="1">
      <alignment vertical="center" wrapText="1"/>
    </xf>
    <xf numFmtId="2" fontId="11" fillId="6" borderId="2" xfId="0" applyNumberFormat="1" applyFont="1" applyFill="1" applyBorder="1" applyAlignment="1">
      <alignment vertical="center" wrapText="1"/>
    </xf>
    <xf numFmtId="2" fontId="5" fillId="0" borderId="0" xfId="40" applyNumberFormat="1" applyBorder="1" applyAlignment="1">
      <alignment vertical="center" wrapText="1"/>
    </xf>
    <xf numFmtId="14" fontId="11" fillId="4" borderId="1" xfId="2" applyNumberFormat="1" applyFont="1" applyFill="1" applyBorder="1" applyAlignment="1">
      <alignment horizontal="center" vertical="center" wrapText="1"/>
    </xf>
    <xf numFmtId="0" fontId="20" fillId="20" borderId="3" xfId="0" applyFont="1" applyFill="1" applyBorder="1" applyAlignment="1">
      <alignment horizontal="center" vertical="center" wrapText="1"/>
    </xf>
    <xf numFmtId="0" fontId="20" fillId="20" borderId="4" xfId="0" applyFont="1" applyFill="1" applyBorder="1" applyAlignment="1">
      <alignment horizontal="center" vertical="center" wrapText="1"/>
    </xf>
    <xf numFmtId="0" fontId="21" fillId="20" borderId="4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3" fontId="22" fillId="0" borderId="9" xfId="0" applyNumberFormat="1" applyFont="1" applyBorder="1" applyAlignment="1">
      <alignment horizontal="center" vertical="center" wrapText="1"/>
    </xf>
    <xf numFmtId="4" fontId="22" fillId="0" borderId="9" xfId="0" applyNumberFormat="1" applyFont="1" applyBorder="1" applyAlignment="1">
      <alignment horizontal="center" vertical="center" wrapText="1"/>
    </xf>
    <xf numFmtId="4" fontId="23" fillId="0" borderId="10" xfId="0" applyNumberFormat="1" applyFont="1" applyBorder="1" applyAlignment="1">
      <alignment horizontal="center" vertical="center" wrapText="1"/>
    </xf>
    <xf numFmtId="4" fontId="21" fillId="21" borderId="10" xfId="0" applyNumberFormat="1" applyFont="1" applyFill="1" applyBorder="1" applyAlignment="1">
      <alignment horizontal="center" vertical="center" wrapText="1"/>
    </xf>
    <xf numFmtId="14" fontId="11" fillId="5" borderId="1" xfId="2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right" vertical="center" wrapText="1"/>
    </xf>
    <xf numFmtId="2" fontId="11" fillId="5" borderId="1" xfId="1" applyNumberFormat="1" applyFont="1" applyFill="1" applyBorder="1" applyAlignment="1">
      <alignment horizontal="left" vertical="center" wrapText="1"/>
    </xf>
    <xf numFmtId="168" fontId="11" fillId="5" borderId="1" xfId="1" applyNumberFormat="1" applyFont="1" applyFill="1" applyBorder="1" applyAlignment="1">
      <alignment horizontal="right" vertical="center" wrapText="1"/>
    </xf>
    <xf numFmtId="0" fontId="11" fillId="5" borderId="1" xfId="2" applyFont="1" applyFill="1" applyBorder="1" applyAlignment="1">
      <alignment horizontal="center" vertical="center" wrapText="1"/>
    </xf>
    <xf numFmtId="0" fontId="11" fillId="22" borderId="1" xfId="2" applyFont="1" applyFill="1" applyBorder="1" applyAlignment="1">
      <alignment horizontal="right" vertical="center" wrapText="1"/>
    </xf>
    <xf numFmtId="2" fontId="11" fillId="22" borderId="1" xfId="2" applyNumberFormat="1" applyFont="1" applyFill="1" applyBorder="1" applyAlignment="1">
      <alignment horizontal="left" vertical="center" wrapText="1"/>
    </xf>
    <xf numFmtId="2" fontId="13" fillId="22" borderId="1" xfId="0" applyNumberFormat="1" applyFont="1" applyFill="1" applyBorder="1" applyAlignment="1">
      <alignment vertical="center" wrapText="1"/>
    </xf>
    <xf numFmtId="1" fontId="13" fillId="22" borderId="1" xfId="0" applyNumberFormat="1" applyFont="1" applyFill="1" applyBorder="1" applyAlignment="1">
      <alignment vertical="center" wrapText="1"/>
    </xf>
    <xf numFmtId="2" fontId="11" fillId="22" borderId="1" xfId="0" applyNumberFormat="1" applyFont="1" applyFill="1" applyBorder="1" applyAlignment="1">
      <alignment vertical="center" wrapText="1"/>
    </xf>
    <xf numFmtId="2" fontId="5" fillId="0" borderId="1" xfId="47" applyNumberFormat="1" applyBorder="1" applyAlignment="1">
      <alignment vertical="center" wrapText="1"/>
    </xf>
    <xf numFmtId="168" fontId="11" fillId="0" borderId="1" xfId="1" quotePrefix="1" applyNumberFormat="1" applyFont="1" applyFill="1" applyBorder="1" applyAlignment="1">
      <alignment horizontal="left" vertical="center" wrapText="1"/>
    </xf>
    <xf numFmtId="0" fontId="24" fillId="20" borderId="11" xfId="0" applyFont="1" applyFill="1" applyBorder="1" applyAlignment="1">
      <alignment horizontal="center" vertical="center" wrapText="1"/>
    </xf>
    <xf numFmtId="0" fontId="25" fillId="20" borderId="12" xfId="0" applyFont="1" applyFill="1" applyBorder="1" applyAlignment="1">
      <alignment horizontal="center" vertical="center" wrapText="1"/>
    </xf>
    <xf numFmtId="0" fontId="24" fillId="20" borderId="12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4" fontId="25" fillId="0" borderId="9" xfId="0" applyNumberFormat="1" applyFont="1" applyBorder="1" applyAlignment="1">
      <alignment horizontal="center" vertical="center" wrapText="1"/>
    </xf>
    <xf numFmtId="3" fontId="26" fillId="0" borderId="9" xfId="0" applyNumberFormat="1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9" xfId="0" applyFont="1" applyBorder="1" applyAlignment="1">
      <alignment vertical="center" wrapText="1"/>
    </xf>
    <xf numFmtId="168" fontId="26" fillId="0" borderId="9" xfId="0" applyNumberFormat="1" applyFont="1" applyBorder="1" applyAlignment="1">
      <alignment horizontal="right" vertical="center" wrapText="1"/>
    </xf>
    <xf numFmtId="168" fontId="24" fillId="0" borderId="9" xfId="0" applyNumberFormat="1" applyFont="1" applyBorder="1" applyAlignment="1">
      <alignment horizontal="right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0" fontId="11" fillId="24" borderId="1" xfId="2" applyFont="1" applyFill="1" applyBorder="1" applyAlignment="1">
      <alignment horizontal="right" vertical="center" wrapText="1"/>
    </xf>
    <xf numFmtId="2" fontId="11" fillId="24" borderId="1" xfId="2" applyNumberFormat="1" applyFont="1" applyFill="1" applyBorder="1" applyAlignment="1">
      <alignment horizontal="left" vertical="center" wrapText="1"/>
    </xf>
    <xf numFmtId="2" fontId="13" fillId="24" borderId="1" xfId="0" applyNumberFormat="1" applyFont="1" applyFill="1" applyBorder="1" applyAlignment="1">
      <alignment vertical="center" wrapText="1"/>
    </xf>
    <xf numFmtId="1" fontId="13" fillId="24" borderId="1" xfId="0" applyNumberFormat="1" applyFont="1" applyFill="1" applyBorder="1" applyAlignment="1">
      <alignment vertical="center" wrapText="1"/>
    </xf>
    <xf numFmtId="2" fontId="11" fillId="24" borderId="1" xfId="1" applyNumberFormat="1" applyFont="1" applyFill="1" applyBorder="1" applyAlignment="1">
      <alignment horizontal="left" vertical="center" wrapText="1"/>
    </xf>
    <xf numFmtId="2" fontId="11" fillId="24" borderId="1" xfId="0" applyNumberFormat="1" applyFont="1" applyFill="1" applyBorder="1" applyAlignment="1">
      <alignment vertical="center" wrapText="1"/>
    </xf>
    <xf numFmtId="0" fontId="11" fillId="25" borderId="1" xfId="2" applyFont="1" applyFill="1" applyBorder="1" applyAlignment="1">
      <alignment horizontal="right" vertical="center" wrapText="1"/>
    </xf>
    <xf numFmtId="2" fontId="11" fillId="25" borderId="1" xfId="2" applyNumberFormat="1" applyFont="1" applyFill="1" applyBorder="1" applyAlignment="1">
      <alignment horizontal="left" vertical="center" wrapText="1"/>
    </xf>
    <xf numFmtId="2" fontId="13" fillId="25" borderId="1" xfId="0" applyNumberFormat="1" applyFont="1" applyFill="1" applyBorder="1" applyAlignment="1">
      <alignment vertical="center" wrapText="1"/>
    </xf>
    <xf numFmtId="1" fontId="13" fillId="25" borderId="1" xfId="0" applyNumberFormat="1" applyFont="1" applyFill="1" applyBorder="1" applyAlignment="1">
      <alignment vertical="center" wrapText="1"/>
    </xf>
    <xf numFmtId="2" fontId="11" fillId="25" borderId="1" xfId="1" applyNumberFormat="1" applyFont="1" applyFill="1" applyBorder="1" applyAlignment="1">
      <alignment horizontal="left" vertical="center" wrapText="1"/>
    </xf>
    <xf numFmtId="2" fontId="11" fillId="25" borderId="1" xfId="0" applyNumberFormat="1" applyFont="1" applyFill="1" applyBorder="1" applyAlignment="1">
      <alignment vertical="center" wrapText="1"/>
    </xf>
    <xf numFmtId="0" fontId="11" fillId="13" borderId="1" xfId="2" applyFont="1" applyFill="1" applyBorder="1" applyAlignment="1">
      <alignment horizontal="right" vertical="center" wrapText="1"/>
    </xf>
    <xf numFmtId="2" fontId="11" fillId="13" borderId="1" xfId="2" applyNumberFormat="1" applyFont="1" applyFill="1" applyBorder="1" applyAlignment="1">
      <alignment horizontal="left" vertical="center" wrapText="1"/>
    </xf>
    <xf numFmtId="2" fontId="13" fillId="13" borderId="1" xfId="0" applyNumberFormat="1" applyFont="1" applyFill="1" applyBorder="1" applyAlignment="1">
      <alignment vertical="center" wrapText="1"/>
    </xf>
    <xf numFmtId="1" fontId="13" fillId="13" borderId="1" xfId="0" applyNumberFormat="1" applyFont="1" applyFill="1" applyBorder="1" applyAlignment="1">
      <alignment vertical="center" wrapText="1"/>
    </xf>
    <xf numFmtId="2" fontId="11" fillId="13" borderId="1" xfId="1" applyNumberFormat="1" applyFont="1" applyFill="1" applyBorder="1" applyAlignment="1">
      <alignment horizontal="left" vertical="center" wrapText="1"/>
    </xf>
    <xf numFmtId="2" fontId="11" fillId="13" borderId="1" xfId="0" applyNumberFormat="1" applyFont="1" applyFill="1" applyBorder="1" applyAlignment="1">
      <alignment vertical="center" wrapText="1"/>
    </xf>
    <xf numFmtId="0" fontId="11" fillId="13" borderId="1" xfId="2" applyFont="1" applyFill="1" applyBorder="1" applyAlignment="1">
      <alignment horizontal="left" vertical="center" wrapText="1"/>
    </xf>
    <xf numFmtId="4" fontId="0" fillId="0" borderId="0" xfId="0" applyNumberFormat="1" applyAlignment="1">
      <alignment vertical="center"/>
    </xf>
    <xf numFmtId="4" fontId="0" fillId="0" borderId="0" xfId="0" applyNumberFormat="1"/>
    <xf numFmtId="9" fontId="0" fillId="0" borderId="1" xfId="43" applyFont="1" applyBorder="1" applyAlignment="1">
      <alignment vertical="center" wrapText="1"/>
    </xf>
    <xf numFmtId="0" fontId="11" fillId="17" borderId="1" xfId="0" applyFont="1" applyFill="1" applyBorder="1" applyAlignment="1">
      <alignment horizontal="right" vertical="center" wrapText="1"/>
    </xf>
    <xf numFmtId="0" fontId="9" fillId="0" borderId="13" xfId="0" applyFont="1" applyBorder="1" applyAlignment="1">
      <alignment vertical="center"/>
    </xf>
    <xf numFmtId="168" fontId="0" fillId="0" borderId="0" xfId="0" applyNumberFormat="1"/>
    <xf numFmtId="0" fontId="0" fillId="0" borderId="1" xfId="0" quotePrefix="1" applyBorder="1" applyAlignment="1">
      <alignment vertical="center" wrapText="1"/>
    </xf>
    <xf numFmtId="9" fontId="0" fillId="0" borderId="0" xfId="43" applyFont="1" applyAlignment="1">
      <alignment vertical="center"/>
    </xf>
    <xf numFmtId="0" fontId="2" fillId="16" borderId="2" xfId="0" applyFont="1" applyFill="1" applyBorder="1" applyAlignment="1">
      <alignment horizontal="right" vertical="center" wrapText="1"/>
    </xf>
    <xf numFmtId="14" fontId="11" fillId="24" borderId="1" xfId="2" applyNumberFormat="1" applyFont="1" applyFill="1" applyBorder="1" applyAlignment="1">
      <alignment horizontal="center" vertical="center" wrapText="1"/>
    </xf>
    <xf numFmtId="171" fontId="11" fillId="0" borderId="1" xfId="2" applyNumberFormat="1" applyFont="1" applyBorder="1" applyAlignment="1">
      <alignment horizontal="left" vertical="center" wrapText="1"/>
    </xf>
    <xf numFmtId="0" fontId="27" fillId="0" borderId="1" xfId="0" applyFont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169" fontId="0" fillId="0" borderId="0" xfId="0" applyNumberFormat="1" applyAlignment="1">
      <alignment vertical="center"/>
    </xf>
    <xf numFmtId="0" fontId="27" fillId="0" borderId="1" xfId="0" applyFont="1" applyBorder="1" applyAlignment="1">
      <alignment vertical="center"/>
    </xf>
    <xf numFmtId="169" fontId="27" fillId="0" borderId="1" xfId="0" applyNumberFormat="1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169" fontId="28" fillId="0" borderId="1" xfId="0" applyNumberFormat="1" applyFont="1" applyBorder="1" applyAlignment="1">
      <alignment vertical="center"/>
    </xf>
    <xf numFmtId="2" fontId="11" fillId="26" borderId="1" xfId="2" applyNumberFormat="1" applyFont="1" applyFill="1" applyBorder="1" applyAlignment="1">
      <alignment horizontal="left" vertical="center" wrapText="1"/>
    </xf>
    <xf numFmtId="14" fontId="11" fillId="0" borderId="1" xfId="2" applyNumberFormat="1" applyFont="1" applyBorder="1" applyAlignment="1">
      <alignment horizontal="left" vertical="center" wrapText="1"/>
    </xf>
    <xf numFmtId="14" fontId="11" fillId="0" borderId="1" xfId="1" applyNumberFormat="1" applyFont="1" applyFill="1" applyBorder="1" applyAlignment="1">
      <alignment horizontal="right" vertical="center" wrapText="1"/>
    </xf>
    <xf numFmtId="2" fontId="29" fillId="0" borderId="1" xfId="2" applyNumberFormat="1" applyFont="1" applyBorder="1" applyAlignment="1">
      <alignment horizontal="left" vertical="center" wrapText="1"/>
    </xf>
    <xf numFmtId="14" fontId="29" fillId="0" borderId="1" xfId="2" applyNumberFormat="1" applyFont="1" applyBorder="1" applyAlignment="1">
      <alignment horizontal="left" vertical="center" wrapText="1"/>
    </xf>
    <xf numFmtId="2" fontId="29" fillId="0" borderId="0" xfId="0" applyNumberFormat="1" applyFont="1" applyAlignment="1">
      <alignment vertical="center" wrapText="1"/>
    </xf>
    <xf numFmtId="14" fontId="29" fillId="0" borderId="1" xfId="1" applyNumberFormat="1" applyFont="1" applyBorder="1" applyAlignment="1">
      <alignment horizontal="righ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2" fontId="13" fillId="26" borderId="1" xfId="3" applyNumberFormat="1" applyFont="1" applyFill="1" applyBorder="1" applyAlignment="1">
      <alignment horizontal="left" vertical="center" wrapText="1"/>
    </xf>
    <xf numFmtId="168" fontId="11" fillId="0" borderId="1" xfId="1" applyNumberFormat="1" applyFont="1" applyFill="1" applyBorder="1" applyAlignment="1">
      <alignment horizontal="center" vertical="center" wrapText="1"/>
    </xf>
    <xf numFmtId="2" fontId="5" fillId="0" borderId="1" xfId="40" applyNumberFormat="1" applyFill="1" applyBorder="1" applyAlignment="1">
      <alignment vertical="center" wrapText="1"/>
    </xf>
    <xf numFmtId="0" fontId="5" fillId="0" borderId="0" xfId="40" applyAlignment="1">
      <alignment wrapText="1"/>
    </xf>
    <xf numFmtId="2" fontId="13" fillId="14" borderId="1" xfId="0" applyNumberFormat="1" applyFont="1" applyFill="1" applyBorder="1" applyAlignment="1">
      <alignment vertical="center" wrapText="1"/>
    </xf>
    <xf numFmtId="2" fontId="11" fillId="14" borderId="1" xfId="2" applyNumberFormat="1" applyFont="1" applyFill="1" applyBorder="1" applyAlignment="1">
      <alignment horizontal="left" vertical="center" wrapText="1"/>
    </xf>
    <xf numFmtId="2" fontId="11" fillId="14" borderId="1" xfId="0" applyNumberFormat="1" applyFont="1" applyFill="1" applyBorder="1" applyAlignment="1">
      <alignment vertical="center" wrapText="1"/>
    </xf>
    <xf numFmtId="2" fontId="11" fillId="14" borderId="1" xfId="0" quotePrefix="1" applyNumberFormat="1" applyFont="1" applyFill="1" applyBorder="1" applyAlignment="1">
      <alignment vertical="center" wrapText="1"/>
    </xf>
    <xf numFmtId="2" fontId="11" fillId="14" borderId="1" xfId="1" applyNumberFormat="1" applyFont="1" applyFill="1" applyBorder="1" applyAlignment="1">
      <alignment horizontal="left" vertical="center" wrapText="1"/>
    </xf>
    <xf numFmtId="168" fontId="11" fillId="14" borderId="1" xfId="1" applyNumberFormat="1" applyFont="1" applyFill="1" applyBorder="1" applyAlignment="1">
      <alignment horizontal="right" vertical="center" wrapText="1"/>
    </xf>
    <xf numFmtId="168" fontId="11" fillId="14" borderId="1" xfId="1" applyNumberFormat="1" applyFont="1" applyFill="1" applyBorder="1" applyAlignment="1">
      <alignment horizontal="center" vertical="center" wrapText="1"/>
    </xf>
    <xf numFmtId="168" fontId="28" fillId="0" borderId="1" xfId="0" applyNumberFormat="1" applyFont="1" applyBorder="1" applyAlignment="1">
      <alignment vertical="center"/>
    </xf>
    <xf numFmtId="168" fontId="28" fillId="0" borderId="0" xfId="0" applyNumberFormat="1" applyFont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2" fillId="23" borderId="0" xfId="0" applyFont="1" applyFill="1" applyAlignment="1">
      <alignment horizontal="center" vertical="center"/>
    </xf>
    <xf numFmtId="168" fontId="9" fillId="17" borderId="0" xfId="0" applyNumberFormat="1" applyFont="1" applyFill="1" applyAlignment="1">
      <alignment horizontal="center" vertical="center"/>
    </xf>
    <xf numFmtId="168" fontId="9" fillId="11" borderId="0" xfId="0" applyNumberFormat="1" applyFont="1" applyFill="1" applyAlignment="1">
      <alignment horizontal="center" vertical="center"/>
    </xf>
    <xf numFmtId="168" fontId="2" fillId="16" borderId="0" xfId="0" applyNumberFormat="1" applyFont="1" applyFill="1" applyAlignment="1">
      <alignment horizontal="center" vertical="center"/>
    </xf>
    <xf numFmtId="168" fontId="2" fillId="15" borderId="0" xfId="0" applyNumberFormat="1" applyFont="1" applyFill="1" applyAlignment="1">
      <alignment horizontal="center" vertical="center"/>
    </xf>
  </cellXfs>
  <cellStyles count="49">
    <cellStyle name="Hipervínculo" xfId="22" builtinId="8" hidden="1"/>
    <cellStyle name="Hipervínculo" xfId="14" builtinId="8" hidden="1"/>
    <cellStyle name="Hipervínculo" xfId="8" builtinId="8" hidden="1"/>
    <cellStyle name="Hipervínculo" xfId="24" builtinId="8" hidden="1"/>
    <cellStyle name="Hipervínculo" xfId="4" builtinId="8" hidden="1"/>
    <cellStyle name="Hipervínculo" xfId="28" builtinId="8" hidden="1"/>
    <cellStyle name="Hipervínculo" xfId="10" builtinId="8" hidden="1"/>
    <cellStyle name="Hipervínculo" xfId="36" builtinId="8" hidden="1"/>
    <cellStyle name="Hipervínculo" xfId="6" builtinId="8" hidden="1"/>
    <cellStyle name="Hipervínculo" xfId="12" builtinId="8" hidden="1"/>
    <cellStyle name="Hipervínculo" xfId="34" builtinId="8" hidden="1"/>
    <cellStyle name="Hipervínculo" xfId="18" builtinId="8" hidden="1"/>
    <cellStyle name="Hipervínculo" xfId="32" builtinId="8" hidden="1"/>
    <cellStyle name="Hipervínculo" xfId="30" builtinId="8" hidden="1"/>
    <cellStyle name="Hipervínculo" xfId="16" builtinId="8" hidden="1"/>
    <cellStyle name="Hipervínculo" xfId="20" builtinId="8" hidden="1"/>
    <cellStyle name="Hipervínculo" xfId="26" builtinId="8" hidden="1"/>
    <cellStyle name="Hipervínculo" xfId="40" builtinId="8"/>
    <cellStyle name="Hipervínculo 2" xfId="44" xr:uid="{C2C36172-6BED-41AE-B773-55A47024A06C}"/>
    <cellStyle name="Hipervínculo visitado" xfId="37" builtinId="9" hidden="1"/>
    <cellStyle name="Hipervínculo visitado" xfId="33" builtinId="9" hidden="1"/>
    <cellStyle name="Hipervínculo visitado" xfId="35" builtinId="9" hidden="1"/>
    <cellStyle name="Hipervínculo visitado" xfId="11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25" builtinId="9" hidden="1"/>
    <cellStyle name="Hipervínculo visitado" xfId="23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yperlink" xfId="47" xr:uid="{00000000-000B-0000-0000-000008000000}"/>
    <cellStyle name="Millares" xfId="1" builtinId="3"/>
    <cellStyle name="Millares 4" xfId="41" xr:uid="{00000000-0005-0000-0000-000024000000}"/>
    <cellStyle name="Moneda" xfId="48" builtinId="4"/>
    <cellStyle name="Moneda 2" xfId="38" xr:uid="{00000000-0005-0000-0000-000026000000}"/>
    <cellStyle name="Moneda 3" xfId="45" xr:uid="{07867D05-9BC4-4BE3-8F19-453058705FEE}"/>
    <cellStyle name="Normal" xfId="0" builtinId="0"/>
    <cellStyle name="Normal 2" xfId="3" xr:uid="{00000000-0005-0000-0000-000028000000}"/>
    <cellStyle name="Normal 2 2" xfId="2" xr:uid="{00000000-0005-0000-0000-000029000000}"/>
    <cellStyle name="Normal 2 3" xfId="42" xr:uid="{00000000-0005-0000-0000-00002A000000}"/>
    <cellStyle name="Normal 2 4" xfId="46" xr:uid="{C7A13C26-62D8-4709-B947-FAD763D801B4}"/>
    <cellStyle name="Normal 3" xfId="39" xr:uid="{00000000-0005-0000-0000-00002B000000}"/>
    <cellStyle name="Porcentaje" xfId="43" builtinId="5"/>
  </cellStyles>
  <dxfs count="71">
    <dxf>
      <numFmt numFmtId="4" formatCode="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4" formatCode="#,##0.00"/>
    </dxf>
    <dxf>
      <numFmt numFmtId="4" formatCode="#,##0.00"/>
    </dxf>
    <dxf>
      <numFmt numFmtId="168" formatCode="&quot;$&quot;\ #,##0.00"/>
    </dxf>
    <dxf>
      <alignment vertical="center"/>
    </dxf>
    <dxf>
      <numFmt numFmtId="168" formatCode="&quot;$&quot;\ #,##0.00"/>
      <alignment vertical="center"/>
    </dxf>
    <dxf>
      <numFmt numFmtId="168" formatCode="&quot;$&quot;\ #,##0.00"/>
    </dxf>
    <dxf>
      <numFmt numFmtId="4" formatCode="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4" formatCode="#,##0.00"/>
    </dxf>
    <dxf>
      <numFmt numFmtId="4" formatCode="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8" formatCode="&quot;$&quot;\ #,##0.00"/>
      <alignment vertical="center"/>
    </dxf>
    <dxf>
      <numFmt numFmtId="168" formatCode="&quot;$&quot;\ #,##0.00"/>
    </dxf>
    <dxf>
      <numFmt numFmtId="4" formatCode="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8" formatCode="&quot;$&quot;\ #,##0.00"/>
    </dxf>
    <dxf>
      <alignment vertical="center"/>
    </dxf>
    <dxf>
      <numFmt numFmtId="4" formatCode="#,##0.00"/>
    </dxf>
    <dxf>
      <numFmt numFmtId="19" formatCode="d/mm/yyyy"/>
    </dxf>
    <dxf>
      <numFmt numFmtId="19" formatCode="d/mm/yyyy"/>
    </dxf>
    <dxf>
      <numFmt numFmtId="19" formatCode="d/mm/yyyy"/>
    </dxf>
  </dxfs>
  <tableStyles count="1" defaultTableStyle="TableStyleMedium2" defaultPivotStyle="PivotStyleLight16">
    <tableStyle name="Estilo de tabla dinámica 1" table="0" count="0" xr9:uid="{00000000-0011-0000-FFFF-FFFF00000000}"/>
  </tableStyles>
  <colors>
    <mruColors>
      <color rgb="FFFF99CC"/>
      <color rgb="FF99FF33"/>
      <color rgb="FFD6BBEB"/>
      <color rgb="FFFA62CF"/>
      <color rgb="FFE575FF"/>
      <color rgb="FFFF66FF"/>
      <color rgb="FFFFFFFF"/>
      <color rgb="FFCC00FF"/>
      <color rgb="FFAA3499"/>
      <color rgb="FF755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42" Type="http://schemas.openxmlformats.org/officeDocument/2006/relationships/pivotCacheDefinition" Target="pivotCache/pivotCacheDefinition3.xml"/><Relationship Id="rId47" Type="http://schemas.openxmlformats.org/officeDocument/2006/relationships/pivotCacheDefinition" Target="pivotCache/pivotCacheDefinition8.xml"/><Relationship Id="rId50" Type="http://schemas.openxmlformats.org/officeDocument/2006/relationships/sharedStrings" Target="sharedStrings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2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externalLink" Target="externalLinks/externalLink10.xml"/><Relationship Id="rId40" Type="http://schemas.openxmlformats.org/officeDocument/2006/relationships/pivotCacheDefinition" Target="pivotCache/pivotCacheDefinition1.xml"/><Relationship Id="rId45" Type="http://schemas.openxmlformats.org/officeDocument/2006/relationships/pivotCacheDefinition" Target="pivotCache/pivotCacheDefinition6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4" Type="http://schemas.openxmlformats.org/officeDocument/2006/relationships/pivotCacheDefinition" Target="pivotCache/pivotCacheDefinition5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externalLink" Target="externalLinks/externalLink8.xml"/><Relationship Id="rId43" Type="http://schemas.openxmlformats.org/officeDocument/2006/relationships/pivotCacheDefinition" Target="pivotCache/pivotCacheDefinition4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externalLink" Target="externalLinks/externalLink11.xml"/><Relationship Id="rId46" Type="http://schemas.openxmlformats.org/officeDocument/2006/relationships/pivotCacheDefinition" Target="pivotCache/pivotCacheDefinition7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externalLink" Target="externalLinks/externalLink9.xml"/><Relationship Id="rId4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cantidad de CONTRATOS por modalidad</a:t>
            </a:r>
          </a:p>
        </c:rich>
      </c:tx>
      <c:layout>
        <c:manualLayout>
          <c:xMode val="edge"/>
          <c:yMode val="edge"/>
          <c:x val="0.21390902411189336"/>
          <c:y val="1.0380171746888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'Cuadro 31 de julio'!$I$30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01C4-4C77-8465-A127F86566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01C4-4C77-8465-A127F86566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01C4-4C77-8465-A127F8656630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01C4-4C77-8465-A127F86566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01C4-4C77-8465-A127F8656630}"/>
              </c:ext>
            </c:extLst>
          </c:dPt>
          <c:dLbls>
            <c:dLbl>
              <c:idx val="0"/>
              <c:layout>
                <c:manualLayout>
                  <c:x val="0.10781078107810781"/>
                  <c:y val="7.639589705555566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C4-4C77-8465-A127F8656630}"/>
                </c:ext>
              </c:extLst>
            </c:dLbl>
            <c:dLbl>
              <c:idx val="1"/>
              <c:layout>
                <c:manualLayout>
                  <c:x val="7.0407040704070403E-2"/>
                  <c:y val="0.2741264541405232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C4-4C77-8465-A127F865663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01C4-4C77-8465-A127F8656630}"/>
                </c:ext>
              </c:extLst>
            </c:dLbl>
            <c:dLbl>
              <c:idx val="3"/>
              <c:layout>
                <c:manualLayout>
                  <c:x val="-0.15401540154015403"/>
                  <c:y val="4.493876297385625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2CF14D4-31E5-4247-9671-5AC534B5F456}" type="CATEGORYNAME">
                      <a:rPr lang="en-US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[NOMBRE DE CATEGORÍA]</a:t>
                    </a:fld>
                    <a:r>
                      <a:rPr lang="en-US" baseline="0">
                        <a:solidFill>
                          <a:srgbClr val="7030A0"/>
                        </a:solidFill>
                      </a:rPr>
                      <a:t>
</a:t>
                    </a:r>
                    <a:fld id="{B3579980-C054-4073-9B53-E0442079059E}" type="PERCENTAGE">
                      <a:rPr lang="en-US" baseline="0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[PORCENTAJE]</a:t>
                    </a:fld>
                    <a:endParaRPr lang="en-US" baseline="0">
                      <a:solidFill>
                        <a:srgbClr val="7030A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1C4-4C77-8465-A127F8656630}"/>
                </c:ext>
              </c:extLst>
            </c:dLbl>
            <c:dLbl>
              <c:idx val="4"/>
              <c:layout>
                <c:manualLayout>
                  <c:x val="0.15090867102291555"/>
                  <c:y val="6.7408160732242012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532158727683787"/>
                      <c:h val="0.155280410803986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01C4-4C77-8465-A127F865663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'Cuadro 31 de julio'!$H$31:$H$35</c:f>
              <c:strCache>
                <c:ptCount val="5"/>
                <c:pt idx="0">
                  <c:v>Acuerdo Marco de Precios </c:v>
                </c:pt>
                <c:pt idx="1">
                  <c:v>Mínima cuantía</c:v>
                </c:pt>
                <c:pt idx="2">
                  <c:v>Persona Natural (Contratista)</c:v>
                </c:pt>
                <c:pt idx="3">
                  <c:v>Selección abreviada subasta inversa</c:v>
                </c:pt>
                <c:pt idx="4">
                  <c:v>Servicio de consultoría</c:v>
                </c:pt>
              </c:strCache>
            </c:strRef>
          </c:cat>
          <c:val>
            <c:numRef>
              <c:f>'Cuadro 31 de julio'!$I$31:$I$35</c:f>
              <c:numCache>
                <c:formatCode>0%</c:formatCode>
                <c:ptCount val="5"/>
                <c:pt idx="0">
                  <c:v>0.17647058823529413</c:v>
                </c:pt>
                <c:pt idx="1">
                  <c:v>8.8235294117647065E-2</c:v>
                </c:pt>
                <c:pt idx="2">
                  <c:v>0.61764705882352944</c:v>
                </c:pt>
                <c:pt idx="3">
                  <c:v>2.9411764705882353E-2</c:v>
                </c:pt>
                <c:pt idx="4">
                  <c:v>8.8235294117647065E-2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C4-4C77-8465-A127F865663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cantidad de PROCESOS PENDIENTE por modalidad</a:t>
            </a:r>
          </a:p>
        </c:rich>
      </c:tx>
      <c:layout>
        <c:manualLayout>
          <c:xMode val="edge"/>
          <c:yMode val="edge"/>
          <c:x val="0.16438520712045457"/>
          <c:y val="2.3541426555650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'Cuadro 31 de julio'!$I$86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29D-44F3-AC99-426F294C6E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29D-44F3-AC99-426F294C6E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29D-44F3-AC99-426F294C6E53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29D-44F3-AC99-426F294C6E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329D-44F3-AC99-426F294C6E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329D-44F3-AC99-426F294C6E53}"/>
                </c:ext>
              </c:extLst>
            </c:dLbl>
            <c:dLbl>
              <c:idx val="1"/>
              <c:layout>
                <c:manualLayout>
                  <c:x val="-1.1498217776244683E-2"/>
                  <c:y val="0.153727880938495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29D-44F3-AC99-426F294C6E53}"/>
                </c:ext>
              </c:extLst>
            </c:dLbl>
            <c:dLbl>
              <c:idx val="2"/>
              <c:layout>
                <c:manualLayout>
                  <c:x val="4.5992871104978683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29D-44F3-AC99-426F294C6E53}"/>
                </c:ext>
              </c:extLst>
            </c:dLbl>
            <c:dLbl>
              <c:idx val="3"/>
              <c:layout>
                <c:manualLayout>
                  <c:x val="0"/>
                  <c:y val="8.54043782991642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BE6A052-A5B4-4FB5-93A4-18AF5C81399E}" type="CATEGORYNAME">
                      <a:rPr lang="en-US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[NOMBRE DE CATEGORÍA]</a:t>
                    </a:fld>
                    <a:r>
                      <a:rPr lang="en-US" baseline="0">
                        <a:solidFill>
                          <a:srgbClr val="7030A0"/>
                        </a:solidFill>
                      </a:rPr>
                      <a:t>
</a:t>
                    </a:r>
                    <a:fld id="{D2947703-1848-4511-B175-30402D1724FC}" type="PERCENTAGE">
                      <a:rPr lang="en-US" baseline="0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[PORCENTAJE]</a:t>
                    </a:fld>
                    <a:endParaRPr lang="en-US" baseline="0">
                      <a:solidFill>
                        <a:srgbClr val="7030A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29D-44F3-AC99-426F294C6E5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329D-44F3-AC99-426F294C6E5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'Cuadro 31 de julio'!$H$87:$H$91</c:f>
              <c:strCache>
                <c:ptCount val="5"/>
                <c:pt idx="0">
                  <c:v>Mínima cuantía</c:v>
                </c:pt>
                <c:pt idx="1">
                  <c:v>Persona Natural (Contratista)</c:v>
                </c:pt>
                <c:pt idx="2">
                  <c:v>Selección abreviada - acuerdo marco</c:v>
                </c:pt>
                <c:pt idx="3">
                  <c:v>Selección abreviada subasta inversa</c:v>
                </c:pt>
                <c:pt idx="4">
                  <c:v>Servicio de consultoría</c:v>
                </c:pt>
              </c:strCache>
            </c:strRef>
          </c:cat>
          <c:val>
            <c:numRef>
              <c:f>'Cuadro 31 de julio'!$I$87:$I$91</c:f>
              <c:numCache>
                <c:formatCode>0%</c:formatCode>
                <c:ptCount val="5"/>
                <c:pt idx="0">
                  <c:v>0.15384615384615385</c:v>
                </c:pt>
                <c:pt idx="1">
                  <c:v>0.38461538461538464</c:v>
                </c:pt>
                <c:pt idx="2">
                  <c:v>0.15384615384615385</c:v>
                </c:pt>
                <c:pt idx="3">
                  <c:v>7.6923076923076927E-2</c:v>
                </c:pt>
                <c:pt idx="4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29D-44F3-AC99-426F294C6E5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INVERSIÓN Adjudicado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29C7-45AE-8E91-0EDD137BC06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9C7-45AE-8E91-0EDD137BC06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'Cuadro 31 de julio'!#REF!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'Cuadro 31 de julio'!#REF!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'Cuadro 31 de julio'!#REF!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29C7-45AE-8E91-0EDD137BC0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FUNCIONAMIENTOAdjudicado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BBE7-40DF-9B99-3F56DC74048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BE7-40DF-9B99-3F56DC74048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'Cuadro 31 de julio'!#REF!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'Cuadro 31 de julio'!#REF!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'Cuadro 31 de julio'!#REF!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BE7-40DF-9B99-3F56DC74048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cantidad de CONTRATOS por modalidad</a:t>
            </a:r>
          </a:p>
        </c:rich>
      </c:tx>
      <c:layout>
        <c:manualLayout>
          <c:xMode val="edge"/>
          <c:yMode val="edge"/>
          <c:x val="0.21390902411189336"/>
          <c:y val="1.0380171746888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'Cuadro 9 Jul'!$I$30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AA4-4BF5-96B0-BA279CAC01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EAA4-4BF5-96B0-BA279CAC01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AA4-4BF5-96B0-BA279CAC01EB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EAA4-4BF5-96B0-BA279CAC01E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AA4-4BF5-96B0-BA279CAC01EB}"/>
              </c:ext>
            </c:extLst>
          </c:dPt>
          <c:dLbls>
            <c:dLbl>
              <c:idx val="0"/>
              <c:layout>
                <c:manualLayout>
                  <c:x val="0.10781078107810781"/>
                  <c:y val="7.639589705555566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A4-4BF5-96B0-BA279CAC01EB}"/>
                </c:ext>
              </c:extLst>
            </c:dLbl>
            <c:dLbl>
              <c:idx val="1"/>
              <c:layout>
                <c:manualLayout>
                  <c:x val="7.0407040704070403E-2"/>
                  <c:y val="0.2741264541405232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A4-4BF5-96B0-BA279CAC01E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AA4-4BF5-96B0-BA279CAC01EB}"/>
                </c:ext>
              </c:extLst>
            </c:dLbl>
            <c:dLbl>
              <c:idx val="3"/>
              <c:layout>
                <c:manualLayout>
                  <c:x val="-0.15401540154015403"/>
                  <c:y val="4.493876297385625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2CF14D4-31E5-4247-9671-5AC534B5F456}" type="CATEGORYNAME">
                      <a:rPr lang="en-US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[NOMBRE DE CATEGORÍA]</a:t>
                    </a:fld>
                    <a:r>
                      <a:rPr lang="en-US" baseline="0">
                        <a:solidFill>
                          <a:srgbClr val="7030A0"/>
                        </a:solidFill>
                      </a:rPr>
                      <a:t>
</a:t>
                    </a:r>
                    <a:fld id="{B3579980-C054-4073-9B53-E0442079059E}" type="PERCENTAGE">
                      <a:rPr lang="en-US" baseline="0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[PORCENTAJE]</a:t>
                    </a:fld>
                    <a:endParaRPr lang="en-US" baseline="0">
                      <a:solidFill>
                        <a:srgbClr val="7030A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EAA4-4BF5-96B0-BA279CAC01EB}"/>
                </c:ext>
              </c:extLst>
            </c:dLbl>
            <c:dLbl>
              <c:idx val="4"/>
              <c:layout>
                <c:manualLayout>
                  <c:x val="0.15090867102291555"/>
                  <c:y val="6.7408160732242012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532158727683787"/>
                      <c:h val="0.155280410803986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AA4-4BF5-96B0-BA279CAC01E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'Cuadro 9 Jul'!$H$31:$H$35</c:f>
              <c:strCache>
                <c:ptCount val="5"/>
                <c:pt idx="0">
                  <c:v>Acuerdo Marco de Precios </c:v>
                </c:pt>
                <c:pt idx="1">
                  <c:v>Mínima cuantía</c:v>
                </c:pt>
                <c:pt idx="2">
                  <c:v>Persona Natural (Contratista)</c:v>
                </c:pt>
                <c:pt idx="3">
                  <c:v>Selección abreviada subasta inversa</c:v>
                </c:pt>
                <c:pt idx="4">
                  <c:v>Servicio de consultoría</c:v>
                </c:pt>
              </c:strCache>
            </c:strRef>
          </c:cat>
          <c:val>
            <c:numRef>
              <c:f>'Cuadro 9 Jul'!$I$31:$I$35</c:f>
              <c:numCache>
                <c:formatCode>0%</c:formatCode>
                <c:ptCount val="5"/>
                <c:pt idx="0">
                  <c:v>0.17647058823529413</c:v>
                </c:pt>
                <c:pt idx="1">
                  <c:v>8.8235294117647065E-2</c:v>
                </c:pt>
                <c:pt idx="2">
                  <c:v>0.61764705882352944</c:v>
                </c:pt>
                <c:pt idx="3">
                  <c:v>2.9411764705882353E-2</c:v>
                </c:pt>
                <c:pt idx="4">
                  <c:v>8.8235294117647065E-2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4-4BF5-96B0-BA279CAC01E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cantidad de PROCESOS PENDIENTE por modalidad</a:t>
            </a:r>
          </a:p>
        </c:rich>
      </c:tx>
      <c:layout>
        <c:manualLayout>
          <c:xMode val="edge"/>
          <c:yMode val="edge"/>
          <c:x val="0.16438520712045457"/>
          <c:y val="2.3541426555650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'Cuadro 9 Jul'!$I$86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1E88-4F18-9E61-C0E54826F9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1E88-4F18-9E61-C0E54826F9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1E88-4F18-9E61-C0E54826F9B6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1E88-4F18-9E61-C0E54826F9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1E88-4F18-9E61-C0E54826F9B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1E88-4F18-9E61-C0E54826F9B6}"/>
                </c:ext>
              </c:extLst>
            </c:dLbl>
            <c:dLbl>
              <c:idx val="1"/>
              <c:layout>
                <c:manualLayout>
                  <c:x val="-1.1498217776244683E-2"/>
                  <c:y val="0.153727880938495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88-4F18-9E61-C0E54826F9B6}"/>
                </c:ext>
              </c:extLst>
            </c:dLbl>
            <c:dLbl>
              <c:idx val="2"/>
              <c:layout>
                <c:manualLayout>
                  <c:x val="4.5992871104978683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E88-4F18-9E61-C0E54826F9B6}"/>
                </c:ext>
              </c:extLst>
            </c:dLbl>
            <c:dLbl>
              <c:idx val="3"/>
              <c:layout>
                <c:manualLayout>
                  <c:x val="0"/>
                  <c:y val="8.54043782991642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BE6A052-A5B4-4FB5-93A4-18AF5C81399E}" type="CATEGORYNAME">
                      <a:rPr lang="en-US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[NOMBRE DE CATEGORÍA]</a:t>
                    </a:fld>
                    <a:r>
                      <a:rPr lang="en-US" baseline="0">
                        <a:solidFill>
                          <a:srgbClr val="7030A0"/>
                        </a:solidFill>
                      </a:rPr>
                      <a:t>
</a:t>
                    </a:r>
                    <a:fld id="{D2947703-1848-4511-B175-30402D1724FC}" type="PERCENTAGE">
                      <a:rPr lang="en-US" baseline="0">
                        <a:solidFill>
                          <a:srgbClr val="7030A0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[PORCENTAJE]</a:t>
                    </a:fld>
                    <a:endParaRPr lang="en-US" baseline="0">
                      <a:solidFill>
                        <a:srgbClr val="7030A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E88-4F18-9E61-C0E54826F9B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1E88-4F18-9E61-C0E54826F9B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'Cuadro 9 Jul'!$H$87:$H$91</c:f>
              <c:strCache>
                <c:ptCount val="5"/>
                <c:pt idx="0">
                  <c:v>Mínima cuantía</c:v>
                </c:pt>
                <c:pt idx="1">
                  <c:v>Persona Natural (Contratista)</c:v>
                </c:pt>
                <c:pt idx="2">
                  <c:v>Selección abreviada - acuerdo marco</c:v>
                </c:pt>
                <c:pt idx="3">
                  <c:v>Selección abreviada subasta inversa</c:v>
                </c:pt>
                <c:pt idx="4">
                  <c:v>Servicio de consultoría</c:v>
                </c:pt>
              </c:strCache>
            </c:strRef>
          </c:cat>
          <c:val>
            <c:numRef>
              <c:f>'Cuadro 9 Jul'!$I$87:$I$91</c:f>
              <c:numCache>
                <c:formatCode>0%</c:formatCode>
                <c:ptCount val="5"/>
                <c:pt idx="0">
                  <c:v>0.15384615384615385</c:v>
                </c:pt>
                <c:pt idx="1">
                  <c:v>0.38461538461538464</c:v>
                </c:pt>
                <c:pt idx="2">
                  <c:v>0.15384615384615385</c:v>
                </c:pt>
                <c:pt idx="3">
                  <c:v>7.6923076923076927E-2</c:v>
                </c:pt>
                <c:pt idx="4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8-4F18-9E61-C0E54826F9B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Gestión contractual 2024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'Cuadro 9 Jul'!$I$9</c:f>
              <c:strCache>
                <c:ptCount val="1"/>
                <c:pt idx="0">
                  <c:v>Porcentaje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'Cuadro 9 Jul'!$H$10:$H$11</c:f>
              <c:strCache>
                <c:ptCount val="2"/>
                <c:pt idx="0">
                  <c:v>Contratos adjudicados</c:v>
                </c:pt>
                <c:pt idx="1">
                  <c:v>Procesos pendientes</c:v>
                </c:pt>
              </c:strCache>
            </c:strRef>
          </c:cat>
          <c:val>
            <c:numRef>
              <c:f>'Cuadro 9 Jul'!$I$10:$I$11</c:f>
              <c:numCache>
                <c:formatCode>0%</c:formatCode>
                <c:ptCount val="2"/>
                <c:pt idx="0">
                  <c:v>0.72916666666666663</c:v>
                </c:pt>
                <c:pt idx="1">
                  <c:v>0.27083333333333331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482-AB03-17CB6547A9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60845711"/>
        <c:axId val="1560847151"/>
      </c:barChart>
      <c:catAx>
        <c:axId val="1560845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0847151"/>
        <c:crosses val="autoZero"/>
        <c:auto val="1"/>
        <c:lblAlgn val="ctr"/>
        <c:lblOffset val="100"/>
        <c:noMultiLvlLbl val="0"/>
      </c:catAx>
      <c:valAx>
        <c:axId val="156084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084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INVERSIÓN Adjudicado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'Cuadro 9 Jul'!$M$117</c:f>
              <c:strCache>
                <c:ptCount val="1"/>
                <c:pt idx="0">
                  <c:v>Adjudicado 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5930-4C97-998D-2CDC4D25C8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5930-4C97-998D-2CDC4D25C89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930-4C97-998D-2CDC4D25C89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930-4C97-998D-2CDC4D25C892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'Cuadro 9 Jul'!$L$118:$L$121</c:f>
              <c:strCache>
                <c:ptCount val="2"/>
                <c:pt idx="0">
                  <c:v>Gestión Documental Mercurio</c:v>
                </c:pt>
                <c:pt idx="1">
                  <c:v>Servicios Tecnológicos</c:v>
                </c:pt>
              </c:strCache>
            </c:strRef>
          </c:cat>
          <c:val>
            <c:numRef>
              <c:f>'Cuadro 9 Jul'!$M$118:$M$121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0-4C97-998D-2CDC4D25C8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FUNCIONAMIENTOAdjudicado 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'Cuadro 9 Jul'!$M$130</c:f>
              <c:strCache>
                <c:ptCount val="1"/>
                <c:pt idx="0">
                  <c:v>Adjudicado 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7E8-45FD-8669-E7EC69AD5E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A7E8-45FD-8669-E7EC69AD5EC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7E8-45FD-8669-E7EC69AD5EC7}"/>
                </c:ext>
              </c:extLst>
            </c:dLbl>
            <c:dLbl>
              <c:idx val="1"/>
              <c:layout>
                <c:manualLayout>
                  <c:x val="-0.19206680584551147"/>
                  <c:y val="0.1445221445221445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7E8-45FD-8669-E7EC69AD5EC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'Cuadro 9 Jul'!$L$131:$L$133</c:f>
              <c:strCache>
                <c:ptCount val="2"/>
                <c:pt idx="0">
                  <c:v>Renovaciones, suscripciones, licencias</c:v>
                </c:pt>
                <c:pt idx="1">
                  <c:v>Seguridad</c:v>
                </c:pt>
              </c:strCache>
            </c:strRef>
          </c:cat>
          <c:val>
            <c:numRef>
              <c:f>'Cuadro 9 Jul'!$M$131:$M$133</c:f>
              <c:numCache>
                <c:formatCode>0%</c:formatCode>
                <c:ptCount val="2"/>
                <c:pt idx="0">
                  <c:v>0.42593607538266975</c:v>
                </c:pt>
                <c:pt idx="1">
                  <c:v>0.11163276322045258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E8-45FD-8669-E7EC69AD5EC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contratos por modalidad</a:t>
            </a:r>
          </a:p>
        </c:rich>
      </c:tx>
      <c:layout>
        <c:manualLayout>
          <c:xMode val="edge"/>
          <c:yMode val="edge"/>
          <c:x val="0.13499698613622665"/>
          <c:y val="1.92307692307692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'Cuadros 02 Abril'!$H$30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DE7-4967-9E88-154C624B8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9DE7-4967-9E88-154C624B8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DE7-4967-9E88-154C624B8E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9DE7-4967-9E88-154C624B8E7C}"/>
              </c:ext>
            </c:extLst>
          </c:dPt>
          <c:dLbls>
            <c:dLbl>
              <c:idx val="0"/>
              <c:layout>
                <c:manualLayout>
                  <c:x val="-9.6443640747439097E-3"/>
                  <c:y val="-1.7628001488027684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E7-4967-9E88-154C624B8E7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9DE7-4967-9E88-154C624B8E7C}"/>
                </c:ext>
              </c:extLst>
            </c:dLbl>
            <c:dLbl>
              <c:idx val="2"/>
              <c:layout>
                <c:manualLayout>
                  <c:x val="0"/>
                  <c:y val="1.538461538461536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E7-4967-9E88-154C624B8E7C}"/>
                </c:ext>
              </c:extLst>
            </c:dLbl>
            <c:dLbl>
              <c:idx val="3"/>
              <c:layout>
                <c:manualLayout>
                  <c:x val="9.6443640747438213E-3"/>
                  <c:y val="2.30769230769230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DE7-4967-9E88-154C624B8E7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'Cuadros 02 Abril'!$G$31:$G$34</c:f>
              <c:strCache>
                <c:ptCount val="4"/>
                <c:pt idx="0">
                  <c:v>Acuerdo Marco de Precios </c:v>
                </c:pt>
                <c:pt idx="1">
                  <c:v>Persona Natural (Contratista)</c:v>
                </c:pt>
                <c:pt idx="2">
                  <c:v>Selección abreviada subasta inversa</c:v>
                </c:pt>
                <c:pt idx="3">
                  <c:v>Servicio de consultoría</c:v>
                </c:pt>
              </c:strCache>
            </c:strRef>
          </c:cat>
          <c:val>
            <c:numRef>
              <c:f>'Cuadros 02 Abril'!$H$31:$H$34</c:f>
              <c:numCache>
                <c:formatCode>0%</c:formatCode>
                <c:ptCount val="4"/>
                <c:pt idx="0">
                  <c:v>0.21739130434782608</c:v>
                </c:pt>
                <c:pt idx="1">
                  <c:v>0.65217391304347827</c:v>
                </c:pt>
                <c:pt idx="2">
                  <c:v>4.3478260869565216E-2</c:v>
                </c:pt>
                <c:pt idx="3">
                  <c:v>8.6956521739130432E-2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7-4967-9E88-154C624B8E7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</a:t>
            </a:r>
            <a:r>
              <a:rPr lang="en-US" baseline="0"/>
              <a:t> faltantes por modalidad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'Tempo-FaltaDinamica'!$H$25</c:f>
              <c:strCache>
                <c:ptCount val="1"/>
                <c:pt idx="0">
                  <c:v>Porcentaje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B688-4E05-9221-E821E7B893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B688-4E05-9221-E821E7B893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B688-4E05-9221-E821E7B893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B688-4E05-9221-E821E7B893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B688-4E05-9221-E821E7B893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B688-4E05-9221-E821E7B893F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B688-4E05-9221-E821E7B893F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B688-4E05-9221-E821E7B893F7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688-4E05-9221-E821E7B893F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B688-4E05-9221-E821E7B893F7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688-4E05-9221-E821E7B893F7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B688-4E05-9221-E821E7B893F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'Tempo-FaltaDinamica'!$G$26:$G$31</c:f>
              <c:strCache>
                <c:ptCount val="6"/>
                <c:pt idx="0">
                  <c:v>Contratación régimen especial - Comparación de hojas de vida (3CV)</c:v>
                </c:pt>
                <c:pt idx="1">
                  <c:v>Contratación régimen especial - Selección basada en calidad y costo</c:v>
                </c:pt>
                <c:pt idx="2">
                  <c:v>Contratación régimen especial - Selección Basada en las calificaciones de los consultores</c:v>
                </c:pt>
                <c:pt idx="3">
                  <c:v>Mínima cuantía</c:v>
                </c:pt>
                <c:pt idx="4">
                  <c:v>Selección abreviada - acuerdo marco</c:v>
                </c:pt>
                <c:pt idx="5">
                  <c:v>Selección abreviada subasta inversa</c:v>
                </c:pt>
              </c:strCache>
            </c:strRef>
          </c:cat>
          <c:val>
            <c:numRef>
              <c:f>'Tempo-FaltaDinamica'!$H$26:$H$31</c:f>
              <c:numCache>
                <c:formatCode>0%</c:formatCode>
                <c:ptCount val="6"/>
                <c:pt idx="0">
                  <c:v>0.27272727272727271</c:v>
                </c:pt>
                <c:pt idx="1">
                  <c:v>0.13636363636363635</c:v>
                </c:pt>
                <c:pt idx="2">
                  <c:v>4.5454545454545456E-2</c:v>
                </c:pt>
                <c:pt idx="3">
                  <c:v>0.22727272727272727</c:v>
                </c:pt>
                <c:pt idx="4">
                  <c:v>0.22727272727272727</c:v>
                </c:pt>
                <c:pt idx="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8-4E05-9221-E821E7B893F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23812</xdr:rowOff>
    </xdr:from>
    <xdr:to>
      <xdr:col>16</xdr:col>
      <xdr:colOff>253365</xdr:colOff>
      <xdr:row>38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152728-DEEA-4D7D-B745-8833B7CD1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82</xdr:row>
      <xdr:rowOff>63816</xdr:rowOff>
    </xdr:from>
    <xdr:to>
      <xdr:col>16</xdr:col>
      <xdr:colOff>695325</xdr:colOff>
      <xdr:row>93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165BAC-3430-4E7C-A924-89587FAEE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403860</xdr:colOff>
      <xdr:row>115</xdr:row>
      <xdr:rowOff>87630</xdr:rowOff>
    </xdr:from>
    <xdr:to>
      <xdr:col>21</xdr:col>
      <xdr:colOff>220980</xdr:colOff>
      <xdr:row>127</xdr:row>
      <xdr:rowOff>87630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EB31B0-4B4F-4D66-B859-528F190BC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708660</xdr:colOff>
      <xdr:row>128</xdr:row>
      <xdr:rowOff>171450</xdr:rowOff>
    </xdr:from>
    <xdr:to>
      <xdr:col>21</xdr:col>
      <xdr:colOff>525780</xdr:colOff>
      <xdr:row>134</xdr:row>
      <xdr:rowOff>354330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408250-5152-432D-A9D2-3A0186F24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29</xdr:row>
      <xdr:rowOff>23812</xdr:rowOff>
    </xdr:from>
    <xdr:to>
      <xdr:col>19</xdr:col>
      <xdr:colOff>253365</xdr:colOff>
      <xdr:row>38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2DA3D0-23D1-8E22-C0F8-A7BFB689C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720090</xdr:colOff>
      <xdr:row>82</xdr:row>
      <xdr:rowOff>63816</xdr:rowOff>
    </xdr:from>
    <xdr:to>
      <xdr:col>19</xdr:col>
      <xdr:colOff>695325</xdr:colOff>
      <xdr:row>93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624C9E9-71D9-3AAA-6FBB-632540C53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1074420</xdr:colOff>
      <xdr:row>2</xdr:row>
      <xdr:rowOff>64770</xdr:rowOff>
    </xdr:from>
    <xdr:to>
      <xdr:col>13</xdr:col>
      <xdr:colOff>662940</xdr:colOff>
      <xdr:row>14</xdr:row>
      <xdr:rowOff>64770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058643-1A91-4DB4-4772-C308CBC3D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403860</xdr:colOff>
      <xdr:row>115</xdr:row>
      <xdr:rowOff>87630</xdr:rowOff>
    </xdr:from>
    <xdr:to>
      <xdr:col>24</xdr:col>
      <xdr:colOff>220980</xdr:colOff>
      <xdr:row>126</xdr:row>
      <xdr:rowOff>87630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B87F4EE-1AA9-66A3-BE0F-F773668C1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708660</xdr:colOff>
      <xdr:row>127</xdr:row>
      <xdr:rowOff>171450</xdr:rowOff>
    </xdr:from>
    <xdr:to>
      <xdr:col>24</xdr:col>
      <xdr:colOff>525780</xdr:colOff>
      <xdr:row>133</xdr:row>
      <xdr:rowOff>354330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D5DA37B-9CA7-0EF3-A47A-E2765EAAE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7</xdr:col>
      <xdr:colOff>320787</xdr:colOff>
      <xdr:row>43</xdr:row>
      <xdr:rowOff>19384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935CEB-F2A7-3DD3-2EFA-80DA8FBD3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11148060"/>
          <a:ext cx="8618967" cy="38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92290</xdr:colOff>
      <xdr:row>74</xdr:row>
      <xdr:rowOff>168066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107C34-D580-D06C-738A-3DDAEEB86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520" y="16611600"/>
          <a:ext cx="9807790" cy="4915326"/>
        </a:xfrm>
        <a:prstGeom prst="rect">
          <a:avLst/>
        </a:prstGeom>
      </xdr:spPr>
    </xdr:pic>
    <xdr:clientData/>
  </xdr:twoCellAnchor>
  <xdr:twoCellAnchor editAs="oneCell">
    <xdr:from>
      <xdr:col>0</xdr:col>
      <xdr:colOff>192405</xdr:colOff>
      <xdr:row>81</xdr:row>
      <xdr:rowOff>66675</xdr:rowOff>
    </xdr:from>
    <xdr:to>
      <xdr:col>10</xdr:col>
      <xdr:colOff>1340444</xdr:colOff>
      <xdr:row>112</xdr:row>
      <xdr:rowOff>36678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86C87B1-798B-5BE7-DE5D-B11FF1929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405" y="24726900"/>
          <a:ext cx="14187764" cy="55802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286790</xdr:colOff>
      <xdr:row>30</xdr:row>
      <xdr:rowOff>99508</xdr:rowOff>
    </xdr:to>
    <xdr:pic>
      <xdr:nvPicPr>
        <xdr:cNvPr id="5" name="Imagen 4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D85563D8-6501-8C65-1DED-0C1A6B3D3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361950"/>
          <a:ext cx="12002540" cy="51668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657224</xdr:colOff>
      <xdr:row>28</xdr:row>
      <xdr:rowOff>152400</xdr:rowOff>
    </xdr:from>
    <xdr:to>
      <xdr:col>19</xdr:col>
      <xdr:colOff>590549</xdr:colOff>
      <xdr:row>43</xdr:row>
      <xdr:rowOff>139700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3B40A2-FF3F-B1BF-04DE-D2723CA82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473074</xdr:colOff>
      <xdr:row>24</xdr:row>
      <xdr:rowOff>95250</xdr:rowOff>
    </xdr:from>
    <xdr:to>
      <xdr:col>16</xdr:col>
      <xdr:colOff>546099</xdr:colOff>
      <xdr:row>36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C5CA55-4B6A-D473-A429-2040E0EDB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Documentos%20Andrea%20Silva\TESORERIA%20ANDREA\certificacion%20retefuente\CERTIFICADOS%20INGRESOS%20Y%20RETENCIONES%20A&#209;O%202008\BASE%20DE%20DATOS%20CERTIFICACIONES%20A&#209;O%20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nferencias\declaracion%202005%20personas%20naturales\Formulario%20110%20obligados%20a%20llevar%20contabilida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Claudia\Documents\SALES-MANAGER-CLAUDIA\CLAUDIA\PLAN%20ESTRATEGICO%202014\Copia%20de%20Comisiones%20UAC%20Clientes%20Exsistentes%20Colombia%20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fensajuridica.sharepoint.com/SPECIALIZED/nomina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ceficiente-my.sharepoint.com/Users/RSantos/AppData/Local/Microsoft/Windows/Temporary%20Internet%20Files/Content.Outlook/C5BJCC9N/SustentacionBolsaHoras_V13_IncluyeMigraci&#243;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entro%20de%20Datos\Validaci&#243;n%20Facturaci&#243;n\Validaci&#243;n\Base%20de%20datos%20CD_v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3\Users\co1098619823\AppData\Local\Microsoft\Windows\Temporary%20Internet%20Files\Content.Outlook\M4N9SPHE\Verificaci&#243;n%20de%20los%20Requerimientos%20a%20Facturar%20FEB-V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ceficiente-my.sharepoint.com/Users/dana.pineda/AppData/Local/Microsoft/Windows/INetCache/Content.Outlook/B8PIR0NB/20160129_SustentacionBolsaHoras_DesarrollosEvolutivos__V2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3\Users\co1098619823\AppData\Local\Microsoft\Windows\Temporary%20Internet%20Files\Content.Outlook\M4N9SPHE\Verificaci&#243;n%20de%20los%20Requerimientos%20a%20Facturar%20-PendientesTermina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3\Users\co66858961\AppData\Local\Microsoft\Windows\Temporary%20Internet%20Files\Content.Outlook\VE87HJ4N\Verificaci&#243;n%20de%20los%20Requerimientos%20Puestos%20en%20Producci&#243;n%20-%20201401%20-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o1022343969/AppData/Local/Microsoft/Windows/Temporary%20Internet%20Files/Content.Outlook/M50D1SNH/Copia%20de%20Verificaci&#243;n%20de%20los%20Requerimientos%20a%20Facturar%20-Enero_2014_v2_REV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fensajuridica.sharepoint.com/Users/Nombre.Apellido/Desktop/GESAFMD/SIIF/LIQUIDACIONESJULIO201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DVG08"/>
      <sheetName val="BDGAS08"/>
      <sheetName val="BDSAL08"/>
      <sheetName val="BDPEN08"/>
      <sheetName val="BDAFC08"/>
      <sheetName val="BDRET08"/>
    </sheetNames>
    <sheetDataSet>
      <sheetData sheetId="0"/>
      <sheetData sheetId="1">
        <row r="2">
          <cell r="A2">
            <v>91475351</v>
          </cell>
          <cell r="B2" t="str">
            <v>SALAZAR</v>
          </cell>
          <cell r="C2" t="str">
            <v>RUEDA</v>
          </cell>
          <cell r="D2" t="str">
            <v>JUAN CAMILO</v>
          </cell>
          <cell r="E2">
            <v>46335029</v>
          </cell>
        </row>
        <row r="3">
          <cell r="A3">
            <v>98563386</v>
          </cell>
          <cell r="B3" t="str">
            <v>ARIAS</v>
          </cell>
          <cell r="C3" t="str">
            <v>LEIVA</v>
          </cell>
          <cell r="D3" t="str">
            <v>ANDRES FELIPE</v>
          </cell>
          <cell r="E3">
            <v>61567812</v>
          </cell>
        </row>
      </sheetData>
      <sheetData sheetId="2"/>
      <sheetData sheetId="3"/>
      <sheetData sheetId="4">
        <row r="2">
          <cell r="A2">
            <v>14237719</v>
          </cell>
          <cell r="B2" t="str">
            <v>LOZANO</v>
          </cell>
          <cell r="C2" t="str">
            <v>CASTRO</v>
          </cell>
          <cell r="D2" t="str">
            <v>NELSON ENRIQUE</v>
          </cell>
          <cell r="E2">
            <v>1800000</v>
          </cell>
        </row>
        <row r="3">
          <cell r="A3">
            <v>19166837</v>
          </cell>
          <cell r="B3" t="str">
            <v>RODRIGUEZ</v>
          </cell>
          <cell r="C3" t="str">
            <v>MANRIQUE</v>
          </cell>
          <cell r="D3" t="str">
            <v>ORLANDO</v>
          </cell>
          <cell r="E3">
            <v>450000</v>
          </cell>
        </row>
        <row r="4">
          <cell r="A4">
            <v>35319409</v>
          </cell>
          <cell r="B4" t="str">
            <v>SUAREZ</v>
          </cell>
          <cell r="C4" t="str">
            <v>OVALLE</v>
          </cell>
          <cell r="D4" t="str">
            <v>FLOR ANGELA</v>
          </cell>
          <cell r="E4">
            <v>3600000</v>
          </cell>
        </row>
        <row r="5">
          <cell r="A5">
            <v>41496371</v>
          </cell>
          <cell r="B5" t="str">
            <v>ALMEIDA</v>
          </cell>
          <cell r="C5" t="str">
            <v>SANCHEZ</v>
          </cell>
          <cell r="D5" t="str">
            <v>MARIA BEATRIZ</v>
          </cell>
          <cell r="E5">
            <v>2400000</v>
          </cell>
        </row>
        <row r="6">
          <cell r="A6">
            <v>51747962</v>
          </cell>
          <cell r="B6" t="str">
            <v>IREGUI</v>
          </cell>
          <cell r="C6" t="str">
            <v>GONZALEZ</v>
          </cell>
          <cell r="D6" t="str">
            <v>NOHORA BEATRIZ</v>
          </cell>
          <cell r="E6">
            <v>14200000</v>
          </cell>
        </row>
        <row r="7">
          <cell r="A7">
            <v>52086877</v>
          </cell>
          <cell r="B7" t="str">
            <v>PEREIRA</v>
          </cell>
          <cell r="C7" t="str">
            <v>BONILLA</v>
          </cell>
          <cell r="D7" t="str">
            <v>DIANA JIMENA</v>
          </cell>
          <cell r="E7">
            <v>7200000</v>
          </cell>
        </row>
        <row r="8">
          <cell r="A8">
            <v>63527243</v>
          </cell>
          <cell r="B8" t="str">
            <v>PRADILLA</v>
          </cell>
          <cell r="C8" t="str">
            <v>ANDRADE</v>
          </cell>
          <cell r="D8" t="str">
            <v>ANDREA PAOLA</v>
          </cell>
          <cell r="E8">
            <v>3050000</v>
          </cell>
        </row>
        <row r="9">
          <cell r="A9">
            <v>65774977</v>
          </cell>
          <cell r="B9" t="str">
            <v>URUENA</v>
          </cell>
          <cell r="C9" t="str">
            <v>GOMEZ</v>
          </cell>
          <cell r="D9" t="str">
            <v>MARCELA</v>
          </cell>
          <cell r="E9">
            <v>6669275</v>
          </cell>
        </row>
        <row r="10">
          <cell r="A10">
            <v>71746410</v>
          </cell>
          <cell r="B10" t="str">
            <v>ORTEGA</v>
          </cell>
          <cell r="C10" t="str">
            <v>ARROYAVE</v>
          </cell>
          <cell r="D10" t="str">
            <v>JUAN DAVID</v>
          </cell>
          <cell r="E10">
            <v>38400000</v>
          </cell>
        </row>
        <row r="11">
          <cell r="A11">
            <v>72218609</v>
          </cell>
          <cell r="B11" t="str">
            <v>ROMERO</v>
          </cell>
          <cell r="C11" t="str">
            <v>MERCADO</v>
          </cell>
          <cell r="D11" t="str">
            <v>JAVIER ENRIQUE</v>
          </cell>
          <cell r="E11">
            <v>6948000</v>
          </cell>
        </row>
        <row r="12">
          <cell r="A12">
            <v>79318364</v>
          </cell>
          <cell r="B12" t="str">
            <v>SANCHEZ</v>
          </cell>
          <cell r="C12" t="str">
            <v>ROJAS</v>
          </cell>
          <cell r="D12" t="str">
            <v>MANUEL ROBERTO</v>
          </cell>
          <cell r="E12">
            <v>1300000</v>
          </cell>
        </row>
        <row r="13">
          <cell r="A13">
            <v>91475351</v>
          </cell>
          <cell r="B13" t="str">
            <v>SALAZAR</v>
          </cell>
          <cell r="C13" t="str">
            <v>RUEDA</v>
          </cell>
          <cell r="D13" t="str">
            <v>JUAN CAMILO</v>
          </cell>
          <cell r="E13">
            <v>4600000</v>
          </cell>
        </row>
        <row r="14">
          <cell r="A14">
            <v>98563386</v>
          </cell>
          <cell r="B14" t="str">
            <v>ARIAS</v>
          </cell>
          <cell r="C14" t="str">
            <v>LEIVA</v>
          </cell>
          <cell r="D14" t="str">
            <v>ANDRES FELIPE</v>
          </cell>
          <cell r="E14">
            <v>37200000</v>
          </cell>
        </row>
      </sheetData>
      <sheetData sheetId="5">
        <row r="2">
          <cell r="A2">
            <v>3102407</v>
          </cell>
          <cell r="B2" t="str">
            <v>CUESTAS</v>
          </cell>
          <cell r="D2" t="str">
            <v>MAURICIO</v>
          </cell>
          <cell r="E2">
            <v>122816</v>
          </cell>
        </row>
        <row r="3">
          <cell r="A3">
            <v>7519991</v>
          </cell>
          <cell r="B3" t="str">
            <v>OROZCO</v>
          </cell>
          <cell r="C3" t="str">
            <v>QUINTERO</v>
          </cell>
          <cell r="D3" t="str">
            <v>VICTOR RAUL</v>
          </cell>
          <cell r="E3">
            <v>430283</v>
          </cell>
        </row>
        <row r="4">
          <cell r="A4">
            <v>11799029</v>
          </cell>
          <cell r="B4" t="str">
            <v>TOBON</v>
          </cell>
          <cell r="C4" t="str">
            <v>TORREGLOSA</v>
          </cell>
          <cell r="D4" t="str">
            <v>JOSE LEONIDAS</v>
          </cell>
          <cell r="E4">
            <v>14451845</v>
          </cell>
        </row>
        <row r="5">
          <cell r="A5">
            <v>16260844</v>
          </cell>
          <cell r="B5" t="str">
            <v>ACEVEDO</v>
          </cell>
          <cell r="C5" t="str">
            <v>STRAUCH</v>
          </cell>
          <cell r="D5" t="str">
            <v>HECTOR RODOLFO</v>
          </cell>
          <cell r="E5">
            <v>60139</v>
          </cell>
        </row>
        <row r="6">
          <cell r="A6">
            <v>17184940</v>
          </cell>
          <cell r="B6" t="str">
            <v>CABRERA</v>
          </cell>
          <cell r="C6" t="str">
            <v>GOMEZ</v>
          </cell>
          <cell r="D6" t="str">
            <v>JORGE ELIECER</v>
          </cell>
          <cell r="E6">
            <v>270594</v>
          </cell>
        </row>
        <row r="7">
          <cell r="A7">
            <v>17337975</v>
          </cell>
          <cell r="B7" t="str">
            <v>VELASQUEZ</v>
          </cell>
          <cell r="C7" t="str">
            <v>GONZALEZ</v>
          </cell>
          <cell r="D7" t="str">
            <v>NESTOR EDUARDO</v>
          </cell>
          <cell r="E7">
            <v>371096</v>
          </cell>
        </row>
        <row r="8">
          <cell r="A8">
            <v>19077171</v>
          </cell>
          <cell r="B8" t="str">
            <v>CLAVIJO</v>
          </cell>
          <cell r="C8" t="str">
            <v>DIAZ</v>
          </cell>
          <cell r="D8" t="str">
            <v>JUAN ANTONIO</v>
          </cell>
          <cell r="E8">
            <v>303407</v>
          </cell>
        </row>
        <row r="9">
          <cell r="A9">
            <v>19152627</v>
          </cell>
          <cell r="B9" t="str">
            <v>VILLA</v>
          </cell>
          <cell r="C9" t="str">
            <v>FARFAN</v>
          </cell>
          <cell r="D9" t="str">
            <v>BUENAVENTURA</v>
          </cell>
          <cell r="E9">
            <v>194858</v>
          </cell>
        </row>
        <row r="10">
          <cell r="A10">
            <v>19294291</v>
          </cell>
          <cell r="B10" t="str">
            <v>MICAN</v>
          </cell>
          <cell r="C10" t="str">
            <v>BAQUERO</v>
          </cell>
          <cell r="D10" t="str">
            <v>JORGE LUIS</v>
          </cell>
          <cell r="E10">
            <v>360313</v>
          </cell>
        </row>
        <row r="11">
          <cell r="A11">
            <v>19324912</v>
          </cell>
          <cell r="B11" t="str">
            <v>ESPINOSA</v>
          </cell>
          <cell r="C11" t="str">
            <v>FENWARTH</v>
          </cell>
          <cell r="D11" t="str">
            <v>ANDRES</v>
          </cell>
          <cell r="E11">
            <v>13132288</v>
          </cell>
        </row>
        <row r="12">
          <cell r="A12">
            <v>19337143</v>
          </cell>
          <cell r="B12" t="str">
            <v>GUZMAN</v>
          </cell>
          <cell r="C12" t="str">
            <v>VERGARA</v>
          </cell>
          <cell r="D12" t="str">
            <v>LUIS HUMBERTO</v>
          </cell>
          <cell r="E12">
            <v>1244613</v>
          </cell>
        </row>
        <row r="13">
          <cell r="A13">
            <v>19450378</v>
          </cell>
          <cell r="B13" t="str">
            <v>RODRIGUEZ</v>
          </cell>
          <cell r="C13" t="str">
            <v>RUEDA</v>
          </cell>
          <cell r="D13" t="str">
            <v>HENRY</v>
          </cell>
          <cell r="E13">
            <v>6840754</v>
          </cell>
        </row>
        <row r="14">
          <cell r="A14">
            <v>19461075</v>
          </cell>
          <cell r="B14" t="str">
            <v>RODRIGUEZ</v>
          </cell>
          <cell r="C14" t="str">
            <v>GONGORA</v>
          </cell>
          <cell r="D14" t="str">
            <v>JAIME</v>
          </cell>
          <cell r="E14">
            <v>537928</v>
          </cell>
        </row>
        <row r="15">
          <cell r="A15">
            <v>25151191</v>
          </cell>
          <cell r="B15" t="str">
            <v>ALZATE</v>
          </cell>
          <cell r="C15" t="str">
            <v>DE CASTANO</v>
          </cell>
          <cell r="D15" t="str">
            <v>ANA JULIA</v>
          </cell>
          <cell r="E15">
            <v>8231695</v>
          </cell>
        </row>
        <row r="16">
          <cell r="A16">
            <v>28795787</v>
          </cell>
          <cell r="B16" t="str">
            <v>NIETO</v>
          </cell>
          <cell r="C16" t="str">
            <v>MACHADO</v>
          </cell>
          <cell r="D16" t="str">
            <v>BEATRIZ</v>
          </cell>
          <cell r="E16">
            <v>510032</v>
          </cell>
        </row>
        <row r="17">
          <cell r="A17">
            <v>36156557</v>
          </cell>
          <cell r="B17" t="str">
            <v>GONZALEZ</v>
          </cell>
          <cell r="C17" t="str">
            <v>CRUZ</v>
          </cell>
          <cell r="D17" t="str">
            <v>EDITH</v>
          </cell>
          <cell r="E17">
            <v>22946</v>
          </cell>
        </row>
        <row r="18">
          <cell r="A18">
            <v>37827629</v>
          </cell>
          <cell r="B18" t="str">
            <v>SAAVEDRA</v>
          </cell>
          <cell r="C18" t="str">
            <v>QUINTANILLA</v>
          </cell>
          <cell r="D18" t="str">
            <v>MYRIAM</v>
          </cell>
          <cell r="E18">
            <v>216521</v>
          </cell>
        </row>
        <row r="19">
          <cell r="A19">
            <v>41604683</v>
          </cell>
          <cell r="B19" t="str">
            <v>SANCHEZ</v>
          </cell>
          <cell r="C19" t="str">
            <v>RIOS</v>
          </cell>
          <cell r="D19" t="str">
            <v>ALBA</v>
          </cell>
          <cell r="E19">
            <v>16195921</v>
          </cell>
        </row>
        <row r="20">
          <cell r="A20">
            <v>41635147</v>
          </cell>
          <cell r="B20" t="str">
            <v>GALLO</v>
          </cell>
          <cell r="C20" t="str">
            <v>MAHECHA</v>
          </cell>
          <cell r="D20" t="str">
            <v>MARIA EUGENIA ANGELA</v>
          </cell>
          <cell r="E20">
            <v>621122</v>
          </cell>
        </row>
        <row r="21">
          <cell r="A21">
            <v>41649492</v>
          </cell>
          <cell r="B21" t="str">
            <v>RINCON</v>
          </cell>
          <cell r="C21" t="str">
            <v>VARGAS</v>
          </cell>
          <cell r="D21" t="str">
            <v>MARIA DE JESUS</v>
          </cell>
          <cell r="E21">
            <v>474392</v>
          </cell>
        </row>
        <row r="22">
          <cell r="A22">
            <v>41773519</v>
          </cell>
          <cell r="B22" t="str">
            <v>HUERTAS</v>
          </cell>
          <cell r="C22" t="str">
            <v>LOPEZ</v>
          </cell>
          <cell r="D22" t="str">
            <v>ANA MARLENNE</v>
          </cell>
          <cell r="E22">
            <v>2563075</v>
          </cell>
        </row>
        <row r="23">
          <cell r="A23">
            <v>43750487</v>
          </cell>
          <cell r="B23" t="str">
            <v>FLOREZ</v>
          </cell>
          <cell r="C23" t="str">
            <v>CALUME</v>
          </cell>
          <cell r="D23" t="str">
            <v>SAIDE PATRICIA</v>
          </cell>
          <cell r="E23">
            <v>3046138</v>
          </cell>
        </row>
        <row r="24">
          <cell r="A24">
            <v>51592586</v>
          </cell>
          <cell r="B24" t="str">
            <v>CARRENO</v>
          </cell>
          <cell r="C24" t="str">
            <v>HUEPENDO</v>
          </cell>
          <cell r="D24" t="str">
            <v>MIRYAM JANETH</v>
          </cell>
          <cell r="E24">
            <v>735471</v>
          </cell>
        </row>
        <row r="25">
          <cell r="A25">
            <v>51628254</v>
          </cell>
          <cell r="B25" t="str">
            <v>VARELA</v>
          </cell>
          <cell r="C25" t="str">
            <v>VIGOYA</v>
          </cell>
          <cell r="D25" t="str">
            <v>MARIA TERESA</v>
          </cell>
          <cell r="E25">
            <v>2101715</v>
          </cell>
        </row>
        <row r="26">
          <cell r="A26">
            <v>51678019</v>
          </cell>
          <cell r="B26" t="str">
            <v>TOVAR</v>
          </cell>
          <cell r="C26" t="str">
            <v>CHAVARRO</v>
          </cell>
          <cell r="D26" t="str">
            <v>MARIA DE LOS ANGELES</v>
          </cell>
          <cell r="E26">
            <v>1116124</v>
          </cell>
        </row>
        <row r="27">
          <cell r="A27">
            <v>51747962</v>
          </cell>
          <cell r="B27" t="str">
            <v>IREGUI</v>
          </cell>
          <cell r="C27" t="str">
            <v>GONZALEZ</v>
          </cell>
          <cell r="D27" t="str">
            <v>NOHORA BEATRIZ</v>
          </cell>
          <cell r="E27">
            <v>11616106</v>
          </cell>
        </row>
        <row r="28">
          <cell r="A28">
            <v>51815787</v>
          </cell>
          <cell r="B28" t="str">
            <v>GARCIA</v>
          </cell>
          <cell r="C28" t="str">
            <v>BAUTISTA</v>
          </cell>
          <cell r="D28" t="str">
            <v>NUBIA</v>
          </cell>
          <cell r="E28">
            <v>267465</v>
          </cell>
        </row>
        <row r="29">
          <cell r="A29">
            <v>52057888</v>
          </cell>
          <cell r="B29" t="str">
            <v>SILVA</v>
          </cell>
          <cell r="C29" t="str">
            <v>CORTES</v>
          </cell>
          <cell r="D29" t="str">
            <v>ANDREA JULIANA</v>
          </cell>
          <cell r="E29">
            <v>10869487</v>
          </cell>
        </row>
        <row r="30">
          <cell r="A30">
            <v>52086877</v>
          </cell>
          <cell r="B30" t="str">
            <v>PEREIRA</v>
          </cell>
          <cell r="C30" t="str">
            <v>BONILLA</v>
          </cell>
          <cell r="D30" t="str">
            <v>DIANA JIMENA</v>
          </cell>
          <cell r="E30">
            <v>7419759</v>
          </cell>
        </row>
        <row r="31">
          <cell r="A31">
            <v>52111638</v>
          </cell>
          <cell r="B31" t="str">
            <v>MUNOZ</v>
          </cell>
          <cell r="C31" t="str">
            <v>TORRES</v>
          </cell>
          <cell r="D31" t="str">
            <v>SANDRA EMILIA</v>
          </cell>
          <cell r="E31">
            <v>734316</v>
          </cell>
        </row>
        <row r="32">
          <cell r="A32">
            <v>52258642</v>
          </cell>
          <cell r="B32" t="str">
            <v>MENDEZ</v>
          </cell>
          <cell r="C32" t="str">
            <v>REYES</v>
          </cell>
          <cell r="D32" t="str">
            <v>TULIA EUGENIA</v>
          </cell>
          <cell r="E32">
            <v>15871385</v>
          </cell>
        </row>
        <row r="33">
          <cell r="A33">
            <v>52268837</v>
          </cell>
          <cell r="B33" t="str">
            <v>GARNICA</v>
          </cell>
          <cell r="C33" t="str">
            <v>DE LA ESPRIELLA</v>
          </cell>
          <cell r="D33" t="str">
            <v>LORENA</v>
          </cell>
          <cell r="E33">
            <v>9955239</v>
          </cell>
        </row>
        <row r="34">
          <cell r="A34">
            <v>52420437</v>
          </cell>
          <cell r="B34" t="str">
            <v>MORALES</v>
          </cell>
          <cell r="C34" t="str">
            <v>CALDERON</v>
          </cell>
          <cell r="D34" t="str">
            <v>DIANA MARCELA</v>
          </cell>
          <cell r="E34">
            <v>1350889</v>
          </cell>
        </row>
        <row r="35">
          <cell r="A35">
            <v>52455245</v>
          </cell>
          <cell r="B35" t="str">
            <v>VALENCIA</v>
          </cell>
          <cell r="C35" t="str">
            <v>TELLO</v>
          </cell>
          <cell r="D35" t="str">
            <v>DIANA CAROLINA</v>
          </cell>
          <cell r="E35">
            <v>8097423</v>
          </cell>
        </row>
        <row r="36">
          <cell r="A36">
            <v>52691429</v>
          </cell>
          <cell r="B36" t="str">
            <v>RIVEROS</v>
          </cell>
          <cell r="C36" t="str">
            <v>GOMEZ</v>
          </cell>
          <cell r="D36" t="str">
            <v>CATALINA</v>
          </cell>
          <cell r="E36">
            <v>1110000</v>
          </cell>
        </row>
        <row r="37">
          <cell r="A37">
            <v>55158061</v>
          </cell>
          <cell r="B37" t="str">
            <v>MEDINA</v>
          </cell>
          <cell r="C37" t="str">
            <v>ARIAS</v>
          </cell>
          <cell r="D37" t="str">
            <v>CIELO NURY</v>
          </cell>
          <cell r="E37">
            <v>523196</v>
          </cell>
        </row>
        <row r="38">
          <cell r="A38">
            <v>63527243</v>
          </cell>
          <cell r="B38" t="str">
            <v>PRADILLA</v>
          </cell>
          <cell r="C38" t="str">
            <v>ANDRADE</v>
          </cell>
          <cell r="D38" t="str">
            <v>ANDREA PAOLA</v>
          </cell>
          <cell r="E38">
            <v>474000</v>
          </cell>
        </row>
        <row r="39">
          <cell r="A39">
            <v>65774977</v>
          </cell>
          <cell r="B39" t="str">
            <v>URUENA</v>
          </cell>
          <cell r="C39" t="str">
            <v>GOMEZ</v>
          </cell>
          <cell r="D39" t="str">
            <v>MARCELA</v>
          </cell>
          <cell r="E39">
            <v>6558843</v>
          </cell>
        </row>
        <row r="40">
          <cell r="A40">
            <v>71746410</v>
          </cell>
          <cell r="B40" t="str">
            <v>ORTEGA</v>
          </cell>
          <cell r="C40" t="str">
            <v>ARROYAVE</v>
          </cell>
          <cell r="D40" t="str">
            <v>JUAN DAVID</v>
          </cell>
          <cell r="E40">
            <v>12177461</v>
          </cell>
        </row>
        <row r="41">
          <cell r="A41">
            <v>72218609</v>
          </cell>
          <cell r="B41" t="str">
            <v>ROMERO</v>
          </cell>
          <cell r="C41" t="str">
            <v>MERCADO</v>
          </cell>
          <cell r="D41" t="str">
            <v>JAVIER ENRIQUE</v>
          </cell>
          <cell r="E41">
            <v>9203179</v>
          </cell>
        </row>
        <row r="42">
          <cell r="A42">
            <v>78716542</v>
          </cell>
          <cell r="B42" t="str">
            <v>ALVAREZ</v>
          </cell>
          <cell r="C42" t="str">
            <v>RUIZ</v>
          </cell>
          <cell r="D42" t="str">
            <v>LUIS ENRIQUE</v>
          </cell>
          <cell r="E42">
            <v>1197803</v>
          </cell>
        </row>
        <row r="43">
          <cell r="A43">
            <v>79271278</v>
          </cell>
          <cell r="B43" t="str">
            <v>GUTIERREZ</v>
          </cell>
          <cell r="C43" t="str">
            <v>VARGAS</v>
          </cell>
          <cell r="D43" t="str">
            <v>JULIO IGNACIO</v>
          </cell>
          <cell r="E43">
            <v>37574</v>
          </cell>
        </row>
        <row r="44">
          <cell r="A44">
            <v>79689702</v>
          </cell>
          <cell r="B44" t="str">
            <v>SCHROEDER</v>
          </cell>
          <cell r="C44" t="str">
            <v>MULLER</v>
          </cell>
          <cell r="D44" t="str">
            <v>OSKAR AUGUST</v>
          </cell>
          <cell r="E44">
            <v>7758097</v>
          </cell>
        </row>
        <row r="45">
          <cell r="A45">
            <v>79959736</v>
          </cell>
          <cell r="B45" t="str">
            <v>SOTO</v>
          </cell>
          <cell r="C45" t="str">
            <v>ANGEL</v>
          </cell>
          <cell r="D45" t="str">
            <v>MARIO ANDRES</v>
          </cell>
          <cell r="E45">
            <v>10498964</v>
          </cell>
        </row>
        <row r="46">
          <cell r="A46">
            <v>80090872</v>
          </cell>
          <cell r="B46" t="str">
            <v>QUINTERO</v>
          </cell>
          <cell r="C46" t="str">
            <v>VILLA</v>
          </cell>
          <cell r="D46" t="str">
            <v>JUAN FELIPE</v>
          </cell>
          <cell r="E46">
            <v>3389229</v>
          </cell>
        </row>
        <row r="47">
          <cell r="A47">
            <v>80414558</v>
          </cell>
          <cell r="B47" t="str">
            <v>ROBLES</v>
          </cell>
          <cell r="C47" t="str">
            <v>COCUYAME</v>
          </cell>
          <cell r="D47" t="str">
            <v>CARLOS ALBERTO</v>
          </cell>
          <cell r="E47">
            <v>12304474</v>
          </cell>
        </row>
        <row r="48">
          <cell r="A48">
            <v>91067913</v>
          </cell>
          <cell r="B48" t="str">
            <v>DUARTE</v>
          </cell>
          <cell r="C48" t="str">
            <v>TOLOZA</v>
          </cell>
          <cell r="D48" t="str">
            <v>HELIO DOMINGO</v>
          </cell>
          <cell r="E48">
            <v>583447</v>
          </cell>
        </row>
        <row r="49">
          <cell r="A49">
            <v>91475351</v>
          </cell>
          <cell r="B49" t="str">
            <v>SALAZAR</v>
          </cell>
          <cell r="C49" t="str">
            <v>RUEDA</v>
          </cell>
          <cell r="D49" t="str">
            <v>JUAN CAMILO</v>
          </cell>
          <cell r="E49">
            <v>18389495</v>
          </cell>
        </row>
        <row r="50">
          <cell r="A50">
            <v>93116391</v>
          </cell>
          <cell r="B50" t="str">
            <v>MATIZ</v>
          </cell>
          <cell r="C50" t="str">
            <v>ACOSTA</v>
          </cell>
          <cell r="D50" t="str">
            <v>ALBERTO JOSE</v>
          </cell>
          <cell r="E50">
            <v>358810</v>
          </cell>
        </row>
        <row r="51">
          <cell r="A51">
            <v>94458830</v>
          </cell>
          <cell r="B51" t="str">
            <v>ROA</v>
          </cell>
          <cell r="C51" t="str">
            <v>VALENCIA</v>
          </cell>
          <cell r="D51" t="str">
            <v>JULIAN ANDRES</v>
          </cell>
          <cell r="E51">
            <v>1355000</v>
          </cell>
        </row>
        <row r="52">
          <cell r="A52">
            <v>98563386</v>
          </cell>
          <cell r="B52" t="str">
            <v>ARIAS</v>
          </cell>
          <cell r="C52" t="str">
            <v>LEIVA</v>
          </cell>
          <cell r="D52" t="str">
            <v>ANDRES FELIPE</v>
          </cell>
          <cell r="E52">
            <v>24535922</v>
          </cell>
        </row>
        <row r="53">
          <cell r="A53">
            <v>98564783</v>
          </cell>
          <cell r="B53" t="str">
            <v>MESA</v>
          </cell>
          <cell r="C53" t="str">
            <v>GUERRA</v>
          </cell>
          <cell r="D53" t="str">
            <v>JAIRO ALONSO</v>
          </cell>
          <cell r="E53">
            <v>23313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Básicos"/>
      <sheetName val="Formulario"/>
      <sheetName val="tabla impto 2005"/>
      <sheetName val="Anticipo al 2006"/>
    </sheetNames>
    <sheetDataSet>
      <sheetData sheetId="0"/>
      <sheetData sheetId="1"/>
      <sheetData sheetId="2"/>
      <sheetData sheetId="3">
        <row r="3">
          <cell r="G3">
            <v>1</v>
          </cell>
          <cell r="H3">
            <v>0</v>
          </cell>
        </row>
        <row r="4">
          <cell r="G4">
            <v>2</v>
          </cell>
          <cell r="H4">
            <v>0</v>
          </cell>
        </row>
        <row r="6">
          <cell r="G6">
            <v>3</v>
          </cell>
          <cell r="H6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 General"/>
      <sheetName val="C. Valencia"/>
      <sheetName val="vendedor 1"/>
      <sheetName val="07"/>
      <sheetName val="08"/>
      <sheetName val="09"/>
      <sheetName val="10"/>
      <sheetName val="11"/>
      <sheetName val="12"/>
      <sheetName val="Formuleo"/>
    </sheetNames>
    <sheetDataSet>
      <sheetData sheetId="0" refreshError="1">
        <row r="2">
          <cell r="E2">
            <v>3.1</v>
          </cell>
        </row>
        <row r="15">
          <cell r="A15" t="str">
            <v>Plan 2013</v>
          </cell>
          <cell r="B15" t="str">
            <v>Orden</v>
          </cell>
          <cell r="C15" t="str">
            <v>Apellido y Nombre</v>
          </cell>
          <cell r="D15" t="str">
            <v>Código Tablero</v>
          </cell>
          <cell r="E15" t="str">
            <v>Fijo 2013</v>
          </cell>
          <cell r="F15" t="str">
            <v>Decreto 1247</v>
          </cell>
          <cell r="G15" t="str">
            <v>Efectivo</v>
          </cell>
          <cell r="H15" t="str">
            <v>Tickets Canasta</v>
          </cell>
          <cell r="I15" t="str">
            <v>Tickets Restaurant</v>
          </cell>
          <cell r="J15" t="str">
            <v>Variable 2013</v>
          </cell>
          <cell r="K15" t="str">
            <v>% de utilización</v>
          </cell>
          <cell r="L15" t="str">
            <v>% Variable</v>
          </cell>
          <cell r="M15" t="str">
            <v>Puntos</v>
          </cell>
          <cell r="N15" t="str">
            <v>Bono Quota Personal</v>
          </cell>
          <cell r="O15" t="str">
            <v>Bono Quota Gerencia</v>
          </cell>
          <cell r="P15" t="str">
            <v>Total Mes</v>
          </cell>
          <cell r="Q15" t="str">
            <v>Total Año $</v>
          </cell>
          <cell r="R15" t="str">
            <v>Costo Anual + Cargas</v>
          </cell>
          <cell r="S15" t="str">
            <v>Total Año U$S</v>
          </cell>
          <cell r="T15" t="str">
            <v>Viáticos y Gastos Dpto U$S</v>
          </cell>
          <cell r="U15" t="str">
            <v>Contib. Marg U$S</v>
          </cell>
          <cell r="V15" t="str">
            <v>Total Año U$S s/CM</v>
          </cell>
          <cell r="W15" t="str">
            <v>Costo Anual/Ptos</v>
          </cell>
          <cell r="X15" t="str">
            <v>Pto por u$ sueldo</v>
          </cell>
          <cell r="Z15" t="str">
            <v>Quota Revenue</v>
          </cell>
          <cell r="AA15" t="str">
            <v>% CM s/Break</v>
          </cell>
          <cell r="AB15" t="str">
            <v>Tipo</v>
          </cell>
        </row>
        <row r="18">
          <cell r="A18" t="str">
            <v>Energía</v>
          </cell>
          <cell r="B18">
            <v>5</v>
          </cell>
          <cell r="C18" t="str">
            <v>Totales</v>
          </cell>
          <cell r="E18">
            <v>4000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4000</v>
          </cell>
          <cell r="L18">
            <v>0.5</v>
          </cell>
          <cell r="M18">
            <v>450000</v>
          </cell>
          <cell r="N18">
            <v>0</v>
          </cell>
          <cell r="O18">
            <v>0</v>
          </cell>
          <cell r="P18">
            <v>8000</v>
          </cell>
          <cell r="Q18">
            <v>104000</v>
          </cell>
          <cell r="R18">
            <v>127920</v>
          </cell>
          <cell r="S18">
            <v>41264.516129032258</v>
          </cell>
          <cell r="T18">
            <v>10000</v>
          </cell>
          <cell r="U18">
            <v>500000</v>
          </cell>
          <cell r="V18">
            <v>0.10252903225806452</v>
          </cell>
          <cell r="W18">
            <v>9.1698924731182796E-2</v>
          </cell>
          <cell r="X18">
            <v>10.905253283302065</v>
          </cell>
          <cell r="Z18">
            <v>0</v>
          </cell>
          <cell r="AA18" t="e">
            <v>#DIV/0!</v>
          </cell>
        </row>
        <row r="19">
          <cell r="B19">
            <v>23</v>
          </cell>
          <cell r="C19" t="str">
            <v>Claudia Valencia</v>
          </cell>
          <cell r="E19">
            <v>4000</v>
          </cell>
          <cell r="I19">
            <v>0</v>
          </cell>
          <cell r="J19">
            <v>4000</v>
          </cell>
          <cell r="L19">
            <v>0.5</v>
          </cell>
          <cell r="M19">
            <v>40000</v>
          </cell>
          <cell r="N19">
            <v>0</v>
          </cell>
          <cell r="O19">
            <v>0</v>
          </cell>
          <cell r="P19">
            <v>8000</v>
          </cell>
          <cell r="Q19">
            <v>104000</v>
          </cell>
          <cell r="R19">
            <v>127920</v>
          </cell>
          <cell r="S19">
            <v>41264.516129032258</v>
          </cell>
          <cell r="U19">
            <v>500000</v>
          </cell>
          <cell r="V19">
            <v>8.2529032258064516E-2</v>
          </cell>
          <cell r="W19">
            <v>1.0316129032258063</v>
          </cell>
          <cell r="X19">
            <v>0.96935584740462788</v>
          </cell>
          <cell r="Z19">
            <v>2500000</v>
          </cell>
          <cell r="AA19">
            <v>0.2</v>
          </cell>
          <cell r="AB19" t="str">
            <v>Gerente</v>
          </cell>
        </row>
        <row r="20">
          <cell r="B20">
            <v>24</v>
          </cell>
          <cell r="L20" t="e">
            <v>#DIV/0!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U20">
            <v>0</v>
          </cell>
          <cell r="V20" t="e">
            <v>#DIV/0!</v>
          </cell>
          <cell r="W20" t="e">
            <v>#DIV/0!</v>
          </cell>
          <cell r="X20" t="e">
            <v>#DIV/0!</v>
          </cell>
          <cell r="Z20">
            <v>0</v>
          </cell>
          <cell r="AA20" t="e">
            <v>#DIV/0!</v>
          </cell>
          <cell r="AB20" t="str">
            <v>Vendedor</v>
          </cell>
        </row>
        <row r="21">
          <cell r="B21">
            <v>25</v>
          </cell>
          <cell r="L21" t="e">
            <v>#DIV/0!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U21">
            <v>0</v>
          </cell>
          <cell r="V21" t="e">
            <v>#DIV/0!</v>
          </cell>
          <cell r="W21" t="e">
            <v>#DIV/0!</v>
          </cell>
          <cell r="X21" t="e">
            <v>#DIV/0!</v>
          </cell>
          <cell r="Z21">
            <v>0</v>
          </cell>
          <cell r="AA21" t="e">
            <v>#DIV/0!</v>
          </cell>
          <cell r="AB21" t="str">
            <v>Vendedor</v>
          </cell>
        </row>
        <row r="22">
          <cell r="B22">
            <v>26</v>
          </cell>
          <cell r="L22" t="e">
            <v>#DIV/0!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U22">
            <v>0</v>
          </cell>
          <cell r="V22" t="e">
            <v>#DIV/0!</v>
          </cell>
          <cell r="W22" t="e">
            <v>#DIV/0!</v>
          </cell>
          <cell r="X22" t="e">
            <v>#DIV/0!</v>
          </cell>
          <cell r="Z22">
            <v>0</v>
          </cell>
          <cell r="AA22" t="e">
            <v>#DIV/0!</v>
          </cell>
          <cell r="AB22" t="str">
            <v>Vendedor</v>
          </cell>
        </row>
        <row r="23">
          <cell r="B23">
            <v>27</v>
          </cell>
          <cell r="L23" t="e">
            <v>#DIV/0!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U23">
            <v>0</v>
          </cell>
          <cell r="V23" t="e">
            <v>#DIV/0!</v>
          </cell>
          <cell r="W23" t="e">
            <v>#DIV/0!</v>
          </cell>
          <cell r="X23" t="e">
            <v>#DIV/0!</v>
          </cell>
          <cell r="Z23">
            <v>0</v>
          </cell>
          <cell r="AA23" t="e">
            <v>#DIV/0!</v>
          </cell>
          <cell r="AB23" t="str">
            <v>Vendedor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4">
          <cell r="A4">
            <v>0</v>
          </cell>
          <cell r="B4">
            <v>1</v>
          </cell>
          <cell r="C4">
            <v>1</v>
          </cell>
        </row>
        <row r="5">
          <cell r="A5">
            <v>0.5</v>
          </cell>
          <cell r="B5">
            <v>1</v>
          </cell>
          <cell r="C5">
            <v>1</v>
          </cell>
        </row>
        <row r="6">
          <cell r="A6">
            <v>0.8</v>
          </cell>
          <cell r="B6">
            <v>1</v>
          </cell>
          <cell r="C6">
            <v>1</v>
          </cell>
        </row>
        <row r="7">
          <cell r="A7">
            <v>1</v>
          </cell>
          <cell r="B7">
            <v>1</v>
          </cell>
          <cell r="C7">
            <v>1</v>
          </cell>
        </row>
        <row r="8">
          <cell r="A8">
            <v>3</v>
          </cell>
          <cell r="B8">
            <v>1</v>
          </cell>
          <cell r="C8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Básicos"/>
      <sheetName val="Calculos"/>
      <sheetName val="Nomina"/>
    </sheetNames>
    <sheetDataSet>
      <sheetData sheetId="0">
        <row r="5">
          <cell r="B5">
            <v>496900</v>
          </cell>
        </row>
        <row r="6">
          <cell r="B6">
            <v>59300</v>
          </cell>
        </row>
        <row r="9">
          <cell r="B9">
            <v>0.02</v>
          </cell>
          <cell r="F9">
            <v>5.2199999999999998E-3</v>
          </cell>
        </row>
        <row r="10">
          <cell r="B10">
            <v>0.03</v>
          </cell>
        </row>
        <row r="11">
          <cell r="B11">
            <v>0.04</v>
          </cell>
          <cell r="F11">
            <v>23763</v>
          </cell>
        </row>
        <row r="15">
          <cell r="B15">
            <v>0.04</v>
          </cell>
          <cell r="C15">
            <v>8.5000000000000006E-2</v>
          </cell>
          <cell r="F15">
            <v>0.01</v>
          </cell>
        </row>
        <row r="16">
          <cell r="B16">
            <v>0.04</v>
          </cell>
          <cell r="C16">
            <v>0.12</v>
          </cell>
          <cell r="F16">
            <v>0.01</v>
          </cell>
        </row>
        <row r="19">
          <cell r="B19">
            <v>8.3333333333333343E-2</v>
          </cell>
        </row>
        <row r="20">
          <cell r="B20">
            <v>8.3333333333333343E-2</v>
          </cell>
        </row>
        <row r="21">
          <cell r="B21">
            <v>4.1666666666666671E-2</v>
          </cell>
        </row>
        <row r="22">
          <cell r="B22">
            <v>0.01</v>
          </cell>
        </row>
        <row r="26">
          <cell r="B26">
            <v>0.01</v>
          </cell>
        </row>
        <row r="27">
          <cell r="B27">
            <v>1.2E-2</v>
          </cell>
        </row>
        <row r="28">
          <cell r="B28">
            <v>1.4E-2</v>
          </cell>
        </row>
        <row r="29">
          <cell r="B29">
            <v>1.6E-2</v>
          </cell>
        </row>
        <row r="30">
          <cell r="B30">
            <v>1.7999999999999999E-2</v>
          </cell>
        </row>
        <row r="31">
          <cell r="B31">
            <v>0.02</v>
          </cell>
        </row>
      </sheetData>
      <sheetData sheetId="1">
        <row r="4">
          <cell r="B4">
            <v>0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de versiones"/>
      <sheetName val="Procedimiento de gestión"/>
      <sheetName val="Seguimiento de consumo de horas"/>
      <sheetName val="Parametros"/>
      <sheetName val="Hoja1"/>
      <sheetName val="Hoja3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U0(MHz)"/>
      <sheetName val="RAM0(Mb) "/>
      <sheetName val="Colocacion"/>
      <sheetName val="Tarifas UC"/>
      <sheetName val="Tarifas"/>
      <sheetName val="recursos asignados"/>
      <sheetName val="recursos dic"/>
      <sheetName val="Recursos_Asignados"/>
      <sheetName val="Hoja1"/>
      <sheetName val="CPU1(Mhz)"/>
      <sheetName val="RAM1(Mb)"/>
      <sheetName val="DD1(MB)"/>
      <sheetName val="UC_CPU1"/>
      <sheetName val="UC_RAM1"/>
      <sheetName val="UC_DD1"/>
      <sheetName val="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SERVIDOR</v>
          </cell>
        </row>
      </sheetData>
      <sheetData sheetId="10">
        <row r="1">
          <cell r="A1" t="str">
            <v>SERVIDOR</v>
          </cell>
        </row>
      </sheetData>
      <sheetData sheetId="11">
        <row r="1">
          <cell r="A1" t="str">
            <v>SERVIDOR</v>
          </cell>
        </row>
      </sheetData>
      <sheetData sheetId="12">
        <row r="1">
          <cell r="A1" t="str">
            <v>Factor CPU</v>
          </cell>
        </row>
      </sheetData>
      <sheetData sheetId="13">
        <row r="1">
          <cell r="A1" t="str">
            <v>Factor RAM</v>
          </cell>
        </row>
      </sheetData>
      <sheetData sheetId="14">
        <row r="1">
          <cell r="A1" t="str">
            <v>Factor DD</v>
          </cell>
        </row>
      </sheetData>
      <sheetData sheetId="15">
        <row r="1"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U1">
            <v>21</v>
          </cell>
          <cell r="V1">
            <v>22</v>
          </cell>
          <cell r="W1">
            <v>23</v>
          </cell>
          <cell r="X1">
            <v>24</v>
          </cell>
          <cell r="Y1">
            <v>25</v>
          </cell>
          <cell r="Z1">
            <v>26</v>
          </cell>
          <cell r="AA1">
            <v>27</v>
          </cell>
          <cell r="AB1">
            <v>28</v>
          </cell>
          <cell r="AC1">
            <v>29</v>
          </cell>
        </row>
        <row r="2">
          <cell r="A2" t="str">
            <v>SERVIDOR</v>
          </cell>
          <cell r="B2" t="str">
            <v>ENERO</v>
          </cell>
          <cell r="C2" t="str">
            <v>FEBRERO</v>
          </cell>
          <cell r="D2" t="str">
            <v>MARZO</v>
          </cell>
          <cell r="E2" t="str">
            <v>ABRIL</v>
          </cell>
          <cell r="F2" t="str">
            <v>MAYO</v>
          </cell>
          <cell r="G2" t="str">
            <v>JUNIO</v>
          </cell>
          <cell r="H2" t="str">
            <v>JULIO</v>
          </cell>
          <cell r="I2" t="str">
            <v>AGOSTO</v>
          </cell>
          <cell r="J2" t="str">
            <v>SEPTIEMBRE</v>
          </cell>
          <cell r="K2" t="str">
            <v>OCTUBRE</v>
          </cell>
          <cell r="L2" t="str">
            <v>NOVIEMBRE</v>
          </cell>
          <cell r="M2" t="str">
            <v>DICIEMBRE</v>
          </cell>
          <cell r="N2">
            <v>40544</v>
          </cell>
          <cell r="O2">
            <v>40575</v>
          </cell>
          <cell r="P2">
            <v>40603</v>
          </cell>
          <cell r="Q2">
            <v>40634</v>
          </cell>
          <cell r="R2">
            <v>40664</v>
          </cell>
          <cell r="S2">
            <v>40695</v>
          </cell>
          <cell r="T2">
            <v>40725</v>
          </cell>
          <cell r="U2">
            <v>40756</v>
          </cell>
          <cell r="V2">
            <v>40787</v>
          </cell>
          <cell r="W2">
            <v>40817</v>
          </cell>
          <cell r="X2">
            <v>40848</v>
          </cell>
          <cell r="Y2">
            <v>40878</v>
          </cell>
          <cell r="Z2">
            <v>40909</v>
          </cell>
          <cell r="AA2">
            <v>40940</v>
          </cell>
          <cell r="AB2">
            <v>40969</v>
          </cell>
          <cell r="AC2">
            <v>41000</v>
          </cell>
        </row>
        <row r="3">
          <cell r="A3" t="str">
            <v>ACADCAP01</v>
          </cell>
          <cell r="B3">
            <v>32.51</v>
          </cell>
          <cell r="C3">
            <v>34.76</v>
          </cell>
          <cell r="D3">
            <v>33.08</v>
          </cell>
          <cell r="E3">
            <v>34.32</v>
          </cell>
          <cell r="F3">
            <v>32.69</v>
          </cell>
          <cell r="G3">
            <v>31.29</v>
          </cell>
          <cell r="H3">
            <v>30.14</v>
          </cell>
          <cell r="I3">
            <v>30.6</v>
          </cell>
          <cell r="J3">
            <v>30.64</v>
          </cell>
          <cell r="K3">
            <v>33.54</v>
          </cell>
          <cell r="L3">
            <v>31.75</v>
          </cell>
          <cell r="M3">
            <v>31.4</v>
          </cell>
          <cell r="N3">
            <v>34.67</v>
          </cell>
          <cell r="O3">
            <v>36.96</v>
          </cell>
          <cell r="P3">
            <v>33.799999999999997</v>
          </cell>
          <cell r="Q3">
            <v>0</v>
          </cell>
          <cell r="R3" t="e">
            <v>#N/A</v>
          </cell>
          <cell r="S3">
            <v>0</v>
          </cell>
          <cell r="T3" t="e">
            <v>#N/A</v>
          </cell>
          <cell r="U3" t="e">
            <v>#N/A</v>
          </cell>
          <cell r="V3">
            <v>28.8</v>
          </cell>
          <cell r="W3" t="e">
            <v>#N/A</v>
          </cell>
          <cell r="X3" t="e">
            <v>#N/A</v>
          </cell>
          <cell r="Y3" t="e">
            <v>#N/A</v>
          </cell>
          <cell r="Z3" t="e">
            <v>#N/A</v>
          </cell>
          <cell r="AA3" t="e">
            <v>#N/A</v>
          </cell>
          <cell r="AB3" t="e">
            <v>#N/A</v>
          </cell>
          <cell r="AC3" t="e">
            <v>#N/A</v>
          </cell>
        </row>
        <row r="4">
          <cell r="A4" t="str">
            <v>ACADCAP04</v>
          </cell>
          <cell r="B4">
            <v>190.27</v>
          </cell>
          <cell r="C4">
            <v>195.74</v>
          </cell>
          <cell r="D4">
            <v>229.5</v>
          </cell>
          <cell r="E4">
            <v>274.93</v>
          </cell>
          <cell r="F4">
            <v>270.7</v>
          </cell>
          <cell r="G4">
            <v>288.52</v>
          </cell>
          <cell r="H4">
            <v>279.68</v>
          </cell>
          <cell r="I4">
            <v>261.35000000000002</v>
          </cell>
          <cell r="J4">
            <v>276.47000000000003</v>
          </cell>
          <cell r="K4">
            <v>256.16000000000003</v>
          </cell>
          <cell r="L4">
            <v>272.66000000000003</v>
          </cell>
          <cell r="M4">
            <v>276.20999999999998</v>
          </cell>
          <cell r="N4">
            <v>257.33</v>
          </cell>
          <cell r="O4">
            <v>269.8</v>
          </cell>
          <cell r="P4">
            <v>282.58</v>
          </cell>
          <cell r="Q4">
            <v>306.06</v>
          </cell>
          <cell r="R4">
            <v>325.48</v>
          </cell>
          <cell r="S4">
            <v>325.52</v>
          </cell>
          <cell r="T4">
            <v>324.33</v>
          </cell>
          <cell r="U4">
            <v>326.92</v>
          </cell>
          <cell r="V4">
            <v>329.64</v>
          </cell>
          <cell r="W4">
            <v>360.59</v>
          </cell>
          <cell r="X4">
            <v>328.28</v>
          </cell>
          <cell r="Y4">
            <v>333.2</v>
          </cell>
          <cell r="Z4">
            <v>415.62</v>
          </cell>
          <cell r="AA4">
            <v>436.55</v>
          </cell>
          <cell r="AB4">
            <v>439.28</v>
          </cell>
          <cell r="AC4">
            <v>443.95</v>
          </cell>
        </row>
        <row r="5">
          <cell r="A5" t="str">
            <v>ACADCAP04_CLONE</v>
          </cell>
          <cell r="B5">
            <v>0</v>
          </cell>
          <cell r="C5">
            <v>64.849999999999994</v>
          </cell>
          <cell r="D5">
            <v>76.14</v>
          </cell>
          <cell r="E5">
            <v>71.180000000000007</v>
          </cell>
          <cell r="F5">
            <v>77.42</v>
          </cell>
          <cell r="G5">
            <v>75.7</v>
          </cell>
          <cell r="H5">
            <v>77.59</v>
          </cell>
          <cell r="I5">
            <v>72.67</v>
          </cell>
          <cell r="J5">
            <v>83.87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 t="e">
            <v>#N/A</v>
          </cell>
          <cell r="S5">
            <v>0</v>
          </cell>
          <cell r="T5" t="e">
            <v>#N/A</v>
          </cell>
          <cell r="U5" t="e">
            <v>#N/A</v>
          </cell>
          <cell r="V5" t="e">
            <v>#N/A</v>
          </cell>
          <cell r="W5" t="e">
            <v>#N/A</v>
          </cell>
          <cell r="X5" t="e">
            <v>#N/A</v>
          </cell>
          <cell r="Y5" t="e">
            <v>#N/A</v>
          </cell>
          <cell r="Z5" t="e">
            <v>#N/A</v>
          </cell>
          <cell r="AA5" t="e">
            <v>#N/A</v>
          </cell>
          <cell r="AB5" t="e">
            <v>#N/A</v>
          </cell>
          <cell r="AC5" t="e">
            <v>#N/A</v>
          </cell>
        </row>
        <row r="6">
          <cell r="A6" t="str">
            <v>ACADCAP04_PARCHE</v>
          </cell>
          <cell r="B6">
            <v>75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66.92</v>
          </cell>
          <cell r="K6">
            <v>89.65</v>
          </cell>
          <cell r="L6">
            <v>88.02</v>
          </cell>
          <cell r="M6">
            <v>88.35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 t="e">
            <v>#N/A</v>
          </cell>
          <cell r="S6">
            <v>0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</row>
        <row r="7">
          <cell r="A7" t="str">
            <v>ACADCAP04-snap</v>
          </cell>
          <cell r="B7">
            <v>80.66</v>
          </cell>
          <cell r="C7">
            <v>77.599999999999994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 t="e">
            <v>#N/A</v>
          </cell>
          <cell r="S7">
            <v>0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</row>
        <row r="8">
          <cell r="A8" t="str">
            <v>ACADCAP06</v>
          </cell>
          <cell r="B8">
            <v>26.78</v>
          </cell>
          <cell r="C8">
            <v>39.82</v>
          </cell>
          <cell r="D8">
            <v>43.97</v>
          </cell>
          <cell r="E8">
            <v>46.8</v>
          </cell>
          <cell r="F8">
            <v>47.64</v>
          </cell>
          <cell r="G8">
            <v>48.69</v>
          </cell>
          <cell r="H8">
            <v>56.64</v>
          </cell>
          <cell r="I8">
            <v>57.94</v>
          </cell>
          <cell r="J8">
            <v>62.03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 t="e">
            <v>#N/A</v>
          </cell>
          <cell r="S8">
            <v>0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</row>
        <row r="9">
          <cell r="A9" t="str">
            <v>ACADCAP07</v>
          </cell>
          <cell r="B9">
            <v>17.93</v>
          </cell>
          <cell r="C9">
            <v>18.690000000000001</v>
          </cell>
          <cell r="D9">
            <v>19.38</v>
          </cell>
          <cell r="E9">
            <v>19.670000000000002</v>
          </cell>
          <cell r="F9">
            <v>18.53</v>
          </cell>
          <cell r="G9">
            <v>19.66</v>
          </cell>
          <cell r="H9">
            <v>26.6</v>
          </cell>
          <cell r="I9">
            <v>24.88</v>
          </cell>
          <cell r="J9">
            <v>24.71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 t="e">
            <v>#N/A</v>
          </cell>
          <cell r="S9">
            <v>0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</row>
        <row r="10">
          <cell r="A10" t="str">
            <v>ACADCAP13</v>
          </cell>
          <cell r="B10">
            <v>0</v>
          </cell>
          <cell r="C10">
            <v>19.600000000000001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 t="e">
            <v>#N/A</v>
          </cell>
          <cell r="S10">
            <v>0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</row>
        <row r="11">
          <cell r="A11" t="str">
            <v>ACADCAP14</v>
          </cell>
          <cell r="B11">
            <v>13.73</v>
          </cell>
          <cell r="C11">
            <v>15.75</v>
          </cell>
          <cell r="D11">
            <v>17.95</v>
          </cell>
          <cell r="E11">
            <v>20.12</v>
          </cell>
          <cell r="F11">
            <v>21.54</v>
          </cell>
          <cell r="G11">
            <v>23.75</v>
          </cell>
          <cell r="H11">
            <v>23.94</v>
          </cell>
          <cell r="I11">
            <v>22.3</v>
          </cell>
          <cell r="J11">
            <v>23.07</v>
          </cell>
          <cell r="K11">
            <v>22.16</v>
          </cell>
          <cell r="L11">
            <v>26.28</v>
          </cell>
          <cell r="M11">
            <v>28.87</v>
          </cell>
          <cell r="N11">
            <v>33.090000000000003</v>
          </cell>
          <cell r="O11">
            <v>30.55</v>
          </cell>
          <cell r="P11">
            <v>26.13</v>
          </cell>
          <cell r="Q11">
            <v>20.48</v>
          </cell>
          <cell r="R11">
            <v>21.42</v>
          </cell>
          <cell r="S11">
            <v>28.11</v>
          </cell>
          <cell r="T11">
            <v>25.46</v>
          </cell>
          <cell r="U11">
            <v>28.32</v>
          </cell>
          <cell r="V11">
            <v>29.28</v>
          </cell>
          <cell r="W11">
            <v>27.16</v>
          </cell>
          <cell r="X11">
            <v>27.38</v>
          </cell>
          <cell r="Y11">
            <v>28.29</v>
          </cell>
          <cell r="Z11">
            <v>27.63</v>
          </cell>
          <cell r="AA11">
            <v>40.54</v>
          </cell>
          <cell r="AB11">
            <v>38.770000000000003</v>
          </cell>
          <cell r="AC11">
            <v>40.909999999999997</v>
          </cell>
        </row>
        <row r="12">
          <cell r="A12" t="str">
            <v>ACADCAP17</v>
          </cell>
          <cell r="B12">
            <v>21.11</v>
          </cell>
          <cell r="C12">
            <v>20.25</v>
          </cell>
          <cell r="D12">
            <v>0</v>
          </cell>
          <cell r="E12">
            <v>0</v>
          </cell>
          <cell r="F12">
            <v>21.05</v>
          </cell>
          <cell r="G12">
            <v>15.87</v>
          </cell>
          <cell r="H12">
            <v>11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 t="e">
            <v>#N/A</v>
          </cell>
          <cell r="S12">
            <v>0</v>
          </cell>
          <cell r="T12">
            <v>9.7799999999999994</v>
          </cell>
          <cell r="U12">
            <v>9.84</v>
          </cell>
          <cell r="V12">
            <v>11.09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</row>
        <row r="13">
          <cell r="A13" t="str">
            <v>ACADCAP20</v>
          </cell>
          <cell r="B13">
            <v>14.09</v>
          </cell>
          <cell r="C13">
            <v>14.06</v>
          </cell>
          <cell r="D13">
            <v>15.61</v>
          </cell>
          <cell r="E13">
            <v>16.2</v>
          </cell>
          <cell r="F13">
            <v>17.45</v>
          </cell>
          <cell r="G13">
            <v>16.23</v>
          </cell>
          <cell r="H13">
            <v>0</v>
          </cell>
          <cell r="I13">
            <v>0</v>
          </cell>
          <cell r="J13">
            <v>16.16</v>
          </cell>
          <cell r="K13">
            <v>13.9</v>
          </cell>
          <cell r="L13">
            <v>12.47</v>
          </cell>
          <cell r="M13">
            <v>12.01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 t="e">
            <v>#N/A</v>
          </cell>
          <cell r="S13">
            <v>11.57</v>
          </cell>
          <cell r="T13">
            <v>15.45</v>
          </cell>
          <cell r="U13">
            <v>19.940000000000001</v>
          </cell>
          <cell r="V13">
            <v>25.39</v>
          </cell>
          <cell r="W13">
            <v>17.329999999999998</v>
          </cell>
          <cell r="X13">
            <v>21.74</v>
          </cell>
          <cell r="Y13">
            <v>29.95</v>
          </cell>
          <cell r="Z13">
            <v>26.36</v>
          </cell>
          <cell r="AA13">
            <v>54.47</v>
          </cell>
          <cell r="AB13">
            <v>61.16</v>
          </cell>
          <cell r="AC13">
            <v>61.35</v>
          </cell>
        </row>
        <row r="14">
          <cell r="A14" t="str">
            <v>ACADCAP21</v>
          </cell>
          <cell r="B14">
            <v>13.04</v>
          </cell>
          <cell r="C14">
            <v>11.56</v>
          </cell>
          <cell r="D14">
            <v>11.42</v>
          </cell>
          <cell r="E14">
            <v>11.73</v>
          </cell>
          <cell r="F14">
            <v>14.87</v>
          </cell>
          <cell r="G14">
            <v>12.76</v>
          </cell>
          <cell r="H14">
            <v>0</v>
          </cell>
          <cell r="I14">
            <v>0</v>
          </cell>
          <cell r="J14">
            <v>16.45</v>
          </cell>
          <cell r="K14">
            <v>17.64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 t="e">
            <v>#N/A</v>
          </cell>
          <cell r="S14">
            <v>9.57</v>
          </cell>
          <cell r="T14">
            <v>14.29</v>
          </cell>
          <cell r="U14">
            <v>15.62</v>
          </cell>
          <cell r="V14">
            <v>16.73</v>
          </cell>
          <cell r="W14">
            <v>16.170000000000002</v>
          </cell>
          <cell r="X14">
            <v>18.91</v>
          </cell>
          <cell r="Y14">
            <v>24.45</v>
          </cell>
          <cell r="Z14">
            <v>30.9</v>
          </cell>
          <cell r="AA14">
            <v>55.8</v>
          </cell>
          <cell r="AB14">
            <v>59.14</v>
          </cell>
          <cell r="AC14">
            <v>59.13</v>
          </cell>
        </row>
        <row r="15">
          <cell r="A15" t="str">
            <v>ACADCAP24</v>
          </cell>
          <cell r="B15">
            <v>68.97</v>
          </cell>
          <cell r="C15">
            <v>61.93</v>
          </cell>
          <cell r="D15">
            <v>116.76</v>
          </cell>
          <cell r="E15">
            <v>115.06</v>
          </cell>
          <cell r="F15">
            <v>121.01</v>
          </cell>
          <cell r="G15">
            <v>124.56</v>
          </cell>
          <cell r="H15">
            <v>164.54</v>
          </cell>
          <cell r="I15">
            <v>167.91</v>
          </cell>
          <cell r="J15">
            <v>166.52</v>
          </cell>
          <cell r="K15">
            <v>164.08</v>
          </cell>
          <cell r="L15">
            <v>169.8</v>
          </cell>
          <cell r="M15">
            <v>172.41</v>
          </cell>
          <cell r="N15">
            <v>194.58</v>
          </cell>
          <cell r="O15">
            <v>195.4</v>
          </cell>
          <cell r="P15">
            <v>197.94</v>
          </cell>
          <cell r="Q15">
            <v>269.47000000000003</v>
          </cell>
          <cell r="R15">
            <v>273.98</v>
          </cell>
          <cell r="S15">
            <v>281.27999999999997</v>
          </cell>
          <cell r="T15">
            <v>295.74</v>
          </cell>
          <cell r="U15">
            <v>301.24</v>
          </cell>
          <cell r="V15">
            <v>294.39999999999998</v>
          </cell>
          <cell r="W15">
            <v>266.73</v>
          </cell>
          <cell r="X15">
            <v>285.64</v>
          </cell>
          <cell r="Y15">
            <v>280.97000000000003</v>
          </cell>
          <cell r="Z15">
            <v>290.52999999999997</v>
          </cell>
          <cell r="AA15">
            <v>298.49</v>
          </cell>
          <cell r="AB15">
            <v>287.82</v>
          </cell>
          <cell r="AC15">
            <v>267.39999999999998</v>
          </cell>
        </row>
        <row r="16">
          <cell r="A16" t="str">
            <v>ACADCAP25</v>
          </cell>
          <cell r="B16">
            <v>68.540000000000006</v>
          </cell>
          <cell r="C16">
            <v>75.03</v>
          </cell>
          <cell r="D16">
            <v>99.04</v>
          </cell>
          <cell r="E16">
            <v>98.19</v>
          </cell>
          <cell r="F16">
            <v>98.83</v>
          </cell>
          <cell r="G16">
            <v>110.36</v>
          </cell>
          <cell r="H16">
            <v>149.24</v>
          </cell>
          <cell r="I16">
            <v>117.35</v>
          </cell>
          <cell r="J16">
            <v>117.73</v>
          </cell>
          <cell r="K16">
            <v>121.29</v>
          </cell>
          <cell r="L16">
            <v>120.54</v>
          </cell>
          <cell r="M16">
            <v>127.33</v>
          </cell>
          <cell r="N16">
            <v>156.65</v>
          </cell>
          <cell r="O16">
            <v>159.61000000000001</v>
          </cell>
          <cell r="P16">
            <v>163.03</v>
          </cell>
          <cell r="Q16">
            <v>214.76</v>
          </cell>
          <cell r="R16">
            <v>227.23</v>
          </cell>
          <cell r="S16">
            <v>222.02</v>
          </cell>
          <cell r="T16">
            <v>252.53</v>
          </cell>
          <cell r="U16">
            <v>261.52</v>
          </cell>
          <cell r="V16">
            <v>239.81</v>
          </cell>
          <cell r="W16">
            <v>249.18</v>
          </cell>
          <cell r="X16">
            <v>275.17</v>
          </cell>
          <cell r="Y16">
            <v>269.66000000000003</v>
          </cell>
          <cell r="Z16">
            <v>276.23</v>
          </cell>
          <cell r="AA16">
            <v>281.79000000000002</v>
          </cell>
          <cell r="AB16">
            <v>296.51</v>
          </cell>
          <cell r="AC16">
            <v>273.95999999999998</v>
          </cell>
        </row>
        <row r="17">
          <cell r="A17" t="str">
            <v>ACADCAP26</v>
          </cell>
          <cell r="B17">
            <v>13.58</v>
          </cell>
          <cell r="C17">
            <v>15.83</v>
          </cell>
          <cell r="D17">
            <v>32.79</v>
          </cell>
          <cell r="E17">
            <v>44.8</v>
          </cell>
          <cell r="F17">
            <v>62.38</v>
          </cell>
          <cell r="G17">
            <v>57.03</v>
          </cell>
          <cell r="H17">
            <v>70.22</v>
          </cell>
          <cell r="I17">
            <v>74.400000000000006</v>
          </cell>
          <cell r="J17">
            <v>80.05</v>
          </cell>
          <cell r="K17">
            <v>80.349999999999994</v>
          </cell>
          <cell r="L17">
            <v>80.489999999999995</v>
          </cell>
          <cell r="M17">
            <v>80.58</v>
          </cell>
          <cell r="N17">
            <v>80.819999999999993</v>
          </cell>
          <cell r="O17">
            <v>81.05</v>
          </cell>
          <cell r="P17">
            <v>75.260000000000005</v>
          </cell>
          <cell r="Q17">
            <v>76.75</v>
          </cell>
          <cell r="R17">
            <v>77.739999999999995</v>
          </cell>
          <cell r="S17">
            <v>74.069999999999993</v>
          </cell>
          <cell r="T17">
            <v>71.62</v>
          </cell>
          <cell r="U17">
            <v>39.24</v>
          </cell>
          <cell r="V17">
            <v>61.44</v>
          </cell>
          <cell r="W17">
            <v>40.83</v>
          </cell>
          <cell r="X17">
            <v>45.78</v>
          </cell>
          <cell r="Y17">
            <v>48.09</v>
          </cell>
          <cell r="Z17">
            <v>48.79</v>
          </cell>
          <cell r="AA17">
            <v>45.38</v>
          </cell>
          <cell r="AB17">
            <v>62.92</v>
          </cell>
          <cell r="AC17">
            <v>77.59</v>
          </cell>
        </row>
        <row r="18">
          <cell r="A18" t="str">
            <v>ACADCAP27</v>
          </cell>
          <cell r="B18">
            <v>31.52</v>
          </cell>
          <cell r="C18">
            <v>46.06</v>
          </cell>
          <cell r="D18">
            <v>103.46</v>
          </cell>
          <cell r="E18">
            <v>99.65</v>
          </cell>
          <cell r="F18">
            <v>66.52</v>
          </cell>
          <cell r="G18">
            <v>92.53</v>
          </cell>
          <cell r="H18">
            <v>183.04</v>
          </cell>
          <cell r="I18">
            <v>241.99</v>
          </cell>
          <cell r="J18">
            <v>285.35000000000002</v>
          </cell>
          <cell r="K18">
            <v>283.62</v>
          </cell>
          <cell r="L18">
            <v>239.47</v>
          </cell>
          <cell r="M18">
            <v>145.71</v>
          </cell>
          <cell r="N18">
            <v>203.23</v>
          </cell>
          <cell r="O18">
            <v>221.46</v>
          </cell>
          <cell r="P18">
            <v>231.51</v>
          </cell>
          <cell r="Q18">
            <v>160.79</v>
          </cell>
          <cell r="R18">
            <v>185.6</v>
          </cell>
          <cell r="S18">
            <v>272.89999999999998</v>
          </cell>
          <cell r="T18">
            <v>212.79</v>
          </cell>
          <cell r="U18">
            <v>187.11</v>
          </cell>
          <cell r="V18">
            <v>232.84</v>
          </cell>
          <cell r="W18">
            <v>156.66999999999999</v>
          </cell>
          <cell r="X18">
            <v>164.56</v>
          </cell>
          <cell r="Y18">
            <v>149.9</v>
          </cell>
          <cell r="Z18">
            <v>170.89</v>
          </cell>
          <cell r="AA18">
            <v>179.58</v>
          </cell>
          <cell r="AB18">
            <v>157.26</v>
          </cell>
          <cell r="AC18">
            <v>187.04</v>
          </cell>
        </row>
        <row r="19">
          <cell r="A19" t="str">
            <v>ACADCAP27_CLONE</v>
          </cell>
          <cell r="B19">
            <v>16.690000000000001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 t="e">
            <v>#N/A</v>
          </cell>
          <cell r="S19">
            <v>0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</row>
        <row r="20">
          <cell r="A20" t="str">
            <v>ACADCAP27_CLONE2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55.07</v>
          </cell>
          <cell r="H20">
            <v>78.94</v>
          </cell>
          <cell r="I20">
            <v>43.85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 t="e">
            <v>#N/A</v>
          </cell>
          <cell r="S20">
            <v>0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</row>
        <row r="21">
          <cell r="A21" t="str">
            <v>ACADCAP28</v>
          </cell>
          <cell r="B21">
            <v>38.07</v>
          </cell>
          <cell r="C21">
            <v>45.12</v>
          </cell>
          <cell r="D21">
            <v>176.73</v>
          </cell>
          <cell r="E21">
            <v>140.86000000000001</v>
          </cell>
          <cell r="F21">
            <v>250.13</v>
          </cell>
          <cell r="G21">
            <v>162.88999999999999</v>
          </cell>
          <cell r="H21">
            <v>337.21</v>
          </cell>
          <cell r="I21">
            <v>351.13</v>
          </cell>
          <cell r="J21">
            <v>395.84</v>
          </cell>
          <cell r="K21">
            <v>352.34</v>
          </cell>
          <cell r="L21">
            <v>367.58</v>
          </cell>
          <cell r="M21">
            <v>370.94</v>
          </cell>
          <cell r="N21">
            <v>331.54</v>
          </cell>
          <cell r="O21">
            <v>394.88</v>
          </cell>
          <cell r="P21">
            <v>375.02</v>
          </cell>
          <cell r="Q21">
            <v>377.21</v>
          </cell>
          <cell r="R21">
            <v>338.44</v>
          </cell>
          <cell r="S21">
            <v>377.24</v>
          </cell>
          <cell r="T21">
            <v>324.08999999999997</v>
          </cell>
          <cell r="U21">
            <v>314.69</v>
          </cell>
          <cell r="V21">
            <v>349.42</v>
          </cell>
          <cell r="W21">
            <v>287.95999999999998</v>
          </cell>
          <cell r="X21">
            <v>295.83</v>
          </cell>
          <cell r="Y21">
            <v>397.75</v>
          </cell>
          <cell r="Z21">
            <v>370.69</v>
          </cell>
          <cell r="AA21">
            <v>299.81</v>
          </cell>
          <cell r="AB21">
            <v>315.44</v>
          </cell>
          <cell r="AC21">
            <v>277.47000000000003</v>
          </cell>
        </row>
        <row r="22">
          <cell r="A22" t="str">
            <v>ACADCAP28_CLONE</v>
          </cell>
          <cell r="B22">
            <v>16.21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 t="e">
            <v>#N/A</v>
          </cell>
          <cell r="S22">
            <v>0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</row>
        <row r="23">
          <cell r="A23" t="str">
            <v>ACADCAP29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14.29</v>
          </cell>
          <cell r="H23">
            <v>12.82</v>
          </cell>
          <cell r="I23">
            <v>11.67</v>
          </cell>
          <cell r="J23">
            <v>12.94</v>
          </cell>
          <cell r="K23">
            <v>13.58</v>
          </cell>
          <cell r="L23">
            <v>32.979999999999997</v>
          </cell>
          <cell r="M23">
            <v>38.46</v>
          </cell>
          <cell r="N23">
            <v>40.61</v>
          </cell>
          <cell r="O23">
            <v>37.96</v>
          </cell>
          <cell r="P23">
            <v>35.28</v>
          </cell>
          <cell r="Q23">
            <v>37.659999999999997</v>
          </cell>
          <cell r="R23">
            <v>34.19</v>
          </cell>
          <cell r="S23">
            <v>34.99</v>
          </cell>
          <cell r="T23">
            <v>35.97</v>
          </cell>
          <cell r="U23">
            <v>35.89</v>
          </cell>
          <cell r="V23">
            <v>35.24</v>
          </cell>
          <cell r="W23">
            <v>29.88</v>
          </cell>
          <cell r="X23">
            <v>33.24</v>
          </cell>
          <cell r="Y23">
            <v>32.450000000000003</v>
          </cell>
          <cell r="Z23">
            <v>34.26</v>
          </cell>
          <cell r="AA23">
            <v>77.78</v>
          </cell>
          <cell r="AB23">
            <v>78.040000000000006</v>
          </cell>
          <cell r="AC23">
            <v>78.239999999999995</v>
          </cell>
        </row>
        <row r="24">
          <cell r="A24" t="str">
            <v>ACADCAP30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47.11</v>
          </cell>
          <cell r="K24">
            <v>59.01</v>
          </cell>
          <cell r="L24">
            <v>52.91</v>
          </cell>
          <cell r="M24">
            <v>61.16</v>
          </cell>
          <cell r="N24">
            <v>93.93</v>
          </cell>
          <cell r="O24">
            <v>135.38</v>
          </cell>
          <cell r="P24">
            <v>96.6</v>
          </cell>
          <cell r="Q24">
            <v>60.83</v>
          </cell>
          <cell r="R24">
            <v>58.93</v>
          </cell>
          <cell r="S24">
            <v>126.04</v>
          </cell>
          <cell r="T24">
            <v>115.51</v>
          </cell>
          <cell r="U24">
            <v>114.98</v>
          </cell>
          <cell r="V24">
            <v>122.37</v>
          </cell>
          <cell r="W24">
            <v>130.34</v>
          </cell>
          <cell r="X24">
            <v>133.11000000000001</v>
          </cell>
          <cell r="Y24">
            <v>116.64</v>
          </cell>
          <cell r="Z24">
            <v>62.73</v>
          </cell>
          <cell r="AA24">
            <v>123.92</v>
          </cell>
          <cell r="AB24">
            <v>133.88</v>
          </cell>
          <cell r="AC24">
            <v>133.41</v>
          </cell>
        </row>
        <row r="25">
          <cell r="A25" t="str">
            <v>ACADCAP31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33.64</v>
          </cell>
          <cell r="K25">
            <v>54.28</v>
          </cell>
          <cell r="L25">
            <v>108.47</v>
          </cell>
          <cell r="M25">
            <v>85.36</v>
          </cell>
          <cell r="N25">
            <v>64.540000000000006</v>
          </cell>
          <cell r="O25">
            <v>109.8</v>
          </cell>
          <cell r="P25">
            <v>79.16</v>
          </cell>
          <cell r="Q25">
            <v>54.58</v>
          </cell>
          <cell r="R25">
            <v>111.88</v>
          </cell>
          <cell r="S25">
            <v>55.18</v>
          </cell>
          <cell r="T25">
            <v>57.38</v>
          </cell>
          <cell r="U25">
            <v>51.44</v>
          </cell>
          <cell r="V25">
            <v>78.61</v>
          </cell>
          <cell r="W25">
            <v>115.83</v>
          </cell>
          <cell r="X25">
            <v>124.58</v>
          </cell>
          <cell r="Y25">
            <v>113.54</v>
          </cell>
          <cell r="Z25">
            <v>114.51</v>
          </cell>
          <cell r="AA25">
            <v>86.77</v>
          </cell>
          <cell r="AB25">
            <v>80.58</v>
          </cell>
          <cell r="AC25">
            <v>81.08</v>
          </cell>
        </row>
        <row r="26">
          <cell r="A26" t="str">
            <v>ACADCAP32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43.97</v>
          </cell>
          <cell r="K26">
            <v>128.83000000000001</v>
          </cell>
          <cell r="L26">
            <v>121.93</v>
          </cell>
          <cell r="M26">
            <v>109.68</v>
          </cell>
          <cell r="N26">
            <v>87.45</v>
          </cell>
          <cell r="O26">
            <v>131.18</v>
          </cell>
          <cell r="P26">
            <v>96.11</v>
          </cell>
          <cell r="Q26">
            <v>64.010000000000005</v>
          </cell>
          <cell r="R26">
            <v>114.52</v>
          </cell>
          <cell r="S26">
            <v>60.6</v>
          </cell>
          <cell r="T26">
            <v>55.78</v>
          </cell>
          <cell r="U26">
            <v>57.78</v>
          </cell>
          <cell r="V26">
            <v>108.46</v>
          </cell>
          <cell r="W26">
            <v>124.02</v>
          </cell>
          <cell r="X26">
            <v>59.75</v>
          </cell>
          <cell r="Y26">
            <v>89.04</v>
          </cell>
          <cell r="Z26">
            <v>129.72999999999999</v>
          </cell>
          <cell r="AA26">
            <v>134.76</v>
          </cell>
          <cell r="AB26">
            <v>136.69999999999999</v>
          </cell>
          <cell r="AC26">
            <v>93.7</v>
          </cell>
        </row>
        <row r="27">
          <cell r="A27" t="str">
            <v>ACADCAP33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53.5</v>
          </cell>
          <cell r="K27">
            <v>106.51</v>
          </cell>
          <cell r="L27">
            <v>54.62</v>
          </cell>
          <cell r="M27">
            <v>118.7</v>
          </cell>
          <cell r="N27">
            <v>135.08000000000001</v>
          </cell>
          <cell r="O27">
            <v>135.37</v>
          </cell>
          <cell r="P27">
            <v>63.16</v>
          </cell>
          <cell r="Q27">
            <v>53.78</v>
          </cell>
          <cell r="R27">
            <v>52.16</v>
          </cell>
          <cell r="S27">
            <v>47.4</v>
          </cell>
          <cell r="T27">
            <v>40.04</v>
          </cell>
          <cell r="U27">
            <v>39.380000000000003</v>
          </cell>
          <cell r="V27">
            <v>41.24</v>
          </cell>
          <cell r="W27">
            <v>68.040000000000006</v>
          </cell>
          <cell r="X27">
            <v>46.14</v>
          </cell>
          <cell r="Y27">
            <v>43.9</v>
          </cell>
          <cell r="Z27">
            <v>57.76</v>
          </cell>
          <cell r="AA27">
            <v>133.69</v>
          </cell>
          <cell r="AB27">
            <v>142.11000000000001</v>
          </cell>
          <cell r="AC27">
            <v>131.47</v>
          </cell>
        </row>
        <row r="28">
          <cell r="A28" t="str">
            <v>ACADCAP34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17.75</v>
          </cell>
          <cell r="L28">
            <v>20.86</v>
          </cell>
          <cell r="M28">
            <v>27.12</v>
          </cell>
          <cell r="N28">
            <v>27.97</v>
          </cell>
          <cell r="O28">
            <v>27.63</v>
          </cell>
          <cell r="P28">
            <v>27.84</v>
          </cell>
          <cell r="Q28">
            <v>23.15</v>
          </cell>
          <cell r="R28" t="e">
            <v>#N/A</v>
          </cell>
          <cell r="S28">
            <v>0</v>
          </cell>
          <cell r="T28" t="e">
            <v>#N/A</v>
          </cell>
          <cell r="U28">
            <v>16.28</v>
          </cell>
          <cell r="V28" t="e">
            <v>#N/A</v>
          </cell>
          <cell r="W28">
            <v>19.54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</row>
        <row r="29">
          <cell r="A29" t="str">
            <v>ACADCAP35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22.97</v>
          </cell>
          <cell r="L29">
            <v>20.37</v>
          </cell>
          <cell r="M29">
            <v>37.76</v>
          </cell>
          <cell r="N29">
            <v>39.590000000000003</v>
          </cell>
          <cell r="O29">
            <v>39.46</v>
          </cell>
          <cell r="P29">
            <v>40.729999999999997</v>
          </cell>
          <cell r="Q29">
            <v>38.25</v>
          </cell>
          <cell r="R29" t="e">
            <v>#N/A</v>
          </cell>
          <cell r="S29">
            <v>0</v>
          </cell>
          <cell r="T29" t="e">
            <v>#N/A</v>
          </cell>
          <cell r="U29">
            <v>17.55</v>
          </cell>
          <cell r="V29" t="e">
            <v>#N/A</v>
          </cell>
          <cell r="W29">
            <v>22.56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</row>
        <row r="30">
          <cell r="A30" t="str">
            <v>ACADCAP35_PARA_BORRAR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15.17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 t="e">
            <v>#N/A</v>
          </cell>
          <cell r="S30">
            <v>0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</row>
        <row r="31">
          <cell r="A31" t="str">
            <v>ACADCAP36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43.71</v>
          </cell>
          <cell r="L31">
            <v>48.2</v>
          </cell>
          <cell r="M31">
            <v>142.49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 t="e">
            <v>#N/A</v>
          </cell>
          <cell r="S31">
            <v>0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</row>
        <row r="32">
          <cell r="A32" t="str">
            <v>ACADCAP37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21.66</v>
          </cell>
          <cell r="L32">
            <v>33.659999999999997</v>
          </cell>
          <cell r="M32">
            <v>41</v>
          </cell>
          <cell r="N32">
            <v>39.72</v>
          </cell>
          <cell r="O32">
            <v>40.68</v>
          </cell>
          <cell r="P32">
            <v>41.16</v>
          </cell>
          <cell r="Q32">
            <v>42.28</v>
          </cell>
          <cell r="R32" t="e">
            <v>#N/A</v>
          </cell>
          <cell r="S32">
            <v>0</v>
          </cell>
          <cell r="T32" t="e">
            <v>#N/A</v>
          </cell>
          <cell r="U32">
            <v>37.06</v>
          </cell>
          <cell r="V32" t="e">
            <v>#N/A</v>
          </cell>
          <cell r="W32">
            <v>33.17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</row>
        <row r="33">
          <cell r="A33" t="str">
            <v>ACADCAP38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30.43</v>
          </cell>
          <cell r="L33">
            <v>23.93</v>
          </cell>
          <cell r="M33">
            <v>37.76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 t="e">
            <v>#N/A</v>
          </cell>
          <cell r="S33">
            <v>0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</row>
        <row r="34">
          <cell r="A34" t="str">
            <v>ACADCAP39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16.989999999999998</v>
          </cell>
          <cell r="L34">
            <v>15.05</v>
          </cell>
          <cell r="M34">
            <v>22.71</v>
          </cell>
          <cell r="N34">
            <v>24.65</v>
          </cell>
          <cell r="O34">
            <v>23.4</v>
          </cell>
          <cell r="P34">
            <v>23.83</v>
          </cell>
          <cell r="Q34">
            <v>19.86</v>
          </cell>
          <cell r="R34" t="e">
            <v>#N/A</v>
          </cell>
          <cell r="S34">
            <v>0</v>
          </cell>
          <cell r="T34" t="e">
            <v>#N/A</v>
          </cell>
          <cell r="U34">
            <v>16.73</v>
          </cell>
          <cell r="V34" t="e">
            <v>#N/A</v>
          </cell>
          <cell r="W34">
            <v>14.31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</row>
        <row r="35">
          <cell r="A35" t="str">
            <v>ACADCAP40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8.59</v>
          </cell>
          <cell r="N35">
            <v>19.55</v>
          </cell>
          <cell r="O35">
            <v>15.32</v>
          </cell>
          <cell r="P35">
            <v>17.170000000000002</v>
          </cell>
          <cell r="Q35">
            <v>21.56</v>
          </cell>
          <cell r="R35">
            <v>27.55</v>
          </cell>
          <cell r="S35">
            <v>39.96</v>
          </cell>
          <cell r="T35">
            <v>39.909999999999997</v>
          </cell>
          <cell r="U35">
            <v>41.47</v>
          </cell>
          <cell r="V35">
            <v>37.79</v>
          </cell>
          <cell r="W35">
            <v>37.89</v>
          </cell>
          <cell r="X35">
            <v>42.38</v>
          </cell>
          <cell r="Y35">
            <v>41.54</v>
          </cell>
          <cell r="Z35">
            <v>76.31</v>
          </cell>
          <cell r="AA35">
            <v>291.68</v>
          </cell>
          <cell r="AB35">
            <v>290.19</v>
          </cell>
          <cell r="AC35">
            <v>286.02999999999997</v>
          </cell>
        </row>
        <row r="36">
          <cell r="A36" t="str">
            <v>ACADCBD01</v>
          </cell>
          <cell r="B36">
            <v>25.29</v>
          </cell>
          <cell r="C36">
            <v>26.44</v>
          </cell>
          <cell r="D36">
            <v>26.52</v>
          </cell>
          <cell r="E36">
            <v>26.88</v>
          </cell>
          <cell r="F36">
            <v>25.53</v>
          </cell>
          <cell r="G36">
            <v>25.35</v>
          </cell>
          <cell r="H36">
            <v>27.53</v>
          </cell>
          <cell r="I36">
            <v>26.88</v>
          </cell>
          <cell r="J36">
            <v>27.4</v>
          </cell>
          <cell r="K36">
            <v>27.16</v>
          </cell>
          <cell r="L36">
            <v>27.15</v>
          </cell>
          <cell r="M36">
            <v>26.28</v>
          </cell>
          <cell r="N36">
            <v>24.49</v>
          </cell>
          <cell r="O36">
            <v>24.54</v>
          </cell>
          <cell r="P36">
            <v>25.05</v>
          </cell>
          <cell r="Q36">
            <v>0</v>
          </cell>
          <cell r="R36" t="e">
            <v>#N/A</v>
          </cell>
          <cell r="S36">
            <v>0</v>
          </cell>
          <cell r="T36" t="e">
            <v>#N/A</v>
          </cell>
          <cell r="U36" t="e">
            <v>#N/A</v>
          </cell>
          <cell r="V36">
            <v>25.55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>
            <v>42.44</v>
          </cell>
          <cell r="AC36" t="e">
            <v>#N/A</v>
          </cell>
        </row>
        <row r="37">
          <cell r="A37" t="str">
            <v>ACADCBD01_CLONE</v>
          </cell>
          <cell r="B37">
            <v>0</v>
          </cell>
          <cell r="C37">
            <v>0</v>
          </cell>
          <cell r="D37">
            <v>34.78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 t="e">
            <v>#N/A</v>
          </cell>
          <cell r="S37">
            <v>0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</row>
        <row r="38">
          <cell r="A38" t="str">
            <v>ACADCBD03</v>
          </cell>
          <cell r="B38">
            <v>23.05</v>
          </cell>
          <cell r="C38">
            <v>23.44</v>
          </cell>
          <cell r="D38">
            <v>19.350000000000001</v>
          </cell>
          <cell r="E38">
            <v>15.91</v>
          </cell>
          <cell r="F38">
            <v>24.5</v>
          </cell>
          <cell r="G38">
            <v>22.58</v>
          </cell>
          <cell r="H38">
            <v>20.63</v>
          </cell>
          <cell r="I38">
            <v>20.62</v>
          </cell>
          <cell r="J38">
            <v>20.87</v>
          </cell>
          <cell r="K38">
            <v>20.91</v>
          </cell>
          <cell r="L38">
            <v>20.56</v>
          </cell>
          <cell r="M38">
            <v>22.78</v>
          </cell>
          <cell r="N38">
            <v>21.84</v>
          </cell>
          <cell r="O38">
            <v>21.1</v>
          </cell>
          <cell r="P38">
            <v>20.9</v>
          </cell>
          <cell r="Q38">
            <v>21.47</v>
          </cell>
          <cell r="R38">
            <v>22.07</v>
          </cell>
          <cell r="S38">
            <v>22.32</v>
          </cell>
          <cell r="T38">
            <v>22.54</v>
          </cell>
          <cell r="U38">
            <v>22.57</v>
          </cell>
          <cell r="V38">
            <v>22.87</v>
          </cell>
          <cell r="W38">
            <v>23.54</v>
          </cell>
          <cell r="X38">
            <v>24.2</v>
          </cell>
          <cell r="Y38">
            <v>23.06</v>
          </cell>
          <cell r="Z38">
            <v>32.57</v>
          </cell>
          <cell r="AA38">
            <v>24.62</v>
          </cell>
          <cell r="AB38">
            <v>24.27</v>
          </cell>
          <cell r="AC38">
            <v>24.44</v>
          </cell>
        </row>
        <row r="39">
          <cell r="A39" t="str">
            <v>ACADCBD03_CLONE3</v>
          </cell>
          <cell r="B39">
            <v>0</v>
          </cell>
          <cell r="C39">
            <v>0</v>
          </cell>
          <cell r="D39">
            <v>0</v>
          </cell>
          <cell r="E39">
            <v>23.89</v>
          </cell>
          <cell r="F39">
            <v>24.34</v>
          </cell>
          <cell r="G39">
            <v>24.26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 t="e">
            <v>#N/A</v>
          </cell>
          <cell r="S39">
            <v>0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</row>
        <row r="40">
          <cell r="A40" t="str">
            <v>ACADCBD04</v>
          </cell>
          <cell r="B40">
            <v>161.51</v>
          </cell>
          <cell r="C40">
            <v>169.99</v>
          </cell>
          <cell r="D40">
            <v>166.7</v>
          </cell>
          <cell r="E40">
            <v>171.6</v>
          </cell>
          <cell r="F40">
            <v>174.15</v>
          </cell>
          <cell r="G40">
            <v>177.99</v>
          </cell>
          <cell r="H40">
            <v>180.57</v>
          </cell>
          <cell r="I40">
            <v>175.61</v>
          </cell>
          <cell r="J40">
            <v>175.35</v>
          </cell>
          <cell r="K40">
            <v>187.42</v>
          </cell>
          <cell r="L40">
            <v>192.94</v>
          </cell>
          <cell r="M40">
            <v>212.55</v>
          </cell>
          <cell r="N40">
            <v>212.98</v>
          </cell>
          <cell r="O40">
            <v>235.15</v>
          </cell>
          <cell r="P40">
            <v>247.74</v>
          </cell>
          <cell r="Q40">
            <v>249.86</v>
          </cell>
          <cell r="R40">
            <v>273.87</v>
          </cell>
          <cell r="S40">
            <v>308.70999999999998</v>
          </cell>
          <cell r="T40">
            <v>294.2</v>
          </cell>
          <cell r="U40">
            <v>345.95</v>
          </cell>
          <cell r="V40">
            <v>302.41000000000003</v>
          </cell>
          <cell r="W40">
            <v>294.08999999999997</v>
          </cell>
          <cell r="X40">
            <v>291.11</v>
          </cell>
          <cell r="Y40">
            <v>274.22000000000003</v>
          </cell>
          <cell r="Z40">
            <v>290.31</v>
          </cell>
          <cell r="AA40">
            <v>311.72000000000003</v>
          </cell>
          <cell r="AB40">
            <v>366.58</v>
          </cell>
          <cell r="AC40">
            <v>441.54</v>
          </cell>
        </row>
        <row r="41">
          <cell r="A41" t="str">
            <v>ACADCBD04 (1)</v>
          </cell>
          <cell r="B41">
            <v>0</v>
          </cell>
          <cell r="C41">
            <v>141.99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 t="e">
            <v>#N/A</v>
          </cell>
          <cell r="S41">
            <v>0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</row>
        <row r="42">
          <cell r="A42" t="str">
            <v>ACADCBD04_64BITS</v>
          </cell>
          <cell r="B42">
            <v>137.63999999999999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 t="e">
            <v>#N/A</v>
          </cell>
          <cell r="S42">
            <v>0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</row>
        <row r="43">
          <cell r="A43" t="str">
            <v>ACADCBD04_64BITSCLONE</v>
          </cell>
          <cell r="B43">
            <v>58.48</v>
          </cell>
          <cell r="C43">
            <v>55.24</v>
          </cell>
          <cell r="D43">
            <v>52.13</v>
          </cell>
          <cell r="E43">
            <v>51.31</v>
          </cell>
          <cell r="F43">
            <v>49.48</v>
          </cell>
          <cell r="G43">
            <v>50.32</v>
          </cell>
          <cell r="H43">
            <v>47.87</v>
          </cell>
          <cell r="I43">
            <v>48.89</v>
          </cell>
          <cell r="J43">
            <v>48.49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 t="e">
            <v>#N/A</v>
          </cell>
          <cell r="S43">
            <v>0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</row>
        <row r="44">
          <cell r="A44" t="str">
            <v>ACADCBD04_PARCHE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49.29</v>
          </cell>
          <cell r="K44">
            <v>51.05</v>
          </cell>
          <cell r="L44">
            <v>47.23</v>
          </cell>
          <cell r="M44">
            <v>49.94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 t="e">
            <v>#N/A</v>
          </cell>
          <cell r="S44">
            <v>0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</row>
        <row r="45">
          <cell r="A45" t="str">
            <v>ACADCBD04_VIEJA</v>
          </cell>
          <cell r="B45">
            <v>161.43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 t="e">
            <v>#N/A</v>
          </cell>
          <cell r="S45">
            <v>0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</row>
        <row r="46">
          <cell r="A46" t="str">
            <v>ACADCBD05</v>
          </cell>
          <cell r="B46">
            <v>70.010000000000005</v>
          </cell>
          <cell r="C46">
            <v>72.7</v>
          </cell>
          <cell r="D46">
            <v>83.45</v>
          </cell>
          <cell r="E46">
            <v>82.97</v>
          </cell>
          <cell r="F46">
            <v>77.72</v>
          </cell>
          <cell r="G46">
            <v>80.25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 t="e">
            <v>#N/A</v>
          </cell>
          <cell r="S46">
            <v>0</v>
          </cell>
          <cell r="T46" t="e">
            <v>#N/A</v>
          </cell>
          <cell r="U46" t="e">
            <v>#N/A</v>
          </cell>
          <cell r="V46" t="e">
            <v>#N/A</v>
          </cell>
          <cell r="W46" t="e">
            <v>#N/A</v>
          </cell>
          <cell r="X46" t="e">
            <v>#N/A</v>
          </cell>
          <cell r="Y46" t="e">
            <v>#N/A</v>
          </cell>
          <cell r="Z46" t="e">
            <v>#N/A</v>
          </cell>
          <cell r="AA46" t="e">
            <v>#N/A</v>
          </cell>
          <cell r="AB46">
            <v>19.71</v>
          </cell>
          <cell r="AC46" t="e">
            <v>#N/A</v>
          </cell>
        </row>
        <row r="47">
          <cell r="A47" t="str">
            <v>ACADCBD05_CLONE</v>
          </cell>
          <cell r="B47">
            <v>8.59</v>
          </cell>
          <cell r="C47">
            <v>0</v>
          </cell>
          <cell r="D47">
            <v>15.24</v>
          </cell>
          <cell r="E47">
            <v>14.78</v>
          </cell>
          <cell r="F47">
            <v>14.76</v>
          </cell>
          <cell r="G47">
            <v>14.96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 t="e">
            <v>#N/A</v>
          </cell>
          <cell r="S47">
            <v>0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</row>
        <row r="48">
          <cell r="A48" t="str">
            <v>ACADCBD06</v>
          </cell>
          <cell r="B48">
            <v>36.32</v>
          </cell>
          <cell r="C48">
            <v>35.31</v>
          </cell>
          <cell r="D48">
            <v>32.74</v>
          </cell>
          <cell r="E48">
            <v>35.19</v>
          </cell>
          <cell r="F48">
            <v>35.21</v>
          </cell>
          <cell r="G48">
            <v>34.19</v>
          </cell>
          <cell r="H48">
            <v>35.85</v>
          </cell>
          <cell r="I48">
            <v>34.89</v>
          </cell>
          <cell r="J48">
            <v>36.229999999999997</v>
          </cell>
          <cell r="K48">
            <v>38.76</v>
          </cell>
          <cell r="L48">
            <v>42.71</v>
          </cell>
          <cell r="M48">
            <v>38.78</v>
          </cell>
          <cell r="N48">
            <v>38.57</v>
          </cell>
          <cell r="O48">
            <v>39.94</v>
          </cell>
          <cell r="P48">
            <v>39.26</v>
          </cell>
          <cell r="Q48">
            <v>40.200000000000003</v>
          </cell>
          <cell r="R48">
            <v>41.45</v>
          </cell>
          <cell r="S48">
            <v>42.52</v>
          </cell>
          <cell r="T48">
            <v>39.53</v>
          </cell>
          <cell r="U48" t="e">
            <v>#N/A</v>
          </cell>
          <cell r="V48">
            <v>39.880000000000003</v>
          </cell>
          <cell r="W48">
            <v>37.159999999999997</v>
          </cell>
          <cell r="X48">
            <v>38.380000000000003</v>
          </cell>
          <cell r="Y48">
            <v>39.85</v>
          </cell>
          <cell r="Z48">
            <v>39.43</v>
          </cell>
          <cell r="AA48">
            <v>45.6</v>
          </cell>
          <cell r="AB48">
            <v>44.47</v>
          </cell>
          <cell r="AC48">
            <v>43.94</v>
          </cell>
        </row>
        <row r="49">
          <cell r="A49" t="str">
            <v>ACADCBD07</v>
          </cell>
          <cell r="B49">
            <v>7.86</v>
          </cell>
          <cell r="C49">
            <v>7.91</v>
          </cell>
          <cell r="D49">
            <v>7.65</v>
          </cell>
          <cell r="E49">
            <v>7.35</v>
          </cell>
          <cell r="F49">
            <v>7.95</v>
          </cell>
          <cell r="G49">
            <v>7.88</v>
          </cell>
          <cell r="H49">
            <v>15.4</v>
          </cell>
          <cell r="I49">
            <v>0</v>
          </cell>
          <cell r="J49">
            <v>35.950000000000003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 t="e">
            <v>#N/A</v>
          </cell>
          <cell r="S49">
            <v>0</v>
          </cell>
          <cell r="T49">
            <v>34.08</v>
          </cell>
          <cell r="U49" t="e">
            <v>#N/A</v>
          </cell>
          <cell r="V49">
            <v>8.98</v>
          </cell>
          <cell r="W49">
            <v>20.96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</row>
        <row r="50">
          <cell r="A50" t="str">
            <v>ACADCBD08</v>
          </cell>
          <cell r="B50">
            <v>15.06</v>
          </cell>
          <cell r="C50">
            <v>15.72</v>
          </cell>
          <cell r="D50">
            <v>14.61</v>
          </cell>
          <cell r="E50">
            <v>14.13</v>
          </cell>
          <cell r="F50">
            <v>13.57</v>
          </cell>
          <cell r="G50">
            <v>14.52</v>
          </cell>
          <cell r="H50">
            <v>15.15</v>
          </cell>
          <cell r="I50">
            <v>14.93</v>
          </cell>
          <cell r="J50">
            <v>15.31</v>
          </cell>
          <cell r="K50">
            <v>15.1</v>
          </cell>
          <cell r="L50">
            <v>19.05</v>
          </cell>
          <cell r="M50">
            <v>17.84</v>
          </cell>
          <cell r="N50">
            <v>16.55</v>
          </cell>
          <cell r="O50">
            <v>18.440000000000001</v>
          </cell>
          <cell r="P50">
            <v>18.8</v>
          </cell>
          <cell r="Q50">
            <v>0</v>
          </cell>
          <cell r="R50" t="e">
            <v>#N/A</v>
          </cell>
          <cell r="S50">
            <v>0</v>
          </cell>
          <cell r="T50">
            <v>34.1</v>
          </cell>
          <cell r="U50" t="e">
            <v>#N/A</v>
          </cell>
          <cell r="V50">
            <v>13.27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</row>
        <row r="51">
          <cell r="A51" t="str">
            <v>ACADCBD08_CLONE_XIV</v>
          </cell>
          <cell r="B51">
            <v>12.41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20.63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 t="e">
            <v>#N/A</v>
          </cell>
          <cell r="S51">
            <v>0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</row>
        <row r="52">
          <cell r="A52" t="str">
            <v>ACADCBD09</v>
          </cell>
          <cell r="B52">
            <v>21.45</v>
          </cell>
          <cell r="C52">
            <v>15.96</v>
          </cell>
          <cell r="D52">
            <v>0</v>
          </cell>
          <cell r="E52">
            <v>0</v>
          </cell>
          <cell r="F52">
            <v>22.57</v>
          </cell>
          <cell r="G52">
            <v>18.84</v>
          </cell>
          <cell r="H52">
            <v>25.74</v>
          </cell>
          <cell r="I52">
            <v>26.78</v>
          </cell>
          <cell r="J52">
            <v>21.34</v>
          </cell>
          <cell r="K52">
            <v>23.89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 t="e">
            <v>#N/A</v>
          </cell>
          <cell r="S52">
            <v>0</v>
          </cell>
          <cell r="T52">
            <v>65.61</v>
          </cell>
          <cell r="U52">
            <v>16.88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</row>
        <row r="53">
          <cell r="A53" t="str">
            <v>ACADCBD10</v>
          </cell>
          <cell r="B53">
            <v>72.06</v>
          </cell>
          <cell r="C53">
            <v>77.16</v>
          </cell>
          <cell r="D53">
            <v>66.739999999999995</v>
          </cell>
          <cell r="E53">
            <v>66.38</v>
          </cell>
          <cell r="F53">
            <v>66.89</v>
          </cell>
          <cell r="G53">
            <v>67.87</v>
          </cell>
          <cell r="H53">
            <v>71.03</v>
          </cell>
          <cell r="I53">
            <v>67.33</v>
          </cell>
          <cell r="J53">
            <v>69.150000000000006</v>
          </cell>
          <cell r="K53">
            <v>64.58</v>
          </cell>
          <cell r="L53">
            <v>107.21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 t="e">
            <v>#N/A</v>
          </cell>
          <cell r="S53">
            <v>0</v>
          </cell>
          <cell r="T53" t="e">
            <v>#N/A</v>
          </cell>
          <cell r="U53" t="e">
            <v>#N/A</v>
          </cell>
          <cell r="V53" t="e">
            <v>#N/A</v>
          </cell>
          <cell r="W53" t="e">
            <v>#N/A</v>
          </cell>
          <cell r="X53" t="e">
            <v>#N/A</v>
          </cell>
          <cell r="Y53" t="e">
            <v>#N/A</v>
          </cell>
          <cell r="Z53" t="e">
            <v>#N/A</v>
          </cell>
          <cell r="AA53" t="e">
            <v>#N/A</v>
          </cell>
          <cell r="AB53" t="e">
            <v>#N/A</v>
          </cell>
          <cell r="AC53" t="e">
            <v>#N/A</v>
          </cell>
        </row>
        <row r="54">
          <cell r="A54" t="str">
            <v>ACADCBD10_12MAR2010</v>
          </cell>
          <cell r="B54">
            <v>0</v>
          </cell>
          <cell r="C54">
            <v>0</v>
          </cell>
          <cell r="D54">
            <v>65.22</v>
          </cell>
          <cell r="E54">
            <v>51.8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 t="e">
            <v>#N/A</v>
          </cell>
          <cell r="S54">
            <v>0</v>
          </cell>
          <cell r="T54" t="e">
            <v>#N/A</v>
          </cell>
          <cell r="U54" t="e">
            <v>#N/A</v>
          </cell>
          <cell r="V54" t="e">
            <v>#N/A</v>
          </cell>
          <cell r="W54" t="e">
            <v>#N/A</v>
          </cell>
          <cell r="X54" t="e">
            <v>#N/A</v>
          </cell>
          <cell r="Y54" t="e">
            <v>#N/A</v>
          </cell>
          <cell r="Z54" t="e">
            <v>#N/A</v>
          </cell>
          <cell r="AA54" t="e">
            <v>#N/A</v>
          </cell>
          <cell r="AB54" t="e">
            <v>#N/A</v>
          </cell>
          <cell r="AC54" t="e">
            <v>#N/A</v>
          </cell>
        </row>
        <row r="55">
          <cell r="A55" t="str">
            <v>ACADCBD10_29012010</v>
          </cell>
          <cell r="B55">
            <v>0</v>
          </cell>
          <cell r="C55">
            <v>0</v>
          </cell>
          <cell r="D55">
            <v>44.86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 t="e">
            <v>#N/A</v>
          </cell>
          <cell r="S55">
            <v>0</v>
          </cell>
          <cell r="T55" t="e">
            <v>#N/A</v>
          </cell>
          <cell r="U55" t="e">
            <v>#N/A</v>
          </cell>
          <cell r="V55" t="e">
            <v>#N/A</v>
          </cell>
          <cell r="W55" t="e">
            <v>#N/A</v>
          </cell>
          <cell r="X55" t="e">
            <v>#N/A</v>
          </cell>
          <cell r="Y55" t="e">
            <v>#N/A</v>
          </cell>
          <cell r="Z55" t="e">
            <v>#N/A</v>
          </cell>
          <cell r="AA55" t="e">
            <v>#N/A</v>
          </cell>
          <cell r="AB55" t="e">
            <v>#N/A</v>
          </cell>
          <cell r="AC55" t="e">
            <v>#N/A</v>
          </cell>
        </row>
        <row r="56">
          <cell r="A56" t="str">
            <v>ACADCBD10_CLONE</v>
          </cell>
          <cell r="B56">
            <v>46.06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 t="e">
            <v>#N/A</v>
          </cell>
          <cell r="S56">
            <v>0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A56" t="e">
            <v>#N/A</v>
          </cell>
          <cell r="AB56" t="e">
            <v>#N/A</v>
          </cell>
          <cell r="AC56" t="e">
            <v>#N/A</v>
          </cell>
        </row>
        <row r="57">
          <cell r="A57" t="str">
            <v>ACADCBD11</v>
          </cell>
          <cell r="B57">
            <v>20.87</v>
          </cell>
          <cell r="C57">
            <v>30.7</v>
          </cell>
          <cell r="D57">
            <v>22.17</v>
          </cell>
          <cell r="E57">
            <v>19.29</v>
          </cell>
          <cell r="F57">
            <v>20.53</v>
          </cell>
          <cell r="G57">
            <v>21.69</v>
          </cell>
          <cell r="H57">
            <v>21.6</v>
          </cell>
          <cell r="I57">
            <v>24.33</v>
          </cell>
          <cell r="J57">
            <v>24.07</v>
          </cell>
          <cell r="K57">
            <v>21.64</v>
          </cell>
          <cell r="L57">
            <v>125.99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 t="e">
            <v>#N/A</v>
          </cell>
          <cell r="S57">
            <v>0</v>
          </cell>
          <cell r="T57" t="e">
            <v>#N/A</v>
          </cell>
          <cell r="U57" t="e">
            <v>#N/A</v>
          </cell>
          <cell r="V57" t="e">
            <v>#N/A</v>
          </cell>
          <cell r="W57" t="e">
            <v>#N/A</v>
          </cell>
          <cell r="X57" t="e">
            <v>#N/A</v>
          </cell>
          <cell r="Y57" t="e">
            <v>#N/A</v>
          </cell>
          <cell r="Z57" t="e">
            <v>#N/A</v>
          </cell>
          <cell r="AA57" t="e">
            <v>#N/A</v>
          </cell>
          <cell r="AB57" t="e">
            <v>#N/A</v>
          </cell>
          <cell r="AC57" t="e">
            <v>#N/A</v>
          </cell>
        </row>
        <row r="58">
          <cell r="A58" t="str">
            <v>ACADCBD11_CLONE_BL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31.84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 t="e">
            <v>#N/A</v>
          </cell>
          <cell r="S58">
            <v>0</v>
          </cell>
          <cell r="T58" t="e">
            <v>#N/A</v>
          </cell>
          <cell r="U58" t="e">
            <v>#N/A</v>
          </cell>
          <cell r="V58" t="e">
            <v>#N/A</v>
          </cell>
          <cell r="W58" t="e">
            <v>#N/A</v>
          </cell>
          <cell r="X58" t="e">
            <v>#N/A</v>
          </cell>
          <cell r="Y58" t="e">
            <v>#N/A</v>
          </cell>
          <cell r="Z58" t="e">
            <v>#N/A</v>
          </cell>
          <cell r="AA58" t="e">
            <v>#N/A</v>
          </cell>
          <cell r="AB58" t="e">
            <v>#N/A</v>
          </cell>
          <cell r="AC58" t="e">
            <v>#N/A</v>
          </cell>
        </row>
        <row r="59">
          <cell r="A59" t="str">
            <v>ACADCBD12</v>
          </cell>
          <cell r="B59">
            <v>8.8000000000000007</v>
          </cell>
          <cell r="C59">
            <v>11.52</v>
          </cell>
          <cell r="D59">
            <v>10.82</v>
          </cell>
          <cell r="E59">
            <v>11.97</v>
          </cell>
          <cell r="F59">
            <v>12.92</v>
          </cell>
          <cell r="G59">
            <v>10.85</v>
          </cell>
          <cell r="H59">
            <v>21.4</v>
          </cell>
          <cell r="I59">
            <v>23.3</v>
          </cell>
          <cell r="J59">
            <v>22.25</v>
          </cell>
          <cell r="K59">
            <v>23.25</v>
          </cell>
          <cell r="L59">
            <v>29.17</v>
          </cell>
          <cell r="M59">
            <v>22.96</v>
          </cell>
          <cell r="N59">
            <v>26.89</v>
          </cell>
          <cell r="O59">
            <v>26.72</v>
          </cell>
          <cell r="P59">
            <v>27.6</v>
          </cell>
          <cell r="Q59">
            <v>29.76</v>
          </cell>
          <cell r="R59">
            <v>28.43</v>
          </cell>
          <cell r="S59">
            <v>29.13</v>
          </cell>
          <cell r="T59">
            <v>29.23</v>
          </cell>
          <cell r="U59">
            <v>27.31</v>
          </cell>
          <cell r="V59">
            <v>30.36</v>
          </cell>
          <cell r="W59">
            <v>27.18</v>
          </cell>
          <cell r="X59">
            <v>28.08</v>
          </cell>
          <cell r="Y59">
            <v>32.909999999999997</v>
          </cell>
          <cell r="Z59">
            <v>37.57</v>
          </cell>
          <cell r="AA59">
            <v>44.23</v>
          </cell>
          <cell r="AB59">
            <v>44.13</v>
          </cell>
          <cell r="AC59">
            <v>45.56</v>
          </cell>
        </row>
        <row r="60">
          <cell r="A60" t="str">
            <v>ACADCBD13</v>
          </cell>
          <cell r="B60">
            <v>0</v>
          </cell>
          <cell r="C60">
            <v>126.24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 t="e">
            <v>#N/A</v>
          </cell>
          <cell r="S60">
            <v>0</v>
          </cell>
          <cell r="T60" t="e">
            <v>#N/A</v>
          </cell>
          <cell r="U60" t="e">
            <v>#N/A</v>
          </cell>
          <cell r="V60" t="e">
            <v>#N/A</v>
          </cell>
          <cell r="W60" t="e">
            <v>#N/A</v>
          </cell>
          <cell r="X60" t="e">
            <v>#N/A</v>
          </cell>
          <cell r="Y60" t="e">
            <v>#N/A</v>
          </cell>
          <cell r="Z60" t="e">
            <v>#N/A</v>
          </cell>
          <cell r="AA60" t="e">
            <v>#N/A</v>
          </cell>
          <cell r="AB60" t="e">
            <v>#N/A</v>
          </cell>
          <cell r="AC60" t="e">
            <v>#N/A</v>
          </cell>
        </row>
        <row r="61">
          <cell r="A61" t="str">
            <v>ACADCBD14</v>
          </cell>
          <cell r="B61">
            <v>21.91</v>
          </cell>
          <cell r="C61">
            <v>24.34</v>
          </cell>
          <cell r="D61">
            <v>25.3</v>
          </cell>
          <cell r="E61">
            <v>25.48</v>
          </cell>
          <cell r="F61">
            <v>23.85</v>
          </cell>
          <cell r="G61">
            <v>24.29</v>
          </cell>
          <cell r="H61">
            <v>23.96</v>
          </cell>
          <cell r="I61">
            <v>23.81</v>
          </cell>
          <cell r="J61">
            <v>24.34</v>
          </cell>
          <cell r="K61">
            <v>26.75</v>
          </cell>
          <cell r="L61">
            <v>63.56</v>
          </cell>
          <cell r="M61">
            <v>89.6</v>
          </cell>
          <cell r="N61">
            <v>96.76</v>
          </cell>
          <cell r="O61">
            <v>98.32</v>
          </cell>
          <cell r="P61">
            <v>88.54</v>
          </cell>
          <cell r="Q61">
            <v>95.62</v>
          </cell>
          <cell r="R61">
            <v>98</v>
          </cell>
          <cell r="S61">
            <v>99.41</v>
          </cell>
          <cell r="T61">
            <v>97.61</v>
          </cell>
          <cell r="U61">
            <v>100.27</v>
          </cell>
          <cell r="V61">
            <v>99.33</v>
          </cell>
          <cell r="W61">
            <v>112.85</v>
          </cell>
          <cell r="X61">
            <v>93.98</v>
          </cell>
          <cell r="Y61">
            <v>87.31</v>
          </cell>
          <cell r="Z61">
            <v>85.68</v>
          </cell>
          <cell r="AA61">
            <v>157.53</v>
          </cell>
          <cell r="AB61">
            <v>159.61000000000001</v>
          </cell>
          <cell r="AC61">
            <v>158.16</v>
          </cell>
        </row>
        <row r="62">
          <cell r="A62" t="str">
            <v>ACADCBD14_CLONE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40.94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 t="e">
            <v>#N/A</v>
          </cell>
          <cell r="S62">
            <v>0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A62" t="e">
            <v>#N/A</v>
          </cell>
          <cell r="AB62" t="e">
            <v>#N/A</v>
          </cell>
          <cell r="AC62" t="e">
            <v>#N/A</v>
          </cell>
        </row>
        <row r="63">
          <cell r="A63" t="str">
            <v>ACADCBD14_OLD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32.24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 t="e">
            <v>#N/A</v>
          </cell>
          <cell r="S63">
            <v>0</v>
          </cell>
          <cell r="T63" t="e">
            <v>#N/A</v>
          </cell>
          <cell r="U63" t="e">
            <v>#N/A</v>
          </cell>
          <cell r="V63" t="e">
            <v>#N/A</v>
          </cell>
          <cell r="W63" t="e">
            <v>#N/A</v>
          </cell>
          <cell r="X63" t="e">
            <v>#N/A</v>
          </cell>
          <cell r="Y63" t="e">
            <v>#N/A</v>
          </cell>
          <cell r="Z63" t="e">
            <v>#N/A</v>
          </cell>
          <cell r="AA63" t="e">
            <v>#N/A</v>
          </cell>
          <cell r="AB63" t="e">
            <v>#N/A</v>
          </cell>
          <cell r="AC63" t="e">
            <v>#N/A</v>
          </cell>
        </row>
        <row r="64">
          <cell r="A64" t="str">
            <v>ACADCBD14_TEST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44.51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 t="e">
            <v>#N/A</v>
          </cell>
          <cell r="S64">
            <v>0</v>
          </cell>
          <cell r="T64" t="e">
            <v>#N/A</v>
          </cell>
          <cell r="U64" t="e">
            <v>#N/A</v>
          </cell>
          <cell r="V64" t="e">
            <v>#N/A</v>
          </cell>
          <cell r="W64" t="e">
            <v>#N/A</v>
          </cell>
          <cell r="X64" t="e">
            <v>#N/A</v>
          </cell>
          <cell r="Y64" t="e">
            <v>#N/A</v>
          </cell>
          <cell r="Z64" t="e">
            <v>#N/A</v>
          </cell>
          <cell r="AA64" t="e">
            <v>#N/A</v>
          </cell>
          <cell r="AB64" t="e">
            <v>#N/A</v>
          </cell>
          <cell r="AC64" t="e">
            <v>#N/A</v>
          </cell>
        </row>
        <row r="65">
          <cell r="A65" t="str">
            <v>ACADCBD15</v>
          </cell>
          <cell r="B65">
            <v>23.32</v>
          </cell>
          <cell r="C65">
            <v>8.76</v>
          </cell>
          <cell r="D65">
            <v>11.54</v>
          </cell>
          <cell r="E65">
            <v>12.8</v>
          </cell>
          <cell r="F65">
            <v>10.01</v>
          </cell>
          <cell r="G65">
            <v>15.5</v>
          </cell>
          <cell r="H65">
            <v>7.6</v>
          </cell>
          <cell r="I65">
            <v>8.7200000000000006</v>
          </cell>
          <cell r="J65">
            <v>21.77</v>
          </cell>
          <cell r="K65">
            <v>22.76</v>
          </cell>
          <cell r="L65">
            <v>29.22</v>
          </cell>
          <cell r="M65">
            <v>22.24</v>
          </cell>
          <cell r="N65">
            <v>24.88</v>
          </cell>
          <cell r="O65">
            <v>27.01</v>
          </cell>
          <cell r="P65">
            <v>24.93</v>
          </cell>
          <cell r="Q65">
            <v>23.74</v>
          </cell>
          <cell r="R65">
            <v>16.66</v>
          </cell>
          <cell r="S65">
            <v>19.02</v>
          </cell>
          <cell r="T65">
            <v>19.25</v>
          </cell>
          <cell r="U65">
            <v>19.36</v>
          </cell>
          <cell r="V65">
            <v>35.36</v>
          </cell>
          <cell r="W65">
            <v>20.61</v>
          </cell>
          <cell r="X65">
            <v>22.71</v>
          </cell>
          <cell r="Y65">
            <v>22.64</v>
          </cell>
          <cell r="Z65">
            <v>24.4</v>
          </cell>
          <cell r="AA65">
            <v>24.4</v>
          </cell>
          <cell r="AB65">
            <v>33.700000000000003</v>
          </cell>
          <cell r="AC65" t="e">
            <v>#N/A</v>
          </cell>
        </row>
        <row r="66">
          <cell r="A66" t="str">
            <v>ACADCBD16</v>
          </cell>
          <cell r="B66">
            <v>43.71</v>
          </cell>
          <cell r="C66">
            <v>47.76</v>
          </cell>
          <cell r="D66">
            <v>45.88</v>
          </cell>
          <cell r="E66">
            <v>41.71</v>
          </cell>
          <cell r="F66">
            <v>41.24</v>
          </cell>
          <cell r="G66">
            <v>41.22</v>
          </cell>
          <cell r="H66">
            <v>105.45</v>
          </cell>
          <cell r="I66">
            <v>0</v>
          </cell>
          <cell r="J66">
            <v>63.03</v>
          </cell>
          <cell r="K66">
            <v>0</v>
          </cell>
          <cell r="L66">
            <v>48.12</v>
          </cell>
          <cell r="M66">
            <v>49.89</v>
          </cell>
          <cell r="N66">
            <v>53.69</v>
          </cell>
          <cell r="O66">
            <v>51.28</v>
          </cell>
          <cell r="P66">
            <v>44.36</v>
          </cell>
          <cell r="Q66">
            <v>32.58</v>
          </cell>
          <cell r="R66">
            <v>43.06</v>
          </cell>
          <cell r="S66">
            <v>50.56</v>
          </cell>
          <cell r="T66">
            <v>46.28</v>
          </cell>
          <cell r="U66" t="e">
            <v>#N/A</v>
          </cell>
          <cell r="V66">
            <v>42.9</v>
          </cell>
          <cell r="W66">
            <v>39.06</v>
          </cell>
          <cell r="X66">
            <v>44.04</v>
          </cell>
          <cell r="Y66">
            <v>50.96</v>
          </cell>
          <cell r="Z66">
            <v>47.43</v>
          </cell>
          <cell r="AA66">
            <v>49.57</v>
          </cell>
          <cell r="AB66">
            <v>80.47</v>
          </cell>
          <cell r="AC66">
            <v>81.489999999999995</v>
          </cell>
        </row>
        <row r="67">
          <cell r="A67" t="str">
            <v>ACADCBD17</v>
          </cell>
          <cell r="B67">
            <v>19.11</v>
          </cell>
          <cell r="C67">
            <v>17.46</v>
          </cell>
          <cell r="D67">
            <v>0</v>
          </cell>
          <cell r="E67">
            <v>0</v>
          </cell>
          <cell r="F67">
            <v>17.64</v>
          </cell>
          <cell r="G67">
            <v>15.01</v>
          </cell>
          <cell r="H67">
            <v>11.36</v>
          </cell>
          <cell r="I67">
            <v>0</v>
          </cell>
          <cell r="J67">
            <v>18.29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 t="e">
            <v>#N/A</v>
          </cell>
          <cell r="S67">
            <v>0</v>
          </cell>
          <cell r="T67">
            <v>15.15</v>
          </cell>
          <cell r="U67">
            <v>16.27</v>
          </cell>
          <cell r="V67">
            <v>18.09</v>
          </cell>
          <cell r="W67">
            <v>15.02</v>
          </cell>
          <cell r="X67" t="e">
            <v>#N/A</v>
          </cell>
          <cell r="Y67" t="e">
            <v>#N/A</v>
          </cell>
          <cell r="Z67" t="e">
            <v>#N/A</v>
          </cell>
          <cell r="AA67" t="e">
            <v>#N/A</v>
          </cell>
          <cell r="AB67" t="e">
            <v>#N/A</v>
          </cell>
          <cell r="AC67" t="e">
            <v>#N/A</v>
          </cell>
        </row>
        <row r="68">
          <cell r="A68" t="str">
            <v>ACADCBD18</v>
          </cell>
          <cell r="B68">
            <v>9.91</v>
          </cell>
          <cell r="C68">
            <v>9.15</v>
          </cell>
          <cell r="D68">
            <v>16.68</v>
          </cell>
          <cell r="E68">
            <v>19.309999999999999</v>
          </cell>
          <cell r="F68">
            <v>13.36</v>
          </cell>
          <cell r="G68">
            <v>10.29</v>
          </cell>
          <cell r="H68">
            <v>10.56</v>
          </cell>
          <cell r="I68">
            <v>10.67</v>
          </cell>
          <cell r="J68">
            <v>11.93</v>
          </cell>
          <cell r="K68">
            <v>19.32</v>
          </cell>
          <cell r="L68">
            <v>15.24</v>
          </cell>
          <cell r="M68">
            <v>13.65</v>
          </cell>
          <cell r="N68">
            <v>11.3</v>
          </cell>
          <cell r="O68">
            <v>11.79</v>
          </cell>
          <cell r="P68">
            <v>15.22</v>
          </cell>
          <cell r="Q68">
            <v>16.28</v>
          </cell>
          <cell r="R68">
            <v>37.74</v>
          </cell>
          <cell r="S68">
            <v>31.37</v>
          </cell>
          <cell r="T68">
            <v>13.27</v>
          </cell>
          <cell r="U68">
            <v>12.27</v>
          </cell>
          <cell r="V68">
            <v>34.549999999999997</v>
          </cell>
          <cell r="W68">
            <v>19.88</v>
          </cell>
          <cell r="X68">
            <v>20.350000000000001</v>
          </cell>
          <cell r="Y68">
            <v>21.39</v>
          </cell>
          <cell r="Z68">
            <v>21.48</v>
          </cell>
          <cell r="AA68">
            <v>21.22</v>
          </cell>
          <cell r="AB68">
            <v>34.67</v>
          </cell>
          <cell r="AC68">
            <v>22.64</v>
          </cell>
        </row>
        <row r="69">
          <cell r="A69" t="str">
            <v>ACADCBD20</v>
          </cell>
          <cell r="B69">
            <v>21.45</v>
          </cell>
          <cell r="C69">
            <v>22.58</v>
          </cell>
          <cell r="D69">
            <v>23.45</v>
          </cell>
          <cell r="E69">
            <v>26.58</v>
          </cell>
          <cell r="F69">
            <v>32.630000000000003</v>
          </cell>
          <cell r="G69">
            <v>27.3</v>
          </cell>
          <cell r="H69">
            <v>0</v>
          </cell>
          <cell r="I69">
            <v>0</v>
          </cell>
          <cell r="J69">
            <v>22.82</v>
          </cell>
          <cell r="K69">
            <v>14.84</v>
          </cell>
          <cell r="L69">
            <v>8.61</v>
          </cell>
          <cell r="M69">
            <v>8.8000000000000007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 t="e">
            <v>#N/A</v>
          </cell>
          <cell r="S69">
            <v>36.799999999999997</v>
          </cell>
          <cell r="T69">
            <v>65.94</v>
          </cell>
          <cell r="U69">
            <v>71.23</v>
          </cell>
          <cell r="V69">
            <v>69.319999999999993</v>
          </cell>
          <cell r="W69">
            <v>68.36</v>
          </cell>
          <cell r="X69">
            <v>84.68</v>
          </cell>
          <cell r="Y69">
            <v>95.31</v>
          </cell>
          <cell r="Z69">
            <v>76.349999999999994</v>
          </cell>
          <cell r="AA69">
            <v>116.57</v>
          </cell>
          <cell r="AB69">
            <v>126.72</v>
          </cell>
          <cell r="AC69">
            <v>131.51</v>
          </cell>
        </row>
        <row r="70">
          <cell r="A70" t="str">
            <v>ACADCBD20_19052010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23.08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 t="e">
            <v>#N/A</v>
          </cell>
          <cell r="S70">
            <v>0</v>
          </cell>
          <cell r="T70" t="e">
            <v>#N/A</v>
          </cell>
          <cell r="U70" t="e">
            <v>#N/A</v>
          </cell>
          <cell r="V70" t="e">
            <v>#N/A</v>
          </cell>
          <cell r="W70" t="e">
            <v>#N/A</v>
          </cell>
          <cell r="X70" t="e">
            <v>#N/A</v>
          </cell>
          <cell r="Y70" t="e">
            <v>#N/A</v>
          </cell>
          <cell r="Z70" t="e">
            <v>#N/A</v>
          </cell>
          <cell r="AA70" t="e">
            <v>#N/A</v>
          </cell>
          <cell r="AB70" t="e">
            <v>#N/A</v>
          </cell>
          <cell r="AC70" t="e">
            <v>#N/A</v>
          </cell>
        </row>
        <row r="71">
          <cell r="A71" t="str">
            <v>ACADCBD21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5.79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 t="e">
            <v>#N/A</v>
          </cell>
          <cell r="S71">
            <v>0</v>
          </cell>
          <cell r="T71" t="e">
            <v>#N/A</v>
          </cell>
          <cell r="U71" t="e">
            <v>#N/A</v>
          </cell>
          <cell r="V71" t="e">
            <v>#N/A</v>
          </cell>
          <cell r="W71" t="e">
            <v>#N/A</v>
          </cell>
          <cell r="X71" t="e">
            <v>#N/A</v>
          </cell>
          <cell r="Y71" t="e">
            <v>#N/A</v>
          </cell>
          <cell r="Z71" t="e">
            <v>#N/A</v>
          </cell>
          <cell r="AA71" t="e">
            <v>#N/A</v>
          </cell>
          <cell r="AB71" t="e">
            <v>#N/A</v>
          </cell>
          <cell r="AC71" t="e">
            <v>#N/A</v>
          </cell>
        </row>
        <row r="72">
          <cell r="A72" t="str">
            <v>ACADCBD24</v>
          </cell>
          <cell r="B72">
            <v>45.61</v>
          </cell>
          <cell r="C72">
            <v>29.18</v>
          </cell>
          <cell r="D72">
            <v>78.56</v>
          </cell>
          <cell r="E72">
            <v>80.09</v>
          </cell>
          <cell r="F72">
            <v>80.17</v>
          </cell>
          <cell r="G72">
            <v>86.16</v>
          </cell>
          <cell r="H72">
            <v>119</v>
          </cell>
          <cell r="I72">
            <v>120.08</v>
          </cell>
          <cell r="J72">
            <v>120.53</v>
          </cell>
          <cell r="K72">
            <v>124.34</v>
          </cell>
          <cell r="L72">
            <v>124.59</v>
          </cell>
          <cell r="M72">
            <v>127.4</v>
          </cell>
          <cell r="N72">
            <v>139.24</v>
          </cell>
          <cell r="O72">
            <v>135.41</v>
          </cell>
          <cell r="P72">
            <v>138.63999999999999</v>
          </cell>
          <cell r="Q72">
            <v>143.22</v>
          </cell>
          <cell r="R72">
            <v>143.83000000000001</v>
          </cell>
          <cell r="S72">
            <v>147.63</v>
          </cell>
          <cell r="T72">
            <v>143.25</v>
          </cell>
          <cell r="U72" t="e">
            <v>#N/A</v>
          </cell>
          <cell r="V72">
            <v>140.66999999999999</v>
          </cell>
          <cell r="W72">
            <v>128.87</v>
          </cell>
          <cell r="X72">
            <v>166.33</v>
          </cell>
          <cell r="Y72">
            <v>159.37</v>
          </cell>
          <cell r="Z72">
            <v>160.97999999999999</v>
          </cell>
          <cell r="AA72">
            <v>172.7</v>
          </cell>
          <cell r="AB72">
            <v>150.84</v>
          </cell>
          <cell r="AC72">
            <v>140.82</v>
          </cell>
        </row>
        <row r="73">
          <cell r="A73" t="str">
            <v>ACADCBD26</v>
          </cell>
          <cell r="B73">
            <v>45.3</v>
          </cell>
          <cell r="C73">
            <v>68.08</v>
          </cell>
          <cell r="D73">
            <v>71.739999999999995</v>
          </cell>
          <cell r="E73">
            <v>70.03</v>
          </cell>
          <cell r="F73">
            <v>73.099999999999994</v>
          </cell>
          <cell r="G73">
            <v>65.94</v>
          </cell>
          <cell r="H73">
            <v>74.91</v>
          </cell>
          <cell r="I73">
            <v>67.709999999999994</v>
          </cell>
          <cell r="J73">
            <v>73.58</v>
          </cell>
          <cell r="K73">
            <v>73.400000000000006</v>
          </cell>
          <cell r="L73">
            <v>74.650000000000006</v>
          </cell>
          <cell r="M73">
            <v>73.680000000000007</v>
          </cell>
          <cell r="N73">
            <v>67.62</v>
          </cell>
          <cell r="O73">
            <v>74.81</v>
          </cell>
          <cell r="P73">
            <v>76.760000000000005</v>
          </cell>
          <cell r="Q73">
            <v>80.510000000000005</v>
          </cell>
          <cell r="R73">
            <v>66.42</v>
          </cell>
          <cell r="S73">
            <v>56.32</v>
          </cell>
          <cell r="T73">
            <v>60.35</v>
          </cell>
          <cell r="U73">
            <v>64.63</v>
          </cell>
          <cell r="V73">
            <v>66.44</v>
          </cell>
          <cell r="W73">
            <v>60</v>
          </cell>
          <cell r="X73">
            <v>62.79</v>
          </cell>
          <cell r="Y73">
            <v>60.53</v>
          </cell>
          <cell r="Z73">
            <v>63.18</v>
          </cell>
          <cell r="AA73">
            <v>102.52</v>
          </cell>
          <cell r="AB73">
            <v>103.55</v>
          </cell>
          <cell r="AC73">
            <v>106.24</v>
          </cell>
        </row>
        <row r="74">
          <cell r="A74" t="str">
            <v>ACADCBD26_CLONE</v>
          </cell>
          <cell r="B74">
            <v>0</v>
          </cell>
          <cell r="C74">
            <v>14.19</v>
          </cell>
          <cell r="D74">
            <v>0</v>
          </cell>
          <cell r="E74">
            <v>0</v>
          </cell>
          <cell r="F74">
            <v>0</v>
          </cell>
          <cell r="G74">
            <v>64.34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 t="e">
            <v>#N/A</v>
          </cell>
          <cell r="S74">
            <v>0</v>
          </cell>
          <cell r="T74" t="e">
            <v>#N/A</v>
          </cell>
          <cell r="U74" t="e">
            <v>#N/A</v>
          </cell>
          <cell r="V74" t="e">
            <v>#N/A</v>
          </cell>
          <cell r="W74" t="e">
            <v>#N/A</v>
          </cell>
          <cell r="X74" t="e">
            <v>#N/A</v>
          </cell>
          <cell r="Y74" t="e">
            <v>#N/A</v>
          </cell>
          <cell r="Z74" t="e">
            <v>#N/A</v>
          </cell>
          <cell r="AA74" t="e">
            <v>#N/A</v>
          </cell>
          <cell r="AB74" t="e">
            <v>#N/A</v>
          </cell>
          <cell r="AC74" t="e">
            <v>#N/A</v>
          </cell>
        </row>
        <row r="75">
          <cell r="A75" t="str">
            <v>ACADCBD26_NEW</v>
          </cell>
          <cell r="B75">
            <v>0</v>
          </cell>
          <cell r="C75">
            <v>56.95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 t="e">
            <v>#N/A</v>
          </cell>
          <cell r="S75">
            <v>0</v>
          </cell>
          <cell r="T75" t="e">
            <v>#N/A</v>
          </cell>
          <cell r="U75" t="e">
            <v>#N/A</v>
          </cell>
          <cell r="V75" t="e">
            <v>#N/A</v>
          </cell>
          <cell r="W75" t="e">
            <v>#N/A</v>
          </cell>
          <cell r="X75" t="e">
            <v>#N/A</v>
          </cell>
          <cell r="Y75" t="e">
            <v>#N/A</v>
          </cell>
          <cell r="Z75" t="e">
            <v>#N/A</v>
          </cell>
          <cell r="AA75" t="e">
            <v>#N/A</v>
          </cell>
          <cell r="AB75" t="e">
            <v>#N/A</v>
          </cell>
          <cell r="AC75" t="e">
            <v>#N/A</v>
          </cell>
        </row>
        <row r="76">
          <cell r="A76" t="str">
            <v>ACADCBD26_NO_BORRAR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82.61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 t="e">
            <v>#N/A</v>
          </cell>
          <cell r="S76">
            <v>0</v>
          </cell>
          <cell r="T76" t="e">
            <v>#N/A</v>
          </cell>
          <cell r="U76" t="e">
            <v>#N/A</v>
          </cell>
          <cell r="V76" t="e">
            <v>#N/A</v>
          </cell>
          <cell r="W76" t="e">
            <v>#N/A</v>
          </cell>
          <cell r="X76" t="e">
            <v>#N/A</v>
          </cell>
          <cell r="Y76" t="e">
            <v>#N/A</v>
          </cell>
          <cell r="Z76" t="e">
            <v>#N/A</v>
          </cell>
          <cell r="AA76" t="e">
            <v>#N/A</v>
          </cell>
          <cell r="AB76" t="e">
            <v>#N/A</v>
          </cell>
          <cell r="AC76" t="e">
            <v>#N/A</v>
          </cell>
        </row>
        <row r="77">
          <cell r="A77" t="str">
            <v>ACADCBD26_PARCHE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28.27</v>
          </cell>
          <cell r="K77">
            <v>23.66</v>
          </cell>
          <cell r="L77">
            <v>20.36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 t="e">
            <v>#N/A</v>
          </cell>
          <cell r="S77">
            <v>0</v>
          </cell>
          <cell r="T77" t="e">
            <v>#N/A</v>
          </cell>
          <cell r="U77" t="e">
            <v>#N/A</v>
          </cell>
          <cell r="V77" t="e">
            <v>#N/A</v>
          </cell>
          <cell r="W77" t="e">
            <v>#N/A</v>
          </cell>
          <cell r="X77" t="e">
            <v>#N/A</v>
          </cell>
          <cell r="Y77" t="e">
            <v>#N/A</v>
          </cell>
          <cell r="Z77" t="e">
            <v>#N/A</v>
          </cell>
          <cell r="AA77" t="e">
            <v>#N/A</v>
          </cell>
          <cell r="AB77" t="e">
            <v>#N/A</v>
          </cell>
          <cell r="AC77" t="e">
            <v>#N/A</v>
          </cell>
        </row>
        <row r="78">
          <cell r="A78" t="str">
            <v>ACADCBD27</v>
          </cell>
          <cell r="B78">
            <v>47.42</v>
          </cell>
          <cell r="C78">
            <v>34.56</v>
          </cell>
          <cell r="D78">
            <v>50.04</v>
          </cell>
          <cell r="E78">
            <v>35.42</v>
          </cell>
          <cell r="F78">
            <v>47.84</v>
          </cell>
          <cell r="G78">
            <v>71.45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 t="e">
            <v>#N/A</v>
          </cell>
          <cell r="S78">
            <v>0</v>
          </cell>
          <cell r="T78" t="e">
            <v>#N/A</v>
          </cell>
          <cell r="U78" t="e">
            <v>#N/A</v>
          </cell>
          <cell r="V78" t="e">
            <v>#N/A</v>
          </cell>
          <cell r="W78" t="e">
            <v>#N/A</v>
          </cell>
          <cell r="X78" t="e">
            <v>#N/A</v>
          </cell>
          <cell r="Y78" t="e">
            <v>#N/A</v>
          </cell>
          <cell r="Z78" t="e">
            <v>#N/A</v>
          </cell>
          <cell r="AA78" t="e">
            <v>#N/A</v>
          </cell>
          <cell r="AB78" t="e">
            <v>#N/A</v>
          </cell>
          <cell r="AC78" t="e">
            <v>#N/A</v>
          </cell>
        </row>
        <row r="79">
          <cell r="A79" t="str">
            <v>ACADCBD27_CLONE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30.56</v>
          </cell>
          <cell r="I79">
            <v>28.18</v>
          </cell>
          <cell r="J79">
            <v>30.58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 t="e">
            <v>#N/A</v>
          </cell>
          <cell r="S79">
            <v>0</v>
          </cell>
          <cell r="T79" t="e">
            <v>#N/A</v>
          </cell>
          <cell r="U79" t="e">
            <v>#N/A</v>
          </cell>
          <cell r="V79" t="e">
            <v>#N/A</v>
          </cell>
          <cell r="W79" t="e">
            <v>#N/A</v>
          </cell>
          <cell r="X79" t="e">
            <v>#N/A</v>
          </cell>
          <cell r="Y79" t="e">
            <v>#N/A</v>
          </cell>
          <cell r="Z79" t="e">
            <v>#N/A</v>
          </cell>
          <cell r="AA79" t="e">
            <v>#N/A</v>
          </cell>
          <cell r="AB79" t="e">
            <v>#N/A</v>
          </cell>
          <cell r="AC79" t="e">
            <v>#N/A</v>
          </cell>
        </row>
        <row r="80">
          <cell r="A80" t="str">
            <v>ACADCBD27_PARCHE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27.19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 t="e">
            <v>#N/A</v>
          </cell>
          <cell r="S80">
            <v>0</v>
          </cell>
          <cell r="T80" t="e">
            <v>#N/A</v>
          </cell>
          <cell r="U80" t="e">
            <v>#N/A</v>
          </cell>
          <cell r="V80" t="e">
            <v>#N/A</v>
          </cell>
          <cell r="W80" t="e">
            <v>#N/A</v>
          </cell>
          <cell r="X80" t="e">
            <v>#N/A</v>
          </cell>
          <cell r="Y80" t="e">
            <v>#N/A</v>
          </cell>
          <cell r="Z80" t="e">
            <v>#N/A</v>
          </cell>
          <cell r="AA80" t="e">
            <v>#N/A</v>
          </cell>
          <cell r="AB80" t="e">
            <v>#N/A</v>
          </cell>
          <cell r="AC80" t="e">
            <v>#N/A</v>
          </cell>
        </row>
        <row r="81">
          <cell r="A81" t="str">
            <v>ACADCBD29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15.69</v>
          </cell>
          <cell r="H81">
            <v>17.38</v>
          </cell>
          <cell r="I81">
            <v>17.5</v>
          </cell>
          <cell r="J81">
            <v>16.43</v>
          </cell>
          <cell r="K81">
            <v>16.739999999999998</v>
          </cell>
          <cell r="L81">
            <v>38.04</v>
          </cell>
          <cell r="M81">
            <v>43.52</v>
          </cell>
          <cell r="N81">
            <v>41.32</v>
          </cell>
          <cell r="O81">
            <v>46.8</v>
          </cell>
          <cell r="P81">
            <v>52.01</v>
          </cell>
          <cell r="Q81">
            <v>53.56</v>
          </cell>
          <cell r="R81">
            <v>49.28</v>
          </cell>
          <cell r="S81">
            <v>52.06</v>
          </cell>
          <cell r="T81">
            <v>51.2</v>
          </cell>
          <cell r="U81">
            <v>52.43</v>
          </cell>
          <cell r="V81">
            <v>50.26</v>
          </cell>
          <cell r="W81">
            <v>45.92</v>
          </cell>
          <cell r="X81">
            <v>46.83</v>
          </cell>
          <cell r="Y81">
            <v>38.47</v>
          </cell>
          <cell r="Z81">
            <v>40.51</v>
          </cell>
          <cell r="AA81">
            <v>90.21</v>
          </cell>
          <cell r="AB81">
            <v>89.84</v>
          </cell>
          <cell r="AC81">
            <v>89.93</v>
          </cell>
        </row>
        <row r="82">
          <cell r="A82" t="str">
            <v>ACADCBD30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69.67</v>
          </cell>
          <cell r="K82">
            <v>147.07</v>
          </cell>
          <cell r="L82">
            <v>149.86000000000001</v>
          </cell>
          <cell r="M82">
            <v>157.03</v>
          </cell>
          <cell r="N82">
            <v>184.35</v>
          </cell>
          <cell r="O82">
            <v>173.44</v>
          </cell>
          <cell r="P82">
            <v>148.35</v>
          </cell>
          <cell r="Q82">
            <v>152.36000000000001</v>
          </cell>
          <cell r="R82">
            <v>85.21</v>
          </cell>
          <cell r="S82">
            <v>96.43</v>
          </cell>
          <cell r="T82">
            <v>69.22</v>
          </cell>
          <cell r="U82">
            <v>71.430000000000007</v>
          </cell>
          <cell r="V82">
            <v>76.48</v>
          </cell>
          <cell r="W82">
            <v>77.91</v>
          </cell>
          <cell r="X82">
            <v>73.33</v>
          </cell>
          <cell r="Y82">
            <v>73.599999999999994</v>
          </cell>
          <cell r="Z82">
            <v>75.41</v>
          </cell>
          <cell r="AA82">
            <v>84.3</v>
          </cell>
          <cell r="AB82">
            <v>84.71</v>
          </cell>
          <cell r="AC82">
            <v>84.48</v>
          </cell>
        </row>
        <row r="83">
          <cell r="A83" t="str">
            <v>ACADCBD32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62.18</v>
          </cell>
          <cell r="K83">
            <v>127.04</v>
          </cell>
          <cell r="L83">
            <v>87.8</v>
          </cell>
          <cell r="M83">
            <v>122.59</v>
          </cell>
          <cell r="N83">
            <v>120.42</v>
          </cell>
          <cell r="O83">
            <v>118.66</v>
          </cell>
          <cell r="P83">
            <v>151.91</v>
          </cell>
          <cell r="Q83">
            <v>151.63999999999999</v>
          </cell>
          <cell r="R83">
            <v>86.3</v>
          </cell>
          <cell r="S83">
            <v>87.6</v>
          </cell>
          <cell r="T83">
            <v>89.11</v>
          </cell>
          <cell r="U83">
            <v>88.14</v>
          </cell>
          <cell r="V83">
            <v>137.41999999999999</v>
          </cell>
          <cell r="W83">
            <v>132.06</v>
          </cell>
          <cell r="X83">
            <v>87.21</v>
          </cell>
          <cell r="Y83">
            <v>92</v>
          </cell>
          <cell r="Z83">
            <v>90.09</v>
          </cell>
          <cell r="AA83">
            <v>91.26</v>
          </cell>
          <cell r="AB83">
            <v>93.07</v>
          </cell>
          <cell r="AC83">
            <v>95.91</v>
          </cell>
        </row>
        <row r="84">
          <cell r="A84" t="str">
            <v>ACADCBD33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55.68</v>
          </cell>
          <cell r="L84">
            <v>69.180000000000007</v>
          </cell>
          <cell r="M84">
            <v>71.55</v>
          </cell>
          <cell r="N84">
            <v>72.84</v>
          </cell>
          <cell r="O84">
            <v>73.61</v>
          </cell>
          <cell r="P84">
            <v>73.55</v>
          </cell>
          <cell r="Q84">
            <v>71.22</v>
          </cell>
          <cell r="R84" t="e">
            <v>#N/A</v>
          </cell>
          <cell r="S84">
            <v>0</v>
          </cell>
          <cell r="T84" t="e">
            <v>#N/A</v>
          </cell>
          <cell r="U84">
            <v>23.96</v>
          </cell>
          <cell r="V84" t="e">
            <v>#N/A</v>
          </cell>
          <cell r="W84" t="e">
            <v>#N/A</v>
          </cell>
          <cell r="X84" t="e">
            <v>#N/A</v>
          </cell>
          <cell r="Y84" t="e">
            <v>#N/A</v>
          </cell>
          <cell r="Z84" t="e">
            <v>#N/A</v>
          </cell>
          <cell r="AA84" t="e">
            <v>#N/A</v>
          </cell>
          <cell r="AB84" t="e">
            <v>#N/A</v>
          </cell>
          <cell r="AC84" t="e">
            <v>#N/A</v>
          </cell>
        </row>
        <row r="85">
          <cell r="A85" t="str">
            <v>ACADCBD40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9.5</v>
          </cell>
          <cell r="N85">
            <v>17.04</v>
          </cell>
          <cell r="O85">
            <v>17.940000000000001</v>
          </cell>
          <cell r="P85">
            <v>13.29</v>
          </cell>
          <cell r="Q85">
            <v>12.43</v>
          </cell>
          <cell r="R85">
            <v>30.08</v>
          </cell>
          <cell r="S85">
            <v>29.42</v>
          </cell>
          <cell r="T85">
            <v>29.35</v>
          </cell>
          <cell r="U85">
            <v>29.77</v>
          </cell>
          <cell r="V85">
            <v>33.729999999999997</v>
          </cell>
          <cell r="W85">
            <v>26.95</v>
          </cell>
          <cell r="X85">
            <v>28.34</v>
          </cell>
          <cell r="Y85">
            <v>27.61</v>
          </cell>
          <cell r="Z85">
            <v>25.7</v>
          </cell>
          <cell r="AA85">
            <v>37.33</v>
          </cell>
          <cell r="AB85">
            <v>36.31</v>
          </cell>
          <cell r="AC85">
            <v>34.08</v>
          </cell>
        </row>
        <row r="86">
          <cell r="A86" t="str">
            <v>ACADCBD42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36.229999999999997</v>
          </cell>
          <cell r="N86">
            <v>35.61</v>
          </cell>
          <cell r="O86">
            <v>70.73</v>
          </cell>
          <cell r="P86">
            <v>72.13</v>
          </cell>
          <cell r="Q86">
            <v>73.17</v>
          </cell>
          <cell r="R86">
            <v>94.35</v>
          </cell>
          <cell r="S86">
            <v>86.43</v>
          </cell>
          <cell r="T86">
            <v>73.48</v>
          </cell>
          <cell r="U86" t="e">
            <v>#N/A</v>
          </cell>
          <cell r="V86">
            <v>73.53</v>
          </cell>
          <cell r="W86">
            <v>71.069999999999993</v>
          </cell>
          <cell r="X86">
            <v>73.38</v>
          </cell>
          <cell r="Y86">
            <v>69.099999999999994</v>
          </cell>
          <cell r="Z86">
            <v>73.349999999999994</v>
          </cell>
          <cell r="AA86">
            <v>75.099999999999994</v>
          </cell>
          <cell r="AB86">
            <v>73.41</v>
          </cell>
          <cell r="AC86">
            <v>76.7</v>
          </cell>
        </row>
        <row r="87">
          <cell r="A87" t="str">
            <v>ACADCBD43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55.42</v>
          </cell>
          <cell r="N87">
            <v>41.21</v>
          </cell>
          <cell r="O87">
            <v>36.54</v>
          </cell>
          <cell r="P87">
            <v>37.5</v>
          </cell>
          <cell r="Q87">
            <v>0</v>
          </cell>
          <cell r="R87" t="e">
            <v>#N/A</v>
          </cell>
          <cell r="S87">
            <v>141.53</v>
          </cell>
          <cell r="T87">
            <v>205.66</v>
          </cell>
          <cell r="U87">
            <v>42.4</v>
          </cell>
          <cell r="V87">
            <v>41.62</v>
          </cell>
          <cell r="W87">
            <v>44.55</v>
          </cell>
          <cell r="X87">
            <v>68.489999999999995</v>
          </cell>
          <cell r="Y87">
            <v>94.45</v>
          </cell>
          <cell r="Z87">
            <v>114.7</v>
          </cell>
          <cell r="AA87">
            <v>242.65</v>
          </cell>
          <cell r="AB87">
            <v>291.17</v>
          </cell>
          <cell r="AC87">
            <v>263.97000000000003</v>
          </cell>
        </row>
        <row r="88">
          <cell r="A88" t="str">
            <v>ACADCBD45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21.13</v>
          </cell>
          <cell r="O88">
            <v>19.43</v>
          </cell>
          <cell r="P88">
            <v>28.08</v>
          </cell>
          <cell r="Q88">
            <v>13.45</v>
          </cell>
          <cell r="R88">
            <v>14.95</v>
          </cell>
          <cell r="S88">
            <v>15.7</v>
          </cell>
          <cell r="T88">
            <v>16.34</v>
          </cell>
          <cell r="U88">
            <v>14.28</v>
          </cell>
          <cell r="V88">
            <v>14.64</v>
          </cell>
          <cell r="W88">
            <v>12.71</v>
          </cell>
          <cell r="X88" t="e">
            <v>#N/A</v>
          </cell>
          <cell r="Y88" t="e">
            <v>#N/A</v>
          </cell>
          <cell r="Z88" t="e">
            <v>#N/A</v>
          </cell>
          <cell r="AA88" t="e">
            <v>#N/A</v>
          </cell>
          <cell r="AB88" t="e">
            <v>#N/A</v>
          </cell>
          <cell r="AC88" t="e">
            <v>#N/A</v>
          </cell>
        </row>
        <row r="89">
          <cell r="A89" t="str">
            <v>ACADCPR01</v>
          </cell>
          <cell r="B89">
            <v>44.95</v>
          </cell>
          <cell r="C89">
            <v>42.25</v>
          </cell>
          <cell r="D89">
            <v>45.5</v>
          </cell>
          <cell r="E89">
            <v>47.53</v>
          </cell>
          <cell r="F89">
            <v>48.27</v>
          </cell>
          <cell r="G89">
            <v>51.43</v>
          </cell>
          <cell r="H89">
            <v>127.66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 t="e">
            <v>#N/A</v>
          </cell>
          <cell r="S89">
            <v>0</v>
          </cell>
          <cell r="T89" t="e">
            <v>#N/A</v>
          </cell>
          <cell r="U89" t="e">
            <v>#N/A</v>
          </cell>
          <cell r="V89" t="e">
            <v>#N/A</v>
          </cell>
          <cell r="W89" t="e">
            <v>#N/A</v>
          </cell>
          <cell r="X89" t="e">
            <v>#N/A</v>
          </cell>
          <cell r="Y89" t="e">
            <v>#N/A</v>
          </cell>
          <cell r="Z89" t="e">
            <v>#N/A</v>
          </cell>
          <cell r="AA89" t="e">
            <v>#N/A</v>
          </cell>
          <cell r="AB89">
            <v>47.59</v>
          </cell>
          <cell r="AC89" t="e">
            <v>#N/A</v>
          </cell>
        </row>
        <row r="90">
          <cell r="A90" t="str">
            <v>ACADCPR01_CLONE</v>
          </cell>
          <cell r="B90">
            <v>0</v>
          </cell>
          <cell r="C90">
            <v>0</v>
          </cell>
          <cell r="D90">
            <v>8.7799999999999994</v>
          </cell>
          <cell r="E90">
            <v>8.73</v>
          </cell>
          <cell r="F90">
            <v>8.3800000000000008</v>
          </cell>
          <cell r="G90">
            <v>8.9499999999999993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 t="e">
            <v>#N/A</v>
          </cell>
          <cell r="S90">
            <v>0</v>
          </cell>
          <cell r="T90" t="e">
            <v>#N/A</v>
          </cell>
          <cell r="U90" t="e">
            <v>#N/A</v>
          </cell>
          <cell r="V90" t="e">
            <v>#N/A</v>
          </cell>
          <cell r="W90" t="e">
            <v>#N/A</v>
          </cell>
          <cell r="X90" t="e">
            <v>#N/A</v>
          </cell>
          <cell r="Y90" t="e">
            <v>#N/A</v>
          </cell>
          <cell r="Z90" t="e">
            <v>#N/A</v>
          </cell>
          <cell r="AA90" t="e">
            <v>#N/A</v>
          </cell>
          <cell r="AB90" t="e">
            <v>#N/A</v>
          </cell>
          <cell r="AC90" t="e">
            <v>#N/A</v>
          </cell>
        </row>
        <row r="91">
          <cell r="A91" t="str">
            <v>ACADCPR01_NUEVA</v>
          </cell>
          <cell r="B91">
            <v>10.23</v>
          </cell>
          <cell r="C91">
            <v>11.21</v>
          </cell>
          <cell r="D91">
            <v>12.25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 t="e">
            <v>#N/A</v>
          </cell>
          <cell r="S91">
            <v>0</v>
          </cell>
          <cell r="T91" t="e">
            <v>#N/A</v>
          </cell>
          <cell r="U91" t="e">
            <v>#N/A</v>
          </cell>
          <cell r="V91" t="e">
            <v>#N/A</v>
          </cell>
          <cell r="W91" t="e">
            <v>#N/A</v>
          </cell>
          <cell r="X91" t="e">
            <v>#N/A</v>
          </cell>
          <cell r="Y91" t="e">
            <v>#N/A</v>
          </cell>
          <cell r="Z91" t="e">
            <v>#N/A</v>
          </cell>
          <cell r="AA91" t="e">
            <v>#N/A</v>
          </cell>
          <cell r="AB91" t="e">
            <v>#N/A</v>
          </cell>
          <cell r="AC91" t="e">
            <v>#N/A</v>
          </cell>
        </row>
        <row r="92">
          <cell r="A92" t="str">
            <v>ACADCPR02</v>
          </cell>
          <cell r="B92">
            <v>10.99</v>
          </cell>
          <cell r="C92">
            <v>9.09</v>
          </cell>
          <cell r="D92">
            <v>8.33</v>
          </cell>
          <cell r="E92">
            <v>8.2799999999999994</v>
          </cell>
          <cell r="F92">
            <v>8.0500000000000007</v>
          </cell>
          <cell r="G92">
            <v>7.89</v>
          </cell>
          <cell r="H92">
            <v>9.43</v>
          </cell>
          <cell r="I92">
            <v>9.67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 t="e">
            <v>#N/A</v>
          </cell>
          <cell r="S92">
            <v>0</v>
          </cell>
          <cell r="T92">
            <v>21.64</v>
          </cell>
          <cell r="U92" t="e">
            <v>#N/A</v>
          </cell>
          <cell r="V92">
            <v>9.4499999999999993</v>
          </cell>
          <cell r="W92" t="e">
            <v>#N/A</v>
          </cell>
          <cell r="X92" t="e">
            <v>#N/A</v>
          </cell>
          <cell r="Y92" t="e">
            <v>#N/A</v>
          </cell>
          <cell r="Z92" t="e">
            <v>#N/A</v>
          </cell>
          <cell r="AA92" t="e">
            <v>#N/A</v>
          </cell>
          <cell r="AB92" t="e">
            <v>#N/A</v>
          </cell>
          <cell r="AC92" t="e">
            <v>#N/A</v>
          </cell>
        </row>
        <row r="93">
          <cell r="A93" t="str">
            <v>ACADCPR02_CLONE_XIV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18.48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 t="e">
            <v>#N/A</v>
          </cell>
          <cell r="S93">
            <v>0</v>
          </cell>
          <cell r="T93" t="e">
            <v>#N/A</v>
          </cell>
          <cell r="U93" t="e">
            <v>#N/A</v>
          </cell>
          <cell r="V93" t="e">
            <v>#N/A</v>
          </cell>
          <cell r="W93" t="e">
            <v>#N/A</v>
          </cell>
          <cell r="X93" t="e">
            <v>#N/A</v>
          </cell>
          <cell r="Y93" t="e">
            <v>#N/A</v>
          </cell>
          <cell r="Z93" t="e">
            <v>#N/A</v>
          </cell>
          <cell r="AA93" t="e">
            <v>#N/A</v>
          </cell>
          <cell r="AB93" t="e">
            <v>#N/A</v>
          </cell>
          <cell r="AC93" t="e">
            <v>#N/A</v>
          </cell>
        </row>
        <row r="94">
          <cell r="A94" t="str">
            <v>ACADCPR04</v>
          </cell>
          <cell r="B94">
            <v>17.600000000000001</v>
          </cell>
          <cell r="C94">
            <v>31.51</v>
          </cell>
          <cell r="D94">
            <v>39.299999999999997</v>
          </cell>
          <cell r="E94">
            <v>29.42</v>
          </cell>
          <cell r="F94">
            <v>32.93</v>
          </cell>
          <cell r="G94">
            <v>28.68</v>
          </cell>
          <cell r="H94">
            <v>27.26</v>
          </cell>
          <cell r="I94">
            <v>23.74</v>
          </cell>
          <cell r="J94">
            <v>24.58</v>
          </cell>
          <cell r="K94">
            <v>20.28</v>
          </cell>
          <cell r="L94">
            <v>18.96</v>
          </cell>
          <cell r="M94">
            <v>18.190000000000001</v>
          </cell>
          <cell r="N94">
            <v>18.5</v>
          </cell>
          <cell r="O94">
            <v>20.79</v>
          </cell>
          <cell r="P94">
            <v>23.2</v>
          </cell>
          <cell r="Q94">
            <v>24.82</v>
          </cell>
          <cell r="R94">
            <v>23.09</v>
          </cell>
          <cell r="S94">
            <v>23.89</v>
          </cell>
          <cell r="T94">
            <v>22.06</v>
          </cell>
          <cell r="U94">
            <v>21.68</v>
          </cell>
          <cell r="V94">
            <v>22.68</v>
          </cell>
          <cell r="W94">
            <v>22.84</v>
          </cell>
          <cell r="X94">
            <v>23.1</v>
          </cell>
          <cell r="Y94">
            <v>22.1</v>
          </cell>
          <cell r="Z94">
            <v>34.380000000000003</v>
          </cell>
          <cell r="AA94">
            <v>43.13</v>
          </cell>
          <cell r="AB94">
            <v>41.86</v>
          </cell>
          <cell r="AC94">
            <v>39.92</v>
          </cell>
        </row>
        <row r="95">
          <cell r="A95" t="str">
            <v>ACADCPR04_CLONE_XIV</v>
          </cell>
          <cell r="B95">
            <v>0</v>
          </cell>
          <cell r="C95">
            <v>0</v>
          </cell>
          <cell r="D95">
            <v>0</v>
          </cell>
          <cell r="E95">
            <v>17.75</v>
          </cell>
          <cell r="F95">
            <v>19.809999999999999</v>
          </cell>
          <cell r="G95">
            <v>17.75</v>
          </cell>
          <cell r="H95">
            <v>18.59</v>
          </cell>
          <cell r="I95">
            <v>0</v>
          </cell>
          <cell r="J95">
            <v>0</v>
          </cell>
          <cell r="K95">
            <v>18.62</v>
          </cell>
          <cell r="L95">
            <v>19.64</v>
          </cell>
          <cell r="M95">
            <v>19.23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 t="e">
            <v>#N/A</v>
          </cell>
          <cell r="S95">
            <v>0</v>
          </cell>
          <cell r="T95" t="e">
            <v>#N/A</v>
          </cell>
          <cell r="U95" t="e">
            <v>#N/A</v>
          </cell>
          <cell r="V95" t="e">
            <v>#N/A</v>
          </cell>
          <cell r="W95" t="e">
            <v>#N/A</v>
          </cell>
          <cell r="X95" t="e">
            <v>#N/A</v>
          </cell>
          <cell r="Y95" t="e">
            <v>#N/A</v>
          </cell>
          <cell r="Z95" t="e">
            <v>#N/A</v>
          </cell>
          <cell r="AA95" t="e">
            <v>#N/A</v>
          </cell>
          <cell r="AB95" t="e">
            <v>#N/A</v>
          </cell>
          <cell r="AC95" t="e">
            <v>#N/A</v>
          </cell>
        </row>
        <row r="96">
          <cell r="A96" t="str">
            <v>ACADCPR05</v>
          </cell>
          <cell r="B96">
            <v>44.95</v>
          </cell>
          <cell r="C96">
            <v>44.47</v>
          </cell>
          <cell r="D96">
            <v>43.18</v>
          </cell>
          <cell r="E96">
            <v>42.11</v>
          </cell>
          <cell r="F96">
            <v>39</v>
          </cell>
          <cell r="G96">
            <v>36.880000000000003</v>
          </cell>
          <cell r="H96">
            <v>35.22</v>
          </cell>
          <cell r="I96">
            <v>35.74</v>
          </cell>
          <cell r="J96">
            <v>35.58</v>
          </cell>
          <cell r="K96">
            <v>36.28</v>
          </cell>
          <cell r="L96">
            <v>36.380000000000003</v>
          </cell>
          <cell r="M96">
            <v>39.24</v>
          </cell>
          <cell r="N96">
            <v>43.8</v>
          </cell>
          <cell r="O96">
            <v>49.4</v>
          </cell>
          <cell r="P96">
            <v>45.65</v>
          </cell>
          <cell r="Q96">
            <v>41.69</v>
          </cell>
          <cell r="R96">
            <v>38.24</v>
          </cell>
          <cell r="S96">
            <v>34.54</v>
          </cell>
          <cell r="T96">
            <v>35.130000000000003</v>
          </cell>
          <cell r="U96">
            <v>36.630000000000003</v>
          </cell>
          <cell r="V96">
            <v>38.15</v>
          </cell>
          <cell r="W96">
            <v>33.04</v>
          </cell>
          <cell r="X96">
            <v>34.369999999999997</v>
          </cell>
          <cell r="Y96">
            <v>34.869999999999997</v>
          </cell>
          <cell r="Z96">
            <v>41.06</v>
          </cell>
          <cell r="AA96">
            <v>46.08</v>
          </cell>
          <cell r="AB96">
            <v>42.37</v>
          </cell>
          <cell r="AC96">
            <v>44.36</v>
          </cell>
        </row>
        <row r="97">
          <cell r="A97" t="str">
            <v>ACADCPR06</v>
          </cell>
          <cell r="B97">
            <v>36.090000000000003</v>
          </cell>
          <cell r="C97">
            <v>36.5</v>
          </cell>
          <cell r="D97">
            <v>32.090000000000003</v>
          </cell>
          <cell r="E97">
            <v>31.83</v>
          </cell>
          <cell r="F97">
            <v>33.86</v>
          </cell>
          <cell r="G97">
            <v>34.29</v>
          </cell>
          <cell r="H97">
            <v>33.79</v>
          </cell>
          <cell r="I97">
            <v>39.880000000000003</v>
          </cell>
          <cell r="J97">
            <v>40.380000000000003</v>
          </cell>
          <cell r="K97">
            <v>27.13</v>
          </cell>
          <cell r="L97">
            <v>112.3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 t="e">
            <v>#N/A</v>
          </cell>
          <cell r="S97">
            <v>0</v>
          </cell>
          <cell r="T97" t="e">
            <v>#N/A</v>
          </cell>
          <cell r="U97" t="e">
            <v>#N/A</v>
          </cell>
          <cell r="V97" t="e">
            <v>#N/A</v>
          </cell>
          <cell r="W97" t="e">
            <v>#N/A</v>
          </cell>
          <cell r="X97" t="e">
            <v>#N/A</v>
          </cell>
          <cell r="Y97" t="e">
            <v>#N/A</v>
          </cell>
          <cell r="Z97" t="e">
            <v>#N/A</v>
          </cell>
          <cell r="AA97" t="e">
            <v>#N/A</v>
          </cell>
          <cell r="AB97" t="e">
            <v>#N/A</v>
          </cell>
          <cell r="AC97" t="e">
            <v>#N/A</v>
          </cell>
        </row>
        <row r="98">
          <cell r="A98" t="str">
            <v>ACADCPR06_CLONE</v>
          </cell>
          <cell r="B98">
            <v>0</v>
          </cell>
          <cell r="C98">
            <v>0</v>
          </cell>
          <cell r="D98">
            <v>23.59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 t="e">
            <v>#N/A</v>
          </cell>
          <cell r="S98">
            <v>0</v>
          </cell>
          <cell r="T98" t="e">
            <v>#N/A</v>
          </cell>
          <cell r="U98" t="e">
            <v>#N/A</v>
          </cell>
          <cell r="V98" t="e">
            <v>#N/A</v>
          </cell>
          <cell r="W98" t="e">
            <v>#N/A</v>
          </cell>
          <cell r="X98" t="e">
            <v>#N/A</v>
          </cell>
          <cell r="Y98" t="e">
            <v>#N/A</v>
          </cell>
          <cell r="Z98" t="e">
            <v>#N/A</v>
          </cell>
          <cell r="AA98" t="e">
            <v>#N/A</v>
          </cell>
          <cell r="AB98" t="e">
            <v>#N/A</v>
          </cell>
          <cell r="AC98" t="e">
            <v>#N/A</v>
          </cell>
        </row>
        <row r="99">
          <cell r="A99" t="str">
            <v>ACADCPR06_CLONE_BL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31.91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 t="e">
            <v>#N/A</v>
          </cell>
          <cell r="S99">
            <v>0</v>
          </cell>
          <cell r="T99" t="e">
            <v>#N/A</v>
          </cell>
          <cell r="U99" t="e">
            <v>#N/A</v>
          </cell>
          <cell r="V99" t="e">
            <v>#N/A</v>
          </cell>
          <cell r="W99" t="e">
            <v>#N/A</v>
          </cell>
          <cell r="X99" t="e">
            <v>#N/A</v>
          </cell>
          <cell r="Y99" t="e">
            <v>#N/A</v>
          </cell>
          <cell r="Z99" t="e">
            <v>#N/A</v>
          </cell>
          <cell r="AA99" t="e">
            <v>#N/A</v>
          </cell>
          <cell r="AB99" t="e">
            <v>#N/A</v>
          </cell>
          <cell r="AC99" t="e">
            <v>#N/A</v>
          </cell>
        </row>
        <row r="100">
          <cell r="A100" t="str">
            <v>ACADCPR08</v>
          </cell>
          <cell r="B100">
            <v>17.05</v>
          </cell>
          <cell r="C100">
            <v>17.79</v>
          </cell>
          <cell r="D100">
            <v>16.96</v>
          </cell>
          <cell r="E100">
            <v>16.84</v>
          </cell>
          <cell r="F100">
            <v>16.11</v>
          </cell>
          <cell r="G100">
            <v>17.149999999999999</v>
          </cell>
          <cell r="H100">
            <v>17.97</v>
          </cell>
          <cell r="I100">
            <v>16.84</v>
          </cell>
          <cell r="J100">
            <v>17.260000000000002</v>
          </cell>
          <cell r="K100">
            <v>33.840000000000003</v>
          </cell>
          <cell r="L100">
            <v>19.05</v>
          </cell>
          <cell r="M100">
            <v>20.010000000000002</v>
          </cell>
          <cell r="N100">
            <v>19.61</v>
          </cell>
          <cell r="O100">
            <v>18.420000000000002</v>
          </cell>
          <cell r="P100">
            <v>14.56</v>
          </cell>
          <cell r="Q100">
            <v>15.03</v>
          </cell>
          <cell r="R100">
            <v>15.61</v>
          </cell>
          <cell r="S100">
            <v>17.12</v>
          </cell>
          <cell r="T100">
            <v>17.89</v>
          </cell>
          <cell r="U100" t="e">
            <v>#N/A</v>
          </cell>
          <cell r="V100">
            <v>16.5</v>
          </cell>
          <cell r="W100" t="e">
            <v>#N/A</v>
          </cell>
          <cell r="X100" t="e">
            <v>#N/A</v>
          </cell>
          <cell r="Y100" t="e">
            <v>#N/A</v>
          </cell>
          <cell r="Z100" t="e">
            <v>#N/A</v>
          </cell>
          <cell r="AA100" t="e">
            <v>#N/A</v>
          </cell>
          <cell r="AB100" t="e">
            <v>#N/A</v>
          </cell>
          <cell r="AC100" t="e">
            <v>#N/A</v>
          </cell>
        </row>
        <row r="101">
          <cell r="A101" t="str">
            <v>ACADCPR08_CLONE_XIV</v>
          </cell>
          <cell r="B101">
            <v>18.8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18.899999999999999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 t="e">
            <v>#N/A</v>
          </cell>
          <cell r="S101">
            <v>0</v>
          </cell>
          <cell r="T101" t="e">
            <v>#N/A</v>
          </cell>
          <cell r="U101" t="e">
            <v>#N/A</v>
          </cell>
          <cell r="V101" t="e">
            <v>#N/A</v>
          </cell>
          <cell r="W101" t="e">
            <v>#N/A</v>
          </cell>
          <cell r="X101" t="e">
            <v>#N/A</v>
          </cell>
          <cell r="Y101" t="e">
            <v>#N/A</v>
          </cell>
          <cell r="Z101" t="e">
            <v>#N/A</v>
          </cell>
          <cell r="AA101" t="e">
            <v>#N/A</v>
          </cell>
          <cell r="AB101" t="e">
            <v>#N/A</v>
          </cell>
          <cell r="AC101" t="e">
            <v>#N/A</v>
          </cell>
        </row>
        <row r="102">
          <cell r="A102" t="str">
            <v>ACADCPR08_DS4800</v>
          </cell>
          <cell r="B102">
            <v>15.34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 t="e">
            <v>#N/A</v>
          </cell>
          <cell r="S102">
            <v>0</v>
          </cell>
          <cell r="T102" t="e">
            <v>#N/A</v>
          </cell>
          <cell r="U102" t="e">
            <v>#N/A</v>
          </cell>
          <cell r="V102" t="e">
            <v>#N/A</v>
          </cell>
          <cell r="W102" t="e">
            <v>#N/A</v>
          </cell>
          <cell r="X102" t="e">
            <v>#N/A</v>
          </cell>
          <cell r="Y102" t="e">
            <v>#N/A</v>
          </cell>
          <cell r="Z102" t="e">
            <v>#N/A</v>
          </cell>
          <cell r="AA102" t="e">
            <v>#N/A</v>
          </cell>
          <cell r="AB102" t="e">
            <v>#N/A</v>
          </cell>
          <cell r="AC102" t="e">
            <v>#N/A</v>
          </cell>
        </row>
        <row r="103">
          <cell r="A103" t="str">
            <v>ACADCPR09</v>
          </cell>
          <cell r="B103">
            <v>28.92</v>
          </cell>
          <cell r="C103">
            <v>19.46</v>
          </cell>
          <cell r="D103">
            <v>0</v>
          </cell>
          <cell r="E103">
            <v>0</v>
          </cell>
          <cell r="F103">
            <v>43.38</v>
          </cell>
          <cell r="G103">
            <v>21.89</v>
          </cell>
          <cell r="H103">
            <v>26.79</v>
          </cell>
          <cell r="I103">
            <v>30.36</v>
          </cell>
          <cell r="J103">
            <v>27.61</v>
          </cell>
          <cell r="K103">
            <v>26.97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 t="e">
            <v>#N/A</v>
          </cell>
          <cell r="S103">
            <v>0</v>
          </cell>
          <cell r="T103" t="e">
            <v>#N/A</v>
          </cell>
          <cell r="U103" t="e">
            <v>#N/A</v>
          </cell>
          <cell r="V103">
            <v>41.69</v>
          </cell>
          <cell r="W103">
            <v>40.130000000000003</v>
          </cell>
          <cell r="X103" t="e">
            <v>#N/A</v>
          </cell>
          <cell r="Y103" t="e">
            <v>#N/A</v>
          </cell>
          <cell r="Z103" t="e">
            <v>#N/A</v>
          </cell>
          <cell r="AA103" t="e">
            <v>#N/A</v>
          </cell>
          <cell r="AB103" t="e">
            <v>#N/A</v>
          </cell>
          <cell r="AC103" t="e">
            <v>#N/A</v>
          </cell>
        </row>
        <row r="104">
          <cell r="A104" t="str">
            <v>ACADCPR12</v>
          </cell>
          <cell r="B104">
            <v>14.85</v>
          </cell>
          <cell r="C104">
            <v>17.100000000000001</v>
          </cell>
          <cell r="D104">
            <v>17.79</v>
          </cell>
          <cell r="E104">
            <v>20.63</v>
          </cell>
          <cell r="F104">
            <v>16.61</v>
          </cell>
          <cell r="G104">
            <v>16.309999999999999</v>
          </cell>
          <cell r="H104">
            <v>23.71</v>
          </cell>
          <cell r="I104">
            <v>23.12</v>
          </cell>
          <cell r="J104">
            <v>24.74</v>
          </cell>
          <cell r="K104">
            <v>27.73</v>
          </cell>
          <cell r="L104">
            <v>31.66</v>
          </cell>
          <cell r="M104">
            <v>28.33</v>
          </cell>
          <cell r="N104">
            <v>29.01</v>
          </cell>
          <cell r="O104">
            <v>42.08</v>
          </cell>
          <cell r="P104">
            <v>46.9</v>
          </cell>
          <cell r="Q104">
            <v>39.29</v>
          </cell>
          <cell r="R104">
            <v>48.19</v>
          </cell>
          <cell r="S104">
            <v>52.62</v>
          </cell>
          <cell r="T104">
            <v>52.04</v>
          </cell>
          <cell r="U104">
            <v>67.87</v>
          </cell>
          <cell r="V104">
            <v>56.55</v>
          </cell>
          <cell r="W104">
            <v>52.48</v>
          </cell>
          <cell r="X104">
            <v>56.46</v>
          </cell>
          <cell r="Y104">
            <v>56.89</v>
          </cell>
          <cell r="Z104">
            <v>67.2</v>
          </cell>
          <cell r="AA104">
            <v>82.66</v>
          </cell>
          <cell r="AB104">
            <v>82.21</v>
          </cell>
          <cell r="AC104">
            <v>83.21</v>
          </cell>
        </row>
        <row r="105">
          <cell r="A105" t="str">
            <v>ACADCPR12_CLONE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84.54</v>
          </cell>
          <cell r="O105">
            <v>0</v>
          </cell>
          <cell r="P105">
            <v>0</v>
          </cell>
          <cell r="Q105">
            <v>0</v>
          </cell>
          <cell r="R105" t="e">
            <v>#N/A</v>
          </cell>
          <cell r="S105">
            <v>0</v>
          </cell>
          <cell r="T105" t="e">
            <v>#N/A</v>
          </cell>
          <cell r="U105" t="e">
            <v>#N/A</v>
          </cell>
          <cell r="V105" t="e">
            <v>#N/A</v>
          </cell>
          <cell r="W105" t="e">
            <v>#N/A</v>
          </cell>
          <cell r="X105" t="e">
            <v>#N/A</v>
          </cell>
          <cell r="Y105" t="e">
            <v>#N/A</v>
          </cell>
          <cell r="Z105" t="e">
            <v>#N/A</v>
          </cell>
          <cell r="AA105" t="e">
            <v>#N/A</v>
          </cell>
          <cell r="AB105" t="e">
            <v>#N/A</v>
          </cell>
          <cell r="AC105" t="e">
            <v>#N/A</v>
          </cell>
        </row>
        <row r="106">
          <cell r="A106" t="str">
            <v>ACADCPR14</v>
          </cell>
          <cell r="B106">
            <v>18.66</v>
          </cell>
          <cell r="C106">
            <v>22.51</v>
          </cell>
          <cell r="D106">
            <v>26.05</v>
          </cell>
          <cell r="E106">
            <v>25</v>
          </cell>
          <cell r="F106">
            <v>24.6</v>
          </cell>
          <cell r="G106">
            <v>26.66</v>
          </cell>
          <cell r="H106">
            <v>28.97</v>
          </cell>
          <cell r="I106">
            <v>26.98</v>
          </cell>
          <cell r="J106">
            <v>25.1</v>
          </cell>
          <cell r="K106">
            <v>26.14</v>
          </cell>
          <cell r="L106">
            <v>30.12</v>
          </cell>
          <cell r="M106">
            <v>28.77</v>
          </cell>
          <cell r="N106">
            <v>30.65</v>
          </cell>
          <cell r="O106">
            <v>30.25</v>
          </cell>
          <cell r="P106">
            <v>32.369999999999997</v>
          </cell>
          <cell r="Q106">
            <v>28.97</v>
          </cell>
          <cell r="R106">
            <v>30.23</v>
          </cell>
          <cell r="S106">
            <v>31.23</v>
          </cell>
          <cell r="T106">
            <v>31.55</v>
          </cell>
          <cell r="U106">
            <v>31.81</v>
          </cell>
          <cell r="V106">
            <v>33.869999999999997</v>
          </cell>
          <cell r="W106">
            <v>31.85</v>
          </cell>
          <cell r="X106">
            <v>30.56</v>
          </cell>
          <cell r="Y106">
            <v>29.99</v>
          </cell>
          <cell r="Z106">
            <v>26</v>
          </cell>
          <cell r="AA106">
            <v>40.270000000000003</v>
          </cell>
          <cell r="AB106">
            <v>38.75</v>
          </cell>
          <cell r="AC106">
            <v>40.64</v>
          </cell>
        </row>
        <row r="107">
          <cell r="A107" t="str">
            <v>ACADCPR15</v>
          </cell>
          <cell r="B107">
            <v>13.5</v>
          </cell>
          <cell r="C107">
            <v>15.79</v>
          </cell>
          <cell r="D107">
            <v>14.78</v>
          </cell>
          <cell r="E107">
            <v>17.989999999999998</v>
          </cell>
          <cell r="F107">
            <v>15.98</v>
          </cell>
          <cell r="G107">
            <v>14.25</v>
          </cell>
          <cell r="H107">
            <v>13.86</v>
          </cell>
          <cell r="I107">
            <v>20.61</v>
          </cell>
          <cell r="J107">
            <v>37.1</v>
          </cell>
          <cell r="K107">
            <v>39.1</v>
          </cell>
          <cell r="L107">
            <v>45.07</v>
          </cell>
          <cell r="M107">
            <v>48.67</v>
          </cell>
          <cell r="N107">
            <v>63.79</v>
          </cell>
          <cell r="O107">
            <v>63.29</v>
          </cell>
          <cell r="P107">
            <v>54.53</v>
          </cell>
          <cell r="Q107">
            <v>45.21</v>
          </cell>
          <cell r="R107">
            <v>55.86</v>
          </cell>
          <cell r="S107">
            <v>59.88</v>
          </cell>
          <cell r="T107">
            <v>53.92</v>
          </cell>
          <cell r="U107">
            <v>74.989999999999995</v>
          </cell>
          <cell r="V107">
            <v>79.37</v>
          </cell>
          <cell r="W107">
            <v>75.05</v>
          </cell>
          <cell r="X107">
            <v>80.099999999999994</v>
          </cell>
          <cell r="Y107">
            <v>78.489999999999995</v>
          </cell>
          <cell r="Z107">
            <v>81.83</v>
          </cell>
          <cell r="AA107">
            <v>73.959999999999994</v>
          </cell>
          <cell r="AB107">
            <v>63.11</v>
          </cell>
          <cell r="AC107" t="e">
            <v>#N/A</v>
          </cell>
        </row>
        <row r="108">
          <cell r="A108" t="str">
            <v>ACADCPR15_PARCHE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6.54</v>
          </cell>
          <cell r="L108">
            <v>6.86</v>
          </cell>
          <cell r="M108">
            <v>7.2</v>
          </cell>
          <cell r="N108">
            <v>7.45</v>
          </cell>
          <cell r="O108">
            <v>7.29</v>
          </cell>
          <cell r="P108">
            <v>7.21</v>
          </cell>
          <cell r="Q108">
            <v>0</v>
          </cell>
          <cell r="R108" t="e">
            <v>#N/A</v>
          </cell>
          <cell r="S108">
            <v>0</v>
          </cell>
          <cell r="T108" t="e">
            <v>#N/A</v>
          </cell>
          <cell r="U108" t="e">
            <v>#N/A</v>
          </cell>
          <cell r="V108" t="e">
            <v>#N/A</v>
          </cell>
          <cell r="W108" t="e">
            <v>#N/A</v>
          </cell>
          <cell r="X108" t="e">
            <v>#N/A</v>
          </cell>
          <cell r="Y108" t="e">
            <v>#N/A</v>
          </cell>
          <cell r="Z108" t="e">
            <v>#N/A</v>
          </cell>
          <cell r="AA108" t="e">
            <v>#N/A</v>
          </cell>
          <cell r="AB108" t="e">
            <v>#N/A</v>
          </cell>
          <cell r="AC108" t="e">
            <v>#N/A</v>
          </cell>
        </row>
        <row r="109">
          <cell r="A109" t="str">
            <v>ACADCPR16</v>
          </cell>
          <cell r="B109">
            <v>24.24</v>
          </cell>
          <cell r="C109">
            <v>25.29</v>
          </cell>
          <cell r="D109">
            <v>25.45</v>
          </cell>
          <cell r="E109">
            <v>26.95</v>
          </cell>
          <cell r="F109">
            <v>24.54</v>
          </cell>
          <cell r="G109">
            <v>23.61</v>
          </cell>
          <cell r="H109">
            <v>44.49</v>
          </cell>
          <cell r="I109">
            <v>0</v>
          </cell>
          <cell r="J109">
            <v>38.56</v>
          </cell>
          <cell r="K109">
            <v>0</v>
          </cell>
          <cell r="L109">
            <v>44.54</v>
          </cell>
          <cell r="M109">
            <v>32.47</v>
          </cell>
          <cell r="N109">
            <v>35.19</v>
          </cell>
          <cell r="O109">
            <v>32.53</v>
          </cell>
          <cell r="P109">
            <v>28.82</v>
          </cell>
          <cell r="Q109">
            <v>26.32</v>
          </cell>
          <cell r="R109">
            <v>28.5</v>
          </cell>
          <cell r="S109">
            <v>34.049999999999997</v>
          </cell>
          <cell r="T109">
            <v>33.78</v>
          </cell>
          <cell r="U109">
            <v>26.91</v>
          </cell>
          <cell r="V109">
            <v>36.28</v>
          </cell>
          <cell r="W109">
            <v>66.680000000000007</v>
          </cell>
          <cell r="X109">
            <v>29.46</v>
          </cell>
          <cell r="Y109">
            <v>40.43</v>
          </cell>
          <cell r="Z109">
            <v>46.72</v>
          </cell>
          <cell r="AA109">
            <v>73.790000000000006</v>
          </cell>
          <cell r="AB109">
            <v>79.02</v>
          </cell>
          <cell r="AC109">
            <v>79.05</v>
          </cell>
        </row>
        <row r="110">
          <cell r="A110" t="str">
            <v>ACADCPR18</v>
          </cell>
          <cell r="B110">
            <v>4.87</v>
          </cell>
          <cell r="C110">
            <v>4.2300000000000004</v>
          </cell>
          <cell r="D110">
            <v>4.96</v>
          </cell>
          <cell r="E110">
            <v>5.0599999999999996</v>
          </cell>
          <cell r="F110">
            <v>5.0599999999999996</v>
          </cell>
          <cell r="G110">
            <v>14.91</v>
          </cell>
          <cell r="H110">
            <v>5.19</v>
          </cell>
          <cell r="I110">
            <v>6.77</v>
          </cell>
          <cell r="J110">
            <v>7.82</v>
          </cell>
          <cell r="K110">
            <v>4.3600000000000003</v>
          </cell>
          <cell r="L110">
            <v>4.2300000000000004</v>
          </cell>
          <cell r="M110">
            <v>3.93</v>
          </cell>
          <cell r="N110">
            <v>7.34</v>
          </cell>
          <cell r="O110">
            <v>17.78</v>
          </cell>
          <cell r="P110">
            <v>19.14</v>
          </cell>
          <cell r="Q110">
            <v>20.51</v>
          </cell>
          <cell r="R110">
            <v>38.96</v>
          </cell>
          <cell r="S110">
            <v>39.11</v>
          </cell>
          <cell r="T110">
            <v>39.11</v>
          </cell>
          <cell r="U110">
            <v>38.85</v>
          </cell>
          <cell r="V110">
            <v>42.23</v>
          </cell>
          <cell r="W110">
            <v>23.62</v>
          </cell>
          <cell r="X110">
            <v>28.27</v>
          </cell>
          <cell r="Y110">
            <v>29.62</v>
          </cell>
          <cell r="Z110">
            <v>30.28</v>
          </cell>
          <cell r="AA110">
            <v>28.93</v>
          </cell>
          <cell r="AB110">
            <v>27.64</v>
          </cell>
          <cell r="AC110">
            <v>29.58</v>
          </cell>
        </row>
        <row r="111">
          <cell r="A111" t="str">
            <v>ACADCPR20</v>
          </cell>
          <cell r="B111">
            <v>14.5</v>
          </cell>
          <cell r="C111">
            <v>15.98</v>
          </cell>
          <cell r="D111">
            <v>16.329999999999998</v>
          </cell>
          <cell r="E111">
            <v>15.26</v>
          </cell>
          <cell r="F111">
            <v>17.72</v>
          </cell>
          <cell r="G111">
            <v>16.809999999999999</v>
          </cell>
          <cell r="H111">
            <v>0</v>
          </cell>
          <cell r="I111">
            <v>0</v>
          </cell>
          <cell r="J111">
            <v>16.54</v>
          </cell>
          <cell r="K111">
            <v>16.45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 t="e">
            <v>#N/A</v>
          </cell>
          <cell r="S111">
            <v>11.74</v>
          </cell>
          <cell r="T111">
            <v>19.399999999999999</v>
          </cell>
          <cell r="U111">
            <v>22.63</v>
          </cell>
          <cell r="V111">
            <v>21.79</v>
          </cell>
          <cell r="W111">
            <v>23.14</v>
          </cell>
          <cell r="X111">
            <v>31.64</v>
          </cell>
          <cell r="Y111">
            <v>41.49</v>
          </cell>
          <cell r="Z111">
            <v>36.1</v>
          </cell>
          <cell r="AA111">
            <v>58.6</v>
          </cell>
          <cell r="AB111">
            <v>62.33</v>
          </cell>
          <cell r="AC111">
            <v>59.76</v>
          </cell>
        </row>
        <row r="112">
          <cell r="A112" t="str">
            <v>ACADCPR21</v>
          </cell>
          <cell r="B112">
            <v>12.35</v>
          </cell>
          <cell r="C112">
            <v>10.87</v>
          </cell>
          <cell r="D112">
            <v>11.55</v>
          </cell>
          <cell r="E112">
            <v>15.4</v>
          </cell>
          <cell r="F112">
            <v>16.63</v>
          </cell>
          <cell r="G112">
            <v>13.9</v>
          </cell>
          <cell r="H112">
            <v>0</v>
          </cell>
          <cell r="I112">
            <v>0</v>
          </cell>
          <cell r="J112">
            <v>15.56</v>
          </cell>
          <cell r="K112">
            <v>14.99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 t="e">
            <v>#N/A</v>
          </cell>
          <cell r="S112">
            <v>11.1</v>
          </cell>
          <cell r="T112">
            <v>18.399999999999999</v>
          </cell>
          <cell r="U112">
            <v>21.07</v>
          </cell>
          <cell r="V112">
            <v>20.21</v>
          </cell>
          <cell r="W112">
            <v>22.54</v>
          </cell>
          <cell r="X112">
            <v>31.34</v>
          </cell>
          <cell r="Y112">
            <v>40.04</v>
          </cell>
          <cell r="Z112">
            <v>40.770000000000003</v>
          </cell>
          <cell r="AA112">
            <v>58.73</v>
          </cell>
          <cell r="AB112">
            <v>61.93</v>
          </cell>
          <cell r="AC112">
            <v>60.81</v>
          </cell>
        </row>
        <row r="113">
          <cell r="A113" t="str">
            <v>ACADCPR22</v>
          </cell>
          <cell r="B113">
            <v>10.11</v>
          </cell>
          <cell r="C113">
            <v>9.99</v>
          </cell>
          <cell r="D113">
            <v>13.31</v>
          </cell>
          <cell r="E113">
            <v>0</v>
          </cell>
          <cell r="F113">
            <v>0</v>
          </cell>
          <cell r="G113">
            <v>6.56</v>
          </cell>
          <cell r="H113">
            <v>8.3000000000000007</v>
          </cell>
          <cell r="I113">
            <v>8.83</v>
          </cell>
          <cell r="J113">
            <v>9.75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 t="e">
            <v>#N/A</v>
          </cell>
          <cell r="S113">
            <v>0</v>
          </cell>
          <cell r="T113" t="e">
            <v>#N/A</v>
          </cell>
          <cell r="U113" t="e">
            <v>#N/A</v>
          </cell>
          <cell r="V113" t="e">
            <v>#N/A</v>
          </cell>
          <cell r="W113" t="e">
            <v>#N/A</v>
          </cell>
          <cell r="X113" t="e">
            <v>#N/A</v>
          </cell>
          <cell r="Y113" t="e">
            <v>#N/A</v>
          </cell>
          <cell r="Z113" t="e">
            <v>#N/A</v>
          </cell>
          <cell r="AA113" t="e">
            <v>#N/A</v>
          </cell>
          <cell r="AB113" t="e">
            <v>#N/A</v>
          </cell>
          <cell r="AC113" t="e">
            <v>#N/A</v>
          </cell>
        </row>
        <row r="114">
          <cell r="A114" t="str">
            <v>ACADCPR23</v>
          </cell>
          <cell r="B114">
            <v>7.28</v>
          </cell>
          <cell r="C114">
            <v>8.08</v>
          </cell>
          <cell r="D114">
            <v>12.19</v>
          </cell>
          <cell r="E114">
            <v>0</v>
          </cell>
          <cell r="F114">
            <v>0</v>
          </cell>
          <cell r="G114">
            <v>9.5</v>
          </cell>
          <cell r="H114">
            <v>9.1</v>
          </cell>
          <cell r="I114">
            <v>9.65</v>
          </cell>
          <cell r="J114">
            <v>10.14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 t="e">
            <v>#N/A</v>
          </cell>
          <cell r="S114">
            <v>0</v>
          </cell>
          <cell r="T114" t="e">
            <v>#N/A</v>
          </cell>
          <cell r="U114" t="e">
            <v>#N/A</v>
          </cell>
          <cell r="V114" t="e">
            <v>#N/A</v>
          </cell>
          <cell r="W114" t="e">
            <v>#N/A</v>
          </cell>
          <cell r="X114" t="e">
            <v>#N/A</v>
          </cell>
          <cell r="Y114" t="e">
            <v>#N/A</v>
          </cell>
          <cell r="Z114" t="e">
            <v>#N/A</v>
          </cell>
          <cell r="AA114" t="e">
            <v>#N/A</v>
          </cell>
          <cell r="AB114" t="e">
            <v>#N/A</v>
          </cell>
          <cell r="AC114" t="e">
            <v>#N/A</v>
          </cell>
        </row>
        <row r="115">
          <cell r="A115" t="str">
            <v>ACADCPR24</v>
          </cell>
          <cell r="B115">
            <v>17.79</v>
          </cell>
          <cell r="C115">
            <v>10.63</v>
          </cell>
          <cell r="D115">
            <v>20.97</v>
          </cell>
          <cell r="E115">
            <v>25.35</v>
          </cell>
          <cell r="F115">
            <v>29.87</v>
          </cell>
          <cell r="G115">
            <v>38.32</v>
          </cell>
          <cell r="H115">
            <v>73.38</v>
          </cell>
          <cell r="I115">
            <v>75.900000000000006</v>
          </cell>
          <cell r="J115">
            <v>75.17</v>
          </cell>
          <cell r="K115">
            <v>69.459999999999994</v>
          </cell>
          <cell r="L115">
            <v>62.01</v>
          </cell>
          <cell r="M115">
            <v>70.930000000000007</v>
          </cell>
          <cell r="N115">
            <v>64.819999999999993</v>
          </cell>
          <cell r="O115">
            <v>53.21</v>
          </cell>
          <cell r="P115">
            <v>27.91</v>
          </cell>
          <cell r="Q115">
            <v>29.98</v>
          </cell>
          <cell r="R115">
            <v>30.22</v>
          </cell>
          <cell r="S115">
            <v>44.74</v>
          </cell>
          <cell r="T115">
            <v>50.89</v>
          </cell>
          <cell r="U115">
            <v>57.63</v>
          </cell>
          <cell r="V115">
            <v>70.989999999999995</v>
          </cell>
          <cell r="W115">
            <v>51.99</v>
          </cell>
          <cell r="X115">
            <v>63.53</v>
          </cell>
          <cell r="Y115">
            <v>65.599999999999994</v>
          </cell>
          <cell r="Z115">
            <v>46.97</v>
          </cell>
          <cell r="AA115">
            <v>52.65</v>
          </cell>
          <cell r="AB115">
            <v>65.89</v>
          </cell>
          <cell r="AC115">
            <v>78.239999999999995</v>
          </cell>
        </row>
        <row r="116">
          <cell r="A116" t="str">
            <v>ACADCPR25</v>
          </cell>
          <cell r="B116">
            <v>10.75</v>
          </cell>
          <cell r="C116">
            <v>14</v>
          </cell>
          <cell r="D116">
            <v>19.78</v>
          </cell>
          <cell r="E116">
            <v>23.32</v>
          </cell>
          <cell r="F116">
            <v>15.58</v>
          </cell>
          <cell r="G116">
            <v>36.520000000000003</v>
          </cell>
          <cell r="H116">
            <v>67.97</v>
          </cell>
          <cell r="I116">
            <v>57.58</v>
          </cell>
          <cell r="J116">
            <v>77.209999999999994</v>
          </cell>
          <cell r="K116">
            <v>76.180000000000007</v>
          </cell>
          <cell r="L116">
            <v>76.16</v>
          </cell>
          <cell r="M116">
            <v>61.05</v>
          </cell>
          <cell r="N116">
            <v>53.93</v>
          </cell>
          <cell r="O116">
            <v>58.98</v>
          </cell>
          <cell r="P116">
            <v>35.93</v>
          </cell>
          <cell r="Q116">
            <v>56.59</v>
          </cell>
          <cell r="R116">
            <v>64.5</v>
          </cell>
          <cell r="S116">
            <v>59.35</v>
          </cell>
          <cell r="T116">
            <v>43.22</v>
          </cell>
          <cell r="U116">
            <v>41.46</v>
          </cell>
          <cell r="V116">
            <v>64.099999999999994</v>
          </cell>
          <cell r="W116">
            <v>57.8</v>
          </cell>
          <cell r="X116">
            <v>70.430000000000007</v>
          </cell>
          <cell r="Y116">
            <v>80.56</v>
          </cell>
          <cell r="Z116">
            <v>81.77</v>
          </cell>
          <cell r="AA116">
            <v>70.17</v>
          </cell>
          <cell r="AB116">
            <v>70.25</v>
          </cell>
          <cell r="AC116">
            <v>81</v>
          </cell>
        </row>
        <row r="117">
          <cell r="A117" t="str">
            <v>ACADCPR26</v>
          </cell>
          <cell r="B117">
            <v>28.67</v>
          </cell>
          <cell r="C117">
            <v>30.43</v>
          </cell>
          <cell r="D117">
            <v>28.75</v>
          </cell>
          <cell r="E117">
            <v>29.74</v>
          </cell>
          <cell r="F117">
            <v>29.37</v>
          </cell>
          <cell r="G117">
            <v>39.6</v>
          </cell>
          <cell r="H117">
            <v>48.31</v>
          </cell>
          <cell r="I117">
            <v>44.03</v>
          </cell>
          <cell r="J117">
            <v>38.24</v>
          </cell>
          <cell r="K117">
            <v>36.409999999999997</v>
          </cell>
          <cell r="L117">
            <v>41.43</v>
          </cell>
          <cell r="M117">
            <v>48.57</v>
          </cell>
          <cell r="N117">
            <v>42.42</v>
          </cell>
          <cell r="O117">
            <v>49.3</v>
          </cell>
          <cell r="P117">
            <v>47.4</v>
          </cell>
          <cell r="Q117">
            <v>50.45</v>
          </cell>
          <cell r="R117">
            <v>34.880000000000003</v>
          </cell>
          <cell r="S117">
            <v>35.369999999999997</v>
          </cell>
          <cell r="T117">
            <v>37.869999999999997</v>
          </cell>
          <cell r="U117">
            <v>40.090000000000003</v>
          </cell>
          <cell r="V117">
            <v>41.32</v>
          </cell>
          <cell r="W117">
            <v>39.81</v>
          </cell>
          <cell r="X117">
            <v>40.29</v>
          </cell>
          <cell r="Y117">
            <v>41.78</v>
          </cell>
          <cell r="Z117">
            <v>45.31</v>
          </cell>
          <cell r="AA117">
            <v>60.79</v>
          </cell>
          <cell r="AB117">
            <v>59.37</v>
          </cell>
          <cell r="AC117">
            <v>61.58</v>
          </cell>
        </row>
        <row r="118">
          <cell r="A118" t="str">
            <v>ACADCPR26_CLONE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39.06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 t="e">
            <v>#N/A</v>
          </cell>
          <cell r="S118">
            <v>0</v>
          </cell>
          <cell r="T118" t="e">
            <v>#N/A</v>
          </cell>
          <cell r="U118" t="e">
            <v>#N/A</v>
          </cell>
          <cell r="V118" t="e">
            <v>#N/A</v>
          </cell>
          <cell r="W118" t="e">
            <v>#N/A</v>
          </cell>
          <cell r="X118" t="e">
            <v>#N/A</v>
          </cell>
          <cell r="Y118" t="e">
            <v>#N/A</v>
          </cell>
          <cell r="Z118" t="e">
            <v>#N/A</v>
          </cell>
          <cell r="AA118" t="e">
            <v>#N/A</v>
          </cell>
          <cell r="AB118" t="e">
            <v>#N/A</v>
          </cell>
          <cell r="AC118" t="e">
            <v>#N/A</v>
          </cell>
        </row>
        <row r="119">
          <cell r="A119" t="str">
            <v>ACADCPR26_NO_BORRAR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38.79</v>
          </cell>
          <cell r="H119">
            <v>59.27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 t="e">
            <v>#N/A</v>
          </cell>
          <cell r="S119">
            <v>0</v>
          </cell>
          <cell r="T119" t="e">
            <v>#N/A</v>
          </cell>
          <cell r="U119" t="e">
            <v>#N/A</v>
          </cell>
          <cell r="V119" t="e">
            <v>#N/A</v>
          </cell>
          <cell r="W119" t="e">
            <v>#N/A</v>
          </cell>
          <cell r="X119" t="e">
            <v>#N/A</v>
          </cell>
          <cell r="Y119" t="e">
            <v>#N/A</v>
          </cell>
          <cell r="Z119" t="e">
            <v>#N/A</v>
          </cell>
          <cell r="AA119" t="e">
            <v>#N/A</v>
          </cell>
          <cell r="AB119" t="e">
            <v>#N/A</v>
          </cell>
          <cell r="AC119" t="e">
            <v>#N/A</v>
          </cell>
        </row>
        <row r="120">
          <cell r="A120" t="str">
            <v>ACADCPR26_PARCHE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21.84</v>
          </cell>
          <cell r="K120">
            <v>19.7</v>
          </cell>
          <cell r="L120">
            <v>14.09</v>
          </cell>
          <cell r="M120">
            <v>13.51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 t="e">
            <v>#N/A</v>
          </cell>
          <cell r="S120">
            <v>0</v>
          </cell>
          <cell r="T120" t="e">
            <v>#N/A</v>
          </cell>
          <cell r="U120" t="e">
            <v>#N/A</v>
          </cell>
          <cell r="V120" t="e">
            <v>#N/A</v>
          </cell>
          <cell r="W120" t="e">
            <v>#N/A</v>
          </cell>
          <cell r="X120" t="e">
            <v>#N/A</v>
          </cell>
          <cell r="Y120" t="e">
            <v>#N/A</v>
          </cell>
          <cell r="Z120" t="e">
            <v>#N/A</v>
          </cell>
          <cell r="AA120" t="e">
            <v>#N/A</v>
          </cell>
          <cell r="AB120" t="e">
            <v>#N/A</v>
          </cell>
          <cell r="AC120" t="e">
            <v>#N/A</v>
          </cell>
        </row>
        <row r="121">
          <cell r="A121" t="str">
            <v>ACADCPR27</v>
          </cell>
          <cell r="B121">
            <v>32.28</v>
          </cell>
          <cell r="C121">
            <v>25.53</v>
          </cell>
          <cell r="D121">
            <v>45.36</v>
          </cell>
          <cell r="E121">
            <v>42.49</v>
          </cell>
          <cell r="F121">
            <v>25.96</v>
          </cell>
          <cell r="G121">
            <v>23.89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 t="e">
            <v>#N/A</v>
          </cell>
          <cell r="S121">
            <v>0</v>
          </cell>
          <cell r="T121" t="e">
            <v>#N/A</v>
          </cell>
          <cell r="U121" t="e">
            <v>#N/A</v>
          </cell>
          <cell r="V121" t="e">
            <v>#N/A</v>
          </cell>
          <cell r="W121" t="e">
            <v>#N/A</v>
          </cell>
          <cell r="X121" t="e">
            <v>#N/A</v>
          </cell>
          <cell r="Y121" t="e">
            <v>#N/A</v>
          </cell>
          <cell r="Z121" t="e">
            <v>#N/A</v>
          </cell>
          <cell r="AA121" t="e">
            <v>#N/A</v>
          </cell>
          <cell r="AB121" t="e">
            <v>#N/A</v>
          </cell>
          <cell r="AC121" t="e">
            <v>#N/A</v>
          </cell>
        </row>
        <row r="122">
          <cell r="A122" t="str">
            <v>ACADCPR27_CLONE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22.99</v>
          </cell>
          <cell r="I122">
            <v>24.44</v>
          </cell>
          <cell r="J122">
            <v>22.25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 t="e">
            <v>#N/A</v>
          </cell>
          <cell r="S122">
            <v>0</v>
          </cell>
          <cell r="T122" t="e">
            <v>#N/A</v>
          </cell>
          <cell r="U122" t="e">
            <v>#N/A</v>
          </cell>
          <cell r="V122" t="e">
            <v>#N/A</v>
          </cell>
          <cell r="W122" t="e">
            <v>#N/A</v>
          </cell>
          <cell r="X122" t="e">
            <v>#N/A</v>
          </cell>
          <cell r="Y122" t="e">
            <v>#N/A</v>
          </cell>
          <cell r="Z122" t="e">
            <v>#N/A</v>
          </cell>
          <cell r="AA122" t="e">
            <v>#N/A</v>
          </cell>
          <cell r="AB122" t="e">
            <v>#N/A</v>
          </cell>
          <cell r="AC122" t="e">
            <v>#N/A</v>
          </cell>
        </row>
        <row r="123">
          <cell r="A123" t="str">
            <v>ACADCPR29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13.88</v>
          </cell>
          <cell r="H123">
            <v>12.8</v>
          </cell>
          <cell r="I123">
            <v>12.12</v>
          </cell>
          <cell r="J123">
            <v>13.32</v>
          </cell>
          <cell r="K123">
            <v>13.99</v>
          </cell>
          <cell r="L123">
            <v>32.75</v>
          </cell>
          <cell r="M123">
            <v>37.520000000000003</v>
          </cell>
          <cell r="N123">
            <v>42.12</v>
          </cell>
          <cell r="O123">
            <v>39.770000000000003</v>
          </cell>
          <cell r="P123">
            <v>34.340000000000003</v>
          </cell>
          <cell r="Q123">
            <v>35.520000000000003</v>
          </cell>
          <cell r="R123">
            <v>39.99</v>
          </cell>
          <cell r="S123">
            <v>34.49</v>
          </cell>
          <cell r="T123">
            <v>35.26</v>
          </cell>
          <cell r="U123">
            <v>35.299999999999997</v>
          </cell>
          <cell r="V123">
            <v>34.28</v>
          </cell>
          <cell r="W123">
            <v>29.88</v>
          </cell>
          <cell r="X123">
            <v>37.97</v>
          </cell>
          <cell r="Y123">
            <v>48.29</v>
          </cell>
          <cell r="Z123">
            <v>50.75</v>
          </cell>
          <cell r="AA123">
            <v>78.099999999999994</v>
          </cell>
          <cell r="AB123">
            <v>78.08</v>
          </cell>
          <cell r="AC123">
            <v>77.98</v>
          </cell>
        </row>
        <row r="124">
          <cell r="A124" t="str">
            <v>ACADCPR30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41.67</v>
          </cell>
          <cell r="K124">
            <v>118.82</v>
          </cell>
          <cell r="L124">
            <v>87.73</v>
          </cell>
          <cell r="M124">
            <v>43.07</v>
          </cell>
          <cell r="N124">
            <v>46.48</v>
          </cell>
          <cell r="O124">
            <v>49.86</v>
          </cell>
          <cell r="P124">
            <v>48.39</v>
          </cell>
          <cell r="Q124">
            <v>44.8</v>
          </cell>
          <cell r="R124">
            <v>43.7</v>
          </cell>
          <cell r="S124">
            <v>43.92</v>
          </cell>
          <cell r="T124">
            <v>44.64</v>
          </cell>
          <cell r="U124">
            <v>48.01</v>
          </cell>
          <cell r="V124">
            <v>42.69</v>
          </cell>
          <cell r="W124">
            <v>42.19</v>
          </cell>
          <cell r="X124">
            <v>36.1</v>
          </cell>
          <cell r="Y124">
            <v>29.86</v>
          </cell>
          <cell r="Z124">
            <v>29.92</v>
          </cell>
          <cell r="AA124">
            <v>74.22</v>
          </cell>
          <cell r="AB124">
            <v>78.959999999999994</v>
          </cell>
          <cell r="AC124">
            <v>78.989999999999995</v>
          </cell>
        </row>
        <row r="125">
          <cell r="A125" t="str">
            <v>ACADCPR31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39.89</v>
          </cell>
          <cell r="K125">
            <v>53.91</v>
          </cell>
          <cell r="L125">
            <v>45.96</v>
          </cell>
          <cell r="M125">
            <v>59.76</v>
          </cell>
          <cell r="N125">
            <v>89.84</v>
          </cell>
          <cell r="O125">
            <v>47.5</v>
          </cell>
          <cell r="P125">
            <v>83.19</v>
          </cell>
          <cell r="Q125">
            <v>101.95</v>
          </cell>
          <cell r="R125">
            <v>105.65</v>
          </cell>
          <cell r="S125">
            <v>41.52</v>
          </cell>
          <cell r="T125">
            <v>38.520000000000003</v>
          </cell>
          <cell r="U125">
            <v>39.17</v>
          </cell>
          <cell r="V125">
            <v>67.900000000000006</v>
          </cell>
          <cell r="W125">
            <v>112.34</v>
          </cell>
          <cell r="X125">
            <v>110.58</v>
          </cell>
          <cell r="Y125">
            <v>97.24</v>
          </cell>
          <cell r="Z125">
            <v>40.78</v>
          </cell>
          <cell r="AA125">
            <v>122.51</v>
          </cell>
          <cell r="AB125">
            <v>133.59</v>
          </cell>
          <cell r="AC125">
            <v>133.84</v>
          </cell>
        </row>
        <row r="126">
          <cell r="A126" t="str">
            <v>ACADCPR32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37.090000000000003</v>
          </cell>
          <cell r="K126">
            <v>40.450000000000003</v>
          </cell>
          <cell r="L126">
            <v>40.06</v>
          </cell>
          <cell r="M126">
            <v>41.62</v>
          </cell>
          <cell r="N126">
            <v>44.15</v>
          </cell>
          <cell r="O126">
            <v>46.44</v>
          </cell>
          <cell r="P126">
            <v>48.52</v>
          </cell>
          <cell r="Q126">
            <v>43.68</v>
          </cell>
          <cell r="R126">
            <v>43.37</v>
          </cell>
          <cell r="S126">
            <v>43.67</v>
          </cell>
          <cell r="T126">
            <v>41.46</v>
          </cell>
          <cell r="U126">
            <v>46.58</v>
          </cell>
          <cell r="V126">
            <v>42.08</v>
          </cell>
          <cell r="W126">
            <v>40.590000000000003</v>
          </cell>
          <cell r="X126">
            <v>36.770000000000003</v>
          </cell>
          <cell r="Y126">
            <v>24.37</v>
          </cell>
          <cell r="Z126">
            <v>32.82</v>
          </cell>
          <cell r="AA126">
            <v>76.44</v>
          </cell>
          <cell r="AB126">
            <v>78.650000000000006</v>
          </cell>
          <cell r="AC126">
            <v>78.62</v>
          </cell>
        </row>
        <row r="127">
          <cell r="A127" t="str">
            <v>ACADCPR33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43.5</v>
          </cell>
          <cell r="K127">
            <v>119.37</v>
          </cell>
          <cell r="L127">
            <v>122.41</v>
          </cell>
          <cell r="M127">
            <v>72.72</v>
          </cell>
          <cell r="N127">
            <v>43.26</v>
          </cell>
          <cell r="O127">
            <v>44.74</v>
          </cell>
          <cell r="P127">
            <v>43.77</v>
          </cell>
          <cell r="Q127">
            <v>39.67</v>
          </cell>
          <cell r="R127">
            <v>37.33</v>
          </cell>
          <cell r="S127">
            <v>42.64</v>
          </cell>
          <cell r="T127">
            <v>44.31</v>
          </cell>
          <cell r="U127">
            <v>47.49</v>
          </cell>
          <cell r="V127">
            <v>42.05</v>
          </cell>
          <cell r="W127">
            <v>41.69</v>
          </cell>
          <cell r="X127">
            <v>38.14</v>
          </cell>
          <cell r="Y127">
            <v>36.53</v>
          </cell>
          <cell r="Z127">
            <v>37.590000000000003</v>
          </cell>
          <cell r="AA127">
            <v>77.2</v>
          </cell>
          <cell r="AB127">
            <v>79.06</v>
          </cell>
          <cell r="AC127">
            <v>78.61</v>
          </cell>
        </row>
        <row r="128">
          <cell r="A128" t="str">
            <v>ACADCPR36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113.21</v>
          </cell>
          <cell r="N128">
            <v>69.12</v>
          </cell>
          <cell r="O128">
            <v>66.930000000000007</v>
          </cell>
          <cell r="P128">
            <v>76.25</v>
          </cell>
          <cell r="Q128">
            <v>71.319999999999993</v>
          </cell>
          <cell r="R128" t="e">
            <v>#N/A</v>
          </cell>
          <cell r="S128">
            <v>0</v>
          </cell>
          <cell r="T128" t="e">
            <v>#N/A</v>
          </cell>
          <cell r="U128">
            <v>17.53</v>
          </cell>
          <cell r="V128" t="e">
            <v>#N/A</v>
          </cell>
          <cell r="W128" t="e">
            <v>#N/A</v>
          </cell>
          <cell r="X128" t="e">
            <v>#N/A</v>
          </cell>
          <cell r="Y128" t="e">
            <v>#N/A</v>
          </cell>
          <cell r="Z128" t="e">
            <v>#N/A</v>
          </cell>
          <cell r="AA128" t="e">
            <v>#N/A</v>
          </cell>
          <cell r="AB128" t="e">
            <v>#N/A</v>
          </cell>
          <cell r="AC128" t="e">
            <v>#N/A</v>
          </cell>
        </row>
        <row r="129">
          <cell r="A129" t="str">
            <v>ACADCPR38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43.7</v>
          </cell>
          <cell r="N129">
            <v>43.9</v>
          </cell>
          <cell r="O129">
            <v>42.4</v>
          </cell>
          <cell r="P129">
            <v>44.98</v>
          </cell>
          <cell r="Q129">
            <v>33.25</v>
          </cell>
          <cell r="R129" t="e">
            <v>#N/A</v>
          </cell>
          <cell r="S129">
            <v>0</v>
          </cell>
          <cell r="T129" t="e">
            <v>#N/A</v>
          </cell>
          <cell r="U129">
            <v>18.12</v>
          </cell>
          <cell r="V129" t="e">
            <v>#N/A</v>
          </cell>
          <cell r="W129">
            <v>18.940000000000001</v>
          </cell>
          <cell r="X129" t="e">
            <v>#N/A</v>
          </cell>
          <cell r="Y129" t="e">
            <v>#N/A</v>
          </cell>
          <cell r="Z129" t="e">
            <v>#N/A</v>
          </cell>
          <cell r="AA129" t="e">
            <v>#N/A</v>
          </cell>
          <cell r="AB129" t="e">
            <v>#N/A</v>
          </cell>
          <cell r="AC129" t="e">
            <v>#N/A</v>
          </cell>
        </row>
        <row r="130">
          <cell r="A130" t="str">
            <v>ACADCPR41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73.91</v>
          </cell>
          <cell r="N130">
            <v>78.45</v>
          </cell>
          <cell r="O130">
            <v>80.22</v>
          </cell>
          <cell r="P130">
            <v>82.25</v>
          </cell>
          <cell r="Q130">
            <v>23.87</v>
          </cell>
          <cell r="R130" t="e">
            <v>#N/A</v>
          </cell>
          <cell r="S130">
            <v>0</v>
          </cell>
          <cell r="T130" t="e">
            <v>#N/A</v>
          </cell>
          <cell r="U130">
            <v>14.3</v>
          </cell>
          <cell r="V130" t="e">
            <v>#N/A</v>
          </cell>
          <cell r="W130" t="e">
            <v>#N/A</v>
          </cell>
          <cell r="X130" t="e">
            <v>#N/A</v>
          </cell>
          <cell r="Y130" t="e">
            <v>#N/A</v>
          </cell>
          <cell r="Z130" t="e">
            <v>#N/A</v>
          </cell>
          <cell r="AA130" t="e">
            <v>#N/A</v>
          </cell>
          <cell r="AB130" t="e">
            <v>#N/A</v>
          </cell>
          <cell r="AC130" t="e">
            <v>#N/A</v>
          </cell>
        </row>
        <row r="131">
          <cell r="A131" t="str">
            <v>ACADCPR42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50.23</v>
          </cell>
          <cell r="N131">
            <v>53.81</v>
          </cell>
          <cell r="O131">
            <v>26.32</v>
          </cell>
          <cell r="P131">
            <v>24.74</v>
          </cell>
          <cell r="Q131">
            <v>22.73</v>
          </cell>
          <cell r="R131">
            <v>24.24</v>
          </cell>
          <cell r="S131">
            <v>52.53</v>
          </cell>
          <cell r="T131">
            <v>48.15</v>
          </cell>
          <cell r="U131">
            <v>59.53</v>
          </cell>
          <cell r="V131">
            <v>73.819999999999993</v>
          </cell>
          <cell r="W131">
            <v>46.32</v>
          </cell>
          <cell r="X131">
            <v>73.98</v>
          </cell>
          <cell r="Y131">
            <v>69.25</v>
          </cell>
          <cell r="Z131">
            <v>53.29</v>
          </cell>
          <cell r="AA131">
            <v>65.2</v>
          </cell>
          <cell r="AB131">
            <v>69.86</v>
          </cell>
          <cell r="AC131">
            <v>63.91</v>
          </cell>
        </row>
        <row r="132">
          <cell r="A132" t="str">
            <v>ACADCPR43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26.54</v>
          </cell>
          <cell r="N132">
            <v>17.420000000000002</v>
          </cell>
          <cell r="O132">
            <v>16.64</v>
          </cell>
          <cell r="P132">
            <v>16.86</v>
          </cell>
          <cell r="Q132">
            <v>0</v>
          </cell>
          <cell r="R132" t="e">
            <v>#N/A</v>
          </cell>
          <cell r="S132">
            <v>0</v>
          </cell>
          <cell r="T132">
            <v>211.82</v>
          </cell>
          <cell r="U132">
            <v>21.16</v>
          </cell>
          <cell r="V132">
            <v>19.88</v>
          </cell>
          <cell r="W132">
            <v>23.7</v>
          </cell>
          <cell r="X132">
            <v>16.88</v>
          </cell>
          <cell r="Y132">
            <v>17.41</v>
          </cell>
          <cell r="Z132">
            <v>18.829999999999998</v>
          </cell>
          <cell r="AA132">
            <v>40.5</v>
          </cell>
          <cell r="AB132">
            <v>87.07</v>
          </cell>
          <cell r="AC132">
            <v>71.72</v>
          </cell>
        </row>
        <row r="133">
          <cell r="A133" t="str">
            <v>ACADCPR44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36.53</v>
          </cell>
          <cell r="N133">
            <v>32.340000000000003</v>
          </cell>
          <cell r="O133">
            <v>37.5</v>
          </cell>
          <cell r="P133">
            <v>40.32</v>
          </cell>
          <cell r="Q133">
            <v>43.09</v>
          </cell>
          <cell r="R133">
            <v>42.67</v>
          </cell>
          <cell r="S133">
            <v>42.36</v>
          </cell>
          <cell r="T133">
            <v>41.77</v>
          </cell>
          <cell r="U133">
            <v>41.74</v>
          </cell>
          <cell r="V133">
            <v>42.39</v>
          </cell>
          <cell r="W133">
            <v>37.83</v>
          </cell>
          <cell r="X133">
            <v>43.66</v>
          </cell>
          <cell r="Y133">
            <v>43.41</v>
          </cell>
          <cell r="Z133">
            <v>43.7</v>
          </cell>
          <cell r="AA133">
            <v>43.69</v>
          </cell>
          <cell r="AB133">
            <v>44.2</v>
          </cell>
          <cell r="AC133">
            <v>42.58</v>
          </cell>
        </row>
        <row r="134">
          <cell r="A134" t="str">
            <v>ACADCPR45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5.7</v>
          </cell>
          <cell r="O134">
            <v>5.03</v>
          </cell>
          <cell r="P134">
            <v>5.23</v>
          </cell>
          <cell r="Q134">
            <v>5.31</v>
          </cell>
          <cell r="R134">
            <v>5.46</v>
          </cell>
          <cell r="S134">
            <v>33.75</v>
          </cell>
          <cell r="T134">
            <v>33.33</v>
          </cell>
          <cell r="U134">
            <v>34.74</v>
          </cell>
          <cell r="V134">
            <v>29.66</v>
          </cell>
          <cell r="W134">
            <v>28.57</v>
          </cell>
          <cell r="X134" t="e">
            <v>#N/A</v>
          </cell>
          <cell r="Y134" t="e">
            <v>#N/A</v>
          </cell>
          <cell r="Z134" t="e">
            <v>#N/A</v>
          </cell>
          <cell r="AA134" t="e">
            <v>#N/A</v>
          </cell>
          <cell r="AB134" t="e">
            <v>#N/A</v>
          </cell>
          <cell r="AC134" t="e">
            <v>#N/A</v>
          </cell>
        </row>
        <row r="135">
          <cell r="A135" t="str">
            <v>ACANHAP01</v>
          </cell>
          <cell r="B135">
            <v>15.99</v>
          </cell>
          <cell r="C135">
            <v>29.38</v>
          </cell>
          <cell r="D135">
            <v>13.01</v>
          </cell>
          <cell r="E135">
            <v>8.09</v>
          </cell>
          <cell r="F135">
            <v>8.77</v>
          </cell>
          <cell r="G135">
            <v>14.59</v>
          </cell>
          <cell r="H135">
            <v>11.39</v>
          </cell>
          <cell r="I135">
            <v>16.32</v>
          </cell>
          <cell r="J135">
            <v>19.86</v>
          </cell>
          <cell r="K135">
            <v>12.62</v>
          </cell>
          <cell r="L135">
            <v>11.62</v>
          </cell>
          <cell r="M135">
            <v>9.4600000000000009</v>
          </cell>
          <cell r="N135">
            <v>17.38</v>
          </cell>
          <cell r="O135">
            <v>25.76</v>
          </cell>
          <cell r="P135">
            <v>28.55</v>
          </cell>
          <cell r="Q135">
            <v>32.72</v>
          </cell>
          <cell r="R135">
            <v>34.700000000000003</v>
          </cell>
          <cell r="S135">
            <v>34.06</v>
          </cell>
          <cell r="T135">
            <v>33.869999999999997</v>
          </cell>
          <cell r="U135">
            <v>37.25</v>
          </cell>
          <cell r="V135">
            <v>36.46</v>
          </cell>
          <cell r="W135">
            <v>37.729999999999997</v>
          </cell>
          <cell r="X135">
            <v>39.200000000000003</v>
          </cell>
          <cell r="Y135">
            <v>38.340000000000003</v>
          </cell>
          <cell r="Z135">
            <v>37.880000000000003</v>
          </cell>
          <cell r="AA135">
            <v>39.56</v>
          </cell>
          <cell r="AB135">
            <v>39.74</v>
          </cell>
          <cell r="AC135">
            <v>39.97</v>
          </cell>
        </row>
        <row r="136">
          <cell r="A136" t="str">
            <v>ACANHAP01_PARCHE</v>
          </cell>
          <cell r="B136">
            <v>0</v>
          </cell>
          <cell r="C136">
            <v>0</v>
          </cell>
          <cell r="D136">
            <v>0</v>
          </cell>
          <cell r="E136">
            <v>33.35</v>
          </cell>
          <cell r="F136">
            <v>12.49</v>
          </cell>
          <cell r="G136">
            <v>16.25</v>
          </cell>
          <cell r="H136">
            <v>14.62</v>
          </cell>
          <cell r="I136">
            <v>0</v>
          </cell>
          <cell r="J136">
            <v>0</v>
          </cell>
          <cell r="K136">
            <v>16.04</v>
          </cell>
          <cell r="L136">
            <v>13.58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 t="e">
            <v>#N/A</v>
          </cell>
          <cell r="S136">
            <v>0</v>
          </cell>
          <cell r="T136" t="e">
            <v>#N/A</v>
          </cell>
          <cell r="U136" t="e">
            <v>#N/A</v>
          </cell>
          <cell r="V136" t="e">
            <v>#N/A</v>
          </cell>
          <cell r="W136" t="e">
            <v>#N/A</v>
          </cell>
          <cell r="X136" t="e">
            <v>#N/A</v>
          </cell>
          <cell r="Y136" t="e">
            <v>#N/A</v>
          </cell>
          <cell r="Z136" t="e">
            <v>#N/A</v>
          </cell>
          <cell r="AA136" t="e">
            <v>#N/A</v>
          </cell>
          <cell r="AB136" t="e">
            <v>#N/A</v>
          </cell>
          <cell r="AC136" t="e">
            <v>#N/A</v>
          </cell>
        </row>
        <row r="137">
          <cell r="A137" t="str">
            <v>ACANHBD01</v>
          </cell>
          <cell r="B137">
            <v>6.72</v>
          </cell>
          <cell r="C137">
            <v>19.420000000000002</v>
          </cell>
          <cell r="D137">
            <v>27.03</v>
          </cell>
          <cell r="E137">
            <v>27.09</v>
          </cell>
          <cell r="F137">
            <v>27.19</v>
          </cell>
          <cell r="G137">
            <v>29.85</v>
          </cell>
          <cell r="H137">
            <v>32.06</v>
          </cell>
          <cell r="I137">
            <v>32.450000000000003</v>
          </cell>
          <cell r="J137">
            <v>25.67</v>
          </cell>
          <cell r="K137">
            <v>12.75</v>
          </cell>
          <cell r="L137">
            <v>4.99</v>
          </cell>
          <cell r="M137">
            <v>4.6500000000000004</v>
          </cell>
          <cell r="N137">
            <v>7</v>
          </cell>
          <cell r="O137">
            <v>5.6</v>
          </cell>
          <cell r="P137">
            <v>5.59</v>
          </cell>
          <cell r="Q137">
            <v>15.55</v>
          </cell>
          <cell r="R137">
            <v>34.67</v>
          </cell>
          <cell r="S137">
            <v>33.479999999999997</v>
          </cell>
          <cell r="T137">
            <v>34.020000000000003</v>
          </cell>
          <cell r="U137">
            <v>33.39</v>
          </cell>
          <cell r="V137">
            <v>35.1</v>
          </cell>
          <cell r="W137">
            <v>15.15</v>
          </cell>
          <cell r="X137">
            <v>9.1</v>
          </cell>
          <cell r="Y137">
            <v>9.32</v>
          </cell>
          <cell r="Z137">
            <v>16.88</v>
          </cell>
          <cell r="AA137">
            <v>23.81</v>
          </cell>
          <cell r="AB137">
            <v>24.36</v>
          </cell>
          <cell r="AC137">
            <v>27.08</v>
          </cell>
        </row>
        <row r="138">
          <cell r="A138" t="str">
            <v>ACANHBD01_PARCHE</v>
          </cell>
          <cell r="B138">
            <v>4.6100000000000003</v>
          </cell>
          <cell r="C138">
            <v>0</v>
          </cell>
          <cell r="D138">
            <v>0</v>
          </cell>
          <cell r="E138">
            <v>4.32</v>
          </cell>
          <cell r="F138">
            <v>5.99</v>
          </cell>
          <cell r="G138">
            <v>11.06</v>
          </cell>
          <cell r="H138">
            <v>11.7</v>
          </cell>
          <cell r="I138">
            <v>10.220000000000001</v>
          </cell>
          <cell r="J138">
            <v>0</v>
          </cell>
          <cell r="K138">
            <v>11.44</v>
          </cell>
          <cell r="L138">
            <v>3.97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 t="e">
            <v>#N/A</v>
          </cell>
          <cell r="S138">
            <v>0</v>
          </cell>
          <cell r="T138" t="e">
            <v>#N/A</v>
          </cell>
          <cell r="U138" t="e">
            <v>#N/A</v>
          </cell>
          <cell r="V138" t="e">
            <v>#N/A</v>
          </cell>
          <cell r="W138" t="e">
            <v>#N/A</v>
          </cell>
          <cell r="X138" t="e">
            <v>#N/A</v>
          </cell>
          <cell r="Y138" t="e">
            <v>#N/A</v>
          </cell>
          <cell r="Z138" t="e">
            <v>#N/A</v>
          </cell>
          <cell r="AA138" t="e">
            <v>#N/A</v>
          </cell>
          <cell r="AB138" t="e">
            <v>#N/A</v>
          </cell>
          <cell r="AC138" t="e">
            <v>#N/A</v>
          </cell>
        </row>
        <row r="139">
          <cell r="A139" t="str">
            <v>ACASCAP01</v>
          </cell>
          <cell r="B139">
            <v>45.48</v>
          </cell>
          <cell r="C139">
            <v>44.26</v>
          </cell>
          <cell r="D139">
            <v>43.53</v>
          </cell>
          <cell r="E139">
            <v>45.57</v>
          </cell>
          <cell r="F139">
            <v>61.96</v>
          </cell>
          <cell r="G139">
            <v>102.74</v>
          </cell>
          <cell r="H139">
            <v>81.06</v>
          </cell>
          <cell r="I139">
            <v>76.239999999999995</v>
          </cell>
          <cell r="J139">
            <v>33.61</v>
          </cell>
          <cell r="K139">
            <v>33.700000000000003</v>
          </cell>
          <cell r="L139">
            <v>0</v>
          </cell>
          <cell r="M139">
            <v>33.86</v>
          </cell>
          <cell r="N139">
            <v>33.33</v>
          </cell>
          <cell r="O139">
            <v>33.020000000000003</v>
          </cell>
          <cell r="P139">
            <v>34.26</v>
          </cell>
          <cell r="Q139">
            <v>34.9</v>
          </cell>
          <cell r="R139">
            <v>35.979999999999997</v>
          </cell>
          <cell r="S139">
            <v>36.979999999999997</v>
          </cell>
          <cell r="T139">
            <v>38.44</v>
          </cell>
          <cell r="U139">
            <v>39.340000000000003</v>
          </cell>
          <cell r="V139">
            <v>39.44</v>
          </cell>
          <cell r="W139">
            <v>39.74</v>
          </cell>
          <cell r="X139" t="e">
            <v>#N/A</v>
          </cell>
          <cell r="Y139" t="e">
            <v>#N/A</v>
          </cell>
          <cell r="Z139" t="e">
            <v>#N/A</v>
          </cell>
          <cell r="AA139" t="e">
            <v>#N/A</v>
          </cell>
          <cell r="AB139" t="e">
            <v>#N/A</v>
          </cell>
          <cell r="AC139" t="e">
            <v>#N/A</v>
          </cell>
        </row>
        <row r="140">
          <cell r="A140" t="str">
            <v>ACASCAP02</v>
          </cell>
          <cell r="B140">
            <v>35.18</v>
          </cell>
          <cell r="C140">
            <v>28.31</v>
          </cell>
          <cell r="D140">
            <v>38.229999999999997</v>
          </cell>
          <cell r="E140">
            <v>49.03</v>
          </cell>
          <cell r="F140">
            <v>62.39</v>
          </cell>
          <cell r="G140">
            <v>52.34</v>
          </cell>
          <cell r="H140">
            <v>62.08</v>
          </cell>
          <cell r="I140">
            <v>63.23</v>
          </cell>
          <cell r="J140">
            <v>28.87</v>
          </cell>
          <cell r="K140">
            <v>28.65</v>
          </cell>
          <cell r="L140">
            <v>0</v>
          </cell>
          <cell r="M140">
            <v>27.43</v>
          </cell>
          <cell r="N140">
            <v>28.44</v>
          </cell>
          <cell r="O140">
            <v>29.94</v>
          </cell>
          <cell r="P140">
            <v>29.83</v>
          </cell>
          <cell r="Q140">
            <v>30.59</v>
          </cell>
          <cell r="R140">
            <v>32.21</v>
          </cell>
          <cell r="S140">
            <v>35.520000000000003</v>
          </cell>
          <cell r="T140">
            <v>38.229999999999997</v>
          </cell>
          <cell r="U140">
            <v>39.01</v>
          </cell>
          <cell r="V140">
            <v>39.72</v>
          </cell>
          <cell r="W140">
            <v>39.25</v>
          </cell>
          <cell r="X140" t="e">
            <v>#N/A</v>
          </cell>
          <cell r="Y140" t="e">
            <v>#N/A</v>
          </cell>
          <cell r="Z140" t="e">
            <v>#N/A</v>
          </cell>
          <cell r="AA140" t="e">
            <v>#N/A</v>
          </cell>
          <cell r="AB140" t="e">
            <v>#N/A</v>
          </cell>
          <cell r="AC140" t="e">
            <v>#N/A</v>
          </cell>
        </row>
        <row r="141">
          <cell r="A141" t="str">
            <v>ACASCAP03</v>
          </cell>
          <cell r="B141">
            <v>55.2</v>
          </cell>
          <cell r="C141">
            <v>62.31</v>
          </cell>
          <cell r="D141">
            <v>68.13</v>
          </cell>
          <cell r="E141">
            <v>72.73</v>
          </cell>
          <cell r="F141">
            <v>47.51</v>
          </cell>
          <cell r="G141">
            <v>48.88</v>
          </cell>
          <cell r="H141">
            <v>52.58</v>
          </cell>
          <cell r="I141">
            <v>61.72</v>
          </cell>
          <cell r="J141">
            <v>44.27</v>
          </cell>
          <cell r="K141">
            <v>43.47</v>
          </cell>
          <cell r="L141">
            <v>43.4</v>
          </cell>
          <cell r="M141">
            <v>42.22</v>
          </cell>
          <cell r="N141">
            <v>41.84</v>
          </cell>
          <cell r="O141">
            <v>41.66</v>
          </cell>
          <cell r="P141">
            <v>41.72</v>
          </cell>
          <cell r="Q141">
            <v>41.15</v>
          </cell>
          <cell r="R141">
            <v>41.49</v>
          </cell>
          <cell r="S141">
            <v>43.24</v>
          </cell>
          <cell r="T141">
            <v>43.35</v>
          </cell>
          <cell r="U141">
            <v>43.47</v>
          </cell>
          <cell r="V141">
            <v>37.14</v>
          </cell>
          <cell r="W141">
            <v>34.4</v>
          </cell>
          <cell r="X141">
            <v>31.11</v>
          </cell>
          <cell r="Y141">
            <v>30.55</v>
          </cell>
          <cell r="Z141">
            <v>31.95</v>
          </cell>
          <cell r="AA141">
            <v>31.7</v>
          </cell>
          <cell r="AB141">
            <v>45.16</v>
          </cell>
          <cell r="AC141">
            <v>44.51</v>
          </cell>
        </row>
        <row r="142">
          <cell r="A142" t="str">
            <v>ACASCAP04</v>
          </cell>
          <cell r="B142">
            <v>21.39</v>
          </cell>
          <cell r="C142">
            <v>20.21</v>
          </cell>
          <cell r="D142">
            <v>19.75</v>
          </cell>
          <cell r="E142">
            <v>19.84</v>
          </cell>
          <cell r="F142">
            <v>39.01</v>
          </cell>
          <cell r="G142">
            <v>20.239999999999998</v>
          </cell>
          <cell r="H142">
            <v>20.28</v>
          </cell>
          <cell r="I142">
            <v>20.440000000000001</v>
          </cell>
          <cell r="J142">
            <v>20.59</v>
          </cell>
          <cell r="K142">
            <v>20.51</v>
          </cell>
          <cell r="L142">
            <v>0</v>
          </cell>
          <cell r="M142">
            <v>43.23</v>
          </cell>
          <cell r="N142">
            <v>37.97</v>
          </cell>
          <cell r="O142">
            <v>36.29</v>
          </cell>
          <cell r="P142">
            <v>30.29</v>
          </cell>
          <cell r="Q142">
            <v>30.41</v>
          </cell>
          <cell r="R142">
            <v>30.51</v>
          </cell>
          <cell r="S142">
            <v>34.71</v>
          </cell>
          <cell r="T142">
            <v>52.42</v>
          </cell>
          <cell r="U142">
            <v>55.95</v>
          </cell>
          <cell r="V142">
            <v>58.22</v>
          </cell>
          <cell r="W142">
            <v>38.020000000000003</v>
          </cell>
          <cell r="X142">
            <v>41.57</v>
          </cell>
          <cell r="Y142">
            <v>43.39</v>
          </cell>
          <cell r="Z142">
            <v>44.68</v>
          </cell>
          <cell r="AA142">
            <v>45.48</v>
          </cell>
          <cell r="AB142">
            <v>65.73</v>
          </cell>
          <cell r="AC142">
            <v>51.54</v>
          </cell>
        </row>
        <row r="143">
          <cell r="A143" t="str">
            <v>ACASCAP05</v>
          </cell>
          <cell r="B143">
            <v>95.07</v>
          </cell>
          <cell r="C143">
            <v>65.02</v>
          </cell>
          <cell r="D143">
            <v>59.03</v>
          </cell>
          <cell r="E143">
            <v>89.69</v>
          </cell>
          <cell r="F143">
            <v>90.42</v>
          </cell>
          <cell r="G143">
            <v>46.08</v>
          </cell>
          <cell r="H143">
            <v>42.69</v>
          </cell>
          <cell r="I143">
            <v>50.63</v>
          </cell>
          <cell r="J143">
            <v>0</v>
          </cell>
          <cell r="K143">
            <v>0</v>
          </cell>
          <cell r="L143">
            <v>65.959999999999994</v>
          </cell>
          <cell r="M143">
            <v>87.93</v>
          </cell>
          <cell r="N143">
            <v>86.51</v>
          </cell>
          <cell r="O143">
            <v>86.63</v>
          </cell>
          <cell r="P143">
            <v>87.81</v>
          </cell>
          <cell r="Q143">
            <v>88.82</v>
          </cell>
          <cell r="R143">
            <v>89.93</v>
          </cell>
          <cell r="S143">
            <v>91.51</v>
          </cell>
          <cell r="T143">
            <v>93.39</v>
          </cell>
          <cell r="U143">
            <v>94.85</v>
          </cell>
          <cell r="V143">
            <v>116.43</v>
          </cell>
          <cell r="W143">
            <v>95.26</v>
          </cell>
          <cell r="X143">
            <v>98.88</v>
          </cell>
          <cell r="Y143">
            <v>101.72</v>
          </cell>
          <cell r="Z143">
            <v>102.94</v>
          </cell>
          <cell r="AA143">
            <v>102.96</v>
          </cell>
          <cell r="AB143">
            <v>124.09</v>
          </cell>
          <cell r="AC143">
            <v>150.29</v>
          </cell>
        </row>
        <row r="144">
          <cell r="A144" t="str">
            <v>ACASCBD01</v>
          </cell>
          <cell r="B144">
            <v>44.93</v>
          </cell>
          <cell r="C144">
            <v>73.83</v>
          </cell>
          <cell r="D144">
            <v>114.06</v>
          </cell>
          <cell r="E144">
            <v>225.65</v>
          </cell>
          <cell r="F144">
            <v>147.62</v>
          </cell>
          <cell r="G144">
            <v>177.86</v>
          </cell>
          <cell r="H144">
            <v>219.04</v>
          </cell>
          <cell r="I144">
            <v>166.71</v>
          </cell>
          <cell r="J144">
            <v>72.95</v>
          </cell>
          <cell r="K144">
            <v>73.95</v>
          </cell>
          <cell r="L144">
            <v>74.180000000000007</v>
          </cell>
          <cell r="M144">
            <v>114.49</v>
          </cell>
          <cell r="N144">
            <v>157.21</v>
          </cell>
          <cell r="O144">
            <v>153.07</v>
          </cell>
          <cell r="P144">
            <v>159.72999999999999</v>
          </cell>
          <cell r="Q144">
            <v>158.13999999999999</v>
          </cell>
          <cell r="R144">
            <v>163.46</v>
          </cell>
          <cell r="S144">
            <v>160.84</v>
          </cell>
          <cell r="T144">
            <v>161.44</v>
          </cell>
          <cell r="U144">
            <v>164.05</v>
          </cell>
          <cell r="V144">
            <v>161.5</v>
          </cell>
          <cell r="W144">
            <v>154.01</v>
          </cell>
          <cell r="X144">
            <v>161.54</v>
          </cell>
          <cell r="Y144">
            <v>160.79</v>
          </cell>
          <cell r="Z144">
            <v>167.9</v>
          </cell>
          <cell r="AA144">
            <v>164.59</v>
          </cell>
          <cell r="AB144">
            <v>159.63</v>
          </cell>
          <cell r="AC144">
            <v>159.99</v>
          </cell>
        </row>
        <row r="145">
          <cell r="A145" t="str">
            <v>ACASCBD01_CLONE</v>
          </cell>
          <cell r="B145">
            <v>0</v>
          </cell>
          <cell r="C145">
            <v>0</v>
          </cell>
          <cell r="D145">
            <v>47.38</v>
          </cell>
          <cell r="E145">
            <v>80.13</v>
          </cell>
          <cell r="F145">
            <v>79.92</v>
          </cell>
          <cell r="G145">
            <v>79.77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 t="e">
            <v>#N/A</v>
          </cell>
          <cell r="S145">
            <v>0</v>
          </cell>
          <cell r="T145" t="e">
            <v>#N/A</v>
          </cell>
          <cell r="U145" t="e">
            <v>#N/A</v>
          </cell>
          <cell r="V145" t="e">
            <v>#N/A</v>
          </cell>
          <cell r="W145" t="e">
            <v>#N/A</v>
          </cell>
          <cell r="X145" t="e">
            <v>#N/A</v>
          </cell>
          <cell r="Y145" t="e">
            <v>#N/A</v>
          </cell>
          <cell r="Z145" t="e">
            <v>#N/A</v>
          </cell>
          <cell r="AA145" t="e">
            <v>#N/A</v>
          </cell>
          <cell r="AB145" t="e">
            <v>#N/A</v>
          </cell>
          <cell r="AC145" t="e">
            <v>#N/A</v>
          </cell>
        </row>
        <row r="146">
          <cell r="A146" t="str">
            <v>ACASCPR01</v>
          </cell>
          <cell r="B146">
            <v>131.66999999999999</v>
          </cell>
          <cell r="C146">
            <v>134.78</v>
          </cell>
          <cell r="D146">
            <v>201.37</v>
          </cell>
          <cell r="E146">
            <v>221.96</v>
          </cell>
          <cell r="F146">
            <v>209.5</v>
          </cell>
          <cell r="G146">
            <v>188.44</v>
          </cell>
          <cell r="H146">
            <v>195.39</v>
          </cell>
          <cell r="I146">
            <v>219.85</v>
          </cell>
          <cell r="J146">
            <v>0</v>
          </cell>
          <cell r="K146">
            <v>0</v>
          </cell>
          <cell r="L146">
            <v>58.12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 t="e">
            <v>#N/A</v>
          </cell>
          <cell r="S146">
            <v>0</v>
          </cell>
          <cell r="T146" t="e">
            <v>#N/A</v>
          </cell>
          <cell r="U146" t="e">
            <v>#N/A</v>
          </cell>
          <cell r="V146" t="e">
            <v>#N/A</v>
          </cell>
          <cell r="W146">
            <v>86.42</v>
          </cell>
          <cell r="X146" t="e">
            <v>#N/A</v>
          </cell>
          <cell r="Y146" t="e">
            <v>#N/A</v>
          </cell>
          <cell r="Z146" t="e">
            <v>#N/A</v>
          </cell>
          <cell r="AA146" t="e">
            <v>#N/A</v>
          </cell>
          <cell r="AB146" t="e">
            <v>#N/A</v>
          </cell>
          <cell r="AC146" t="e">
            <v>#N/A</v>
          </cell>
        </row>
        <row r="147">
          <cell r="A147" t="str">
            <v>ACASCPR02</v>
          </cell>
          <cell r="B147">
            <v>131.69999999999999</v>
          </cell>
          <cell r="C147">
            <v>132</v>
          </cell>
          <cell r="D147">
            <v>142.72</v>
          </cell>
          <cell r="E147">
            <v>160.18</v>
          </cell>
          <cell r="F147">
            <v>206.23</v>
          </cell>
          <cell r="G147">
            <v>185.16</v>
          </cell>
          <cell r="H147">
            <v>83.61</v>
          </cell>
          <cell r="I147">
            <v>68.23</v>
          </cell>
          <cell r="J147">
            <v>0</v>
          </cell>
          <cell r="K147">
            <v>0</v>
          </cell>
          <cell r="L147">
            <v>18.86</v>
          </cell>
          <cell r="M147">
            <v>33.549999999999997</v>
          </cell>
          <cell r="N147">
            <v>136.31</v>
          </cell>
          <cell r="O147">
            <v>190.71</v>
          </cell>
          <cell r="P147">
            <v>193.94</v>
          </cell>
          <cell r="Q147">
            <v>187.99</v>
          </cell>
          <cell r="R147">
            <v>192.68</v>
          </cell>
          <cell r="S147">
            <v>192.08</v>
          </cell>
          <cell r="T147">
            <v>191.98</v>
          </cell>
          <cell r="U147">
            <v>191.21</v>
          </cell>
          <cell r="V147">
            <v>189.37</v>
          </cell>
          <cell r="W147">
            <v>176.52</v>
          </cell>
          <cell r="X147">
            <v>190.43</v>
          </cell>
          <cell r="Y147">
            <v>190.35</v>
          </cell>
          <cell r="Z147">
            <v>169.93</v>
          </cell>
          <cell r="AA147">
            <v>187.12</v>
          </cell>
          <cell r="AB147">
            <v>188.59</v>
          </cell>
          <cell r="AC147">
            <v>188.35</v>
          </cell>
        </row>
        <row r="148">
          <cell r="A148" t="str">
            <v>ACASCPR03</v>
          </cell>
          <cell r="B148">
            <v>131.06</v>
          </cell>
          <cell r="C148">
            <v>141.07</v>
          </cell>
          <cell r="D148">
            <v>0</v>
          </cell>
          <cell r="E148">
            <v>0</v>
          </cell>
          <cell r="F148">
            <v>21.88</v>
          </cell>
          <cell r="G148">
            <v>113.1</v>
          </cell>
          <cell r="H148">
            <v>116.86</v>
          </cell>
          <cell r="I148">
            <v>111.46</v>
          </cell>
          <cell r="J148">
            <v>21.73</v>
          </cell>
          <cell r="K148">
            <v>16.21</v>
          </cell>
          <cell r="L148">
            <v>42.06</v>
          </cell>
          <cell r="M148">
            <v>44.71</v>
          </cell>
          <cell r="N148">
            <v>44.66</v>
          </cell>
          <cell r="O148">
            <v>52.59</v>
          </cell>
          <cell r="P148">
            <v>73.34</v>
          </cell>
          <cell r="Q148">
            <v>88.17</v>
          </cell>
          <cell r="R148">
            <v>61.72</v>
          </cell>
          <cell r="S148">
            <v>91.1</v>
          </cell>
          <cell r="T148">
            <v>90.71</v>
          </cell>
          <cell r="U148">
            <v>64.680000000000007</v>
          </cell>
          <cell r="V148">
            <v>64.900000000000006</v>
          </cell>
          <cell r="W148">
            <v>46.06</v>
          </cell>
          <cell r="X148" t="e">
            <v>#N/A</v>
          </cell>
          <cell r="Y148" t="e">
            <v>#N/A</v>
          </cell>
          <cell r="Z148" t="e">
            <v>#N/A</v>
          </cell>
          <cell r="AA148" t="e">
            <v>#N/A</v>
          </cell>
          <cell r="AB148" t="e">
            <v>#N/A</v>
          </cell>
          <cell r="AC148" t="e">
            <v>#N/A</v>
          </cell>
        </row>
        <row r="149">
          <cell r="A149" t="str">
            <v>ACASCPR04</v>
          </cell>
          <cell r="B149">
            <v>50.38</v>
          </cell>
          <cell r="C149">
            <v>50.24</v>
          </cell>
          <cell r="D149">
            <v>57.85</v>
          </cell>
          <cell r="E149">
            <v>96.03</v>
          </cell>
          <cell r="F149">
            <v>205.01</v>
          </cell>
          <cell r="G149">
            <v>158.31</v>
          </cell>
          <cell r="H149">
            <v>120.31</v>
          </cell>
          <cell r="I149">
            <v>109.65</v>
          </cell>
          <cell r="J149">
            <v>81.47</v>
          </cell>
          <cell r="K149">
            <v>67.680000000000007</v>
          </cell>
          <cell r="L149">
            <v>64.290000000000006</v>
          </cell>
          <cell r="M149">
            <v>57.06</v>
          </cell>
          <cell r="N149">
            <v>56.41</v>
          </cell>
          <cell r="O149">
            <v>60.27</v>
          </cell>
          <cell r="P149">
            <v>79.53</v>
          </cell>
          <cell r="Q149">
            <v>81.31</v>
          </cell>
          <cell r="R149">
            <v>85.71</v>
          </cell>
          <cell r="S149">
            <v>85.9</v>
          </cell>
          <cell r="T149">
            <v>65.52</v>
          </cell>
          <cell r="U149">
            <v>63.75</v>
          </cell>
          <cell r="V149">
            <v>63.78</v>
          </cell>
          <cell r="W149">
            <v>63.23</v>
          </cell>
          <cell r="X149" t="e">
            <v>#N/A</v>
          </cell>
          <cell r="Y149" t="e">
            <v>#N/A</v>
          </cell>
          <cell r="Z149" t="e">
            <v>#N/A</v>
          </cell>
          <cell r="AA149" t="e">
            <v>#N/A</v>
          </cell>
          <cell r="AB149" t="e">
            <v>#N/A</v>
          </cell>
          <cell r="AC149" t="e">
            <v>#N/A</v>
          </cell>
        </row>
        <row r="150">
          <cell r="A150" t="str">
            <v>ACASCPR05</v>
          </cell>
          <cell r="B150">
            <v>17.82</v>
          </cell>
          <cell r="C150">
            <v>75.849999999999994</v>
          </cell>
          <cell r="D150">
            <v>109.29</v>
          </cell>
          <cell r="E150">
            <v>107.86</v>
          </cell>
          <cell r="F150">
            <v>60.68</v>
          </cell>
          <cell r="G150">
            <v>63.96</v>
          </cell>
          <cell r="H150">
            <v>0</v>
          </cell>
          <cell r="I150">
            <v>0</v>
          </cell>
          <cell r="J150">
            <v>16.89</v>
          </cell>
          <cell r="K150">
            <v>13.92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 t="e">
            <v>#N/A</v>
          </cell>
          <cell r="S150">
            <v>0</v>
          </cell>
          <cell r="T150" t="e">
            <v>#N/A</v>
          </cell>
          <cell r="U150" t="e">
            <v>#N/A</v>
          </cell>
          <cell r="V150" t="e">
            <v>#N/A</v>
          </cell>
          <cell r="W150" t="e">
            <v>#N/A</v>
          </cell>
          <cell r="X150" t="e">
            <v>#N/A</v>
          </cell>
          <cell r="Y150" t="e">
            <v>#N/A</v>
          </cell>
          <cell r="Z150" t="e">
            <v>#N/A</v>
          </cell>
          <cell r="AA150" t="e">
            <v>#N/A</v>
          </cell>
          <cell r="AB150" t="e">
            <v>#N/A</v>
          </cell>
          <cell r="AC150" t="e">
            <v>#N/A</v>
          </cell>
        </row>
        <row r="151">
          <cell r="A151" t="str">
            <v>ACASCPR06</v>
          </cell>
          <cell r="B151">
            <v>0</v>
          </cell>
          <cell r="C151">
            <v>11.09</v>
          </cell>
          <cell r="D151">
            <v>13.74</v>
          </cell>
          <cell r="E151">
            <v>13.33</v>
          </cell>
          <cell r="F151">
            <v>13.4</v>
          </cell>
          <cell r="G151">
            <v>13.69</v>
          </cell>
          <cell r="H151">
            <v>13.82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 t="e">
            <v>#N/A</v>
          </cell>
          <cell r="S151">
            <v>0</v>
          </cell>
          <cell r="T151" t="e">
            <v>#N/A</v>
          </cell>
          <cell r="U151" t="e">
            <v>#N/A</v>
          </cell>
          <cell r="V151" t="e">
            <v>#N/A</v>
          </cell>
          <cell r="W151" t="e">
            <v>#N/A</v>
          </cell>
          <cell r="X151" t="e">
            <v>#N/A</v>
          </cell>
          <cell r="Y151" t="e">
            <v>#N/A</v>
          </cell>
          <cell r="Z151" t="e">
            <v>#N/A</v>
          </cell>
          <cell r="AA151" t="e">
            <v>#N/A</v>
          </cell>
          <cell r="AB151" t="e">
            <v>#N/A</v>
          </cell>
          <cell r="AC151" t="e">
            <v>#N/A</v>
          </cell>
        </row>
        <row r="152">
          <cell r="A152" t="str">
            <v>ACASCPR07</v>
          </cell>
          <cell r="B152">
            <v>0</v>
          </cell>
          <cell r="C152">
            <v>11.11</v>
          </cell>
          <cell r="D152">
            <v>13.72</v>
          </cell>
          <cell r="E152">
            <v>13.39</v>
          </cell>
          <cell r="F152">
            <v>13.45</v>
          </cell>
          <cell r="G152">
            <v>13.78</v>
          </cell>
          <cell r="H152">
            <v>13.95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 t="e">
            <v>#N/A</v>
          </cell>
          <cell r="S152">
            <v>0</v>
          </cell>
          <cell r="T152" t="e">
            <v>#N/A</v>
          </cell>
          <cell r="U152" t="e">
            <v>#N/A</v>
          </cell>
          <cell r="V152" t="e">
            <v>#N/A</v>
          </cell>
          <cell r="W152" t="e">
            <v>#N/A</v>
          </cell>
          <cell r="X152" t="e">
            <v>#N/A</v>
          </cell>
          <cell r="Y152" t="e">
            <v>#N/A</v>
          </cell>
          <cell r="Z152" t="e">
            <v>#N/A</v>
          </cell>
          <cell r="AA152" t="e">
            <v>#N/A</v>
          </cell>
          <cell r="AB152" t="e">
            <v>#N/A</v>
          </cell>
          <cell r="AC152" t="e">
            <v>#N/A</v>
          </cell>
        </row>
        <row r="153">
          <cell r="A153" t="str">
            <v>ACASCPR08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15.1</v>
          </cell>
          <cell r="I153">
            <v>15.22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19.59</v>
          </cell>
          <cell r="O153">
            <v>0</v>
          </cell>
          <cell r="P153">
            <v>0</v>
          </cell>
          <cell r="Q153">
            <v>0</v>
          </cell>
          <cell r="R153" t="e">
            <v>#N/A</v>
          </cell>
          <cell r="S153">
            <v>0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A153" t="e">
            <v>#N/A</v>
          </cell>
          <cell r="AB153" t="e">
            <v>#N/A</v>
          </cell>
          <cell r="AC153" t="e">
            <v>#N/A</v>
          </cell>
        </row>
        <row r="154">
          <cell r="A154" t="str">
            <v>ACCALC</v>
          </cell>
          <cell r="B154">
            <v>14.22</v>
          </cell>
          <cell r="C154">
            <v>16.420000000000002</v>
          </cell>
          <cell r="D154">
            <v>18.63</v>
          </cell>
          <cell r="E154">
            <v>18.579999999999998</v>
          </cell>
          <cell r="F154">
            <v>17.440000000000001</v>
          </cell>
          <cell r="G154">
            <v>17.12</v>
          </cell>
          <cell r="H154">
            <v>17.68</v>
          </cell>
          <cell r="I154">
            <v>17.13</v>
          </cell>
          <cell r="J154">
            <v>18.09</v>
          </cell>
          <cell r="K154">
            <v>19.72</v>
          </cell>
          <cell r="L154">
            <v>26.75</v>
          </cell>
          <cell r="M154">
            <v>33.1</v>
          </cell>
          <cell r="N154">
            <v>35.18</v>
          </cell>
          <cell r="O154">
            <v>29.82</v>
          </cell>
          <cell r="P154">
            <v>25.77</v>
          </cell>
          <cell r="Q154">
            <v>23.93</v>
          </cell>
          <cell r="R154">
            <v>29.54</v>
          </cell>
          <cell r="S154">
            <v>28.39</v>
          </cell>
          <cell r="T154">
            <v>25.35</v>
          </cell>
          <cell r="U154">
            <v>28.14</v>
          </cell>
          <cell r="V154">
            <v>29.54</v>
          </cell>
          <cell r="W154">
            <v>28.37</v>
          </cell>
          <cell r="X154">
            <v>26.09</v>
          </cell>
          <cell r="Y154">
            <v>28.72</v>
          </cell>
          <cell r="Z154">
            <v>30.24</v>
          </cell>
          <cell r="AA154">
            <v>33.58</v>
          </cell>
          <cell r="AB154">
            <v>38.270000000000003</v>
          </cell>
          <cell r="AC154">
            <v>39.92</v>
          </cell>
        </row>
        <row r="155">
          <cell r="A155" t="str">
            <v>ACCLUSTER_CNSC_01</v>
          </cell>
          <cell r="B155">
            <v>35.44</v>
          </cell>
          <cell r="C155">
            <v>16.739999999999998</v>
          </cell>
          <cell r="D155">
            <v>20.8</v>
          </cell>
          <cell r="E155">
            <v>22.01</v>
          </cell>
          <cell r="F155">
            <v>63.82</v>
          </cell>
          <cell r="G155">
            <v>86.88</v>
          </cell>
          <cell r="H155">
            <v>107.09</v>
          </cell>
          <cell r="I155">
            <v>74.53</v>
          </cell>
          <cell r="J155">
            <v>79.010000000000005</v>
          </cell>
          <cell r="K155">
            <v>99.37</v>
          </cell>
          <cell r="L155">
            <v>105.07</v>
          </cell>
          <cell r="M155">
            <v>56.29</v>
          </cell>
          <cell r="N155">
            <v>59.67</v>
          </cell>
          <cell r="O155">
            <v>72.77</v>
          </cell>
          <cell r="P155">
            <v>50.19</v>
          </cell>
          <cell r="Q155">
            <v>27.07</v>
          </cell>
          <cell r="R155">
            <v>25.83</v>
          </cell>
          <cell r="S155">
            <v>35.18</v>
          </cell>
          <cell r="T155">
            <v>36.11</v>
          </cell>
          <cell r="U155">
            <v>25.75</v>
          </cell>
          <cell r="V155">
            <v>23.53</v>
          </cell>
          <cell r="W155">
            <v>21.9</v>
          </cell>
          <cell r="X155">
            <v>22.34</v>
          </cell>
          <cell r="Y155">
            <v>24.06</v>
          </cell>
          <cell r="Z155">
            <v>26.66</v>
          </cell>
          <cell r="AA155">
            <v>81.290000000000006</v>
          </cell>
          <cell r="AB155">
            <v>111.08</v>
          </cell>
          <cell r="AC155">
            <v>113.33</v>
          </cell>
        </row>
        <row r="156">
          <cell r="A156" t="str">
            <v>ACCLUSTER_CNSC_01_DS4800</v>
          </cell>
          <cell r="B156">
            <v>66.900000000000006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 t="e">
            <v>#N/A</v>
          </cell>
          <cell r="S156">
            <v>0</v>
          </cell>
          <cell r="T156" t="e">
            <v>#N/A</v>
          </cell>
          <cell r="U156" t="e">
            <v>#N/A</v>
          </cell>
          <cell r="V156" t="e">
            <v>#N/A</v>
          </cell>
          <cell r="W156" t="e">
            <v>#N/A</v>
          </cell>
          <cell r="X156" t="e">
            <v>#N/A</v>
          </cell>
          <cell r="Y156" t="e">
            <v>#N/A</v>
          </cell>
          <cell r="Z156" t="e">
            <v>#N/A</v>
          </cell>
          <cell r="AA156" t="e">
            <v>#N/A</v>
          </cell>
          <cell r="AB156" t="e">
            <v>#N/A</v>
          </cell>
          <cell r="AC156" t="e">
            <v>#N/A</v>
          </cell>
        </row>
        <row r="157">
          <cell r="A157" t="str">
            <v>ACCLUSTER_CNSC_02</v>
          </cell>
          <cell r="B157">
            <v>41.89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 t="e">
            <v>#N/A</v>
          </cell>
          <cell r="S157">
            <v>0</v>
          </cell>
          <cell r="T157" t="e">
            <v>#N/A</v>
          </cell>
          <cell r="U157" t="e">
            <v>#N/A</v>
          </cell>
          <cell r="V157" t="e">
            <v>#N/A</v>
          </cell>
          <cell r="W157">
            <v>29.24</v>
          </cell>
          <cell r="X157">
            <v>32.450000000000003</v>
          </cell>
          <cell r="Y157">
            <v>32.9</v>
          </cell>
          <cell r="Z157">
            <v>33.49</v>
          </cell>
          <cell r="AA157">
            <v>44.93</v>
          </cell>
          <cell r="AB157">
            <v>51.1</v>
          </cell>
          <cell r="AC157">
            <v>54.76</v>
          </cell>
        </row>
        <row r="158">
          <cell r="A158" t="str">
            <v>ACCLUSTER_CNSC_03</v>
          </cell>
          <cell r="B158">
            <v>0</v>
          </cell>
          <cell r="C158">
            <v>16.64</v>
          </cell>
          <cell r="D158">
            <v>0</v>
          </cell>
          <cell r="E158">
            <v>0</v>
          </cell>
          <cell r="F158">
            <v>0</v>
          </cell>
          <cell r="G158">
            <v>12.02</v>
          </cell>
          <cell r="H158">
            <v>11.82</v>
          </cell>
          <cell r="I158">
            <v>11.74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 t="e">
            <v>#N/A</v>
          </cell>
          <cell r="S158">
            <v>0</v>
          </cell>
          <cell r="T158" t="e">
            <v>#N/A</v>
          </cell>
          <cell r="U158" t="e">
            <v>#N/A</v>
          </cell>
          <cell r="V158" t="e">
            <v>#N/A</v>
          </cell>
          <cell r="W158" t="e">
            <v>#N/A</v>
          </cell>
          <cell r="X158" t="e">
            <v>#N/A</v>
          </cell>
          <cell r="Y158" t="e">
            <v>#N/A</v>
          </cell>
          <cell r="Z158" t="e">
            <v>#N/A</v>
          </cell>
          <cell r="AA158" t="e">
            <v>#N/A</v>
          </cell>
          <cell r="AB158" t="e">
            <v>#N/A</v>
          </cell>
          <cell r="AC158" t="e">
            <v>#N/A</v>
          </cell>
        </row>
        <row r="159">
          <cell r="A159" t="str">
            <v>ACCLUSTER_CNSC_04</v>
          </cell>
          <cell r="B159">
            <v>0</v>
          </cell>
          <cell r="C159">
            <v>27.02</v>
          </cell>
          <cell r="D159">
            <v>10.93</v>
          </cell>
          <cell r="E159">
            <v>17.329999999999998</v>
          </cell>
          <cell r="F159">
            <v>30.1</v>
          </cell>
          <cell r="G159">
            <v>32.909999999999997</v>
          </cell>
          <cell r="H159">
            <v>52.97</v>
          </cell>
          <cell r="I159">
            <v>51.61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 t="e">
            <v>#N/A</v>
          </cell>
          <cell r="S159">
            <v>0</v>
          </cell>
          <cell r="T159" t="e">
            <v>#N/A</v>
          </cell>
          <cell r="U159" t="e">
            <v>#N/A</v>
          </cell>
          <cell r="V159" t="e">
            <v>#N/A</v>
          </cell>
          <cell r="W159" t="e">
            <v>#N/A</v>
          </cell>
          <cell r="X159" t="e">
            <v>#N/A</v>
          </cell>
          <cell r="Y159" t="e">
            <v>#N/A</v>
          </cell>
          <cell r="Z159" t="e">
            <v>#N/A</v>
          </cell>
          <cell r="AA159" t="e">
            <v>#N/A</v>
          </cell>
          <cell r="AB159" t="e">
            <v>#N/A</v>
          </cell>
          <cell r="AC159" t="e">
            <v>#N/A</v>
          </cell>
        </row>
        <row r="160">
          <cell r="A160" t="str">
            <v>ACCLUSTER_CNSC_05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16.86</v>
          </cell>
          <cell r="H160">
            <v>16.079999999999998</v>
          </cell>
          <cell r="I160">
            <v>17.39</v>
          </cell>
          <cell r="J160">
            <v>17.940000000000001</v>
          </cell>
          <cell r="K160">
            <v>18.149999999999999</v>
          </cell>
          <cell r="L160">
            <v>18.18</v>
          </cell>
          <cell r="M160">
            <v>19.75</v>
          </cell>
          <cell r="N160">
            <v>23.89</v>
          </cell>
          <cell r="O160">
            <v>25.49</v>
          </cell>
          <cell r="P160">
            <v>27.1</v>
          </cell>
          <cell r="Q160">
            <v>29.1</v>
          </cell>
          <cell r="R160">
            <v>30.65</v>
          </cell>
          <cell r="S160">
            <v>26.9</v>
          </cell>
          <cell r="T160">
            <v>23.1</v>
          </cell>
          <cell r="U160">
            <v>24.82</v>
          </cell>
          <cell r="V160">
            <v>26.81</v>
          </cell>
          <cell r="W160">
            <v>29.02</v>
          </cell>
          <cell r="X160" t="e">
            <v>#N/A</v>
          </cell>
          <cell r="Y160" t="e">
            <v>#N/A</v>
          </cell>
          <cell r="Z160" t="e">
            <v>#N/A</v>
          </cell>
          <cell r="AA160" t="e">
            <v>#N/A</v>
          </cell>
          <cell r="AB160" t="e">
            <v>#N/A</v>
          </cell>
          <cell r="AC160" t="e">
            <v>#N/A</v>
          </cell>
        </row>
        <row r="161">
          <cell r="A161" t="str">
            <v>ACCNSAP01</v>
          </cell>
          <cell r="B161">
            <v>27.21</v>
          </cell>
          <cell r="C161">
            <v>27.41</v>
          </cell>
          <cell r="D161">
            <v>27.36</v>
          </cell>
          <cell r="E161">
            <v>40.17</v>
          </cell>
          <cell r="F161">
            <v>48.15</v>
          </cell>
          <cell r="G161">
            <v>58.55</v>
          </cell>
          <cell r="H161">
            <v>39</v>
          </cell>
          <cell r="I161">
            <v>68.489999999999995</v>
          </cell>
          <cell r="J161">
            <v>28.05</v>
          </cell>
          <cell r="K161">
            <v>26.72</v>
          </cell>
          <cell r="L161">
            <v>38.11</v>
          </cell>
          <cell r="M161">
            <v>0</v>
          </cell>
          <cell r="N161">
            <v>29.98</v>
          </cell>
          <cell r="O161">
            <v>0</v>
          </cell>
          <cell r="P161">
            <v>20.36</v>
          </cell>
          <cell r="Q161">
            <v>21.26</v>
          </cell>
          <cell r="R161">
            <v>21.65</v>
          </cell>
          <cell r="S161">
            <v>21.77</v>
          </cell>
          <cell r="T161">
            <v>23.21</v>
          </cell>
          <cell r="U161">
            <v>24.17</v>
          </cell>
          <cell r="V161">
            <v>25.96</v>
          </cell>
          <cell r="W161">
            <v>25.3</v>
          </cell>
          <cell r="X161" t="e">
            <v>#N/A</v>
          </cell>
          <cell r="Y161" t="e">
            <v>#N/A</v>
          </cell>
          <cell r="Z161" t="e">
            <v>#N/A</v>
          </cell>
          <cell r="AA161" t="e">
            <v>#N/A</v>
          </cell>
          <cell r="AB161" t="e">
            <v>#N/A</v>
          </cell>
          <cell r="AC161" t="e">
            <v>#N/A</v>
          </cell>
        </row>
        <row r="162">
          <cell r="A162" t="str">
            <v>ACCNSAP02</v>
          </cell>
          <cell r="B162">
            <v>25.25</v>
          </cell>
          <cell r="C162">
            <v>27.12</v>
          </cell>
          <cell r="D162">
            <v>50.17</v>
          </cell>
          <cell r="E162">
            <v>36.17</v>
          </cell>
          <cell r="F162">
            <v>25.46</v>
          </cell>
          <cell r="G162">
            <v>25.72</v>
          </cell>
          <cell r="H162">
            <v>26.57</v>
          </cell>
          <cell r="I162">
            <v>27.24</v>
          </cell>
          <cell r="J162">
            <v>27.15</v>
          </cell>
          <cell r="K162">
            <v>26.28</v>
          </cell>
          <cell r="L162">
            <v>35.6</v>
          </cell>
          <cell r="M162">
            <v>38.17</v>
          </cell>
          <cell r="N162">
            <v>30.49</v>
          </cell>
          <cell r="O162">
            <v>0</v>
          </cell>
          <cell r="P162">
            <v>22.98</v>
          </cell>
          <cell r="Q162">
            <v>22.33</v>
          </cell>
          <cell r="R162">
            <v>21.92</v>
          </cell>
          <cell r="S162">
            <v>22.05</v>
          </cell>
          <cell r="T162">
            <v>22.13</v>
          </cell>
          <cell r="U162">
            <v>22.06</v>
          </cell>
          <cell r="V162">
            <v>22.37</v>
          </cell>
          <cell r="W162">
            <v>21.89</v>
          </cell>
          <cell r="X162">
            <v>23.13</v>
          </cell>
          <cell r="Y162">
            <v>27.67</v>
          </cell>
          <cell r="Z162">
            <v>27.75</v>
          </cell>
          <cell r="AA162">
            <v>31.28</v>
          </cell>
          <cell r="AB162" t="e">
            <v>#N/A</v>
          </cell>
          <cell r="AC162" t="e">
            <v>#N/A</v>
          </cell>
        </row>
        <row r="163">
          <cell r="A163" t="str">
            <v>ACCNSAP03</v>
          </cell>
          <cell r="B163">
            <v>0</v>
          </cell>
          <cell r="C163">
            <v>0</v>
          </cell>
          <cell r="D163">
            <v>0</v>
          </cell>
          <cell r="E163">
            <v>24.83</v>
          </cell>
          <cell r="F163">
            <v>0</v>
          </cell>
          <cell r="G163">
            <v>18.010000000000002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17.07</v>
          </cell>
          <cell r="Q163">
            <v>19.68</v>
          </cell>
          <cell r="R163">
            <v>19.32</v>
          </cell>
          <cell r="S163">
            <v>19.46</v>
          </cell>
          <cell r="T163">
            <v>16.32</v>
          </cell>
          <cell r="U163">
            <v>14.05</v>
          </cell>
          <cell r="V163">
            <v>14.91</v>
          </cell>
          <cell r="W163">
            <v>25.62</v>
          </cell>
          <cell r="X163" t="e">
            <v>#N/A</v>
          </cell>
          <cell r="Y163" t="e">
            <v>#N/A</v>
          </cell>
          <cell r="Z163" t="e">
            <v>#N/A</v>
          </cell>
          <cell r="AA163" t="e">
            <v>#N/A</v>
          </cell>
          <cell r="AB163" t="e">
            <v>#N/A</v>
          </cell>
          <cell r="AC163" t="e">
            <v>#N/A</v>
          </cell>
        </row>
        <row r="164">
          <cell r="A164" t="str">
            <v>ACCNSAP04</v>
          </cell>
          <cell r="B164">
            <v>0</v>
          </cell>
          <cell r="C164">
            <v>0</v>
          </cell>
          <cell r="D164">
            <v>0</v>
          </cell>
          <cell r="E164">
            <v>47.57</v>
          </cell>
          <cell r="F164">
            <v>0</v>
          </cell>
          <cell r="G164">
            <v>17.52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16.86</v>
          </cell>
          <cell r="Q164">
            <v>19.68</v>
          </cell>
          <cell r="R164">
            <v>18.940000000000001</v>
          </cell>
          <cell r="S164">
            <v>19.2</v>
          </cell>
          <cell r="T164">
            <v>15.21</v>
          </cell>
          <cell r="U164">
            <v>14.34</v>
          </cell>
          <cell r="V164">
            <v>14.33</v>
          </cell>
          <cell r="W164">
            <v>21.03</v>
          </cell>
          <cell r="X164">
            <v>21.61</v>
          </cell>
          <cell r="Y164">
            <v>21.69</v>
          </cell>
          <cell r="Z164">
            <v>22.07</v>
          </cell>
          <cell r="AA164">
            <v>22.42</v>
          </cell>
          <cell r="AB164" t="e">
            <v>#N/A</v>
          </cell>
          <cell r="AC164" t="e">
            <v>#N/A</v>
          </cell>
        </row>
        <row r="165">
          <cell r="A165" t="str">
            <v>ACCNSAP05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40</v>
          </cell>
          <cell r="G165">
            <v>37.229999999999997</v>
          </cell>
          <cell r="H165">
            <v>35.090000000000003</v>
          </cell>
          <cell r="I165">
            <v>41.28</v>
          </cell>
          <cell r="J165">
            <v>47.37</v>
          </cell>
          <cell r="K165">
            <v>41.21</v>
          </cell>
          <cell r="L165">
            <v>35.799999999999997</v>
          </cell>
          <cell r="M165">
            <v>58.21</v>
          </cell>
          <cell r="N165">
            <v>71.22</v>
          </cell>
          <cell r="O165">
            <v>80.400000000000006</v>
          </cell>
          <cell r="P165">
            <v>94.64</v>
          </cell>
          <cell r="Q165">
            <v>112.5</v>
          </cell>
          <cell r="R165">
            <v>114.06</v>
          </cell>
          <cell r="S165">
            <v>114.36</v>
          </cell>
          <cell r="T165">
            <v>114.22</v>
          </cell>
          <cell r="U165">
            <v>112.41</v>
          </cell>
          <cell r="V165">
            <v>114.05</v>
          </cell>
          <cell r="W165">
            <v>112.19</v>
          </cell>
          <cell r="X165">
            <v>113.56</v>
          </cell>
          <cell r="Y165">
            <v>113.84</v>
          </cell>
          <cell r="Z165">
            <v>111.55</v>
          </cell>
          <cell r="AA165">
            <v>114.79</v>
          </cell>
          <cell r="AB165">
            <v>120.16</v>
          </cell>
          <cell r="AC165">
            <v>116.75</v>
          </cell>
        </row>
        <row r="166">
          <cell r="A166" t="str">
            <v>ACCNSAP05_CLONE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14.9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 t="e">
            <v>#N/A</v>
          </cell>
          <cell r="S166">
            <v>0</v>
          </cell>
          <cell r="T166" t="e">
            <v>#N/A</v>
          </cell>
          <cell r="U166" t="e">
            <v>#N/A</v>
          </cell>
          <cell r="V166" t="e">
            <v>#N/A</v>
          </cell>
          <cell r="W166" t="e">
            <v>#N/A</v>
          </cell>
          <cell r="X166" t="e">
            <v>#N/A</v>
          </cell>
          <cell r="Y166" t="e">
            <v>#N/A</v>
          </cell>
          <cell r="Z166" t="e">
            <v>#N/A</v>
          </cell>
          <cell r="AA166" t="e">
            <v>#N/A</v>
          </cell>
          <cell r="AB166" t="e">
            <v>#N/A</v>
          </cell>
          <cell r="AC166" t="e">
            <v>#N/A</v>
          </cell>
        </row>
        <row r="167">
          <cell r="A167" t="str">
            <v>ACCNSBD01</v>
          </cell>
          <cell r="B167">
            <v>88.83</v>
          </cell>
          <cell r="C167">
            <v>144.88999999999999</v>
          </cell>
          <cell r="D167">
            <v>166.12</v>
          </cell>
          <cell r="E167">
            <v>185.91</v>
          </cell>
          <cell r="F167">
            <v>177.9</v>
          </cell>
          <cell r="G167">
            <v>187.69</v>
          </cell>
          <cell r="H167">
            <v>183.93</v>
          </cell>
          <cell r="I167">
            <v>141.69999999999999</v>
          </cell>
          <cell r="J167">
            <v>77.540000000000006</v>
          </cell>
          <cell r="K167">
            <v>72.84</v>
          </cell>
          <cell r="L167">
            <v>75.349999999999994</v>
          </cell>
          <cell r="M167">
            <v>73.2</v>
          </cell>
          <cell r="N167">
            <v>119.14</v>
          </cell>
          <cell r="O167">
            <v>163.38</v>
          </cell>
          <cell r="P167">
            <v>142.74</v>
          </cell>
          <cell r="Q167">
            <v>148.35</v>
          </cell>
          <cell r="R167">
            <v>148.97</v>
          </cell>
          <cell r="S167">
            <v>172.78</v>
          </cell>
          <cell r="T167">
            <v>174.11</v>
          </cell>
          <cell r="U167">
            <v>162.22</v>
          </cell>
          <cell r="V167">
            <v>138.94999999999999</v>
          </cell>
          <cell r="W167">
            <v>119.27</v>
          </cell>
          <cell r="X167">
            <v>149.29</v>
          </cell>
          <cell r="Y167">
            <v>162.19</v>
          </cell>
          <cell r="Z167">
            <v>210.16</v>
          </cell>
          <cell r="AA167">
            <v>274.18</v>
          </cell>
          <cell r="AB167">
            <v>311.61</v>
          </cell>
          <cell r="AC167">
            <v>302.43</v>
          </cell>
        </row>
        <row r="168">
          <cell r="A168" t="str">
            <v>ACCNSBD01_CLONE_XIV No borrar</v>
          </cell>
          <cell r="B168">
            <v>0</v>
          </cell>
          <cell r="C168">
            <v>0</v>
          </cell>
          <cell r="D168">
            <v>0</v>
          </cell>
          <cell r="E168">
            <v>14.17</v>
          </cell>
          <cell r="F168">
            <v>22.4</v>
          </cell>
          <cell r="G168">
            <v>20.9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 t="e">
            <v>#N/A</v>
          </cell>
          <cell r="S168">
            <v>0</v>
          </cell>
          <cell r="T168" t="e">
            <v>#N/A</v>
          </cell>
          <cell r="U168" t="e">
            <v>#N/A</v>
          </cell>
          <cell r="V168" t="e">
            <v>#N/A</v>
          </cell>
          <cell r="W168" t="e">
            <v>#N/A</v>
          </cell>
          <cell r="X168" t="e">
            <v>#N/A</v>
          </cell>
          <cell r="Y168" t="e">
            <v>#N/A</v>
          </cell>
          <cell r="Z168" t="e">
            <v>#N/A</v>
          </cell>
          <cell r="AA168" t="e">
            <v>#N/A</v>
          </cell>
          <cell r="AB168" t="e">
            <v>#N/A</v>
          </cell>
          <cell r="AC168" t="e">
            <v>#N/A</v>
          </cell>
        </row>
        <row r="169">
          <cell r="A169" t="str">
            <v>ACCNSBD01_CLONE_XIV Replica</v>
          </cell>
          <cell r="B169">
            <v>21.31</v>
          </cell>
          <cell r="C169">
            <v>13.32</v>
          </cell>
          <cell r="D169">
            <v>12.93</v>
          </cell>
          <cell r="E169">
            <v>11.71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 t="e">
            <v>#N/A</v>
          </cell>
          <cell r="S169">
            <v>0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A169" t="e">
            <v>#N/A</v>
          </cell>
          <cell r="AB169" t="e">
            <v>#N/A</v>
          </cell>
          <cell r="AC169" t="e">
            <v>#N/A</v>
          </cell>
        </row>
        <row r="170">
          <cell r="A170" t="str">
            <v>ACCNSBD01_paraborrar</v>
          </cell>
          <cell r="B170">
            <v>0</v>
          </cell>
          <cell r="C170">
            <v>0</v>
          </cell>
          <cell r="D170">
            <v>0</v>
          </cell>
          <cell r="E170">
            <v>28.12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 t="e">
            <v>#N/A</v>
          </cell>
          <cell r="S170">
            <v>0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A170" t="e">
            <v>#N/A</v>
          </cell>
          <cell r="AB170" t="e">
            <v>#N/A</v>
          </cell>
          <cell r="AC170" t="e">
            <v>#N/A</v>
          </cell>
        </row>
        <row r="171">
          <cell r="A171" t="str">
            <v>ACCNSBD01_PARCHES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33.08</v>
          </cell>
          <cell r="O171">
            <v>20.05</v>
          </cell>
          <cell r="P171">
            <v>45.51</v>
          </cell>
          <cell r="Q171">
            <v>63.4</v>
          </cell>
          <cell r="R171">
            <v>63.06</v>
          </cell>
          <cell r="S171">
            <v>0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A171" t="e">
            <v>#N/A</v>
          </cell>
          <cell r="AB171" t="e">
            <v>#N/A</v>
          </cell>
          <cell r="AC171" t="e">
            <v>#N/A</v>
          </cell>
        </row>
        <row r="172">
          <cell r="A172" t="str">
            <v>ACCNSBD01_PROD</v>
          </cell>
          <cell r="B172">
            <v>73.03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 t="e">
            <v>#N/A</v>
          </cell>
          <cell r="S172">
            <v>0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A172" t="e">
            <v>#N/A</v>
          </cell>
          <cell r="AB172" t="e">
            <v>#N/A</v>
          </cell>
          <cell r="AC172" t="e">
            <v>#N/A</v>
          </cell>
        </row>
        <row r="173">
          <cell r="A173" t="str">
            <v>ACCNSBD01_PROD Replica</v>
          </cell>
          <cell r="B173">
            <v>73.86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 t="e">
            <v>#N/A</v>
          </cell>
          <cell r="S173">
            <v>0</v>
          </cell>
          <cell r="T173" t="e">
            <v>#N/A</v>
          </cell>
          <cell r="U173" t="e">
            <v>#N/A</v>
          </cell>
          <cell r="V173" t="e">
            <v>#N/A</v>
          </cell>
          <cell r="W173" t="e">
            <v>#N/A</v>
          </cell>
          <cell r="X173" t="e">
            <v>#N/A</v>
          </cell>
          <cell r="Y173" t="e">
            <v>#N/A</v>
          </cell>
          <cell r="Z173" t="e">
            <v>#N/A</v>
          </cell>
          <cell r="AA173" t="e">
            <v>#N/A</v>
          </cell>
          <cell r="AB173" t="e">
            <v>#N/A</v>
          </cell>
          <cell r="AC173" t="e">
            <v>#N/A</v>
          </cell>
        </row>
        <row r="174">
          <cell r="A174" t="str">
            <v>ACCNSBD01_PROD_REPLICA</v>
          </cell>
          <cell r="B174">
            <v>0</v>
          </cell>
          <cell r="C174">
            <v>0</v>
          </cell>
          <cell r="D174">
            <v>49.46</v>
          </cell>
          <cell r="E174">
            <v>49.46</v>
          </cell>
          <cell r="F174">
            <v>54.67</v>
          </cell>
          <cell r="G174">
            <v>54.72</v>
          </cell>
          <cell r="H174">
            <v>48.65</v>
          </cell>
          <cell r="I174">
            <v>51.51</v>
          </cell>
          <cell r="J174">
            <v>29.99</v>
          </cell>
          <cell r="K174">
            <v>22.2</v>
          </cell>
          <cell r="L174">
            <v>27.09</v>
          </cell>
          <cell r="M174">
            <v>36.01</v>
          </cell>
          <cell r="N174">
            <v>33.28</v>
          </cell>
          <cell r="O174">
            <v>0</v>
          </cell>
          <cell r="P174">
            <v>0</v>
          </cell>
          <cell r="Q174">
            <v>0</v>
          </cell>
          <cell r="R174" t="e">
            <v>#N/A</v>
          </cell>
          <cell r="S174">
            <v>0</v>
          </cell>
          <cell r="T174" t="e">
            <v>#N/A</v>
          </cell>
          <cell r="U174" t="e">
            <v>#N/A</v>
          </cell>
          <cell r="V174" t="e">
            <v>#N/A</v>
          </cell>
          <cell r="W174" t="e">
            <v>#N/A</v>
          </cell>
          <cell r="X174" t="e">
            <v>#N/A</v>
          </cell>
          <cell r="Y174" t="e">
            <v>#N/A</v>
          </cell>
          <cell r="Z174" t="e">
            <v>#N/A</v>
          </cell>
          <cell r="AA174" t="e">
            <v>#N/A</v>
          </cell>
          <cell r="AB174" t="e">
            <v>#N/A</v>
          </cell>
          <cell r="AC174" t="e">
            <v>#N/A</v>
          </cell>
        </row>
        <row r="175">
          <cell r="A175" t="str">
            <v>ACCNSBD01_REPLICA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42.12</v>
          </cell>
          <cell r="H175">
            <v>65.27</v>
          </cell>
          <cell r="I175">
            <v>63.6</v>
          </cell>
          <cell r="J175">
            <v>62.97</v>
          </cell>
          <cell r="K175">
            <v>64.61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 t="e">
            <v>#N/A</v>
          </cell>
          <cell r="S175">
            <v>0</v>
          </cell>
          <cell r="T175" t="e">
            <v>#N/A</v>
          </cell>
          <cell r="U175" t="e">
            <v>#N/A</v>
          </cell>
          <cell r="V175" t="e">
            <v>#N/A</v>
          </cell>
          <cell r="W175" t="e">
            <v>#N/A</v>
          </cell>
          <cell r="X175" t="e">
            <v>#N/A</v>
          </cell>
          <cell r="Y175" t="e">
            <v>#N/A</v>
          </cell>
          <cell r="Z175" t="e">
            <v>#N/A</v>
          </cell>
          <cell r="AA175" t="e">
            <v>#N/A</v>
          </cell>
          <cell r="AB175" t="e">
            <v>#N/A</v>
          </cell>
          <cell r="AC175" t="e">
            <v>#N/A</v>
          </cell>
        </row>
        <row r="176">
          <cell r="A176" t="str">
            <v>ACCNSBD01_SNAP</v>
          </cell>
          <cell r="B176">
            <v>0</v>
          </cell>
          <cell r="C176">
            <v>72.34</v>
          </cell>
          <cell r="D176">
            <v>75.099999999999994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 t="e">
            <v>#N/A</v>
          </cell>
          <cell r="S176">
            <v>0</v>
          </cell>
          <cell r="T176" t="e">
            <v>#N/A</v>
          </cell>
          <cell r="U176" t="e">
            <v>#N/A</v>
          </cell>
          <cell r="V176" t="e">
            <v>#N/A</v>
          </cell>
          <cell r="W176" t="e">
            <v>#N/A</v>
          </cell>
          <cell r="X176" t="e">
            <v>#N/A</v>
          </cell>
          <cell r="Y176" t="e">
            <v>#N/A</v>
          </cell>
          <cell r="Z176" t="e">
            <v>#N/A</v>
          </cell>
          <cell r="AA176" t="e">
            <v>#N/A</v>
          </cell>
          <cell r="AB176" t="e">
            <v>#N/A</v>
          </cell>
          <cell r="AC176" t="e">
            <v>#N/A</v>
          </cell>
        </row>
        <row r="177">
          <cell r="A177" t="str">
            <v>ACCNSBD01SNAP</v>
          </cell>
          <cell r="B177">
            <v>0</v>
          </cell>
          <cell r="C177">
            <v>0</v>
          </cell>
          <cell r="D177">
            <v>69.540000000000006</v>
          </cell>
          <cell r="E177">
            <v>61.59</v>
          </cell>
          <cell r="F177">
            <v>59.03</v>
          </cell>
          <cell r="G177">
            <v>59.85</v>
          </cell>
          <cell r="H177">
            <v>61.63</v>
          </cell>
          <cell r="I177">
            <v>58.64</v>
          </cell>
          <cell r="J177">
            <v>69.58</v>
          </cell>
          <cell r="K177">
            <v>61.32</v>
          </cell>
          <cell r="L177">
            <v>53.62</v>
          </cell>
          <cell r="M177">
            <v>53.74</v>
          </cell>
          <cell r="N177">
            <v>60.67</v>
          </cell>
          <cell r="O177">
            <v>66.39</v>
          </cell>
          <cell r="P177">
            <v>59.79</v>
          </cell>
          <cell r="Q177">
            <v>58.15</v>
          </cell>
          <cell r="R177">
            <v>62.54</v>
          </cell>
          <cell r="S177">
            <v>68.47</v>
          </cell>
          <cell r="T177">
            <v>75.62</v>
          </cell>
          <cell r="U177">
            <v>74.739999999999995</v>
          </cell>
          <cell r="V177">
            <v>74.319999999999993</v>
          </cell>
          <cell r="W177">
            <v>111.36</v>
          </cell>
          <cell r="X177">
            <v>135.28</v>
          </cell>
          <cell r="Y177">
            <v>134</v>
          </cell>
          <cell r="Z177">
            <v>142.08000000000001</v>
          </cell>
          <cell r="AA177">
            <v>243.35</v>
          </cell>
          <cell r="AB177">
            <v>305.51</v>
          </cell>
          <cell r="AC177">
            <v>262.54000000000002</v>
          </cell>
        </row>
        <row r="178">
          <cell r="A178" t="str">
            <v>ACCNSBD01-snap</v>
          </cell>
          <cell r="B178">
            <v>54.67</v>
          </cell>
          <cell r="C178">
            <v>74.81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 t="e">
            <v>#N/A</v>
          </cell>
          <cell r="S178">
            <v>0</v>
          </cell>
          <cell r="T178" t="e">
            <v>#N/A</v>
          </cell>
          <cell r="U178" t="e">
            <v>#N/A</v>
          </cell>
          <cell r="V178" t="e">
            <v>#N/A</v>
          </cell>
          <cell r="W178" t="e">
            <v>#N/A</v>
          </cell>
          <cell r="X178" t="e">
            <v>#N/A</v>
          </cell>
          <cell r="Y178" t="e">
            <v>#N/A</v>
          </cell>
          <cell r="Z178" t="e">
            <v>#N/A</v>
          </cell>
          <cell r="AA178" t="e">
            <v>#N/A</v>
          </cell>
          <cell r="AB178" t="e">
            <v>#N/A</v>
          </cell>
          <cell r="AC178" t="e">
            <v>#N/A</v>
          </cell>
        </row>
        <row r="179">
          <cell r="A179" t="str">
            <v>ACCNSBD02</v>
          </cell>
          <cell r="B179">
            <v>50.54</v>
          </cell>
          <cell r="C179">
            <v>58.38</v>
          </cell>
          <cell r="D179">
            <v>60.43</v>
          </cell>
          <cell r="E179">
            <v>61.43</v>
          </cell>
          <cell r="F179">
            <v>60.19</v>
          </cell>
          <cell r="G179">
            <v>60.03</v>
          </cell>
          <cell r="H179">
            <v>60.95</v>
          </cell>
          <cell r="I179">
            <v>61.08</v>
          </cell>
          <cell r="J179">
            <v>60.65</v>
          </cell>
          <cell r="K179">
            <v>60.62</v>
          </cell>
          <cell r="L179">
            <v>15.82</v>
          </cell>
          <cell r="M179">
            <v>0</v>
          </cell>
          <cell r="N179">
            <v>0</v>
          </cell>
          <cell r="O179">
            <v>0</v>
          </cell>
          <cell r="P179">
            <v>54.19</v>
          </cell>
          <cell r="Q179">
            <v>59.61</v>
          </cell>
          <cell r="R179">
            <v>59.54</v>
          </cell>
          <cell r="S179">
            <v>59.54</v>
          </cell>
          <cell r="T179">
            <v>59.54</v>
          </cell>
          <cell r="U179" t="e">
            <v>#N/A</v>
          </cell>
          <cell r="V179">
            <v>59.53</v>
          </cell>
          <cell r="W179">
            <v>50.94</v>
          </cell>
          <cell r="X179">
            <v>52.09</v>
          </cell>
          <cell r="Y179">
            <v>58.17</v>
          </cell>
          <cell r="Z179">
            <v>59.49</v>
          </cell>
          <cell r="AA179">
            <v>59.39</v>
          </cell>
          <cell r="AB179">
            <v>48.9</v>
          </cell>
          <cell r="AC179">
            <v>54.6</v>
          </cell>
        </row>
        <row r="180">
          <cell r="A180" t="str">
            <v>ACCNSBD03</v>
          </cell>
          <cell r="B180">
            <v>24.51</v>
          </cell>
          <cell r="C180">
            <v>33.43</v>
          </cell>
          <cell r="D180">
            <v>35.200000000000003</v>
          </cell>
          <cell r="E180">
            <v>38.53</v>
          </cell>
          <cell r="F180">
            <v>38.24</v>
          </cell>
          <cell r="G180">
            <v>36.549999999999997</v>
          </cell>
          <cell r="H180">
            <v>38.270000000000003</v>
          </cell>
          <cell r="I180">
            <v>36.67</v>
          </cell>
          <cell r="J180">
            <v>37.950000000000003</v>
          </cell>
          <cell r="K180">
            <v>38.5</v>
          </cell>
          <cell r="L180">
            <v>38.04</v>
          </cell>
          <cell r="M180">
            <v>87.26</v>
          </cell>
          <cell r="N180">
            <v>84.99</v>
          </cell>
          <cell r="O180">
            <v>68.540000000000006</v>
          </cell>
          <cell r="P180">
            <v>110.38</v>
          </cell>
          <cell r="Q180">
            <v>114.58</v>
          </cell>
          <cell r="R180">
            <v>92.45</v>
          </cell>
          <cell r="S180">
            <v>50.27</v>
          </cell>
          <cell r="T180">
            <v>39.4</v>
          </cell>
          <cell r="U180">
            <v>45.47</v>
          </cell>
          <cell r="V180">
            <v>41.66</v>
          </cell>
          <cell r="W180">
            <v>42.82</v>
          </cell>
          <cell r="X180">
            <v>43.08</v>
          </cell>
          <cell r="Y180">
            <v>44.49</v>
          </cell>
          <cell r="Z180">
            <v>72.31</v>
          </cell>
          <cell r="AA180">
            <v>82.02</v>
          </cell>
          <cell r="AB180">
            <v>82.49</v>
          </cell>
          <cell r="AC180">
            <v>85.51</v>
          </cell>
        </row>
        <row r="181">
          <cell r="A181" t="str">
            <v>ACCNSBD03_CLON</v>
          </cell>
          <cell r="B181">
            <v>0</v>
          </cell>
          <cell r="C181">
            <v>30.84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 t="e">
            <v>#N/A</v>
          </cell>
          <cell r="S181">
            <v>0</v>
          </cell>
          <cell r="T181" t="e">
            <v>#N/A</v>
          </cell>
          <cell r="U181" t="e">
            <v>#N/A</v>
          </cell>
          <cell r="V181" t="e">
            <v>#N/A</v>
          </cell>
          <cell r="W181" t="e">
            <v>#N/A</v>
          </cell>
          <cell r="X181" t="e">
            <v>#N/A</v>
          </cell>
          <cell r="Y181" t="e">
            <v>#N/A</v>
          </cell>
          <cell r="Z181" t="e">
            <v>#N/A</v>
          </cell>
          <cell r="AA181" t="e">
            <v>#N/A</v>
          </cell>
          <cell r="AB181" t="e">
            <v>#N/A</v>
          </cell>
          <cell r="AC181" t="e">
            <v>#N/A</v>
          </cell>
        </row>
        <row r="182">
          <cell r="A182" t="str">
            <v>ACCNSBD04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32.159999999999997</v>
          </cell>
          <cell r="G182">
            <v>32.94</v>
          </cell>
          <cell r="H182">
            <v>26.95</v>
          </cell>
          <cell r="I182">
            <v>36.49</v>
          </cell>
          <cell r="J182">
            <v>39.979999999999997</v>
          </cell>
          <cell r="K182">
            <v>43.59</v>
          </cell>
          <cell r="L182">
            <v>42.05</v>
          </cell>
          <cell r="M182">
            <v>40.99</v>
          </cell>
          <cell r="N182">
            <v>39.86</v>
          </cell>
          <cell r="O182">
            <v>38.770000000000003</v>
          </cell>
          <cell r="P182">
            <v>38.99</v>
          </cell>
          <cell r="Q182">
            <v>58.84</v>
          </cell>
          <cell r="R182">
            <v>58.85</v>
          </cell>
          <cell r="S182">
            <v>58.91</v>
          </cell>
          <cell r="T182">
            <v>58.86</v>
          </cell>
          <cell r="U182" t="e">
            <v>#N/A</v>
          </cell>
          <cell r="V182">
            <v>58.83</v>
          </cell>
          <cell r="W182">
            <v>58.3</v>
          </cell>
          <cell r="X182">
            <v>58.8</v>
          </cell>
          <cell r="Y182">
            <v>48.98</v>
          </cell>
          <cell r="Z182">
            <v>58.06</v>
          </cell>
          <cell r="AA182">
            <v>59.38</v>
          </cell>
          <cell r="AB182">
            <v>59.9</v>
          </cell>
          <cell r="AC182">
            <v>58.84</v>
          </cell>
        </row>
        <row r="183">
          <cell r="A183" t="str">
            <v>ACCNSPR01</v>
          </cell>
          <cell r="B183">
            <v>34.119999999999997</v>
          </cell>
          <cell r="C183">
            <v>40.659999999999997</v>
          </cell>
          <cell r="D183">
            <v>25.82</v>
          </cell>
          <cell r="E183">
            <v>26.07</v>
          </cell>
          <cell r="F183">
            <v>26.13</v>
          </cell>
          <cell r="G183">
            <v>24.25</v>
          </cell>
          <cell r="H183">
            <v>22.65</v>
          </cell>
          <cell r="I183">
            <v>24.55</v>
          </cell>
          <cell r="J183">
            <v>25.11</v>
          </cell>
          <cell r="K183">
            <v>26.64</v>
          </cell>
          <cell r="L183">
            <v>24.54</v>
          </cell>
          <cell r="M183">
            <v>26.84</v>
          </cell>
          <cell r="N183">
            <v>28.9</v>
          </cell>
          <cell r="O183">
            <v>25.51</v>
          </cell>
          <cell r="P183">
            <v>25.22</v>
          </cell>
          <cell r="Q183">
            <v>23.38</v>
          </cell>
          <cell r="R183">
            <v>24.04</v>
          </cell>
          <cell r="S183">
            <v>24.25</v>
          </cell>
          <cell r="T183">
            <v>23.95</v>
          </cell>
          <cell r="U183">
            <v>25.08</v>
          </cell>
          <cell r="V183">
            <v>25.01</v>
          </cell>
          <cell r="W183">
            <v>24.43</v>
          </cell>
          <cell r="X183">
            <v>24.27</v>
          </cell>
          <cell r="Y183">
            <v>25.63</v>
          </cell>
          <cell r="Z183">
            <v>52.13</v>
          </cell>
          <cell r="AA183">
            <v>103.86</v>
          </cell>
          <cell r="AB183">
            <v>118.49</v>
          </cell>
          <cell r="AC183">
            <v>122.76</v>
          </cell>
        </row>
        <row r="184">
          <cell r="A184" t="str">
            <v>ACCNSPR01_CLONE</v>
          </cell>
          <cell r="B184">
            <v>24.94</v>
          </cell>
          <cell r="C184">
            <v>0</v>
          </cell>
          <cell r="D184">
            <v>0</v>
          </cell>
          <cell r="E184">
            <v>0</v>
          </cell>
          <cell r="F184">
            <v>12.32</v>
          </cell>
          <cell r="G184">
            <v>16.66</v>
          </cell>
          <cell r="H184">
            <v>15.9</v>
          </cell>
          <cell r="I184">
            <v>14.1</v>
          </cell>
          <cell r="J184">
            <v>13.43</v>
          </cell>
          <cell r="K184">
            <v>13.76</v>
          </cell>
          <cell r="L184">
            <v>13.07</v>
          </cell>
          <cell r="M184">
            <v>9.0500000000000007</v>
          </cell>
          <cell r="N184">
            <v>10.220000000000001</v>
          </cell>
          <cell r="O184">
            <v>16.73</v>
          </cell>
          <cell r="P184">
            <v>0</v>
          </cell>
          <cell r="Q184">
            <v>0</v>
          </cell>
          <cell r="R184" t="e">
            <v>#N/A</v>
          </cell>
          <cell r="S184">
            <v>0</v>
          </cell>
          <cell r="T184" t="e">
            <v>#N/A</v>
          </cell>
          <cell r="U184" t="e">
            <v>#N/A</v>
          </cell>
          <cell r="V184" t="e">
            <v>#N/A</v>
          </cell>
          <cell r="W184" t="e">
            <v>#N/A</v>
          </cell>
          <cell r="X184" t="e">
            <v>#N/A</v>
          </cell>
          <cell r="Y184" t="e">
            <v>#N/A</v>
          </cell>
          <cell r="Z184" t="e">
            <v>#N/A</v>
          </cell>
          <cell r="AA184" t="e">
            <v>#N/A</v>
          </cell>
          <cell r="AB184" t="e">
            <v>#N/A</v>
          </cell>
          <cell r="AC184" t="e">
            <v>#N/A</v>
          </cell>
        </row>
        <row r="185">
          <cell r="A185" t="str">
            <v>ACCNSPR01_CLONE_XIV</v>
          </cell>
          <cell r="B185">
            <v>13.84</v>
          </cell>
          <cell r="C185">
            <v>13.5</v>
          </cell>
          <cell r="D185">
            <v>18.18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 t="e">
            <v>#N/A</v>
          </cell>
          <cell r="S185">
            <v>0</v>
          </cell>
          <cell r="T185" t="e">
            <v>#N/A</v>
          </cell>
          <cell r="U185" t="e">
            <v>#N/A</v>
          </cell>
          <cell r="V185" t="e">
            <v>#N/A</v>
          </cell>
          <cell r="W185" t="e">
            <v>#N/A</v>
          </cell>
          <cell r="X185" t="e">
            <v>#N/A</v>
          </cell>
          <cell r="Y185" t="e">
            <v>#N/A</v>
          </cell>
          <cell r="Z185" t="e">
            <v>#N/A</v>
          </cell>
          <cell r="AA185" t="e">
            <v>#N/A</v>
          </cell>
          <cell r="AB185" t="e">
            <v>#N/A</v>
          </cell>
          <cell r="AC185" t="e">
            <v>#N/A</v>
          </cell>
        </row>
        <row r="186">
          <cell r="A186" t="str">
            <v>ACCNSPR01_DS4800</v>
          </cell>
          <cell r="B186">
            <v>23.21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 t="e">
            <v>#N/A</v>
          </cell>
          <cell r="S186">
            <v>0</v>
          </cell>
          <cell r="T186" t="e">
            <v>#N/A</v>
          </cell>
          <cell r="U186" t="e">
            <v>#N/A</v>
          </cell>
          <cell r="V186" t="e">
            <v>#N/A</v>
          </cell>
          <cell r="W186" t="e">
            <v>#N/A</v>
          </cell>
          <cell r="X186" t="e">
            <v>#N/A</v>
          </cell>
          <cell r="Y186" t="e">
            <v>#N/A</v>
          </cell>
          <cell r="Z186" t="e">
            <v>#N/A</v>
          </cell>
          <cell r="AA186" t="e">
            <v>#N/A</v>
          </cell>
          <cell r="AB186" t="e">
            <v>#N/A</v>
          </cell>
          <cell r="AC186" t="e">
            <v>#N/A</v>
          </cell>
        </row>
        <row r="187">
          <cell r="A187" t="str">
            <v>ACCNSPR02</v>
          </cell>
          <cell r="B187">
            <v>57.5</v>
          </cell>
          <cell r="C187">
            <v>53.13</v>
          </cell>
          <cell r="D187">
            <v>55.16</v>
          </cell>
          <cell r="E187">
            <v>59.63</v>
          </cell>
          <cell r="F187">
            <v>62.27</v>
          </cell>
          <cell r="G187">
            <v>59.1</v>
          </cell>
          <cell r="H187">
            <v>61.41</v>
          </cell>
          <cell r="I187">
            <v>58.84</v>
          </cell>
          <cell r="J187">
            <v>60.12</v>
          </cell>
          <cell r="K187">
            <v>58.97</v>
          </cell>
          <cell r="L187">
            <v>60.45</v>
          </cell>
          <cell r="M187">
            <v>62.99</v>
          </cell>
          <cell r="N187">
            <v>62.89</v>
          </cell>
          <cell r="O187">
            <v>62.92</v>
          </cell>
          <cell r="P187">
            <v>64.16</v>
          </cell>
          <cell r="Q187">
            <v>64.319999999999993</v>
          </cell>
          <cell r="R187">
            <v>64.760000000000005</v>
          </cell>
          <cell r="S187">
            <v>65.37</v>
          </cell>
          <cell r="T187">
            <v>64.91</v>
          </cell>
          <cell r="U187">
            <v>66.06</v>
          </cell>
          <cell r="V187">
            <v>64.900000000000006</v>
          </cell>
          <cell r="W187">
            <v>61.18</v>
          </cell>
          <cell r="X187">
            <v>62.67</v>
          </cell>
          <cell r="Y187">
            <v>62.47</v>
          </cell>
          <cell r="Z187">
            <v>61.01</v>
          </cell>
          <cell r="AA187">
            <v>76.7</v>
          </cell>
          <cell r="AB187">
            <v>77.77</v>
          </cell>
          <cell r="AC187">
            <v>80.61</v>
          </cell>
        </row>
        <row r="188">
          <cell r="A188" t="str">
            <v>ACCNSPR02_PARCHES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16.73</v>
          </cell>
          <cell r="N188">
            <v>16.399999999999999</v>
          </cell>
          <cell r="O188">
            <v>16.55</v>
          </cell>
          <cell r="P188">
            <v>17.86</v>
          </cell>
          <cell r="Q188">
            <v>18.84</v>
          </cell>
          <cell r="R188">
            <v>18.510000000000002</v>
          </cell>
          <cell r="S188">
            <v>0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A188" t="e">
            <v>#N/A</v>
          </cell>
          <cell r="AB188" t="e">
            <v>#N/A</v>
          </cell>
          <cell r="AC188" t="e">
            <v>#N/A</v>
          </cell>
        </row>
        <row r="189">
          <cell r="A189" t="str">
            <v>ACCNSPR02_XIV</v>
          </cell>
          <cell r="B189">
            <v>0</v>
          </cell>
          <cell r="C189">
            <v>0</v>
          </cell>
          <cell r="D189">
            <v>0</v>
          </cell>
          <cell r="E189">
            <v>17.09</v>
          </cell>
          <cell r="F189">
            <v>17.77</v>
          </cell>
          <cell r="G189">
            <v>16.97</v>
          </cell>
          <cell r="H189">
            <v>17.2</v>
          </cell>
          <cell r="I189">
            <v>17.18</v>
          </cell>
          <cell r="J189">
            <v>17.66</v>
          </cell>
          <cell r="K189">
            <v>16.829999999999998</v>
          </cell>
          <cell r="L189">
            <v>17.670000000000002</v>
          </cell>
          <cell r="M189">
            <v>17.75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 t="e">
            <v>#N/A</v>
          </cell>
          <cell r="S189">
            <v>0</v>
          </cell>
          <cell r="T189" t="e">
            <v>#N/A</v>
          </cell>
          <cell r="U189" t="e">
            <v>#N/A</v>
          </cell>
          <cell r="V189" t="e">
            <v>#N/A</v>
          </cell>
          <cell r="W189" t="e">
            <v>#N/A</v>
          </cell>
          <cell r="X189" t="e">
            <v>#N/A</v>
          </cell>
          <cell r="Y189" t="e">
            <v>#N/A</v>
          </cell>
          <cell r="Z189" t="e">
            <v>#N/A</v>
          </cell>
          <cell r="AA189" t="e">
            <v>#N/A</v>
          </cell>
          <cell r="AB189" t="e">
            <v>#N/A</v>
          </cell>
          <cell r="AC189" t="e">
            <v>#N/A</v>
          </cell>
        </row>
        <row r="190">
          <cell r="A190" t="str">
            <v>ACCNSPR04</v>
          </cell>
          <cell r="B190">
            <v>73.58</v>
          </cell>
          <cell r="C190">
            <v>70.81</v>
          </cell>
          <cell r="D190">
            <v>63.35</v>
          </cell>
          <cell r="E190">
            <v>54.55</v>
          </cell>
          <cell r="F190">
            <v>43.1</v>
          </cell>
          <cell r="G190">
            <v>52.36</v>
          </cell>
          <cell r="H190">
            <v>48.94</v>
          </cell>
          <cell r="I190">
            <v>43.77</v>
          </cell>
          <cell r="J190">
            <v>46.48</v>
          </cell>
          <cell r="K190">
            <v>50.97</v>
          </cell>
          <cell r="L190">
            <v>53.25</v>
          </cell>
          <cell r="M190">
            <v>54.02</v>
          </cell>
          <cell r="N190">
            <v>54.72</v>
          </cell>
          <cell r="O190">
            <v>50.39</v>
          </cell>
          <cell r="P190">
            <v>57.8</v>
          </cell>
          <cell r="Q190">
            <v>57.56</v>
          </cell>
          <cell r="R190">
            <v>56.82</v>
          </cell>
          <cell r="S190">
            <v>35.89</v>
          </cell>
          <cell r="T190">
            <v>34.04</v>
          </cell>
          <cell r="U190">
            <v>27.95</v>
          </cell>
          <cell r="V190">
            <v>26.91</v>
          </cell>
          <cell r="W190">
            <v>25.25</v>
          </cell>
          <cell r="X190">
            <v>20.03</v>
          </cell>
          <cell r="Y190">
            <v>29.88</v>
          </cell>
          <cell r="Z190">
            <v>35.229999999999997</v>
          </cell>
          <cell r="AA190">
            <v>69.53</v>
          </cell>
          <cell r="AB190">
            <v>77.33</v>
          </cell>
          <cell r="AC190">
            <v>76.05</v>
          </cell>
        </row>
        <row r="191">
          <cell r="A191" t="str">
            <v>ACCNSPR04_CLONE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56.3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 t="e">
            <v>#N/A</v>
          </cell>
          <cell r="S191">
            <v>0</v>
          </cell>
          <cell r="T191" t="e">
            <v>#N/A</v>
          </cell>
          <cell r="U191" t="e">
            <v>#N/A</v>
          </cell>
          <cell r="V191" t="e">
            <v>#N/A</v>
          </cell>
          <cell r="W191" t="e">
            <v>#N/A</v>
          </cell>
          <cell r="X191" t="e">
            <v>#N/A</v>
          </cell>
          <cell r="Y191" t="e">
            <v>#N/A</v>
          </cell>
          <cell r="Z191" t="e">
            <v>#N/A</v>
          </cell>
          <cell r="AA191" t="e">
            <v>#N/A</v>
          </cell>
          <cell r="AB191" t="e">
            <v>#N/A</v>
          </cell>
          <cell r="AC191" t="e">
            <v>#N/A</v>
          </cell>
        </row>
        <row r="192">
          <cell r="A192" t="str">
            <v>ACCNSPR04_PARA BORRAR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47.51</v>
          </cell>
          <cell r="G192">
            <v>47.83</v>
          </cell>
          <cell r="H192">
            <v>31.49</v>
          </cell>
          <cell r="I192">
            <v>30.2</v>
          </cell>
          <cell r="J192">
            <v>25.08</v>
          </cell>
          <cell r="K192">
            <v>28.97</v>
          </cell>
          <cell r="L192">
            <v>29.63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 t="e">
            <v>#N/A</v>
          </cell>
          <cell r="S192">
            <v>0</v>
          </cell>
          <cell r="T192" t="e">
            <v>#N/A</v>
          </cell>
          <cell r="U192" t="e">
            <v>#N/A</v>
          </cell>
          <cell r="V192" t="e">
            <v>#N/A</v>
          </cell>
          <cell r="W192" t="e">
            <v>#N/A</v>
          </cell>
          <cell r="X192" t="e">
            <v>#N/A</v>
          </cell>
          <cell r="Y192" t="e">
            <v>#N/A</v>
          </cell>
          <cell r="Z192" t="e">
            <v>#N/A</v>
          </cell>
          <cell r="AA192" t="e">
            <v>#N/A</v>
          </cell>
          <cell r="AB192" t="e">
            <v>#N/A</v>
          </cell>
          <cell r="AC192" t="e">
            <v>#N/A</v>
          </cell>
        </row>
        <row r="193">
          <cell r="A193" t="str">
            <v>ACCNSPR04_PARCHES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31</v>
          </cell>
          <cell r="M193">
            <v>32.67</v>
          </cell>
          <cell r="N193">
            <v>16.63</v>
          </cell>
          <cell r="O193">
            <v>16.71</v>
          </cell>
          <cell r="P193">
            <v>18.79</v>
          </cell>
          <cell r="Q193">
            <v>20.14</v>
          </cell>
          <cell r="R193">
            <v>25.7</v>
          </cell>
          <cell r="S193">
            <v>0</v>
          </cell>
          <cell r="T193" t="e">
            <v>#N/A</v>
          </cell>
          <cell r="U193" t="e">
            <v>#N/A</v>
          </cell>
          <cell r="V193" t="e">
            <v>#N/A</v>
          </cell>
          <cell r="W193" t="e">
            <v>#N/A</v>
          </cell>
          <cell r="X193" t="e">
            <v>#N/A</v>
          </cell>
          <cell r="Y193" t="e">
            <v>#N/A</v>
          </cell>
          <cell r="Z193" t="e">
            <v>#N/A</v>
          </cell>
          <cell r="AA193" t="e">
            <v>#N/A</v>
          </cell>
          <cell r="AB193" t="e">
            <v>#N/A</v>
          </cell>
          <cell r="AC193" t="e">
            <v>#N/A</v>
          </cell>
        </row>
        <row r="194">
          <cell r="A194" t="str">
            <v>ACCNSPR05</v>
          </cell>
          <cell r="B194">
            <v>61.82</v>
          </cell>
          <cell r="C194">
            <v>63.52</v>
          </cell>
          <cell r="D194">
            <v>73.55</v>
          </cell>
          <cell r="E194">
            <v>71.849999999999994</v>
          </cell>
          <cell r="F194">
            <v>71.959999999999994</v>
          </cell>
          <cell r="G194">
            <v>72.63</v>
          </cell>
          <cell r="H194">
            <v>72.11</v>
          </cell>
          <cell r="I194">
            <v>71.88</v>
          </cell>
          <cell r="J194">
            <v>70.67</v>
          </cell>
          <cell r="K194">
            <v>67.38</v>
          </cell>
          <cell r="L194">
            <v>66.63</v>
          </cell>
          <cell r="M194">
            <v>68.849999999999994</v>
          </cell>
          <cell r="N194">
            <v>76.78</v>
          </cell>
          <cell r="O194">
            <v>71.63</v>
          </cell>
          <cell r="P194">
            <v>73.010000000000005</v>
          </cell>
          <cell r="Q194">
            <v>73.8</v>
          </cell>
          <cell r="R194">
            <v>74.22</v>
          </cell>
          <cell r="S194">
            <v>76.430000000000007</v>
          </cell>
          <cell r="T194">
            <v>71.77</v>
          </cell>
          <cell r="U194">
            <v>73.900000000000006</v>
          </cell>
          <cell r="V194">
            <v>70.41</v>
          </cell>
          <cell r="W194">
            <v>71.19</v>
          </cell>
          <cell r="X194">
            <v>68.2</v>
          </cell>
          <cell r="Y194">
            <v>55.26</v>
          </cell>
          <cell r="Z194">
            <v>66.569999999999993</v>
          </cell>
          <cell r="AA194">
            <v>84.83</v>
          </cell>
          <cell r="AB194">
            <v>80.150000000000006</v>
          </cell>
          <cell r="AC194">
            <v>84.02</v>
          </cell>
        </row>
        <row r="195">
          <cell r="A195" t="str">
            <v>ACCNSPR06</v>
          </cell>
          <cell r="B195">
            <v>17.989999999999998</v>
          </cell>
          <cell r="C195">
            <v>43.48</v>
          </cell>
          <cell r="D195">
            <v>47.24</v>
          </cell>
          <cell r="E195">
            <v>52.78</v>
          </cell>
          <cell r="F195">
            <v>39.58</v>
          </cell>
          <cell r="G195">
            <v>48.51</v>
          </cell>
          <cell r="H195">
            <v>60.52</v>
          </cell>
          <cell r="I195">
            <v>30.71</v>
          </cell>
          <cell r="J195">
            <v>34.700000000000003</v>
          </cell>
          <cell r="K195">
            <v>41.1</v>
          </cell>
          <cell r="L195">
            <v>42.45</v>
          </cell>
          <cell r="M195">
            <v>40.11</v>
          </cell>
          <cell r="N195">
            <v>58.42</v>
          </cell>
          <cell r="O195">
            <v>58.67</v>
          </cell>
          <cell r="P195">
            <v>56.53</v>
          </cell>
          <cell r="Q195">
            <v>56.02</v>
          </cell>
          <cell r="R195">
            <v>57.64</v>
          </cell>
          <cell r="S195">
            <v>55.32</v>
          </cell>
          <cell r="T195">
            <v>55.17</v>
          </cell>
          <cell r="U195">
            <v>52.84</v>
          </cell>
          <cell r="V195">
            <v>41.24</v>
          </cell>
          <cell r="W195">
            <v>49.39</v>
          </cell>
          <cell r="X195">
            <v>51.77</v>
          </cell>
          <cell r="Y195">
            <v>49.72</v>
          </cell>
          <cell r="Z195">
            <v>51.14</v>
          </cell>
          <cell r="AA195">
            <v>70.27</v>
          </cell>
          <cell r="AB195">
            <v>79.47</v>
          </cell>
          <cell r="AC195">
            <v>78.599999999999994</v>
          </cell>
        </row>
        <row r="196">
          <cell r="A196" t="str">
            <v>ACCNSPR06_CLON</v>
          </cell>
          <cell r="B196">
            <v>0</v>
          </cell>
          <cell r="C196">
            <v>23.92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 t="e">
            <v>#N/A</v>
          </cell>
          <cell r="S196">
            <v>0</v>
          </cell>
          <cell r="T196" t="e">
            <v>#N/A</v>
          </cell>
          <cell r="U196" t="e">
            <v>#N/A</v>
          </cell>
          <cell r="V196" t="e">
            <v>#N/A</v>
          </cell>
          <cell r="W196" t="e">
            <v>#N/A</v>
          </cell>
          <cell r="X196" t="e">
            <v>#N/A</v>
          </cell>
          <cell r="Y196" t="e">
            <v>#N/A</v>
          </cell>
          <cell r="Z196" t="e">
            <v>#N/A</v>
          </cell>
          <cell r="AA196" t="e">
            <v>#N/A</v>
          </cell>
          <cell r="AB196" t="e">
            <v>#N/A</v>
          </cell>
          <cell r="AC196" t="e">
            <v>#N/A</v>
          </cell>
        </row>
        <row r="197">
          <cell r="A197" t="str">
            <v>ACCNSPR07</v>
          </cell>
          <cell r="B197">
            <v>0</v>
          </cell>
          <cell r="C197">
            <v>0</v>
          </cell>
          <cell r="D197">
            <v>59.01</v>
          </cell>
          <cell r="E197">
            <v>59.92</v>
          </cell>
          <cell r="F197">
            <v>62.53</v>
          </cell>
          <cell r="G197">
            <v>62</v>
          </cell>
          <cell r="H197">
            <v>62.12</v>
          </cell>
          <cell r="I197">
            <v>59.99</v>
          </cell>
          <cell r="J197">
            <v>60.52</v>
          </cell>
          <cell r="K197">
            <v>62.39</v>
          </cell>
          <cell r="L197">
            <v>60.35</v>
          </cell>
          <cell r="M197">
            <v>63.62</v>
          </cell>
          <cell r="N197">
            <v>69.17</v>
          </cell>
          <cell r="O197">
            <v>68.37</v>
          </cell>
          <cell r="P197">
            <v>67.89</v>
          </cell>
          <cell r="Q197">
            <v>69.38</v>
          </cell>
          <cell r="R197">
            <v>71.62</v>
          </cell>
          <cell r="S197">
            <v>76.430000000000007</v>
          </cell>
          <cell r="T197">
            <v>68.180000000000007</v>
          </cell>
          <cell r="U197">
            <v>68.06</v>
          </cell>
          <cell r="V197">
            <v>70.959999999999994</v>
          </cell>
          <cell r="W197">
            <v>70.760000000000005</v>
          </cell>
          <cell r="X197">
            <v>70.69</v>
          </cell>
          <cell r="Y197">
            <v>70.81</v>
          </cell>
          <cell r="Z197">
            <v>71.989999999999995</v>
          </cell>
          <cell r="AA197">
            <v>78.52</v>
          </cell>
          <cell r="AB197">
            <v>80.08</v>
          </cell>
          <cell r="AC197">
            <v>79.69</v>
          </cell>
        </row>
        <row r="198">
          <cell r="A198" t="str">
            <v>ACCNSPR08</v>
          </cell>
          <cell r="B198">
            <v>0</v>
          </cell>
          <cell r="C198">
            <v>0</v>
          </cell>
          <cell r="D198">
            <v>59.55</v>
          </cell>
          <cell r="E198">
            <v>57.88</v>
          </cell>
          <cell r="F198">
            <v>61.82</v>
          </cell>
          <cell r="G198">
            <v>45.44</v>
          </cell>
          <cell r="H198">
            <v>53.23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 t="e">
            <v>#N/A</v>
          </cell>
          <cell r="S198">
            <v>0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A198" t="e">
            <v>#N/A</v>
          </cell>
          <cell r="AB198" t="e">
            <v>#N/A</v>
          </cell>
          <cell r="AC198" t="e">
            <v>#N/A</v>
          </cell>
        </row>
        <row r="199">
          <cell r="A199" t="str">
            <v>ACCNSPR09</v>
          </cell>
          <cell r="B199">
            <v>0</v>
          </cell>
          <cell r="C199">
            <v>0</v>
          </cell>
          <cell r="D199">
            <v>26.32</v>
          </cell>
          <cell r="E199">
            <v>46.53</v>
          </cell>
          <cell r="F199">
            <v>33.369999999999997</v>
          </cell>
          <cell r="G199">
            <v>46.07</v>
          </cell>
          <cell r="H199">
            <v>54.63</v>
          </cell>
          <cell r="I199">
            <v>22.89</v>
          </cell>
          <cell r="J199">
            <v>21.59</v>
          </cell>
          <cell r="K199">
            <v>22.34</v>
          </cell>
          <cell r="L199">
            <v>22.03</v>
          </cell>
          <cell r="M199">
            <v>24.79</v>
          </cell>
          <cell r="N199">
            <v>30.68</v>
          </cell>
          <cell r="O199">
            <v>32.97</v>
          </cell>
          <cell r="P199">
            <v>29.86</v>
          </cell>
          <cell r="Q199">
            <v>26.84</v>
          </cell>
          <cell r="R199">
            <v>28.74</v>
          </cell>
          <cell r="S199">
            <v>30.43</v>
          </cell>
          <cell r="T199">
            <v>28.15</v>
          </cell>
          <cell r="U199">
            <v>27.49</v>
          </cell>
          <cell r="V199">
            <v>28.94</v>
          </cell>
          <cell r="W199">
            <v>27.62</v>
          </cell>
          <cell r="X199">
            <v>27.67</v>
          </cell>
          <cell r="Y199">
            <v>29.82</v>
          </cell>
          <cell r="Z199">
            <v>27.64</v>
          </cell>
          <cell r="AA199">
            <v>65.739999999999995</v>
          </cell>
          <cell r="AB199">
            <v>77.599999999999994</v>
          </cell>
          <cell r="AC199">
            <v>72.680000000000007</v>
          </cell>
        </row>
        <row r="200">
          <cell r="A200" t="str">
            <v>ACCNSPR09_CLONE</v>
          </cell>
          <cell r="B200">
            <v>0</v>
          </cell>
          <cell r="C200">
            <v>0</v>
          </cell>
          <cell r="D200">
            <v>0</v>
          </cell>
          <cell r="E200">
            <v>93.45</v>
          </cell>
          <cell r="F200">
            <v>0</v>
          </cell>
          <cell r="G200">
            <v>34.909999999999997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 t="e">
            <v>#N/A</v>
          </cell>
          <cell r="S200">
            <v>0</v>
          </cell>
          <cell r="T200" t="e">
            <v>#N/A</v>
          </cell>
          <cell r="U200" t="e">
            <v>#N/A</v>
          </cell>
          <cell r="V200" t="e">
            <v>#N/A</v>
          </cell>
          <cell r="W200" t="e">
            <v>#N/A</v>
          </cell>
          <cell r="X200" t="e">
            <v>#N/A</v>
          </cell>
          <cell r="Y200" t="e">
            <v>#N/A</v>
          </cell>
          <cell r="Z200" t="e">
            <v>#N/A</v>
          </cell>
          <cell r="AA200" t="e">
            <v>#N/A</v>
          </cell>
          <cell r="AB200" t="e">
            <v>#N/A</v>
          </cell>
          <cell r="AC200" t="e">
            <v>#N/A</v>
          </cell>
        </row>
        <row r="201">
          <cell r="A201" t="str">
            <v>ACCNSPR10</v>
          </cell>
          <cell r="B201">
            <v>0</v>
          </cell>
          <cell r="C201">
            <v>0</v>
          </cell>
          <cell r="D201">
            <v>49.77</v>
          </cell>
          <cell r="E201">
            <v>44.13</v>
          </cell>
          <cell r="F201">
            <v>58.62</v>
          </cell>
          <cell r="G201">
            <v>64.930000000000007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 t="e">
            <v>#N/A</v>
          </cell>
          <cell r="S201">
            <v>0</v>
          </cell>
          <cell r="T201" t="e">
            <v>#N/A</v>
          </cell>
          <cell r="U201" t="e">
            <v>#N/A</v>
          </cell>
          <cell r="V201" t="e">
            <v>#N/A</v>
          </cell>
          <cell r="W201" t="e">
            <v>#N/A</v>
          </cell>
          <cell r="X201" t="e">
            <v>#N/A</v>
          </cell>
          <cell r="Y201" t="e">
            <v>#N/A</v>
          </cell>
          <cell r="Z201" t="e">
            <v>#N/A</v>
          </cell>
          <cell r="AA201" t="e">
            <v>#N/A</v>
          </cell>
          <cell r="AB201" t="e">
            <v>#N/A</v>
          </cell>
          <cell r="AC201" t="e">
            <v>#N/A</v>
          </cell>
        </row>
        <row r="202">
          <cell r="A202" t="str">
            <v>ACCNSPR11</v>
          </cell>
          <cell r="B202">
            <v>0</v>
          </cell>
          <cell r="C202">
            <v>0</v>
          </cell>
          <cell r="D202">
            <v>0</v>
          </cell>
          <cell r="E202">
            <v>29.08</v>
          </cell>
          <cell r="F202">
            <v>0</v>
          </cell>
          <cell r="G202">
            <v>22.19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32</v>
          </cell>
          <cell r="Q202">
            <v>32.090000000000003</v>
          </cell>
          <cell r="R202">
            <v>32.17</v>
          </cell>
          <cell r="S202">
            <v>26.18</v>
          </cell>
          <cell r="T202">
            <v>21.88</v>
          </cell>
          <cell r="U202">
            <v>15.28</v>
          </cell>
          <cell r="V202">
            <v>15.29</v>
          </cell>
          <cell r="W202">
            <v>26.34</v>
          </cell>
          <cell r="X202" t="e">
            <v>#N/A</v>
          </cell>
          <cell r="Y202" t="e">
            <v>#N/A</v>
          </cell>
          <cell r="Z202" t="e">
            <v>#N/A</v>
          </cell>
          <cell r="AA202" t="e">
            <v>#N/A</v>
          </cell>
          <cell r="AB202" t="e">
            <v>#N/A</v>
          </cell>
          <cell r="AC202" t="e">
            <v>#N/A</v>
          </cell>
        </row>
        <row r="203">
          <cell r="A203" t="str">
            <v>ACCNSPR11_CLONE</v>
          </cell>
          <cell r="B203">
            <v>0</v>
          </cell>
          <cell r="C203">
            <v>0</v>
          </cell>
          <cell r="D203">
            <v>0</v>
          </cell>
          <cell r="E203">
            <v>23.96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 t="e">
            <v>#N/A</v>
          </cell>
          <cell r="S203">
            <v>0</v>
          </cell>
          <cell r="T203" t="e">
            <v>#N/A</v>
          </cell>
          <cell r="U203" t="e">
            <v>#N/A</v>
          </cell>
          <cell r="V203" t="e">
            <v>#N/A</v>
          </cell>
          <cell r="W203" t="e">
            <v>#N/A</v>
          </cell>
          <cell r="X203" t="e">
            <v>#N/A</v>
          </cell>
          <cell r="Y203" t="e">
            <v>#N/A</v>
          </cell>
          <cell r="Z203" t="e">
            <v>#N/A</v>
          </cell>
          <cell r="AA203" t="e">
            <v>#N/A</v>
          </cell>
          <cell r="AB203" t="e">
            <v>#N/A</v>
          </cell>
          <cell r="AC203" t="e">
            <v>#N/A</v>
          </cell>
        </row>
        <row r="204">
          <cell r="A204" t="str">
            <v>ACCNSPR12</v>
          </cell>
          <cell r="B204">
            <v>0</v>
          </cell>
          <cell r="C204">
            <v>0</v>
          </cell>
          <cell r="D204">
            <v>0</v>
          </cell>
          <cell r="E204">
            <v>37.93</v>
          </cell>
          <cell r="F204">
            <v>46.44</v>
          </cell>
          <cell r="G204">
            <v>35.340000000000003</v>
          </cell>
          <cell r="H204">
            <v>34.549999999999997</v>
          </cell>
          <cell r="I204">
            <v>34.369999999999997</v>
          </cell>
          <cell r="J204">
            <v>34.549999999999997</v>
          </cell>
          <cell r="K204">
            <v>36.520000000000003</v>
          </cell>
          <cell r="L204">
            <v>42.18</v>
          </cell>
          <cell r="M204">
            <v>55.76</v>
          </cell>
          <cell r="N204">
            <v>63.41</v>
          </cell>
          <cell r="O204">
            <v>61.44</v>
          </cell>
          <cell r="P204">
            <v>54.8</v>
          </cell>
          <cell r="Q204">
            <v>55.03</v>
          </cell>
          <cell r="R204">
            <v>58.23</v>
          </cell>
          <cell r="S204">
            <v>61.02</v>
          </cell>
          <cell r="T204">
            <v>54.43</v>
          </cell>
          <cell r="U204">
            <v>50.76</v>
          </cell>
          <cell r="V204">
            <v>54.23</v>
          </cell>
          <cell r="W204">
            <v>57.39</v>
          </cell>
          <cell r="X204">
            <v>56.36</v>
          </cell>
          <cell r="Y204">
            <v>56.41</v>
          </cell>
          <cell r="Z204">
            <v>65.540000000000006</v>
          </cell>
          <cell r="AA204">
            <v>76.959999999999994</v>
          </cell>
          <cell r="AB204">
            <v>78.959999999999994</v>
          </cell>
          <cell r="AC204">
            <v>77.73</v>
          </cell>
        </row>
        <row r="205">
          <cell r="A205" t="str">
            <v>ACCNSPR13</v>
          </cell>
          <cell r="B205">
            <v>0</v>
          </cell>
          <cell r="C205">
            <v>0</v>
          </cell>
          <cell r="D205">
            <v>0</v>
          </cell>
          <cell r="E205">
            <v>12.41</v>
          </cell>
          <cell r="F205">
            <v>0</v>
          </cell>
          <cell r="G205">
            <v>6.4</v>
          </cell>
          <cell r="H205">
            <v>6.4</v>
          </cell>
          <cell r="I205">
            <v>6.43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 t="e">
            <v>#N/A</v>
          </cell>
          <cell r="S205">
            <v>0</v>
          </cell>
          <cell r="T205" t="e">
            <v>#N/A</v>
          </cell>
          <cell r="U205" t="e">
            <v>#N/A</v>
          </cell>
          <cell r="V205" t="e">
            <v>#N/A</v>
          </cell>
          <cell r="W205">
            <v>35.630000000000003</v>
          </cell>
          <cell r="X205" t="e">
            <v>#N/A</v>
          </cell>
          <cell r="Y205" t="e">
            <v>#N/A</v>
          </cell>
          <cell r="Z205" t="e">
            <v>#N/A</v>
          </cell>
          <cell r="AA205" t="e">
            <v>#N/A</v>
          </cell>
          <cell r="AB205" t="e">
            <v>#N/A</v>
          </cell>
          <cell r="AC205" t="e">
            <v>#N/A</v>
          </cell>
        </row>
        <row r="206">
          <cell r="A206" t="str">
            <v>ACCNSPR14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61.11</v>
          </cell>
          <cell r="J206">
            <v>226.24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 t="e">
            <v>#N/A</v>
          </cell>
          <cell r="S206">
            <v>0</v>
          </cell>
          <cell r="T206" t="e">
            <v>#N/A</v>
          </cell>
          <cell r="U206" t="e">
            <v>#N/A</v>
          </cell>
          <cell r="V206" t="e">
            <v>#N/A</v>
          </cell>
          <cell r="W206" t="e">
            <v>#N/A</v>
          </cell>
          <cell r="X206" t="e">
            <v>#N/A</v>
          </cell>
          <cell r="Y206" t="e">
            <v>#N/A</v>
          </cell>
          <cell r="Z206" t="e">
            <v>#N/A</v>
          </cell>
          <cell r="AA206" t="e">
            <v>#N/A</v>
          </cell>
          <cell r="AB206" t="e">
            <v>#N/A</v>
          </cell>
          <cell r="AC206" t="e">
            <v>#N/A</v>
          </cell>
        </row>
        <row r="207">
          <cell r="A207" t="str">
            <v>ACCNSPR15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61.18</v>
          </cell>
          <cell r="J207">
            <v>229.98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 t="e">
            <v>#N/A</v>
          </cell>
          <cell r="S207">
            <v>0</v>
          </cell>
          <cell r="T207" t="e">
            <v>#N/A</v>
          </cell>
          <cell r="U207" t="e">
            <v>#N/A</v>
          </cell>
          <cell r="V207" t="e">
            <v>#N/A</v>
          </cell>
          <cell r="W207" t="e">
            <v>#N/A</v>
          </cell>
          <cell r="X207" t="e">
            <v>#N/A</v>
          </cell>
          <cell r="Y207" t="e">
            <v>#N/A</v>
          </cell>
          <cell r="Z207">
            <v>143.12</v>
          </cell>
          <cell r="AA207" t="e">
            <v>#N/A</v>
          </cell>
          <cell r="AB207" t="e">
            <v>#N/A</v>
          </cell>
          <cell r="AC207" t="e">
            <v>#N/A</v>
          </cell>
        </row>
        <row r="208">
          <cell r="A208" t="str">
            <v>ACCOLAP01</v>
          </cell>
          <cell r="B208">
            <v>9.6199999999999992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 t="e">
            <v>#N/A</v>
          </cell>
          <cell r="S208">
            <v>0</v>
          </cell>
          <cell r="T208" t="e">
            <v>#N/A</v>
          </cell>
          <cell r="U208" t="e">
            <v>#N/A</v>
          </cell>
          <cell r="V208" t="e">
            <v>#N/A</v>
          </cell>
          <cell r="W208" t="e">
            <v>#N/A</v>
          </cell>
          <cell r="X208" t="e">
            <v>#N/A</v>
          </cell>
          <cell r="Y208" t="e">
            <v>#N/A</v>
          </cell>
          <cell r="Z208" t="e">
            <v>#N/A</v>
          </cell>
          <cell r="AA208" t="e">
            <v>#N/A</v>
          </cell>
          <cell r="AB208" t="e">
            <v>#N/A</v>
          </cell>
          <cell r="AC208" t="e">
            <v>#N/A</v>
          </cell>
        </row>
        <row r="209">
          <cell r="A209" t="str">
            <v>ACCOLAP02</v>
          </cell>
          <cell r="B209">
            <v>10.34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 t="e">
            <v>#N/A</v>
          </cell>
          <cell r="S209">
            <v>0</v>
          </cell>
          <cell r="T209" t="e">
            <v>#N/A</v>
          </cell>
          <cell r="U209" t="e">
            <v>#N/A</v>
          </cell>
          <cell r="V209" t="e">
            <v>#N/A</v>
          </cell>
          <cell r="W209" t="e">
            <v>#N/A</v>
          </cell>
          <cell r="X209" t="e">
            <v>#N/A</v>
          </cell>
          <cell r="Y209" t="e">
            <v>#N/A</v>
          </cell>
          <cell r="Z209" t="e">
            <v>#N/A</v>
          </cell>
          <cell r="AA209" t="e">
            <v>#N/A</v>
          </cell>
          <cell r="AB209" t="e">
            <v>#N/A</v>
          </cell>
          <cell r="AC209" t="e">
            <v>#N/A</v>
          </cell>
        </row>
        <row r="210">
          <cell r="A210" t="str">
            <v>ACCOLBD01</v>
          </cell>
          <cell r="B210">
            <v>295.27</v>
          </cell>
          <cell r="C210">
            <v>299.95</v>
          </cell>
          <cell r="D210">
            <v>301.26</v>
          </cell>
          <cell r="E210">
            <v>305.72000000000003</v>
          </cell>
          <cell r="F210">
            <v>333.5</v>
          </cell>
          <cell r="G210">
            <v>368.65</v>
          </cell>
          <cell r="H210">
            <v>367.9</v>
          </cell>
          <cell r="I210">
            <v>373.67</v>
          </cell>
          <cell r="J210">
            <v>374.79</v>
          </cell>
          <cell r="K210">
            <v>364.37</v>
          </cell>
          <cell r="L210">
            <v>364.01</v>
          </cell>
          <cell r="M210">
            <v>368.29</v>
          </cell>
          <cell r="N210">
            <v>375.8</v>
          </cell>
          <cell r="O210">
            <v>375.69</v>
          </cell>
          <cell r="P210">
            <v>395.14</v>
          </cell>
          <cell r="Q210">
            <v>432.22</v>
          </cell>
          <cell r="R210">
            <v>445.66</v>
          </cell>
          <cell r="S210">
            <v>497.45</v>
          </cell>
          <cell r="T210">
            <v>440.93</v>
          </cell>
          <cell r="U210">
            <v>427.7</v>
          </cell>
          <cell r="V210">
            <v>428.15</v>
          </cell>
          <cell r="W210">
            <v>443.15</v>
          </cell>
          <cell r="X210">
            <v>482.51</v>
          </cell>
          <cell r="Y210">
            <v>463.08</v>
          </cell>
          <cell r="Z210">
            <v>423.55</v>
          </cell>
          <cell r="AA210">
            <v>430.85</v>
          </cell>
          <cell r="AB210">
            <v>430.37</v>
          </cell>
          <cell r="AC210">
            <v>433.24</v>
          </cell>
        </row>
        <row r="211">
          <cell r="A211" t="str">
            <v>ACCOLBD01_PARCHE</v>
          </cell>
          <cell r="B211">
            <v>170.35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 t="e">
            <v>#N/A</v>
          </cell>
          <cell r="S211">
            <v>0</v>
          </cell>
          <cell r="T211" t="e">
            <v>#N/A</v>
          </cell>
          <cell r="U211" t="e">
            <v>#N/A</v>
          </cell>
          <cell r="V211" t="e">
            <v>#N/A</v>
          </cell>
          <cell r="W211" t="e">
            <v>#N/A</v>
          </cell>
          <cell r="X211" t="e">
            <v>#N/A</v>
          </cell>
          <cell r="Y211" t="e">
            <v>#N/A</v>
          </cell>
          <cell r="Z211" t="e">
            <v>#N/A</v>
          </cell>
          <cell r="AA211" t="e">
            <v>#N/A</v>
          </cell>
          <cell r="AB211" t="e">
            <v>#N/A</v>
          </cell>
          <cell r="AC211" t="e">
            <v>#N/A</v>
          </cell>
        </row>
        <row r="212">
          <cell r="A212" t="str">
            <v>ACCOLBD02</v>
          </cell>
          <cell r="B212">
            <v>319.23</v>
          </cell>
          <cell r="C212">
            <v>315.31</v>
          </cell>
          <cell r="D212">
            <v>310.54000000000002</v>
          </cell>
          <cell r="E212">
            <v>308.64</v>
          </cell>
          <cell r="F212">
            <v>332.01</v>
          </cell>
          <cell r="G212">
            <v>374.96</v>
          </cell>
          <cell r="H212">
            <v>379.23</v>
          </cell>
          <cell r="I212">
            <v>386.07</v>
          </cell>
          <cell r="J212">
            <v>388.07</v>
          </cell>
          <cell r="K212">
            <v>383.18</v>
          </cell>
          <cell r="L212">
            <v>381.3</v>
          </cell>
          <cell r="M212">
            <v>388.51</v>
          </cell>
          <cell r="N212">
            <v>402</v>
          </cell>
          <cell r="O212">
            <v>391.92</v>
          </cell>
          <cell r="P212">
            <v>414.7</v>
          </cell>
          <cell r="Q212">
            <v>459.94</v>
          </cell>
          <cell r="R212">
            <v>484.38</v>
          </cell>
          <cell r="S212">
            <v>526.82000000000005</v>
          </cell>
          <cell r="T212">
            <v>498.53</v>
          </cell>
          <cell r="U212">
            <v>496.73</v>
          </cell>
          <cell r="V212">
            <v>441.76</v>
          </cell>
          <cell r="W212">
            <v>458.29</v>
          </cell>
          <cell r="X212">
            <v>484.21</v>
          </cell>
          <cell r="Y212">
            <v>455.72</v>
          </cell>
          <cell r="Z212">
            <v>425.11</v>
          </cell>
          <cell r="AA212">
            <v>438.11</v>
          </cell>
          <cell r="AB212">
            <v>431.56</v>
          </cell>
          <cell r="AC212">
            <v>442.21</v>
          </cell>
        </row>
        <row r="213">
          <cell r="A213" t="str">
            <v>ACCOLBD03</v>
          </cell>
          <cell r="B213">
            <v>23.08</v>
          </cell>
          <cell r="C213">
            <v>40.57</v>
          </cell>
          <cell r="D213">
            <v>61.86</v>
          </cell>
          <cell r="E213">
            <v>97.19</v>
          </cell>
          <cell r="F213">
            <v>95.09</v>
          </cell>
          <cell r="G213">
            <v>87.8</v>
          </cell>
          <cell r="H213">
            <v>95.81</v>
          </cell>
          <cell r="I213">
            <v>97.66</v>
          </cell>
          <cell r="J213">
            <v>112.42</v>
          </cell>
          <cell r="K213">
            <v>112.44</v>
          </cell>
          <cell r="L213">
            <v>108.53</v>
          </cell>
          <cell r="M213">
            <v>108.4</v>
          </cell>
          <cell r="N213">
            <v>104.33</v>
          </cell>
          <cell r="O213">
            <v>105.58</v>
          </cell>
          <cell r="P213">
            <v>105.73</v>
          </cell>
          <cell r="Q213">
            <v>108.73</v>
          </cell>
          <cell r="R213">
            <v>110.99</v>
          </cell>
          <cell r="S213">
            <v>106.73</v>
          </cell>
          <cell r="T213">
            <v>102.31</v>
          </cell>
          <cell r="U213">
            <v>102.16</v>
          </cell>
          <cell r="V213">
            <v>104.07</v>
          </cell>
          <cell r="W213">
            <v>101.22</v>
          </cell>
          <cell r="X213">
            <v>103.2</v>
          </cell>
          <cell r="Y213">
            <v>104.12</v>
          </cell>
          <cell r="Z213">
            <v>95.71</v>
          </cell>
          <cell r="AA213">
            <v>97.12</v>
          </cell>
          <cell r="AB213">
            <v>93.88</v>
          </cell>
          <cell r="AC213">
            <v>98.78</v>
          </cell>
        </row>
        <row r="214">
          <cell r="A214" t="str">
            <v>ACCOLBD03_PARCHE</v>
          </cell>
          <cell r="B214">
            <v>0</v>
          </cell>
          <cell r="C214">
            <v>0</v>
          </cell>
          <cell r="D214">
            <v>0</v>
          </cell>
          <cell r="E214">
            <v>94.71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 t="e">
            <v>#N/A</v>
          </cell>
          <cell r="S214">
            <v>0</v>
          </cell>
          <cell r="T214" t="e">
            <v>#N/A</v>
          </cell>
          <cell r="U214" t="e">
            <v>#N/A</v>
          </cell>
          <cell r="V214" t="e">
            <v>#N/A</v>
          </cell>
          <cell r="W214" t="e">
            <v>#N/A</v>
          </cell>
          <cell r="X214" t="e">
            <v>#N/A</v>
          </cell>
          <cell r="Y214" t="e">
            <v>#N/A</v>
          </cell>
          <cell r="Z214" t="e">
            <v>#N/A</v>
          </cell>
          <cell r="AA214" t="e">
            <v>#N/A</v>
          </cell>
          <cell r="AB214" t="e">
            <v>#N/A</v>
          </cell>
          <cell r="AC214" t="e">
            <v>#N/A</v>
          </cell>
        </row>
        <row r="215">
          <cell r="A215" t="str">
            <v>ACCOLPR01</v>
          </cell>
          <cell r="B215">
            <v>293.3</v>
          </cell>
          <cell r="C215">
            <v>292.39999999999998</v>
          </cell>
          <cell r="D215">
            <v>303.24</v>
          </cell>
          <cell r="E215">
            <v>322.52999999999997</v>
          </cell>
          <cell r="F215">
            <v>338.85</v>
          </cell>
          <cell r="G215">
            <v>360.92</v>
          </cell>
          <cell r="H215">
            <v>364.93</v>
          </cell>
          <cell r="I215">
            <v>364.59</v>
          </cell>
          <cell r="J215">
            <v>369.34</v>
          </cell>
          <cell r="K215">
            <v>358.34</v>
          </cell>
          <cell r="L215">
            <v>353.84</v>
          </cell>
          <cell r="M215">
            <v>346.96</v>
          </cell>
          <cell r="N215">
            <v>368.2</v>
          </cell>
          <cell r="O215">
            <v>355.07</v>
          </cell>
          <cell r="P215">
            <v>387.77</v>
          </cell>
          <cell r="Q215">
            <v>422.2</v>
          </cell>
          <cell r="R215">
            <v>441.45</v>
          </cell>
          <cell r="S215">
            <v>476</v>
          </cell>
          <cell r="T215">
            <v>382.95</v>
          </cell>
          <cell r="U215">
            <v>351.48</v>
          </cell>
          <cell r="V215">
            <v>340.13</v>
          </cell>
          <cell r="W215">
            <v>373.01</v>
          </cell>
          <cell r="X215">
            <v>437.53</v>
          </cell>
          <cell r="Y215">
            <v>428.76</v>
          </cell>
          <cell r="Z215">
            <v>383.39</v>
          </cell>
          <cell r="AA215">
            <v>416.44</v>
          </cell>
          <cell r="AB215">
            <v>389.52</v>
          </cell>
          <cell r="AC215">
            <v>374.92</v>
          </cell>
        </row>
        <row r="216">
          <cell r="A216" t="str">
            <v>ACCOLPR01_PARCHE</v>
          </cell>
          <cell r="B216">
            <v>139.1</v>
          </cell>
          <cell r="C216">
            <v>106.38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 t="e">
            <v>#N/A</v>
          </cell>
          <cell r="S216">
            <v>0</v>
          </cell>
          <cell r="T216" t="e">
            <v>#N/A</v>
          </cell>
          <cell r="U216" t="e">
            <v>#N/A</v>
          </cell>
          <cell r="V216" t="e">
            <v>#N/A</v>
          </cell>
          <cell r="W216" t="e">
            <v>#N/A</v>
          </cell>
          <cell r="X216" t="e">
            <v>#N/A</v>
          </cell>
          <cell r="Y216" t="e">
            <v>#N/A</v>
          </cell>
          <cell r="Z216" t="e">
            <v>#N/A</v>
          </cell>
          <cell r="AA216" t="e">
            <v>#N/A</v>
          </cell>
          <cell r="AB216" t="e">
            <v>#N/A</v>
          </cell>
          <cell r="AC216" t="e">
            <v>#N/A</v>
          </cell>
        </row>
        <row r="217">
          <cell r="A217" t="str">
            <v>ACCOLPR02</v>
          </cell>
          <cell r="B217">
            <v>481.86</v>
          </cell>
          <cell r="C217">
            <v>467.07</v>
          </cell>
          <cell r="D217">
            <v>480.08</v>
          </cell>
          <cell r="E217">
            <v>491.49</v>
          </cell>
          <cell r="F217">
            <v>514.6</v>
          </cell>
          <cell r="G217">
            <v>543.45000000000005</v>
          </cell>
          <cell r="H217">
            <v>567.14</v>
          </cell>
          <cell r="I217">
            <v>578.91999999999996</v>
          </cell>
          <cell r="J217">
            <v>583.11</v>
          </cell>
          <cell r="K217">
            <v>560.29999999999995</v>
          </cell>
          <cell r="L217">
            <v>556.72</v>
          </cell>
          <cell r="M217">
            <v>553.94000000000005</v>
          </cell>
          <cell r="N217">
            <v>541.21</v>
          </cell>
          <cell r="O217">
            <v>537.64</v>
          </cell>
          <cell r="P217">
            <v>591.35</v>
          </cell>
          <cell r="Q217">
            <v>636.25</v>
          </cell>
          <cell r="R217">
            <v>637.19000000000005</v>
          </cell>
          <cell r="S217">
            <v>590.66</v>
          </cell>
          <cell r="T217">
            <v>371.81</v>
          </cell>
          <cell r="U217">
            <v>342.6</v>
          </cell>
          <cell r="V217">
            <v>338.81</v>
          </cell>
          <cell r="W217">
            <v>359.25</v>
          </cell>
          <cell r="X217">
            <v>400.78</v>
          </cell>
          <cell r="Y217">
            <v>386.8</v>
          </cell>
          <cell r="Z217">
            <v>349.88</v>
          </cell>
          <cell r="AA217">
            <v>369.43</v>
          </cell>
          <cell r="AB217">
            <v>359.71</v>
          </cell>
          <cell r="AC217">
            <v>373.7</v>
          </cell>
        </row>
        <row r="218">
          <cell r="A218" t="str">
            <v>ACCOLPR02_CLONE</v>
          </cell>
          <cell r="B218">
            <v>0</v>
          </cell>
          <cell r="C218">
            <v>0</v>
          </cell>
          <cell r="D218">
            <v>23.37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 t="e">
            <v>#N/A</v>
          </cell>
          <cell r="S218">
            <v>0</v>
          </cell>
          <cell r="T218" t="e">
            <v>#N/A</v>
          </cell>
          <cell r="U218" t="e">
            <v>#N/A</v>
          </cell>
          <cell r="V218" t="e">
            <v>#N/A</v>
          </cell>
          <cell r="W218" t="e">
            <v>#N/A</v>
          </cell>
          <cell r="X218" t="e">
            <v>#N/A</v>
          </cell>
          <cell r="Y218" t="e">
            <v>#N/A</v>
          </cell>
          <cell r="Z218" t="e">
            <v>#N/A</v>
          </cell>
          <cell r="AA218" t="e">
            <v>#N/A</v>
          </cell>
          <cell r="AB218" t="e">
            <v>#N/A</v>
          </cell>
          <cell r="AC218" t="e">
            <v>#N/A</v>
          </cell>
        </row>
        <row r="219">
          <cell r="A219" t="str">
            <v>ACCOLPR07</v>
          </cell>
          <cell r="B219">
            <v>119.99</v>
          </cell>
          <cell r="C219">
            <v>97.87</v>
          </cell>
          <cell r="D219">
            <v>113.43</v>
          </cell>
          <cell r="E219">
            <v>113.1</v>
          </cell>
          <cell r="F219">
            <v>113.51</v>
          </cell>
          <cell r="G219">
            <v>118.34</v>
          </cell>
          <cell r="H219">
            <v>140.85</v>
          </cell>
          <cell r="I219">
            <v>126.78</v>
          </cell>
          <cell r="J219">
            <v>144.38</v>
          </cell>
          <cell r="K219">
            <v>142.46</v>
          </cell>
          <cell r="L219">
            <v>163.5</v>
          </cell>
          <cell r="M219">
            <v>173.34</v>
          </cell>
          <cell r="N219">
            <v>139.09</v>
          </cell>
          <cell r="O219">
            <v>147.07</v>
          </cell>
          <cell r="P219">
            <v>149.91999999999999</v>
          </cell>
          <cell r="Q219">
            <v>147.30000000000001</v>
          </cell>
          <cell r="R219">
            <v>149.57</v>
          </cell>
          <cell r="S219">
            <v>148.97</v>
          </cell>
          <cell r="T219">
            <v>150.52000000000001</v>
          </cell>
          <cell r="U219">
            <v>151.38999999999999</v>
          </cell>
          <cell r="V219">
            <v>151.09</v>
          </cell>
          <cell r="W219">
            <v>154.28</v>
          </cell>
          <cell r="X219">
            <v>162.97</v>
          </cell>
          <cell r="Y219">
            <v>161.46</v>
          </cell>
          <cell r="Z219">
            <v>162.1</v>
          </cell>
          <cell r="AA219">
            <v>162.43</v>
          </cell>
          <cell r="AB219">
            <v>162.71</v>
          </cell>
          <cell r="AC219">
            <v>153.72</v>
          </cell>
        </row>
        <row r="220">
          <cell r="A220" t="str">
            <v>ACCOLPR07_PARCHE</v>
          </cell>
          <cell r="B220">
            <v>0</v>
          </cell>
          <cell r="C220">
            <v>0</v>
          </cell>
          <cell r="D220">
            <v>0</v>
          </cell>
          <cell r="E220">
            <v>17.91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 t="e">
            <v>#N/A</v>
          </cell>
          <cell r="S220">
            <v>0</v>
          </cell>
          <cell r="T220" t="e">
            <v>#N/A</v>
          </cell>
          <cell r="U220" t="e">
            <v>#N/A</v>
          </cell>
          <cell r="V220" t="e">
            <v>#N/A</v>
          </cell>
          <cell r="W220" t="e">
            <v>#N/A</v>
          </cell>
          <cell r="X220" t="e">
            <v>#N/A</v>
          </cell>
          <cell r="Y220" t="e">
            <v>#N/A</v>
          </cell>
          <cell r="Z220" t="e">
            <v>#N/A</v>
          </cell>
          <cell r="AA220" t="e">
            <v>#N/A</v>
          </cell>
          <cell r="AB220" t="e">
            <v>#N/A</v>
          </cell>
          <cell r="AC220" t="e">
            <v>#N/A</v>
          </cell>
        </row>
        <row r="221">
          <cell r="A221" t="str">
            <v>ACCRTBD01</v>
          </cell>
          <cell r="B221">
            <v>80.67</v>
          </cell>
          <cell r="C221">
            <v>82.41</v>
          </cell>
          <cell r="D221">
            <v>72.09</v>
          </cell>
          <cell r="E221">
            <v>62.01</v>
          </cell>
          <cell r="F221">
            <v>78.290000000000006</v>
          </cell>
          <cell r="G221">
            <v>79.260000000000005</v>
          </cell>
          <cell r="H221">
            <v>63.33</v>
          </cell>
          <cell r="I221">
            <v>61.09</v>
          </cell>
          <cell r="J221">
            <v>64.53</v>
          </cell>
          <cell r="K221">
            <v>61.43</v>
          </cell>
          <cell r="L221">
            <v>69.63</v>
          </cell>
          <cell r="M221">
            <v>70.510000000000005</v>
          </cell>
          <cell r="N221">
            <v>65.16</v>
          </cell>
          <cell r="O221">
            <v>56.73</v>
          </cell>
          <cell r="P221">
            <v>63.99</v>
          </cell>
          <cell r="Q221">
            <v>74.599999999999994</v>
          </cell>
          <cell r="R221">
            <v>75.739999999999995</v>
          </cell>
          <cell r="S221">
            <v>71.14</v>
          </cell>
          <cell r="T221">
            <v>58.89</v>
          </cell>
          <cell r="U221">
            <v>61.71</v>
          </cell>
          <cell r="V221">
            <v>57.55</v>
          </cell>
          <cell r="W221">
            <v>62.09</v>
          </cell>
          <cell r="X221">
            <v>81.41</v>
          </cell>
          <cell r="Y221">
            <v>69.37</v>
          </cell>
          <cell r="Z221">
            <v>78.260000000000005</v>
          </cell>
          <cell r="AA221">
            <v>74.84</v>
          </cell>
          <cell r="AB221">
            <v>67.02</v>
          </cell>
          <cell r="AC221">
            <v>77.22</v>
          </cell>
        </row>
        <row r="222">
          <cell r="A222" t="str">
            <v>ACCRTBD01_BORRAR</v>
          </cell>
          <cell r="B222">
            <v>0</v>
          </cell>
          <cell r="C222">
            <v>0</v>
          </cell>
          <cell r="D222">
            <v>0</v>
          </cell>
          <cell r="E222">
            <v>27.21</v>
          </cell>
          <cell r="F222">
            <v>19.64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 t="e">
            <v>#N/A</v>
          </cell>
          <cell r="S222">
            <v>0</v>
          </cell>
          <cell r="T222" t="e">
            <v>#N/A</v>
          </cell>
          <cell r="U222" t="e">
            <v>#N/A</v>
          </cell>
          <cell r="V222" t="e">
            <v>#N/A</v>
          </cell>
          <cell r="W222" t="e">
            <v>#N/A</v>
          </cell>
          <cell r="X222" t="e">
            <v>#N/A</v>
          </cell>
          <cell r="Y222" t="e">
            <v>#N/A</v>
          </cell>
          <cell r="Z222" t="e">
            <v>#N/A</v>
          </cell>
          <cell r="AA222" t="e">
            <v>#N/A</v>
          </cell>
          <cell r="AB222" t="e">
            <v>#N/A</v>
          </cell>
          <cell r="AC222" t="e">
            <v>#N/A</v>
          </cell>
        </row>
        <row r="223">
          <cell r="A223" t="str">
            <v>ACCRTBD01_CLONE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27.79</v>
          </cell>
          <cell r="H223">
            <v>0</v>
          </cell>
          <cell r="I223">
            <v>0</v>
          </cell>
          <cell r="J223">
            <v>0</v>
          </cell>
          <cell r="K223">
            <v>33.35</v>
          </cell>
          <cell r="L223">
            <v>33.950000000000003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 t="e">
            <v>#N/A</v>
          </cell>
          <cell r="S223">
            <v>0</v>
          </cell>
          <cell r="T223" t="e">
            <v>#N/A</v>
          </cell>
          <cell r="U223" t="e">
            <v>#N/A</v>
          </cell>
          <cell r="V223" t="e">
            <v>#N/A</v>
          </cell>
          <cell r="W223" t="e">
            <v>#N/A</v>
          </cell>
          <cell r="X223" t="e">
            <v>#N/A</v>
          </cell>
          <cell r="Y223" t="e">
            <v>#N/A</v>
          </cell>
          <cell r="Z223" t="e">
            <v>#N/A</v>
          </cell>
          <cell r="AA223" t="e">
            <v>#N/A</v>
          </cell>
          <cell r="AB223" t="e">
            <v>#N/A</v>
          </cell>
          <cell r="AC223" t="e">
            <v>#N/A</v>
          </cell>
        </row>
        <row r="224">
          <cell r="A224" t="str">
            <v>ACCRTBD01_PARCHE</v>
          </cell>
          <cell r="B224">
            <v>9.6999999999999993</v>
          </cell>
          <cell r="C224">
            <v>0</v>
          </cell>
          <cell r="D224">
            <v>19.79</v>
          </cell>
          <cell r="E224">
            <v>31.28</v>
          </cell>
          <cell r="F224">
            <v>21.95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 t="e">
            <v>#N/A</v>
          </cell>
          <cell r="S224">
            <v>0</v>
          </cell>
          <cell r="T224" t="e">
            <v>#N/A</v>
          </cell>
          <cell r="U224" t="e">
            <v>#N/A</v>
          </cell>
          <cell r="V224" t="e">
            <v>#N/A</v>
          </cell>
          <cell r="W224" t="e">
            <v>#N/A</v>
          </cell>
          <cell r="X224" t="e">
            <v>#N/A</v>
          </cell>
          <cell r="Y224" t="e">
            <v>#N/A</v>
          </cell>
          <cell r="Z224" t="e">
            <v>#N/A</v>
          </cell>
          <cell r="AA224" t="e">
            <v>#N/A</v>
          </cell>
          <cell r="AB224" t="e">
            <v>#N/A</v>
          </cell>
          <cell r="AC224" t="e">
            <v>#N/A</v>
          </cell>
        </row>
        <row r="225">
          <cell r="A225" t="str">
            <v>ACCRTPR01</v>
          </cell>
          <cell r="B225">
            <v>61.06</v>
          </cell>
          <cell r="C225">
            <v>70.59</v>
          </cell>
          <cell r="D225">
            <v>75.78</v>
          </cell>
          <cell r="E225">
            <v>99.38</v>
          </cell>
          <cell r="F225">
            <v>86.12</v>
          </cell>
          <cell r="G225">
            <v>85.17</v>
          </cell>
          <cell r="H225">
            <v>77.319999999999993</v>
          </cell>
          <cell r="I225">
            <v>77.58</v>
          </cell>
          <cell r="J225">
            <v>76.25</v>
          </cell>
          <cell r="K225">
            <v>75.17</v>
          </cell>
          <cell r="L225">
            <v>76</v>
          </cell>
          <cell r="M225">
            <v>78.099999999999994</v>
          </cell>
          <cell r="N225">
            <v>78.28</v>
          </cell>
          <cell r="O225">
            <v>78.27</v>
          </cell>
          <cell r="P225">
            <v>78.11</v>
          </cell>
          <cell r="Q225">
            <v>76.319999999999993</v>
          </cell>
          <cell r="R225">
            <v>76.040000000000006</v>
          </cell>
          <cell r="S225">
            <v>76.19</v>
          </cell>
          <cell r="T225">
            <v>88.82</v>
          </cell>
          <cell r="U225">
            <v>74.23</v>
          </cell>
          <cell r="V225">
            <v>74.38</v>
          </cell>
          <cell r="W225">
            <v>73.97</v>
          </cell>
          <cell r="X225">
            <v>74.150000000000006</v>
          </cell>
          <cell r="Y225">
            <v>74.63</v>
          </cell>
          <cell r="Z225">
            <v>80.56</v>
          </cell>
          <cell r="AA225">
            <v>74.400000000000006</v>
          </cell>
          <cell r="AB225">
            <v>78.09</v>
          </cell>
          <cell r="AC225">
            <v>80.37</v>
          </cell>
        </row>
        <row r="226">
          <cell r="A226" t="str">
            <v>ACCRTPR01_CLONE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72.38</v>
          </cell>
          <cell r="G226">
            <v>70.069999999999993</v>
          </cell>
          <cell r="H226">
            <v>0</v>
          </cell>
          <cell r="I226">
            <v>0</v>
          </cell>
          <cell r="J226">
            <v>0</v>
          </cell>
          <cell r="K226">
            <v>19.59</v>
          </cell>
          <cell r="L226">
            <v>20.43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 t="e">
            <v>#N/A</v>
          </cell>
          <cell r="S226">
            <v>0</v>
          </cell>
          <cell r="T226" t="e">
            <v>#N/A</v>
          </cell>
          <cell r="U226" t="e">
            <v>#N/A</v>
          </cell>
          <cell r="V226" t="e">
            <v>#N/A</v>
          </cell>
          <cell r="W226" t="e">
            <v>#N/A</v>
          </cell>
          <cell r="X226" t="e">
            <v>#N/A</v>
          </cell>
          <cell r="Y226" t="e">
            <v>#N/A</v>
          </cell>
          <cell r="Z226" t="e">
            <v>#N/A</v>
          </cell>
          <cell r="AA226" t="e">
            <v>#N/A</v>
          </cell>
          <cell r="AB226" t="e">
            <v>#N/A</v>
          </cell>
          <cell r="AC226" t="e">
            <v>#N/A</v>
          </cell>
        </row>
        <row r="227">
          <cell r="A227" t="str">
            <v>ACCRTPR01_PARCHE</v>
          </cell>
          <cell r="B227">
            <v>38.270000000000003</v>
          </cell>
          <cell r="C227">
            <v>38.57</v>
          </cell>
          <cell r="D227">
            <v>38.11</v>
          </cell>
          <cell r="E227">
            <v>74.180000000000007</v>
          </cell>
          <cell r="F227">
            <v>70.52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 t="e">
            <v>#N/A</v>
          </cell>
          <cell r="S227">
            <v>0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A227" t="e">
            <v>#N/A</v>
          </cell>
          <cell r="AB227" t="e">
            <v>#N/A</v>
          </cell>
          <cell r="AC227" t="e">
            <v>#N/A</v>
          </cell>
        </row>
        <row r="228">
          <cell r="A228" t="str">
            <v>ACCRTPR01_YESID</v>
          </cell>
          <cell r="B228">
            <v>0</v>
          </cell>
          <cell r="C228">
            <v>0</v>
          </cell>
          <cell r="D228">
            <v>89.45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 t="e">
            <v>#N/A</v>
          </cell>
          <cell r="S228">
            <v>0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A228" t="e">
            <v>#N/A</v>
          </cell>
          <cell r="AB228" t="e">
            <v>#N/A</v>
          </cell>
          <cell r="AC228" t="e">
            <v>#N/A</v>
          </cell>
        </row>
        <row r="229">
          <cell r="A229" t="str">
            <v>ACDACAP01</v>
          </cell>
          <cell r="B229">
            <v>33.29</v>
          </cell>
          <cell r="C229">
            <v>35.14</v>
          </cell>
          <cell r="D229">
            <v>28.35</v>
          </cell>
          <cell r="E229">
            <v>28.96</v>
          </cell>
          <cell r="F229">
            <v>32.72</v>
          </cell>
          <cell r="G229">
            <v>37.21</v>
          </cell>
          <cell r="H229">
            <v>36.74</v>
          </cell>
          <cell r="I229">
            <v>36.67</v>
          </cell>
          <cell r="J229">
            <v>36.4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19.309999999999999</v>
          </cell>
          <cell r="Q229">
            <v>16.38</v>
          </cell>
          <cell r="R229">
            <v>15.9</v>
          </cell>
          <cell r="S229">
            <v>19.47</v>
          </cell>
          <cell r="T229">
            <v>32.200000000000003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A229" t="e">
            <v>#N/A</v>
          </cell>
          <cell r="AB229" t="e">
            <v>#N/A</v>
          </cell>
          <cell r="AC229" t="e">
            <v>#N/A</v>
          </cell>
        </row>
        <row r="230">
          <cell r="A230" t="str">
            <v>ACDACAP01_CLONE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34.32</v>
          </cell>
          <cell r="K230">
            <v>34.26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 t="e">
            <v>#N/A</v>
          </cell>
          <cell r="S230">
            <v>0</v>
          </cell>
          <cell r="T230" t="e">
            <v>#N/A</v>
          </cell>
          <cell r="U230" t="e">
            <v>#N/A</v>
          </cell>
          <cell r="V230" t="e">
            <v>#N/A</v>
          </cell>
          <cell r="W230" t="e">
            <v>#N/A</v>
          </cell>
          <cell r="X230" t="e">
            <v>#N/A</v>
          </cell>
          <cell r="Y230" t="e">
            <v>#N/A</v>
          </cell>
          <cell r="Z230" t="e">
            <v>#N/A</v>
          </cell>
          <cell r="AA230" t="e">
            <v>#N/A</v>
          </cell>
          <cell r="AB230" t="e">
            <v>#N/A</v>
          </cell>
          <cell r="AC230" t="e">
            <v>#N/A</v>
          </cell>
        </row>
        <row r="231">
          <cell r="A231" t="str">
            <v>ACDACAP02</v>
          </cell>
          <cell r="B231">
            <v>66.23</v>
          </cell>
          <cell r="C231">
            <v>65.67</v>
          </cell>
          <cell r="D231">
            <v>75.3</v>
          </cell>
          <cell r="E231">
            <v>86.05</v>
          </cell>
          <cell r="F231">
            <v>80.510000000000005</v>
          </cell>
          <cell r="G231">
            <v>80.78</v>
          </cell>
          <cell r="H231">
            <v>81.56</v>
          </cell>
          <cell r="I231">
            <v>82.01</v>
          </cell>
          <cell r="J231">
            <v>82.22</v>
          </cell>
          <cell r="K231">
            <v>82.28</v>
          </cell>
          <cell r="L231">
            <v>82.09</v>
          </cell>
          <cell r="M231">
            <v>82.04</v>
          </cell>
          <cell r="N231">
            <v>82.14</v>
          </cell>
          <cell r="O231">
            <v>82.46</v>
          </cell>
          <cell r="P231">
            <v>81.93</v>
          </cell>
          <cell r="Q231">
            <v>80.14</v>
          </cell>
          <cell r="R231">
            <v>80.78</v>
          </cell>
          <cell r="S231">
            <v>81</v>
          </cell>
          <cell r="T231">
            <v>80.47</v>
          </cell>
          <cell r="U231">
            <v>78.89</v>
          </cell>
          <cell r="V231">
            <v>80.64</v>
          </cell>
          <cell r="W231">
            <v>80.290000000000006</v>
          </cell>
          <cell r="X231">
            <v>70.040000000000006</v>
          </cell>
          <cell r="Y231">
            <v>56.63</v>
          </cell>
          <cell r="Z231">
            <v>55.61</v>
          </cell>
          <cell r="AA231">
            <v>68.98</v>
          </cell>
          <cell r="AB231">
            <v>83.22</v>
          </cell>
          <cell r="AC231">
            <v>85.9</v>
          </cell>
        </row>
        <row r="232">
          <cell r="A232" t="str">
            <v>ACDACAP03</v>
          </cell>
          <cell r="B232">
            <v>174.39</v>
          </cell>
          <cell r="C232">
            <v>182.8</v>
          </cell>
          <cell r="D232">
            <v>200.04</v>
          </cell>
          <cell r="E232">
            <v>207.91</v>
          </cell>
          <cell r="F232">
            <v>218.34</v>
          </cell>
          <cell r="G232">
            <v>203.62</v>
          </cell>
          <cell r="H232">
            <v>211.24</v>
          </cell>
          <cell r="I232">
            <v>210.54</v>
          </cell>
          <cell r="J232">
            <v>216.65</v>
          </cell>
          <cell r="K232">
            <v>201.39</v>
          </cell>
          <cell r="L232">
            <v>203.15</v>
          </cell>
          <cell r="M232">
            <v>249.55</v>
          </cell>
          <cell r="N232">
            <v>215.08</v>
          </cell>
          <cell r="O232">
            <v>233.46</v>
          </cell>
          <cell r="P232">
            <v>177.93</v>
          </cell>
          <cell r="Q232">
            <v>239.45</v>
          </cell>
          <cell r="R232">
            <v>226.03</v>
          </cell>
          <cell r="S232">
            <v>232.13</v>
          </cell>
          <cell r="T232">
            <v>252.21</v>
          </cell>
          <cell r="U232">
            <v>332.02</v>
          </cell>
          <cell r="V232">
            <v>409.48</v>
          </cell>
          <cell r="W232">
            <v>390.68</v>
          </cell>
          <cell r="X232">
            <v>397.93</v>
          </cell>
          <cell r="Y232">
            <v>393.55</v>
          </cell>
          <cell r="Z232">
            <v>395.62</v>
          </cell>
          <cell r="AA232">
            <v>358.58</v>
          </cell>
          <cell r="AB232">
            <v>344.64</v>
          </cell>
          <cell r="AC232">
            <v>319.64999999999998</v>
          </cell>
        </row>
        <row r="233">
          <cell r="A233" t="str">
            <v>ACDACAP03_PARCHE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24.89</v>
          </cell>
          <cell r="M233">
            <v>43.42</v>
          </cell>
          <cell r="N233">
            <v>0</v>
          </cell>
          <cell r="O233">
            <v>147.75</v>
          </cell>
          <cell r="P233">
            <v>218.61</v>
          </cell>
          <cell r="Q233">
            <v>0</v>
          </cell>
          <cell r="R233" t="e">
            <v>#N/A</v>
          </cell>
          <cell r="S233">
            <v>0</v>
          </cell>
          <cell r="T233" t="e">
            <v>#N/A</v>
          </cell>
          <cell r="U233" t="e">
            <v>#N/A</v>
          </cell>
          <cell r="V233" t="e">
            <v>#N/A</v>
          </cell>
          <cell r="W233" t="e">
            <v>#N/A</v>
          </cell>
          <cell r="X233" t="e">
            <v>#N/A</v>
          </cell>
          <cell r="Y233" t="e">
            <v>#N/A</v>
          </cell>
          <cell r="Z233" t="e">
            <v>#N/A</v>
          </cell>
          <cell r="AA233" t="e">
            <v>#N/A</v>
          </cell>
          <cell r="AB233" t="e">
            <v>#N/A</v>
          </cell>
          <cell r="AC233" t="e">
            <v>#N/A</v>
          </cell>
        </row>
        <row r="234">
          <cell r="A234" t="str">
            <v>ACDACAP04</v>
          </cell>
          <cell r="B234">
            <v>75.78</v>
          </cell>
          <cell r="C234">
            <v>82.15</v>
          </cell>
          <cell r="D234">
            <v>88.15</v>
          </cell>
          <cell r="E234">
            <v>98.76</v>
          </cell>
          <cell r="F234">
            <v>99.34</v>
          </cell>
          <cell r="G234">
            <v>99.41</v>
          </cell>
          <cell r="H234">
            <v>96.42</v>
          </cell>
          <cell r="I234">
            <v>72.67</v>
          </cell>
          <cell r="J234">
            <v>72.63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32.92</v>
          </cell>
          <cell r="Q234">
            <v>55.89</v>
          </cell>
          <cell r="R234">
            <v>30.65</v>
          </cell>
          <cell r="S234">
            <v>31.85</v>
          </cell>
          <cell r="T234">
            <v>31.73</v>
          </cell>
          <cell r="U234" t="e">
            <v>#N/A</v>
          </cell>
          <cell r="V234" t="e">
            <v>#N/A</v>
          </cell>
          <cell r="W234" t="e">
            <v>#N/A</v>
          </cell>
          <cell r="X234" t="e">
            <v>#N/A</v>
          </cell>
          <cell r="Y234" t="e">
            <v>#N/A</v>
          </cell>
          <cell r="Z234" t="e">
            <v>#N/A</v>
          </cell>
          <cell r="AA234" t="e">
            <v>#N/A</v>
          </cell>
          <cell r="AB234" t="e">
            <v>#N/A</v>
          </cell>
          <cell r="AC234" t="e">
            <v>#N/A</v>
          </cell>
        </row>
        <row r="235">
          <cell r="A235" t="str">
            <v>ACDACAP04_CLONE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73.150000000000006</v>
          </cell>
          <cell r="K235">
            <v>71.37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 t="e">
            <v>#N/A</v>
          </cell>
          <cell r="S235">
            <v>0</v>
          </cell>
          <cell r="T235" t="e">
            <v>#N/A</v>
          </cell>
          <cell r="U235" t="e">
            <v>#N/A</v>
          </cell>
          <cell r="V235" t="e">
            <v>#N/A</v>
          </cell>
          <cell r="W235" t="e">
            <v>#N/A</v>
          </cell>
          <cell r="X235" t="e">
            <v>#N/A</v>
          </cell>
          <cell r="Y235" t="e">
            <v>#N/A</v>
          </cell>
          <cell r="Z235" t="e">
            <v>#N/A</v>
          </cell>
          <cell r="AA235" t="e">
            <v>#N/A</v>
          </cell>
          <cell r="AB235" t="e">
            <v>#N/A</v>
          </cell>
          <cell r="AC235" t="e">
            <v>#N/A</v>
          </cell>
        </row>
        <row r="236">
          <cell r="A236" t="str">
            <v>ACDACAP06</v>
          </cell>
          <cell r="B236">
            <v>9.8000000000000007</v>
          </cell>
          <cell r="C236">
            <v>9.4600000000000009</v>
          </cell>
          <cell r="D236">
            <v>34.07</v>
          </cell>
          <cell r="E236">
            <v>40.119999999999997</v>
          </cell>
          <cell r="F236">
            <v>40.130000000000003</v>
          </cell>
          <cell r="G236">
            <v>30.52</v>
          </cell>
          <cell r="H236">
            <v>26.86</v>
          </cell>
          <cell r="I236">
            <v>26.89</v>
          </cell>
          <cell r="J236">
            <v>26.92</v>
          </cell>
          <cell r="K236">
            <v>26.96</v>
          </cell>
          <cell r="L236">
            <v>25.06</v>
          </cell>
          <cell r="M236">
            <v>19.739999999999998</v>
          </cell>
          <cell r="N236">
            <v>19.329999999999998</v>
          </cell>
          <cell r="O236">
            <v>0</v>
          </cell>
          <cell r="P236">
            <v>0</v>
          </cell>
          <cell r="Q236">
            <v>0</v>
          </cell>
          <cell r="R236" t="e">
            <v>#N/A</v>
          </cell>
          <cell r="S236">
            <v>0</v>
          </cell>
          <cell r="T236" t="e">
            <v>#N/A</v>
          </cell>
          <cell r="U236" t="e">
            <v>#N/A</v>
          </cell>
          <cell r="V236" t="e">
            <v>#N/A</v>
          </cell>
          <cell r="W236" t="e">
            <v>#N/A</v>
          </cell>
          <cell r="X236" t="e">
            <v>#N/A</v>
          </cell>
          <cell r="Y236" t="e">
            <v>#N/A</v>
          </cell>
          <cell r="Z236" t="e">
            <v>#N/A</v>
          </cell>
          <cell r="AA236" t="e">
            <v>#N/A</v>
          </cell>
          <cell r="AB236" t="e">
            <v>#N/A</v>
          </cell>
          <cell r="AC236" t="e">
            <v>#N/A</v>
          </cell>
        </row>
        <row r="237">
          <cell r="A237" t="str">
            <v>ACDACBD01</v>
          </cell>
          <cell r="B237">
            <v>25.37</v>
          </cell>
          <cell r="C237">
            <v>21.62</v>
          </cell>
          <cell r="D237">
            <v>17.39</v>
          </cell>
          <cell r="E237">
            <v>17.5</v>
          </cell>
          <cell r="F237">
            <v>19.420000000000002</v>
          </cell>
          <cell r="G237">
            <v>18.11</v>
          </cell>
          <cell r="H237">
            <v>16.96</v>
          </cell>
          <cell r="I237">
            <v>14.47</v>
          </cell>
          <cell r="J237">
            <v>15.18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13.26</v>
          </cell>
          <cell r="Q237">
            <v>12.55</v>
          </cell>
          <cell r="R237">
            <v>12.57</v>
          </cell>
          <cell r="S237">
            <v>12.76</v>
          </cell>
          <cell r="T237">
            <v>13.01</v>
          </cell>
          <cell r="U237" t="e">
            <v>#N/A</v>
          </cell>
          <cell r="V237" t="e">
            <v>#N/A</v>
          </cell>
          <cell r="W237" t="e">
            <v>#N/A</v>
          </cell>
          <cell r="X237" t="e">
            <v>#N/A</v>
          </cell>
          <cell r="Y237" t="e">
            <v>#N/A</v>
          </cell>
          <cell r="Z237" t="e">
            <v>#N/A</v>
          </cell>
          <cell r="AA237" t="e">
            <v>#N/A</v>
          </cell>
          <cell r="AB237" t="e">
            <v>#N/A</v>
          </cell>
          <cell r="AC237" t="e">
            <v>#N/A</v>
          </cell>
        </row>
        <row r="238">
          <cell r="A238" t="str">
            <v>ACDACBD01_CLONE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18.79</v>
          </cell>
          <cell r="K238">
            <v>23.64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 t="e">
            <v>#N/A</v>
          </cell>
          <cell r="S238">
            <v>0</v>
          </cell>
          <cell r="T238" t="e">
            <v>#N/A</v>
          </cell>
          <cell r="U238" t="e">
            <v>#N/A</v>
          </cell>
          <cell r="V238" t="e">
            <v>#N/A</v>
          </cell>
          <cell r="W238" t="e">
            <v>#N/A</v>
          </cell>
          <cell r="X238" t="e">
            <v>#N/A</v>
          </cell>
          <cell r="Y238" t="e">
            <v>#N/A</v>
          </cell>
          <cell r="Z238" t="e">
            <v>#N/A</v>
          </cell>
          <cell r="AA238" t="e">
            <v>#N/A</v>
          </cell>
          <cell r="AB238" t="e">
            <v>#N/A</v>
          </cell>
          <cell r="AC238" t="e">
            <v>#N/A</v>
          </cell>
        </row>
        <row r="239">
          <cell r="A239" t="str">
            <v>ACDACBD02</v>
          </cell>
          <cell r="B239">
            <v>0</v>
          </cell>
          <cell r="C239">
            <v>76.569999999999993</v>
          </cell>
          <cell r="D239">
            <v>76.959999999999994</v>
          </cell>
          <cell r="E239">
            <v>77.010000000000005</v>
          </cell>
          <cell r="F239">
            <v>77.010000000000005</v>
          </cell>
          <cell r="G239">
            <v>75.23</v>
          </cell>
          <cell r="H239">
            <v>20.190000000000001</v>
          </cell>
          <cell r="I239">
            <v>20.18</v>
          </cell>
          <cell r="J239">
            <v>20.21</v>
          </cell>
          <cell r="K239">
            <v>20.18</v>
          </cell>
          <cell r="L239">
            <v>20.22</v>
          </cell>
          <cell r="M239">
            <v>20.16</v>
          </cell>
          <cell r="N239">
            <v>20.09</v>
          </cell>
          <cell r="O239">
            <v>20.14</v>
          </cell>
          <cell r="P239">
            <v>20.170000000000002</v>
          </cell>
          <cell r="Q239">
            <v>0</v>
          </cell>
          <cell r="R239" t="e">
            <v>#N/A</v>
          </cell>
          <cell r="S239">
            <v>0</v>
          </cell>
          <cell r="T239" t="e">
            <v>#N/A</v>
          </cell>
          <cell r="U239" t="e">
            <v>#N/A</v>
          </cell>
          <cell r="V239" t="e">
            <v>#N/A</v>
          </cell>
          <cell r="W239" t="e">
            <v>#N/A</v>
          </cell>
          <cell r="X239" t="e">
            <v>#N/A</v>
          </cell>
          <cell r="Y239" t="e">
            <v>#N/A</v>
          </cell>
          <cell r="Z239" t="e">
            <v>#N/A</v>
          </cell>
          <cell r="AA239" t="e">
            <v>#N/A</v>
          </cell>
          <cell r="AB239" t="e">
            <v>#N/A</v>
          </cell>
          <cell r="AC239" t="e">
            <v>#N/A</v>
          </cell>
        </row>
        <row r="240">
          <cell r="A240" t="str">
            <v>ACDACBD04</v>
          </cell>
          <cell r="B240">
            <v>17.57</v>
          </cell>
          <cell r="C240">
            <v>15.63</v>
          </cell>
          <cell r="D240">
            <v>14.77</v>
          </cell>
          <cell r="E240">
            <v>19.55</v>
          </cell>
          <cell r="F240">
            <v>23.15</v>
          </cell>
          <cell r="G240">
            <v>25.15</v>
          </cell>
          <cell r="H240">
            <v>28.07</v>
          </cell>
          <cell r="I240">
            <v>11.47</v>
          </cell>
          <cell r="J240">
            <v>12.31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12.16</v>
          </cell>
          <cell r="Q240">
            <v>8.41</v>
          </cell>
          <cell r="R240">
            <v>8.35</v>
          </cell>
          <cell r="S240">
            <v>8.58</v>
          </cell>
          <cell r="T240">
            <v>8.4700000000000006</v>
          </cell>
          <cell r="U240" t="e">
            <v>#N/A</v>
          </cell>
          <cell r="V240" t="e">
            <v>#N/A</v>
          </cell>
          <cell r="W240" t="e">
            <v>#N/A</v>
          </cell>
          <cell r="X240" t="e">
            <v>#N/A</v>
          </cell>
          <cell r="Y240" t="e">
            <v>#N/A</v>
          </cell>
          <cell r="Z240" t="e">
            <v>#N/A</v>
          </cell>
          <cell r="AA240" t="e">
            <v>#N/A</v>
          </cell>
          <cell r="AB240" t="e">
            <v>#N/A</v>
          </cell>
          <cell r="AC240" t="e">
            <v>#N/A</v>
          </cell>
        </row>
        <row r="241">
          <cell r="A241" t="str">
            <v>ACDACBD04_CLONE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11.86</v>
          </cell>
          <cell r="K241">
            <v>11.2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 t="e">
            <v>#N/A</v>
          </cell>
          <cell r="S241">
            <v>0</v>
          </cell>
          <cell r="T241" t="e">
            <v>#N/A</v>
          </cell>
          <cell r="U241" t="e">
            <v>#N/A</v>
          </cell>
          <cell r="V241" t="e">
            <v>#N/A</v>
          </cell>
          <cell r="W241" t="e">
            <v>#N/A</v>
          </cell>
          <cell r="X241" t="e">
            <v>#N/A</v>
          </cell>
          <cell r="Y241" t="e">
            <v>#N/A</v>
          </cell>
          <cell r="Z241" t="e">
            <v>#N/A</v>
          </cell>
          <cell r="AA241" t="e">
            <v>#N/A</v>
          </cell>
          <cell r="AB241" t="e">
            <v>#N/A</v>
          </cell>
          <cell r="AC241" t="e">
            <v>#N/A</v>
          </cell>
        </row>
        <row r="242">
          <cell r="A242" t="str">
            <v>ACDACBD05</v>
          </cell>
          <cell r="B242">
            <v>23.82</v>
          </cell>
          <cell r="C242">
            <v>32.590000000000003</v>
          </cell>
          <cell r="D242">
            <v>37.04</v>
          </cell>
          <cell r="E242">
            <v>38.17</v>
          </cell>
          <cell r="F242">
            <v>37.19</v>
          </cell>
          <cell r="G242">
            <v>39.090000000000003</v>
          </cell>
          <cell r="H242">
            <v>38.46</v>
          </cell>
          <cell r="I242">
            <v>40.24</v>
          </cell>
          <cell r="J242">
            <v>44.14</v>
          </cell>
          <cell r="K242">
            <v>44.89</v>
          </cell>
          <cell r="L242">
            <v>44.99</v>
          </cell>
          <cell r="M242">
            <v>47.4</v>
          </cell>
          <cell r="N242">
            <v>46.8</v>
          </cell>
          <cell r="O242">
            <v>47.73</v>
          </cell>
          <cell r="P242">
            <v>48.29</v>
          </cell>
          <cell r="Q242">
            <v>48.12</v>
          </cell>
          <cell r="R242">
            <v>49.36</v>
          </cell>
          <cell r="S242">
            <v>51.7</v>
          </cell>
          <cell r="T242">
            <v>51.72</v>
          </cell>
          <cell r="U242">
            <v>52.44</v>
          </cell>
          <cell r="V242">
            <v>52.32</v>
          </cell>
          <cell r="W242">
            <v>55.92</v>
          </cell>
          <cell r="X242">
            <v>55.27</v>
          </cell>
          <cell r="Y242">
            <v>55.68</v>
          </cell>
          <cell r="Z242">
            <v>55.95</v>
          </cell>
          <cell r="AA242">
            <v>57.37</v>
          </cell>
          <cell r="AB242">
            <v>33.07</v>
          </cell>
          <cell r="AC242">
            <v>55.41</v>
          </cell>
        </row>
        <row r="243">
          <cell r="A243" t="str">
            <v>ACDACBD06</v>
          </cell>
          <cell r="B243">
            <v>32.99</v>
          </cell>
          <cell r="C243">
            <v>31.24</v>
          </cell>
          <cell r="D243">
            <v>0</v>
          </cell>
          <cell r="E243">
            <v>0</v>
          </cell>
          <cell r="F243">
            <v>0</v>
          </cell>
          <cell r="G243">
            <v>16.350000000000001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 t="e">
            <v>#N/A</v>
          </cell>
          <cell r="S243">
            <v>0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A243" t="e">
            <v>#N/A</v>
          </cell>
          <cell r="AB243" t="e">
            <v>#N/A</v>
          </cell>
          <cell r="AC243" t="e">
            <v>#N/A</v>
          </cell>
        </row>
        <row r="244">
          <cell r="A244" t="str">
            <v>ACDAFAP02</v>
          </cell>
          <cell r="B244">
            <v>36.25</v>
          </cell>
          <cell r="C244">
            <v>36.380000000000003</v>
          </cell>
          <cell r="D244">
            <v>32.39</v>
          </cell>
          <cell r="E244">
            <v>37</v>
          </cell>
          <cell r="F244">
            <v>39.01</v>
          </cell>
          <cell r="G244">
            <v>40.14</v>
          </cell>
          <cell r="H244">
            <v>85.29</v>
          </cell>
          <cell r="I244">
            <v>0</v>
          </cell>
          <cell r="J244">
            <v>0</v>
          </cell>
          <cell r="K244">
            <v>55.9</v>
          </cell>
          <cell r="L244">
            <v>70.39</v>
          </cell>
          <cell r="M244">
            <v>65.97</v>
          </cell>
          <cell r="N244">
            <v>68.33</v>
          </cell>
          <cell r="O244">
            <v>91.15</v>
          </cell>
          <cell r="P244">
            <v>96.72</v>
          </cell>
          <cell r="Q244">
            <v>89.6</v>
          </cell>
          <cell r="R244">
            <v>96.37</v>
          </cell>
          <cell r="S244">
            <v>0</v>
          </cell>
          <cell r="T244" t="e">
            <v>#N/A</v>
          </cell>
          <cell r="U244" t="e">
            <v>#N/A</v>
          </cell>
          <cell r="V244" t="e">
            <v>#N/A</v>
          </cell>
          <cell r="W244" t="e">
            <v>#N/A</v>
          </cell>
          <cell r="X244" t="e">
            <v>#N/A</v>
          </cell>
          <cell r="Y244" t="e">
            <v>#N/A</v>
          </cell>
          <cell r="Z244" t="e">
            <v>#N/A</v>
          </cell>
          <cell r="AA244" t="e">
            <v>#N/A</v>
          </cell>
          <cell r="AB244" t="e">
            <v>#N/A</v>
          </cell>
          <cell r="AC244" t="e">
            <v>#N/A</v>
          </cell>
        </row>
        <row r="245">
          <cell r="A245" t="str">
            <v>ACDAFAP03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43.18</v>
          </cell>
          <cell r="L245">
            <v>84.72</v>
          </cell>
          <cell r="M245">
            <v>79.02</v>
          </cell>
          <cell r="N245">
            <v>70.03</v>
          </cell>
          <cell r="O245">
            <v>71.92</v>
          </cell>
          <cell r="P245">
            <v>74.38</v>
          </cell>
          <cell r="Q245">
            <v>77.569999999999993</v>
          </cell>
          <cell r="R245">
            <v>69.34</v>
          </cell>
          <cell r="S245">
            <v>0</v>
          </cell>
          <cell r="T245" t="e">
            <v>#N/A</v>
          </cell>
          <cell r="U245" t="e">
            <v>#N/A</v>
          </cell>
          <cell r="V245" t="e">
            <v>#N/A</v>
          </cell>
          <cell r="W245" t="e">
            <v>#N/A</v>
          </cell>
          <cell r="X245" t="e">
            <v>#N/A</v>
          </cell>
          <cell r="Y245" t="e">
            <v>#N/A</v>
          </cell>
          <cell r="Z245" t="e">
            <v>#N/A</v>
          </cell>
          <cell r="AA245" t="e">
            <v>#N/A</v>
          </cell>
          <cell r="AB245" t="e">
            <v>#N/A</v>
          </cell>
          <cell r="AC245" t="e">
            <v>#N/A</v>
          </cell>
        </row>
        <row r="246">
          <cell r="A246" t="str">
            <v>ACDAFBD01</v>
          </cell>
          <cell r="B246">
            <v>16.53</v>
          </cell>
          <cell r="C246">
            <v>16.84</v>
          </cell>
          <cell r="D246">
            <v>16.989999999999998</v>
          </cell>
          <cell r="E246">
            <v>17.82</v>
          </cell>
          <cell r="F246">
            <v>17.850000000000001</v>
          </cell>
          <cell r="G246">
            <v>18.28</v>
          </cell>
          <cell r="H246">
            <v>0</v>
          </cell>
          <cell r="I246">
            <v>0</v>
          </cell>
          <cell r="J246">
            <v>28.49</v>
          </cell>
          <cell r="K246">
            <v>0</v>
          </cell>
          <cell r="L246">
            <v>0</v>
          </cell>
          <cell r="M246">
            <v>14.54</v>
          </cell>
          <cell r="N246">
            <v>12.89</v>
          </cell>
          <cell r="O246">
            <v>14.83</v>
          </cell>
          <cell r="P246">
            <v>13.39</v>
          </cell>
          <cell r="Q246">
            <v>18.940000000000001</v>
          </cell>
          <cell r="R246">
            <v>18.93</v>
          </cell>
          <cell r="S246">
            <v>20.82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A246" t="e">
            <v>#N/A</v>
          </cell>
          <cell r="AB246" t="e">
            <v>#N/A</v>
          </cell>
          <cell r="AC246" t="e">
            <v>#N/A</v>
          </cell>
        </row>
        <row r="247">
          <cell r="A247" t="str">
            <v>ACDAFBD01_CLONE_XIV</v>
          </cell>
          <cell r="B247">
            <v>12.86</v>
          </cell>
          <cell r="C247">
            <v>11.32</v>
          </cell>
          <cell r="D247">
            <v>10.6</v>
          </cell>
          <cell r="E247">
            <v>12.23</v>
          </cell>
          <cell r="F247">
            <v>12.68</v>
          </cell>
          <cell r="G247">
            <v>13.71</v>
          </cell>
          <cell r="H247">
            <v>15.14</v>
          </cell>
          <cell r="I247">
            <v>14.39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 t="e">
            <v>#N/A</v>
          </cell>
          <cell r="S247">
            <v>0</v>
          </cell>
          <cell r="T247" t="e">
            <v>#N/A</v>
          </cell>
          <cell r="U247" t="e">
            <v>#N/A</v>
          </cell>
          <cell r="V247" t="e">
            <v>#N/A</v>
          </cell>
          <cell r="W247" t="e">
            <v>#N/A</v>
          </cell>
          <cell r="X247" t="e">
            <v>#N/A</v>
          </cell>
          <cell r="Y247" t="e">
            <v>#N/A</v>
          </cell>
          <cell r="Z247" t="e">
            <v>#N/A</v>
          </cell>
          <cell r="AA247" t="e">
            <v>#N/A</v>
          </cell>
          <cell r="AB247" t="e">
            <v>#N/A</v>
          </cell>
          <cell r="AC247" t="e">
            <v>#N/A</v>
          </cell>
        </row>
        <row r="248">
          <cell r="A248" t="str">
            <v>ACDAFBD02</v>
          </cell>
          <cell r="B248">
            <v>96.59</v>
          </cell>
          <cell r="C248">
            <v>92.43</v>
          </cell>
          <cell r="D248">
            <v>100.91</v>
          </cell>
          <cell r="E248">
            <v>97.53</v>
          </cell>
          <cell r="F248">
            <v>104.7</v>
          </cell>
          <cell r="G248">
            <v>102.11</v>
          </cell>
          <cell r="H248">
            <v>72.400000000000006</v>
          </cell>
          <cell r="I248">
            <v>0</v>
          </cell>
          <cell r="J248">
            <v>98.83</v>
          </cell>
          <cell r="K248">
            <v>118.79</v>
          </cell>
          <cell r="L248">
            <v>140.44999999999999</v>
          </cell>
          <cell r="M248">
            <v>143.27000000000001</v>
          </cell>
          <cell r="N248">
            <v>137.22</v>
          </cell>
          <cell r="O248">
            <v>141.19</v>
          </cell>
          <cell r="P248">
            <v>145.63999999999999</v>
          </cell>
          <cell r="Q248">
            <v>145.99</v>
          </cell>
          <cell r="R248">
            <v>148</v>
          </cell>
          <cell r="S248">
            <v>134.84</v>
          </cell>
          <cell r="T248" t="e">
            <v>#N/A</v>
          </cell>
          <cell r="U248" t="e">
            <v>#N/A</v>
          </cell>
          <cell r="V248" t="e">
            <v>#N/A</v>
          </cell>
          <cell r="W248" t="e">
            <v>#N/A</v>
          </cell>
          <cell r="X248" t="e">
            <v>#N/A</v>
          </cell>
          <cell r="Y248" t="e">
            <v>#N/A</v>
          </cell>
          <cell r="Z248" t="e">
            <v>#N/A</v>
          </cell>
          <cell r="AA248" t="e">
            <v>#N/A</v>
          </cell>
          <cell r="AB248" t="e">
            <v>#N/A</v>
          </cell>
          <cell r="AC248" t="e">
            <v>#N/A</v>
          </cell>
        </row>
        <row r="249">
          <cell r="A249" t="str">
            <v>ACDAFBD02_CLONE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45.96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 t="e">
            <v>#N/A</v>
          </cell>
          <cell r="S249">
            <v>0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A249" t="e">
            <v>#N/A</v>
          </cell>
          <cell r="AB249" t="e">
            <v>#N/A</v>
          </cell>
          <cell r="AC249" t="e">
            <v>#N/A</v>
          </cell>
        </row>
        <row r="250">
          <cell r="A250" t="str">
            <v>ACDAFPR01</v>
          </cell>
          <cell r="B250">
            <v>16.14</v>
          </cell>
          <cell r="C250">
            <v>16.239999999999998</v>
          </cell>
          <cell r="D250">
            <v>15.92</v>
          </cell>
          <cell r="E250">
            <v>16.64</v>
          </cell>
          <cell r="F250">
            <v>16.850000000000001</v>
          </cell>
          <cell r="G250">
            <v>16.91</v>
          </cell>
          <cell r="H250">
            <v>52.84</v>
          </cell>
          <cell r="I250">
            <v>0</v>
          </cell>
          <cell r="J250">
            <v>35.67</v>
          </cell>
          <cell r="K250">
            <v>0</v>
          </cell>
          <cell r="L250">
            <v>0</v>
          </cell>
          <cell r="M250">
            <v>18.63</v>
          </cell>
          <cell r="N250">
            <v>20.73</v>
          </cell>
          <cell r="O250">
            <v>25.14</v>
          </cell>
          <cell r="P250">
            <v>19.5</v>
          </cell>
          <cell r="Q250">
            <v>17.25</v>
          </cell>
          <cell r="R250">
            <v>16.350000000000001</v>
          </cell>
          <cell r="S250">
            <v>0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A250" t="e">
            <v>#N/A</v>
          </cell>
          <cell r="AB250" t="e">
            <v>#N/A</v>
          </cell>
          <cell r="AC250" t="e">
            <v>#N/A</v>
          </cell>
        </row>
        <row r="251">
          <cell r="A251" t="str">
            <v>ACDAFPR01_CLONE_XIV</v>
          </cell>
          <cell r="B251">
            <v>11.57</v>
          </cell>
          <cell r="C251">
            <v>14.65</v>
          </cell>
          <cell r="D251">
            <v>15.32</v>
          </cell>
          <cell r="E251">
            <v>15.85</v>
          </cell>
          <cell r="F251">
            <v>15.59</v>
          </cell>
          <cell r="G251">
            <v>14.82</v>
          </cell>
          <cell r="H251">
            <v>15.22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 t="e">
            <v>#N/A</v>
          </cell>
          <cell r="S251">
            <v>0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A251" t="e">
            <v>#N/A</v>
          </cell>
          <cell r="AB251" t="e">
            <v>#N/A</v>
          </cell>
          <cell r="AC251" t="e">
            <v>#N/A</v>
          </cell>
        </row>
        <row r="252">
          <cell r="A252" t="str">
            <v>ACDAFPR02</v>
          </cell>
          <cell r="B252">
            <v>46.31</v>
          </cell>
          <cell r="C252">
            <v>49.77</v>
          </cell>
          <cell r="D252">
            <v>54.78</v>
          </cell>
          <cell r="E252">
            <v>50.38</v>
          </cell>
          <cell r="F252">
            <v>45.72</v>
          </cell>
          <cell r="G252">
            <v>49.48</v>
          </cell>
          <cell r="H252">
            <v>107.91</v>
          </cell>
          <cell r="I252">
            <v>0</v>
          </cell>
          <cell r="J252">
            <v>0</v>
          </cell>
          <cell r="K252">
            <v>60.77</v>
          </cell>
          <cell r="L252">
            <v>78.78</v>
          </cell>
          <cell r="M252">
            <v>79.22</v>
          </cell>
          <cell r="N252">
            <v>67.45</v>
          </cell>
          <cell r="O252">
            <v>92.22</v>
          </cell>
          <cell r="P252">
            <v>96.92</v>
          </cell>
          <cell r="Q252">
            <v>76.06</v>
          </cell>
          <cell r="R252">
            <v>78.41</v>
          </cell>
          <cell r="S252">
            <v>0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A252" t="e">
            <v>#N/A</v>
          </cell>
          <cell r="AB252" t="e">
            <v>#N/A</v>
          </cell>
          <cell r="AC252" t="e">
            <v>#N/A</v>
          </cell>
        </row>
        <row r="253">
          <cell r="A253" t="str">
            <v>ACDANAP01</v>
          </cell>
          <cell r="B253">
            <v>13.95</v>
          </cell>
          <cell r="C253">
            <v>18.84</v>
          </cell>
          <cell r="D253">
            <v>6.49</v>
          </cell>
          <cell r="E253">
            <v>6.73</v>
          </cell>
          <cell r="F253">
            <v>6.91</v>
          </cell>
          <cell r="G253">
            <v>7.09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 t="e">
            <v>#N/A</v>
          </cell>
          <cell r="S253">
            <v>0</v>
          </cell>
          <cell r="T253">
            <v>20.3</v>
          </cell>
          <cell r="U253">
            <v>22.05</v>
          </cell>
          <cell r="V253">
            <v>23.34</v>
          </cell>
          <cell r="W253">
            <v>10.71</v>
          </cell>
          <cell r="X253" t="e">
            <v>#N/A</v>
          </cell>
          <cell r="Y253" t="e">
            <v>#N/A</v>
          </cell>
          <cell r="Z253" t="e">
            <v>#N/A</v>
          </cell>
          <cell r="AA253" t="e">
            <v>#N/A</v>
          </cell>
          <cell r="AB253" t="e">
            <v>#N/A</v>
          </cell>
          <cell r="AC253" t="e">
            <v>#N/A</v>
          </cell>
        </row>
        <row r="254">
          <cell r="A254" t="str">
            <v>ACDANAP01_PARA BORRAR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8.11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 t="e">
            <v>#N/A</v>
          </cell>
          <cell r="S254">
            <v>0</v>
          </cell>
          <cell r="T254" t="e">
            <v>#N/A</v>
          </cell>
          <cell r="U254" t="e">
            <v>#N/A</v>
          </cell>
          <cell r="V254" t="e">
            <v>#N/A</v>
          </cell>
          <cell r="W254" t="e">
            <v>#N/A</v>
          </cell>
          <cell r="X254" t="e">
            <v>#N/A</v>
          </cell>
          <cell r="Y254" t="e">
            <v>#N/A</v>
          </cell>
          <cell r="Z254" t="e">
            <v>#N/A</v>
          </cell>
          <cell r="AA254" t="e">
            <v>#N/A</v>
          </cell>
          <cell r="AB254" t="e">
            <v>#N/A</v>
          </cell>
          <cell r="AC254" t="e">
            <v>#N/A</v>
          </cell>
        </row>
        <row r="255">
          <cell r="A255" t="str">
            <v>ACDANBD01</v>
          </cell>
          <cell r="B255">
            <v>60</v>
          </cell>
          <cell r="C255">
            <v>59.6</v>
          </cell>
          <cell r="D255">
            <v>61.12</v>
          </cell>
          <cell r="E255">
            <v>62.45</v>
          </cell>
          <cell r="F255">
            <v>63.25</v>
          </cell>
          <cell r="G255">
            <v>63.47</v>
          </cell>
          <cell r="H255">
            <v>27.32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 t="e">
            <v>#N/A</v>
          </cell>
          <cell r="S255">
            <v>0</v>
          </cell>
          <cell r="T255" t="e">
            <v>#N/A</v>
          </cell>
          <cell r="U255" t="e">
            <v>#N/A</v>
          </cell>
          <cell r="V255">
            <v>59.02</v>
          </cell>
          <cell r="W255" t="e">
            <v>#N/A</v>
          </cell>
          <cell r="X255" t="e">
            <v>#N/A</v>
          </cell>
          <cell r="Y255" t="e">
            <v>#N/A</v>
          </cell>
          <cell r="Z255" t="e">
            <v>#N/A</v>
          </cell>
          <cell r="AA255" t="e">
            <v>#N/A</v>
          </cell>
          <cell r="AB255">
            <v>55.96</v>
          </cell>
          <cell r="AC255" t="e">
            <v>#N/A</v>
          </cell>
        </row>
        <row r="256">
          <cell r="A256" t="str">
            <v>ACDANBD01_PARCHE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55.83</v>
          </cell>
          <cell r="G256">
            <v>55.92</v>
          </cell>
          <cell r="H256">
            <v>0</v>
          </cell>
          <cell r="I256">
            <v>55.72</v>
          </cell>
          <cell r="J256">
            <v>55.18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 t="e">
            <v>#N/A</v>
          </cell>
          <cell r="S256">
            <v>0</v>
          </cell>
          <cell r="T256" t="e">
            <v>#N/A</v>
          </cell>
          <cell r="U256" t="e">
            <v>#N/A</v>
          </cell>
          <cell r="V256" t="e">
            <v>#N/A</v>
          </cell>
          <cell r="W256" t="e">
            <v>#N/A</v>
          </cell>
          <cell r="X256" t="e">
            <v>#N/A</v>
          </cell>
          <cell r="Y256" t="e">
            <v>#N/A</v>
          </cell>
          <cell r="Z256" t="e">
            <v>#N/A</v>
          </cell>
          <cell r="AA256" t="e">
            <v>#N/A</v>
          </cell>
          <cell r="AB256" t="e">
            <v>#N/A</v>
          </cell>
          <cell r="AC256" t="e">
            <v>#N/A</v>
          </cell>
        </row>
        <row r="257">
          <cell r="A257" t="str">
            <v>ACDASAP01</v>
          </cell>
          <cell r="B257">
            <v>165.99</v>
          </cell>
          <cell r="C257">
            <v>141.66999999999999</v>
          </cell>
          <cell r="D257">
            <v>115.43</v>
          </cell>
          <cell r="E257">
            <v>139.24</v>
          </cell>
          <cell r="F257">
            <v>173.53</v>
          </cell>
          <cell r="G257">
            <v>139.03</v>
          </cell>
          <cell r="H257">
            <v>129.55000000000001</v>
          </cell>
          <cell r="I257">
            <v>179.49</v>
          </cell>
          <cell r="J257">
            <v>169.15</v>
          </cell>
          <cell r="K257">
            <v>218.89</v>
          </cell>
          <cell r="L257">
            <v>205.22</v>
          </cell>
          <cell r="M257">
            <v>250.27</v>
          </cell>
          <cell r="N257">
            <v>60.58</v>
          </cell>
          <cell r="O257">
            <v>31.89</v>
          </cell>
          <cell r="P257">
            <v>0</v>
          </cell>
          <cell r="Q257">
            <v>0</v>
          </cell>
          <cell r="R257" t="e">
            <v>#N/A</v>
          </cell>
          <cell r="S257">
            <v>0</v>
          </cell>
          <cell r="T257" t="e">
            <v>#N/A</v>
          </cell>
          <cell r="U257" t="e">
            <v>#N/A</v>
          </cell>
          <cell r="V257" t="e">
            <v>#N/A</v>
          </cell>
          <cell r="W257" t="e">
            <v>#N/A</v>
          </cell>
          <cell r="X257" t="e">
            <v>#N/A</v>
          </cell>
          <cell r="Y257" t="e">
            <v>#N/A</v>
          </cell>
          <cell r="Z257" t="e">
            <v>#N/A</v>
          </cell>
          <cell r="AA257" t="e">
            <v>#N/A</v>
          </cell>
          <cell r="AB257" t="e">
            <v>#N/A</v>
          </cell>
          <cell r="AC257" t="e">
            <v>#N/A</v>
          </cell>
        </row>
        <row r="258">
          <cell r="A258" t="str">
            <v>ACDASAP02</v>
          </cell>
          <cell r="B258">
            <v>168.92</v>
          </cell>
          <cell r="C258">
            <v>137.13</v>
          </cell>
          <cell r="D258">
            <v>135.19999999999999</v>
          </cell>
          <cell r="E258">
            <v>140.47999999999999</v>
          </cell>
          <cell r="F258">
            <v>140.09</v>
          </cell>
          <cell r="G258">
            <v>134.59</v>
          </cell>
          <cell r="H258">
            <v>147.76</v>
          </cell>
          <cell r="I258">
            <v>198.19</v>
          </cell>
          <cell r="J258">
            <v>170.08</v>
          </cell>
          <cell r="K258">
            <v>178.53</v>
          </cell>
          <cell r="L258">
            <v>203.19</v>
          </cell>
          <cell r="M258">
            <v>223.25</v>
          </cell>
          <cell r="N258">
            <v>52.34</v>
          </cell>
          <cell r="O258">
            <v>36.22</v>
          </cell>
          <cell r="P258">
            <v>0</v>
          </cell>
          <cell r="Q258">
            <v>0</v>
          </cell>
          <cell r="R258" t="e">
            <v>#N/A</v>
          </cell>
          <cell r="S258">
            <v>0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A258" t="e">
            <v>#N/A</v>
          </cell>
          <cell r="AB258" t="e">
            <v>#N/A</v>
          </cell>
          <cell r="AC258" t="e">
            <v>#N/A</v>
          </cell>
        </row>
        <row r="259">
          <cell r="A259" t="str">
            <v>ACDASAP03</v>
          </cell>
          <cell r="B259">
            <v>153.66999999999999</v>
          </cell>
          <cell r="C259">
            <v>131.24</v>
          </cell>
          <cell r="D259">
            <v>123.81</v>
          </cell>
          <cell r="E259">
            <v>156.97999999999999</v>
          </cell>
          <cell r="F259">
            <v>152.86000000000001</v>
          </cell>
          <cell r="G259">
            <v>136.9</v>
          </cell>
          <cell r="H259">
            <v>153.72999999999999</v>
          </cell>
          <cell r="I259">
            <v>221.02</v>
          </cell>
          <cell r="J259">
            <v>205.02</v>
          </cell>
          <cell r="K259">
            <v>201.72</v>
          </cell>
          <cell r="L259">
            <v>205.21</v>
          </cell>
          <cell r="M259">
            <v>264.02999999999997</v>
          </cell>
          <cell r="N259">
            <v>62.53</v>
          </cell>
          <cell r="O259">
            <v>35.119999999999997</v>
          </cell>
          <cell r="P259">
            <v>0</v>
          </cell>
          <cell r="Q259">
            <v>0</v>
          </cell>
          <cell r="R259" t="e">
            <v>#N/A</v>
          </cell>
          <cell r="S259">
            <v>0</v>
          </cell>
          <cell r="T259" t="e">
            <v>#N/A</v>
          </cell>
          <cell r="U259" t="e">
            <v>#N/A</v>
          </cell>
          <cell r="V259" t="e">
            <v>#N/A</v>
          </cell>
          <cell r="W259" t="e">
            <v>#N/A</v>
          </cell>
          <cell r="X259" t="e">
            <v>#N/A</v>
          </cell>
          <cell r="Y259" t="e">
            <v>#N/A</v>
          </cell>
          <cell r="Z259" t="e">
            <v>#N/A</v>
          </cell>
          <cell r="AA259" t="e">
            <v>#N/A</v>
          </cell>
          <cell r="AB259" t="e">
            <v>#N/A</v>
          </cell>
          <cell r="AC259" t="e">
            <v>#N/A</v>
          </cell>
        </row>
        <row r="260">
          <cell r="A260" t="str">
            <v>ACDASAP04</v>
          </cell>
          <cell r="B260">
            <v>134.16</v>
          </cell>
          <cell r="C260">
            <v>147.93</v>
          </cell>
          <cell r="D260">
            <v>124.49</v>
          </cell>
          <cell r="E260">
            <v>0</v>
          </cell>
          <cell r="F260">
            <v>0</v>
          </cell>
          <cell r="G260">
            <v>43.01</v>
          </cell>
          <cell r="H260">
            <v>43.28</v>
          </cell>
          <cell r="I260">
            <v>41.66</v>
          </cell>
          <cell r="J260">
            <v>41.49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 t="e">
            <v>#N/A</v>
          </cell>
          <cell r="S260">
            <v>0</v>
          </cell>
          <cell r="T260" t="e">
            <v>#N/A</v>
          </cell>
          <cell r="U260" t="e">
            <v>#N/A</v>
          </cell>
          <cell r="V260" t="e">
            <v>#N/A</v>
          </cell>
          <cell r="W260" t="e">
            <v>#N/A</v>
          </cell>
          <cell r="X260" t="e">
            <v>#N/A</v>
          </cell>
          <cell r="Y260" t="e">
            <v>#N/A</v>
          </cell>
          <cell r="Z260" t="e">
            <v>#N/A</v>
          </cell>
          <cell r="AA260" t="e">
            <v>#N/A</v>
          </cell>
          <cell r="AB260" t="e">
            <v>#N/A</v>
          </cell>
          <cell r="AC260" t="e">
            <v>#N/A</v>
          </cell>
        </row>
        <row r="261">
          <cell r="A261" t="str">
            <v>ACDASAP05</v>
          </cell>
          <cell r="B261">
            <v>102.18</v>
          </cell>
          <cell r="C261">
            <v>117.77</v>
          </cell>
          <cell r="D261">
            <v>97.64</v>
          </cell>
          <cell r="E261">
            <v>89.99</v>
          </cell>
          <cell r="F261">
            <v>89.2</v>
          </cell>
          <cell r="G261">
            <v>86.06</v>
          </cell>
          <cell r="H261">
            <v>92.54</v>
          </cell>
          <cell r="I261">
            <v>101.03</v>
          </cell>
          <cell r="J261">
            <v>108.33</v>
          </cell>
          <cell r="K261">
            <v>107.64</v>
          </cell>
          <cell r="L261">
            <v>100.92</v>
          </cell>
          <cell r="M261">
            <v>96.46</v>
          </cell>
          <cell r="N261">
            <v>60.89</v>
          </cell>
          <cell r="O261">
            <v>39.04</v>
          </cell>
          <cell r="P261">
            <v>0</v>
          </cell>
          <cell r="Q261">
            <v>0</v>
          </cell>
          <cell r="R261" t="e">
            <v>#N/A</v>
          </cell>
          <cell r="S261">
            <v>0</v>
          </cell>
          <cell r="T261" t="e">
            <v>#N/A</v>
          </cell>
          <cell r="U261" t="e">
            <v>#N/A</v>
          </cell>
          <cell r="V261" t="e">
            <v>#N/A</v>
          </cell>
          <cell r="W261" t="e">
            <v>#N/A</v>
          </cell>
          <cell r="X261" t="e">
            <v>#N/A</v>
          </cell>
          <cell r="Y261" t="e">
            <v>#N/A</v>
          </cell>
          <cell r="Z261" t="e">
            <v>#N/A</v>
          </cell>
          <cell r="AA261" t="e">
            <v>#N/A</v>
          </cell>
          <cell r="AB261" t="e">
            <v>#N/A</v>
          </cell>
          <cell r="AC261" t="e">
            <v>#N/A</v>
          </cell>
        </row>
        <row r="262">
          <cell r="A262" t="str">
            <v>ACDASAP05_CLONE_BUS_ULTIMO</v>
          </cell>
          <cell r="B262">
            <v>0</v>
          </cell>
          <cell r="C262">
            <v>0</v>
          </cell>
          <cell r="D262">
            <v>38.799999999999997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 t="e">
            <v>#N/A</v>
          </cell>
          <cell r="S262">
            <v>0</v>
          </cell>
          <cell r="T262" t="e">
            <v>#N/A</v>
          </cell>
          <cell r="U262" t="e">
            <v>#N/A</v>
          </cell>
          <cell r="V262" t="e">
            <v>#N/A</v>
          </cell>
          <cell r="W262" t="e">
            <v>#N/A</v>
          </cell>
          <cell r="X262" t="e">
            <v>#N/A</v>
          </cell>
          <cell r="Y262" t="e">
            <v>#N/A</v>
          </cell>
          <cell r="Z262" t="e">
            <v>#N/A</v>
          </cell>
          <cell r="AA262" t="e">
            <v>#N/A</v>
          </cell>
          <cell r="AB262" t="e">
            <v>#N/A</v>
          </cell>
          <cell r="AC262" t="e">
            <v>#N/A</v>
          </cell>
        </row>
        <row r="263">
          <cell r="A263" t="str">
            <v>ACDASAP06</v>
          </cell>
          <cell r="B263">
            <v>18.8</v>
          </cell>
          <cell r="C263">
            <v>70.61</v>
          </cell>
          <cell r="D263">
            <v>80.489999999999995</v>
          </cell>
          <cell r="E263">
            <v>0</v>
          </cell>
          <cell r="F263">
            <v>0</v>
          </cell>
          <cell r="G263">
            <v>34.99</v>
          </cell>
          <cell r="H263">
            <v>26.16</v>
          </cell>
          <cell r="I263">
            <v>36.67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 t="e">
            <v>#N/A</v>
          </cell>
          <cell r="S263">
            <v>0</v>
          </cell>
          <cell r="T263" t="e">
            <v>#N/A</v>
          </cell>
          <cell r="U263" t="e">
            <v>#N/A</v>
          </cell>
          <cell r="V263" t="e">
            <v>#N/A</v>
          </cell>
          <cell r="W263" t="e">
            <v>#N/A</v>
          </cell>
          <cell r="X263" t="e">
            <v>#N/A</v>
          </cell>
          <cell r="Y263" t="e">
            <v>#N/A</v>
          </cell>
          <cell r="Z263" t="e">
            <v>#N/A</v>
          </cell>
          <cell r="AA263" t="e">
            <v>#N/A</v>
          </cell>
          <cell r="AB263" t="e">
            <v>#N/A</v>
          </cell>
          <cell r="AC263" t="e">
            <v>#N/A</v>
          </cell>
        </row>
        <row r="264">
          <cell r="A264" t="str">
            <v>ACDASAP06_CLONE</v>
          </cell>
          <cell r="B264">
            <v>0</v>
          </cell>
          <cell r="C264">
            <v>0</v>
          </cell>
          <cell r="D264">
            <v>96.24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 t="e">
            <v>#N/A</v>
          </cell>
          <cell r="S264">
            <v>0</v>
          </cell>
          <cell r="T264" t="e">
            <v>#N/A</v>
          </cell>
          <cell r="U264" t="e">
            <v>#N/A</v>
          </cell>
          <cell r="V264" t="e">
            <v>#N/A</v>
          </cell>
          <cell r="W264" t="e">
            <v>#N/A</v>
          </cell>
          <cell r="X264" t="e">
            <v>#N/A</v>
          </cell>
          <cell r="Y264" t="e">
            <v>#N/A</v>
          </cell>
          <cell r="Z264" t="e">
            <v>#N/A</v>
          </cell>
          <cell r="AA264" t="e">
            <v>#N/A</v>
          </cell>
          <cell r="AB264" t="e">
            <v>#N/A</v>
          </cell>
          <cell r="AC264" t="e">
            <v>#N/A</v>
          </cell>
        </row>
        <row r="265">
          <cell r="A265" t="str">
            <v>ACDASAP07</v>
          </cell>
          <cell r="B265">
            <v>105.36</v>
          </cell>
          <cell r="C265">
            <v>103.2</v>
          </cell>
          <cell r="D265">
            <v>79.27</v>
          </cell>
          <cell r="E265">
            <v>73.540000000000006</v>
          </cell>
          <cell r="F265">
            <v>77.95</v>
          </cell>
          <cell r="G265">
            <v>77.05</v>
          </cell>
          <cell r="H265">
            <v>77</v>
          </cell>
          <cell r="I265">
            <v>76.37</v>
          </cell>
          <cell r="J265">
            <v>79.010000000000005</v>
          </cell>
          <cell r="K265">
            <v>79.61</v>
          </cell>
          <cell r="L265">
            <v>81.489999999999995</v>
          </cell>
          <cell r="M265">
            <v>84.83</v>
          </cell>
          <cell r="N265">
            <v>44.61</v>
          </cell>
          <cell r="O265">
            <v>37.53</v>
          </cell>
          <cell r="P265">
            <v>0</v>
          </cell>
          <cell r="Q265">
            <v>0</v>
          </cell>
          <cell r="R265" t="e">
            <v>#N/A</v>
          </cell>
          <cell r="S265">
            <v>0</v>
          </cell>
          <cell r="T265" t="e">
            <v>#N/A</v>
          </cell>
          <cell r="U265" t="e">
            <v>#N/A</v>
          </cell>
          <cell r="V265" t="e">
            <v>#N/A</v>
          </cell>
          <cell r="W265" t="e">
            <v>#N/A</v>
          </cell>
          <cell r="X265" t="e">
            <v>#N/A</v>
          </cell>
          <cell r="Y265" t="e">
            <v>#N/A</v>
          </cell>
          <cell r="Z265" t="e">
            <v>#N/A</v>
          </cell>
          <cell r="AA265" t="e">
            <v>#N/A</v>
          </cell>
          <cell r="AB265" t="e">
            <v>#N/A</v>
          </cell>
          <cell r="AC265" t="e">
            <v>#N/A</v>
          </cell>
        </row>
        <row r="266">
          <cell r="A266" t="str">
            <v>ACDASAP08</v>
          </cell>
          <cell r="B266">
            <v>82.9</v>
          </cell>
          <cell r="C266">
            <v>85.01</v>
          </cell>
          <cell r="D266">
            <v>97.85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 t="e">
            <v>#N/A</v>
          </cell>
          <cell r="S266">
            <v>0</v>
          </cell>
          <cell r="T266" t="e">
            <v>#N/A</v>
          </cell>
          <cell r="U266" t="e">
            <v>#N/A</v>
          </cell>
          <cell r="V266" t="e">
            <v>#N/A</v>
          </cell>
          <cell r="W266" t="e">
            <v>#N/A</v>
          </cell>
          <cell r="X266" t="e">
            <v>#N/A</v>
          </cell>
          <cell r="Y266" t="e">
            <v>#N/A</v>
          </cell>
          <cell r="Z266" t="e">
            <v>#N/A</v>
          </cell>
          <cell r="AA266" t="e">
            <v>#N/A</v>
          </cell>
          <cell r="AB266" t="e">
            <v>#N/A</v>
          </cell>
          <cell r="AC266" t="e">
            <v>#N/A</v>
          </cell>
        </row>
        <row r="267">
          <cell r="A267" t="str">
            <v>ACDASAP11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64.489999999999995</v>
          </cell>
          <cell r="N267">
            <v>347.38</v>
          </cell>
          <cell r="O267">
            <v>286.73</v>
          </cell>
          <cell r="P267">
            <v>193.01</v>
          </cell>
          <cell r="Q267">
            <v>285.94</v>
          </cell>
          <cell r="R267">
            <v>303.82</v>
          </cell>
          <cell r="S267">
            <v>282.45</v>
          </cell>
          <cell r="T267">
            <v>308.08999999999997</v>
          </cell>
          <cell r="U267">
            <v>329.4</v>
          </cell>
          <cell r="V267">
            <v>289.16000000000003</v>
          </cell>
          <cell r="W267">
            <v>286.61</v>
          </cell>
          <cell r="X267">
            <v>280.72000000000003</v>
          </cell>
          <cell r="Y267">
            <v>303.08999999999997</v>
          </cell>
          <cell r="Z267">
            <v>213.39</v>
          </cell>
          <cell r="AA267">
            <v>177.57</v>
          </cell>
          <cell r="AB267" t="e">
            <v>#N/A</v>
          </cell>
          <cell r="AC267" t="e">
            <v>#N/A</v>
          </cell>
        </row>
        <row r="268">
          <cell r="A268" t="str">
            <v>ACDASAP12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66.56</v>
          </cell>
          <cell r="N268">
            <v>399.46</v>
          </cell>
          <cell r="O268">
            <v>317.77999999999997</v>
          </cell>
          <cell r="P268">
            <v>343.85</v>
          </cell>
          <cell r="Q268">
            <v>318.87</v>
          </cell>
          <cell r="R268">
            <v>321.64</v>
          </cell>
          <cell r="S268">
            <v>311.7</v>
          </cell>
          <cell r="T268">
            <v>298.48</v>
          </cell>
          <cell r="U268">
            <v>289.24</v>
          </cell>
          <cell r="V268">
            <v>308.06</v>
          </cell>
          <cell r="W268">
            <v>318.94</v>
          </cell>
          <cell r="X268">
            <v>304.58</v>
          </cell>
          <cell r="Y268">
            <v>320.35000000000002</v>
          </cell>
          <cell r="Z268">
            <v>218.38</v>
          </cell>
          <cell r="AA268">
            <v>65.77</v>
          </cell>
          <cell r="AB268" t="e">
            <v>#N/A</v>
          </cell>
          <cell r="AC268" t="e">
            <v>#N/A</v>
          </cell>
        </row>
        <row r="269">
          <cell r="A269" t="str">
            <v>ACDASAP13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58.6</v>
          </cell>
          <cell r="N269">
            <v>310.19</v>
          </cell>
          <cell r="O269">
            <v>333.85</v>
          </cell>
          <cell r="P269">
            <v>326.36</v>
          </cell>
          <cell r="Q269">
            <v>291.64999999999998</v>
          </cell>
          <cell r="R269" t="e">
            <v>#N/A</v>
          </cell>
          <cell r="S269">
            <v>0</v>
          </cell>
          <cell r="T269" t="e">
            <v>#N/A</v>
          </cell>
          <cell r="U269" t="e">
            <v>#N/A</v>
          </cell>
          <cell r="V269">
            <v>53.41</v>
          </cell>
          <cell r="W269">
            <v>53.62</v>
          </cell>
          <cell r="X269" t="e">
            <v>#N/A</v>
          </cell>
          <cell r="Y269" t="e">
            <v>#N/A</v>
          </cell>
          <cell r="Z269" t="e">
            <v>#N/A</v>
          </cell>
          <cell r="AA269" t="e">
            <v>#N/A</v>
          </cell>
          <cell r="AB269" t="e">
            <v>#N/A</v>
          </cell>
          <cell r="AC269" t="e">
            <v>#N/A</v>
          </cell>
        </row>
        <row r="270">
          <cell r="A270" t="str">
            <v>ACDASAP14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120.28</v>
          </cell>
          <cell r="N270">
            <v>402.33</v>
          </cell>
          <cell r="O270">
            <v>342.42</v>
          </cell>
          <cell r="P270">
            <v>191.2</v>
          </cell>
          <cell r="Q270">
            <v>0</v>
          </cell>
          <cell r="R270" t="e">
            <v>#N/A</v>
          </cell>
          <cell r="S270">
            <v>0</v>
          </cell>
          <cell r="T270" t="e">
            <v>#N/A</v>
          </cell>
          <cell r="U270" t="e">
            <v>#N/A</v>
          </cell>
          <cell r="V270" t="e">
            <v>#N/A</v>
          </cell>
          <cell r="W270" t="e">
            <v>#N/A</v>
          </cell>
          <cell r="X270" t="e">
            <v>#N/A</v>
          </cell>
          <cell r="Y270" t="e">
            <v>#N/A</v>
          </cell>
          <cell r="Z270" t="e">
            <v>#N/A</v>
          </cell>
          <cell r="AA270" t="e">
            <v>#N/A</v>
          </cell>
          <cell r="AB270" t="e">
            <v>#N/A</v>
          </cell>
          <cell r="AC270" t="e">
            <v>#N/A</v>
          </cell>
        </row>
        <row r="271">
          <cell r="A271" t="str">
            <v>ACDASAP15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63.26</v>
          </cell>
          <cell r="N271">
            <v>114.99</v>
          </cell>
          <cell r="O271">
            <v>117.42</v>
          </cell>
          <cell r="P271">
            <v>123.09</v>
          </cell>
          <cell r="Q271">
            <v>123.33</v>
          </cell>
          <cell r="R271">
            <v>106.81</v>
          </cell>
          <cell r="S271">
            <v>125.25</v>
          </cell>
          <cell r="T271">
            <v>91.47</v>
          </cell>
          <cell r="U271">
            <v>60.39</v>
          </cell>
          <cell r="V271">
            <v>51.16</v>
          </cell>
          <cell r="W271" t="e">
            <v>#N/A</v>
          </cell>
          <cell r="X271" t="e">
            <v>#N/A</v>
          </cell>
          <cell r="Y271" t="e">
            <v>#N/A</v>
          </cell>
          <cell r="Z271">
            <v>138.01</v>
          </cell>
          <cell r="AA271" t="e">
            <v>#N/A</v>
          </cell>
          <cell r="AB271" t="e">
            <v>#N/A</v>
          </cell>
          <cell r="AC271" t="e">
            <v>#N/A</v>
          </cell>
        </row>
        <row r="272">
          <cell r="A272" t="str">
            <v>ACDASAP15_PARA BORRAR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81.569999999999993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 t="e">
            <v>#N/A</v>
          </cell>
          <cell r="S272">
            <v>0</v>
          </cell>
          <cell r="T272" t="e">
            <v>#N/A</v>
          </cell>
          <cell r="U272" t="e">
            <v>#N/A</v>
          </cell>
          <cell r="V272" t="e">
            <v>#N/A</v>
          </cell>
          <cell r="W272" t="e">
            <v>#N/A</v>
          </cell>
          <cell r="X272" t="e">
            <v>#N/A</v>
          </cell>
          <cell r="Y272" t="e">
            <v>#N/A</v>
          </cell>
          <cell r="Z272" t="e">
            <v>#N/A</v>
          </cell>
          <cell r="AA272" t="e">
            <v>#N/A</v>
          </cell>
          <cell r="AB272" t="e">
            <v>#N/A</v>
          </cell>
          <cell r="AC272" t="e">
            <v>#N/A</v>
          </cell>
        </row>
        <row r="273">
          <cell r="A273" t="str">
            <v>ACDASAP15_PRUEBAS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22.13</v>
          </cell>
          <cell r="O273">
            <v>27.22</v>
          </cell>
          <cell r="P273">
            <v>24.98</v>
          </cell>
          <cell r="Q273">
            <v>28.44</v>
          </cell>
          <cell r="R273">
            <v>30</v>
          </cell>
          <cell r="S273">
            <v>56.92</v>
          </cell>
          <cell r="T273">
            <v>30.5</v>
          </cell>
          <cell r="U273">
            <v>24.4</v>
          </cell>
          <cell r="V273">
            <v>10.69</v>
          </cell>
          <cell r="W273">
            <v>8.24</v>
          </cell>
          <cell r="X273" t="e">
            <v>#N/A</v>
          </cell>
          <cell r="Y273" t="e">
            <v>#N/A</v>
          </cell>
          <cell r="Z273" t="e">
            <v>#N/A</v>
          </cell>
          <cell r="AA273" t="e">
            <v>#N/A</v>
          </cell>
          <cell r="AB273" t="e">
            <v>#N/A</v>
          </cell>
          <cell r="AC273" t="e">
            <v>#N/A</v>
          </cell>
        </row>
        <row r="274">
          <cell r="A274" t="str">
            <v>ACDASAP16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49.33</v>
          </cell>
          <cell r="N274">
            <v>150.44</v>
          </cell>
          <cell r="O274">
            <v>153.72999999999999</v>
          </cell>
          <cell r="P274">
            <v>153.88999999999999</v>
          </cell>
          <cell r="Q274">
            <v>153.87</v>
          </cell>
          <cell r="R274" t="e">
            <v>#N/A</v>
          </cell>
          <cell r="S274">
            <v>0</v>
          </cell>
          <cell r="T274" t="e">
            <v>#N/A</v>
          </cell>
          <cell r="U274" t="e">
            <v>#N/A</v>
          </cell>
          <cell r="V274" t="e">
            <v>#N/A</v>
          </cell>
          <cell r="W274">
            <v>50.83</v>
          </cell>
          <cell r="X274" t="e">
            <v>#N/A</v>
          </cell>
          <cell r="Y274" t="e">
            <v>#N/A</v>
          </cell>
          <cell r="Z274" t="e">
            <v>#N/A</v>
          </cell>
          <cell r="AA274" t="e">
            <v>#N/A</v>
          </cell>
          <cell r="AB274" t="e">
            <v>#N/A</v>
          </cell>
          <cell r="AC274" t="e">
            <v>#N/A</v>
          </cell>
        </row>
        <row r="275">
          <cell r="A275" t="str">
            <v>ACDASAP17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55.49</v>
          </cell>
          <cell r="N275">
            <v>149.66999999999999</v>
          </cell>
          <cell r="O275">
            <v>138.31</v>
          </cell>
          <cell r="P275">
            <v>142.52000000000001</v>
          </cell>
          <cell r="Q275">
            <v>132.55000000000001</v>
          </cell>
          <cell r="R275">
            <v>158.99</v>
          </cell>
          <cell r="S275">
            <v>156.08000000000001</v>
          </cell>
          <cell r="T275">
            <v>149.27000000000001</v>
          </cell>
          <cell r="U275" t="e">
            <v>#N/A</v>
          </cell>
          <cell r="V275">
            <v>51.24</v>
          </cell>
          <cell r="W275" t="e">
            <v>#N/A</v>
          </cell>
          <cell r="X275" t="e">
            <v>#N/A</v>
          </cell>
          <cell r="Y275" t="e">
            <v>#N/A</v>
          </cell>
          <cell r="Z275" t="e">
            <v>#N/A</v>
          </cell>
          <cell r="AA275" t="e">
            <v>#N/A</v>
          </cell>
          <cell r="AB275" t="e">
            <v>#N/A</v>
          </cell>
          <cell r="AC275" t="e">
            <v>#N/A</v>
          </cell>
        </row>
        <row r="276">
          <cell r="A276" t="str">
            <v>ACDASAP18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317.24</v>
          </cell>
          <cell r="O276">
            <v>300.39</v>
          </cell>
          <cell r="P276">
            <v>311.5</v>
          </cell>
          <cell r="Q276">
            <v>275.83</v>
          </cell>
          <cell r="R276">
            <v>294.45999999999998</v>
          </cell>
          <cell r="S276">
            <v>290.64999999999998</v>
          </cell>
          <cell r="T276">
            <v>287.82</v>
          </cell>
          <cell r="U276">
            <v>289.25</v>
          </cell>
          <cell r="V276">
            <v>284.57</v>
          </cell>
          <cell r="W276">
            <v>272.92</v>
          </cell>
          <cell r="X276">
            <v>286.89999999999998</v>
          </cell>
          <cell r="Y276">
            <v>291.56</v>
          </cell>
          <cell r="Z276">
            <v>190.34</v>
          </cell>
          <cell r="AA276">
            <v>79.39</v>
          </cell>
          <cell r="AB276" t="e">
            <v>#N/A</v>
          </cell>
          <cell r="AC276" t="e">
            <v>#N/A</v>
          </cell>
        </row>
        <row r="277">
          <cell r="A277" t="str">
            <v>ACDASAP19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329.36</v>
          </cell>
          <cell r="O277">
            <v>303.47000000000003</v>
          </cell>
          <cell r="P277">
            <v>286.92</v>
          </cell>
          <cell r="Q277">
            <v>265.20999999999998</v>
          </cell>
          <cell r="R277">
            <v>280.62</v>
          </cell>
          <cell r="S277">
            <v>305.33</v>
          </cell>
          <cell r="T277">
            <v>265.02999999999997</v>
          </cell>
          <cell r="U277">
            <v>284.17</v>
          </cell>
          <cell r="V277">
            <v>276.19</v>
          </cell>
          <cell r="W277">
            <v>273.87</v>
          </cell>
          <cell r="X277">
            <v>277.91000000000003</v>
          </cell>
          <cell r="Y277">
            <v>285.19</v>
          </cell>
          <cell r="Z277">
            <v>216.75</v>
          </cell>
          <cell r="AA277">
            <v>146.07</v>
          </cell>
          <cell r="AB277" t="e">
            <v>#N/A</v>
          </cell>
          <cell r="AC277" t="e">
            <v>#N/A</v>
          </cell>
        </row>
        <row r="278">
          <cell r="A278" t="str">
            <v>ACDASAP19_PRUEBAS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114.24</v>
          </cell>
          <cell r="O278">
            <v>115.64</v>
          </cell>
          <cell r="P278">
            <v>108.38</v>
          </cell>
          <cell r="Q278">
            <v>54.74</v>
          </cell>
          <cell r="R278">
            <v>55.63</v>
          </cell>
          <cell r="S278">
            <v>75.17</v>
          </cell>
          <cell r="T278">
            <v>55.09</v>
          </cell>
          <cell r="U278">
            <v>36.590000000000003</v>
          </cell>
          <cell r="V278">
            <v>42.12</v>
          </cell>
          <cell r="W278">
            <v>49.05</v>
          </cell>
          <cell r="X278" t="e">
            <v>#N/A</v>
          </cell>
          <cell r="Y278" t="e">
            <v>#N/A</v>
          </cell>
          <cell r="Z278" t="e">
            <v>#N/A</v>
          </cell>
          <cell r="AA278" t="e">
            <v>#N/A</v>
          </cell>
          <cell r="AB278" t="e">
            <v>#N/A</v>
          </cell>
          <cell r="AC278" t="e">
            <v>#N/A</v>
          </cell>
        </row>
        <row r="279">
          <cell r="A279" t="str">
            <v>ACDASBD01</v>
          </cell>
          <cell r="B279">
            <v>118.04</v>
          </cell>
          <cell r="C279">
            <v>73.69</v>
          </cell>
          <cell r="D279">
            <v>48.52</v>
          </cell>
          <cell r="E279">
            <v>47.25</v>
          </cell>
          <cell r="F279">
            <v>53.67</v>
          </cell>
          <cell r="G279">
            <v>55.91</v>
          </cell>
          <cell r="H279">
            <v>55.12</v>
          </cell>
          <cell r="I279">
            <v>51.11</v>
          </cell>
          <cell r="J279">
            <v>56.32</v>
          </cell>
          <cell r="K279">
            <v>57.94</v>
          </cell>
          <cell r="L279">
            <v>59.89</v>
          </cell>
          <cell r="M279">
            <v>63.22</v>
          </cell>
          <cell r="N279">
            <v>82.99</v>
          </cell>
          <cell r="O279">
            <v>81.069999999999993</v>
          </cell>
          <cell r="P279">
            <v>79.150000000000006</v>
          </cell>
          <cell r="Q279">
            <v>79.55</v>
          </cell>
          <cell r="R279">
            <v>52.9</v>
          </cell>
          <cell r="S279">
            <v>43.86</v>
          </cell>
          <cell r="T279">
            <v>38.36</v>
          </cell>
          <cell r="U279">
            <v>33.29</v>
          </cell>
          <cell r="V279">
            <v>64.59</v>
          </cell>
          <cell r="W279">
            <v>73.08</v>
          </cell>
          <cell r="X279">
            <v>35.11</v>
          </cell>
          <cell r="Y279">
            <v>29.79</v>
          </cell>
          <cell r="Z279">
            <v>37.39</v>
          </cell>
          <cell r="AA279">
            <v>31.94</v>
          </cell>
          <cell r="AB279">
            <v>34.85</v>
          </cell>
          <cell r="AC279">
            <v>32.549999999999997</v>
          </cell>
        </row>
        <row r="280">
          <cell r="A280" t="str">
            <v>ACDASBD01_CLONE</v>
          </cell>
          <cell r="B280">
            <v>0</v>
          </cell>
          <cell r="C280">
            <v>0</v>
          </cell>
          <cell r="D280">
            <v>33.08</v>
          </cell>
          <cell r="E280">
            <v>20.73</v>
          </cell>
          <cell r="F280">
            <v>37.119999999999997</v>
          </cell>
          <cell r="G280">
            <v>40.590000000000003</v>
          </cell>
          <cell r="H280">
            <v>29.14</v>
          </cell>
          <cell r="I280">
            <v>29.01</v>
          </cell>
          <cell r="J280">
            <v>35.630000000000003</v>
          </cell>
          <cell r="K280">
            <v>40.5</v>
          </cell>
          <cell r="L280">
            <v>48.73</v>
          </cell>
          <cell r="M280">
            <v>49.9</v>
          </cell>
          <cell r="N280">
            <v>0</v>
          </cell>
          <cell r="O280">
            <v>15.3</v>
          </cell>
          <cell r="P280">
            <v>17.37</v>
          </cell>
          <cell r="Q280">
            <v>18.09</v>
          </cell>
          <cell r="R280">
            <v>22.53</v>
          </cell>
          <cell r="S280">
            <v>0</v>
          </cell>
          <cell r="T280" t="e">
            <v>#N/A</v>
          </cell>
          <cell r="U280" t="e">
            <v>#N/A</v>
          </cell>
          <cell r="V280" t="e">
            <v>#N/A</v>
          </cell>
          <cell r="W280" t="e">
            <v>#N/A</v>
          </cell>
          <cell r="X280" t="e">
            <v>#N/A</v>
          </cell>
          <cell r="Y280" t="e">
            <v>#N/A</v>
          </cell>
          <cell r="Z280" t="e">
            <v>#N/A</v>
          </cell>
          <cell r="AA280" t="e">
            <v>#N/A</v>
          </cell>
          <cell r="AB280" t="e">
            <v>#N/A</v>
          </cell>
          <cell r="AC280" t="e">
            <v>#N/A</v>
          </cell>
        </row>
        <row r="281">
          <cell r="A281" t="str">
            <v>ACDASBD04</v>
          </cell>
          <cell r="B281">
            <v>453.28</v>
          </cell>
          <cell r="C281">
            <v>401.87</v>
          </cell>
          <cell r="D281">
            <v>405.17</v>
          </cell>
          <cell r="E281">
            <v>452.3</v>
          </cell>
          <cell r="F281">
            <v>439.72</v>
          </cell>
          <cell r="G281">
            <v>505.97</v>
          </cell>
          <cell r="H281">
            <v>596.1</v>
          </cell>
          <cell r="I281">
            <v>446.55</v>
          </cell>
          <cell r="J281">
            <v>424.8</v>
          </cell>
          <cell r="K281">
            <v>419.84</v>
          </cell>
          <cell r="L281">
            <v>423.29</v>
          </cell>
          <cell r="M281">
            <v>603.55999999999995</v>
          </cell>
          <cell r="N281">
            <v>140.72</v>
          </cell>
          <cell r="O281">
            <v>29.66</v>
          </cell>
          <cell r="P281">
            <v>33.270000000000003</v>
          </cell>
          <cell r="Q281">
            <v>36.04</v>
          </cell>
          <cell r="R281">
            <v>61.19</v>
          </cell>
          <cell r="S281">
            <v>100.69</v>
          </cell>
          <cell r="T281" t="e">
            <v>#N/A</v>
          </cell>
          <cell r="U281" t="e">
            <v>#N/A</v>
          </cell>
          <cell r="V281" t="e">
            <v>#N/A</v>
          </cell>
          <cell r="W281" t="e">
            <v>#N/A</v>
          </cell>
          <cell r="X281" t="e">
            <v>#N/A</v>
          </cell>
          <cell r="Y281" t="e">
            <v>#N/A</v>
          </cell>
          <cell r="Z281" t="e">
            <v>#N/A</v>
          </cell>
          <cell r="AA281" t="e">
            <v>#N/A</v>
          </cell>
          <cell r="AB281" t="e">
            <v>#N/A</v>
          </cell>
          <cell r="AC281" t="e">
            <v>#N/A</v>
          </cell>
        </row>
        <row r="282">
          <cell r="A282" t="str">
            <v>ACDASBD04_CLONE</v>
          </cell>
          <cell r="B282">
            <v>0</v>
          </cell>
          <cell r="C282">
            <v>0</v>
          </cell>
          <cell r="D282">
            <v>200.11</v>
          </cell>
          <cell r="E282">
            <v>187.39</v>
          </cell>
          <cell r="F282">
            <v>159.16999999999999</v>
          </cell>
          <cell r="G282">
            <v>138.21</v>
          </cell>
          <cell r="H282">
            <v>0</v>
          </cell>
          <cell r="I282">
            <v>0</v>
          </cell>
          <cell r="J282">
            <v>258.27</v>
          </cell>
          <cell r="K282">
            <v>159.01</v>
          </cell>
          <cell r="L282">
            <v>36.26</v>
          </cell>
          <cell r="M282">
            <v>39.869999999999997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 t="e">
            <v>#N/A</v>
          </cell>
          <cell r="S282">
            <v>0</v>
          </cell>
          <cell r="T282" t="e">
            <v>#N/A</v>
          </cell>
          <cell r="U282" t="e">
            <v>#N/A</v>
          </cell>
          <cell r="V282" t="e">
            <v>#N/A</v>
          </cell>
          <cell r="W282" t="e">
            <v>#N/A</v>
          </cell>
          <cell r="X282" t="e">
            <v>#N/A</v>
          </cell>
          <cell r="Y282" t="e">
            <v>#N/A</v>
          </cell>
          <cell r="Z282" t="e">
            <v>#N/A</v>
          </cell>
          <cell r="AA282" t="e">
            <v>#N/A</v>
          </cell>
          <cell r="AB282" t="e">
            <v>#N/A</v>
          </cell>
          <cell r="AC282" t="e">
            <v>#N/A</v>
          </cell>
        </row>
        <row r="283">
          <cell r="A283" t="str">
            <v>ACDASBD04_REPORTES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75.650000000000006</v>
          </cell>
          <cell r="O283">
            <v>75.3</v>
          </cell>
          <cell r="P283">
            <v>75.84</v>
          </cell>
          <cell r="Q283">
            <v>75.510000000000005</v>
          </cell>
          <cell r="R283">
            <v>75.790000000000006</v>
          </cell>
          <cell r="S283">
            <v>76.17</v>
          </cell>
          <cell r="T283">
            <v>76.22</v>
          </cell>
          <cell r="U283">
            <v>76.41</v>
          </cell>
          <cell r="V283">
            <v>76.510000000000005</v>
          </cell>
          <cell r="W283">
            <v>19.670000000000002</v>
          </cell>
          <cell r="X283" t="e">
            <v>#N/A</v>
          </cell>
          <cell r="Y283" t="e">
            <v>#N/A</v>
          </cell>
          <cell r="Z283" t="e">
            <v>#N/A</v>
          </cell>
          <cell r="AA283" t="e">
            <v>#N/A</v>
          </cell>
          <cell r="AB283" t="e">
            <v>#N/A</v>
          </cell>
          <cell r="AC283" t="e">
            <v>#N/A</v>
          </cell>
        </row>
        <row r="284">
          <cell r="A284" t="str">
            <v>ACDASBD14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215.56</v>
          </cell>
          <cell r="N284">
            <v>840.46</v>
          </cell>
          <cell r="O284">
            <v>828.36</v>
          </cell>
          <cell r="P284">
            <v>890.41</v>
          </cell>
          <cell r="Q284">
            <v>880.47</v>
          </cell>
          <cell r="R284">
            <v>637.08000000000004</v>
          </cell>
          <cell r="S284">
            <v>611.63</v>
          </cell>
          <cell r="T284">
            <v>591.91</v>
          </cell>
          <cell r="U284">
            <v>619.63</v>
          </cell>
          <cell r="V284">
            <v>597.73</v>
          </cell>
          <cell r="W284">
            <v>586.5</v>
          </cell>
          <cell r="X284">
            <v>602.69000000000005</v>
          </cell>
          <cell r="Y284">
            <v>595.94000000000005</v>
          </cell>
          <cell r="Z284">
            <v>518.97</v>
          </cell>
          <cell r="AA284">
            <v>64.28</v>
          </cell>
          <cell r="AB284">
            <v>65.58</v>
          </cell>
          <cell r="AC284">
            <v>65.709999999999994</v>
          </cell>
        </row>
        <row r="285">
          <cell r="A285" t="str">
            <v>ACDASBS01</v>
          </cell>
          <cell r="B285">
            <v>158.04</v>
          </cell>
          <cell r="C285">
            <v>24.75</v>
          </cell>
          <cell r="D285">
            <v>46.68</v>
          </cell>
          <cell r="E285">
            <v>72.63</v>
          </cell>
          <cell r="F285">
            <v>150.83000000000001</v>
          </cell>
          <cell r="G285">
            <v>73.63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 t="e">
            <v>#N/A</v>
          </cell>
          <cell r="S285">
            <v>0</v>
          </cell>
          <cell r="T285" t="e">
            <v>#N/A</v>
          </cell>
          <cell r="U285" t="e">
            <v>#N/A</v>
          </cell>
          <cell r="V285" t="e">
            <v>#N/A</v>
          </cell>
          <cell r="W285" t="e">
            <v>#N/A</v>
          </cell>
          <cell r="X285" t="e">
            <v>#N/A</v>
          </cell>
          <cell r="Y285" t="e">
            <v>#N/A</v>
          </cell>
          <cell r="Z285" t="e">
            <v>#N/A</v>
          </cell>
          <cell r="AA285" t="e">
            <v>#N/A</v>
          </cell>
          <cell r="AB285" t="e">
            <v>#N/A</v>
          </cell>
          <cell r="AC285" t="e">
            <v>#N/A</v>
          </cell>
        </row>
        <row r="286">
          <cell r="A286" t="str">
            <v>ACDASBS01_CLONE</v>
          </cell>
          <cell r="B286">
            <v>0</v>
          </cell>
          <cell r="C286">
            <v>0</v>
          </cell>
          <cell r="D286">
            <v>73.88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27.08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 t="e">
            <v>#N/A</v>
          </cell>
          <cell r="S286">
            <v>0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A286" t="e">
            <v>#N/A</v>
          </cell>
          <cell r="AB286" t="e">
            <v>#N/A</v>
          </cell>
          <cell r="AC286" t="e">
            <v>#N/A</v>
          </cell>
        </row>
        <row r="287">
          <cell r="A287" t="str">
            <v>ACDASPR01</v>
          </cell>
          <cell r="B287">
            <v>217.08</v>
          </cell>
          <cell r="C287">
            <v>143.58000000000001</v>
          </cell>
          <cell r="D287">
            <v>148.65</v>
          </cell>
          <cell r="E287">
            <v>149.97999999999999</v>
          </cell>
          <cell r="F287">
            <v>152.33000000000001</v>
          </cell>
          <cell r="G287">
            <v>149.69</v>
          </cell>
          <cell r="H287">
            <v>154.96</v>
          </cell>
          <cell r="I287">
            <v>146.49</v>
          </cell>
          <cell r="J287">
            <v>148.97999999999999</v>
          </cell>
          <cell r="K287">
            <v>149.96</v>
          </cell>
          <cell r="L287">
            <v>153.35</v>
          </cell>
          <cell r="M287">
            <v>151.99</v>
          </cell>
          <cell r="N287">
            <v>58.4</v>
          </cell>
          <cell r="O287">
            <v>38.520000000000003</v>
          </cell>
          <cell r="P287">
            <v>0</v>
          </cell>
          <cell r="Q287">
            <v>0</v>
          </cell>
          <cell r="R287" t="e">
            <v>#N/A</v>
          </cell>
          <cell r="S287">
            <v>0</v>
          </cell>
          <cell r="T287" t="e">
            <v>#N/A</v>
          </cell>
          <cell r="U287" t="e">
            <v>#N/A</v>
          </cell>
          <cell r="V287" t="e">
            <v>#N/A</v>
          </cell>
          <cell r="W287" t="e">
            <v>#N/A</v>
          </cell>
          <cell r="X287" t="e">
            <v>#N/A</v>
          </cell>
          <cell r="Y287" t="e">
            <v>#N/A</v>
          </cell>
          <cell r="Z287" t="e">
            <v>#N/A</v>
          </cell>
          <cell r="AA287" t="e">
            <v>#N/A</v>
          </cell>
          <cell r="AB287" t="e">
            <v>#N/A</v>
          </cell>
          <cell r="AC287" t="e">
            <v>#N/A</v>
          </cell>
        </row>
        <row r="288">
          <cell r="A288" t="str">
            <v>ACDASPR01_CLONE</v>
          </cell>
          <cell r="B288">
            <v>47.06</v>
          </cell>
          <cell r="C288">
            <v>59.5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 t="e">
            <v>#N/A</v>
          </cell>
          <cell r="S288">
            <v>0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A288" t="e">
            <v>#N/A</v>
          </cell>
          <cell r="AB288" t="e">
            <v>#N/A</v>
          </cell>
          <cell r="AC288" t="e">
            <v>#N/A</v>
          </cell>
        </row>
        <row r="289">
          <cell r="A289" t="str">
            <v>ACDASPR01_VIEJA</v>
          </cell>
          <cell r="B289">
            <v>0</v>
          </cell>
          <cell r="C289">
            <v>19.68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 t="e">
            <v>#N/A</v>
          </cell>
          <cell r="S289">
            <v>0</v>
          </cell>
          <cell r="T289" t="e">
            <v>#N/A</v>
          </cell>
          <cell r="U289" t="e">
            <v>#N/A</v>
          </cell>
          <cell r="V289" t="e">
            <v>#N/A</v>
          </cell>
          <cell r="W289" t="e">
            <v>#N/A</v>
          </cell>
          <cell r="X289" t="e">
            <v>#N/A</v>
          </cell>
          <cell r="Y289" t="e">
            <v>#N/A</v>
          </cell>
          <cell r="Z289" t="e">
            <v>#N/A</v>
          </cell>
          <cell r="AA289" t="e">
            <v>#N/A</v>
          </cell>
          <cell r="AB289" t="e">
            <v>#N/A</v>
          </cell>
          <cell r="AC289" t="e">
            <v>#N/A</v>
          </cell>
        </row>
        <row r="290">
          <cell r="A290" t="str">
            <v>ACDASPR02</v>
          </cell>
          <cell r="B290">
            <v>101.86</v>
          </cell>
          <cell r="C290">
            <v>83.29</v>
          </cell>
          <cell r="D290">
            <v>89.3</v>
          </cell>
          <cell r="E290">
            <v>95.55</v>
          </cell>
          <cell r="F290">
            <v>97.2</v>
          </cell>
          <cell r="G290">
            <v>98.75</v>
          </cell>
          <cell r="H290">
            <v>162.62</v>
          </cell>
          <cell r="I290">
            <v>162.25</v>
          </cell>
          <cell r="J290">
            <v>160.96</v>
          </cell>
          <cell r="K290">
            <v>158.82</v>
          </cell>
          <cell r="L290">
            <v>159.66999999999999</v>
          </cell>
          <cell r="M290">
            <v>156.16</v>
          </cell>
          <cell r="N290">
            <v>146.74</v>
          </cell>
          <cell r="O290">
            <v>156.6</v>
          </cell>
          <cell r="P290">
            <v>152.72999999999999</v>
          </cell>
          <cell r="Q290">
            <v>151.63</v>
          </cell>
          <cell r="R290">
            <v>134.88</v>
          </cell>
          <cell r="S290">
            <v>0</v>
          </cell>
          <cell r="T290" t="e">
            <v>#N/A</v>
          </cell>
          <cell r="U290" t="e">
            <v>#N/A</v>
          </cell>
          <cell r="V290" t="e">
            <v>#N/A</v>
          </cell>
          <cell r="W290" t="e">
            <v>#N/A</v>
          </cell>
          <cell r="X290" t="e">
            <v>#N/A</v>
          </cell>
          <cell r="Y290" t="e">
            <v>#N/A</v>
          </cell>
          <cell r="Z290" t="e">
            <v>#N/A</v>
          </cell>
          <cell r="AA290" t="e">
            <v>#N/A</v>
          </cell>
          <cell r="AB290" t="e">
            <v>#N/A</v>
          </cell>
          <cell r="AC290" t="e">
            <v>#N/A</v>
          </cell>
        </row>
        <row r="291">
          <cell r="A291" t="str">
            <v>ACDASPR02_CLONE</v>
          </cell>
          <cell r="B291">
            <v>0</v>
          </cell>
          <cell r="C291">
            <v>0</v>
          </cell>
          <cell r="D291">
            <v>31.07</v>
          </cell>
          <cell r="E291">
            <v>22.63</v>
          </cell>
          <cell r="F291">
            <v>89.44</v>
          </cell>
          <cell r="G291">
            <v>80.2</v>
          </cell>
          <cell r="H291">
            <v>73.89</v>
          </cell>
          <cell r="I291">
            <v>67.569999999999993</v>
          </cell>
          <cell r="J291">
            <v>58.87</v>
          </cell>
          <cell r="K291">
            <v>53.02</v>
          </cell>
          <cell r="L291">
            <v>63.36</v>
          </cell>
          <cell r="M291">
            <v>63.03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 t="e">
            <v>#N/A</v>
          </cell>
          <cell r="S291">
            <v>0</v>
          </cell>
          <cell r="T291" t="e">
            <v>#N/A</v>
          </cell>
          <cell r="U291" t="e">
            <v>#N/A</v>
          </cell>
          <cell r="V291" t="e">
            <v>#N/A</v>
          </cell>
          <cell r="W291" t="e">
            <v>#N/A</v>
          </cell>
          <cell r="X291" t="e">
            <v>#N/A</v>
          </cell>
          <cell r="Y291" t="e">
            <v>#N/A</v>
          </cell>
          <cell r="Z291" t="e">
            <v>#N/A</v>
          </cell>
          <cell r="AA291" t="e">
            <v>#N/A</v>
          </cell>
          <cell r="AB291" t="e">
            <v>#N/A</v>
          </cell>
          <cell r="AC291" t="e">
            <v>#N/A</v>
          </cell>
        </row>
        <row r="292">
          <cell r="A292" t="str">
            <v>ACDASPR03</v>
          </cell>
          <cell r="B292">
            <v>22.82</v>
          </cell>
          <cell r="C292">
            <v>22.98</v>
          </cell>
          <cell r="D292">
            <v>25.35</v>
          </cell>
          <cell r="E292">
            <v>48.88</v>
          </cell>
          <cell r="F292">
            <v>32.270000000000003</v>
          </cell>
          <cell r="G292">
            <v>35.159999999999997</v>
          </cell>
          <cell r="H292">
            <v>48.18</v>
          </cell>
          <cell r="I292">
            <v>47.02</v>
          </cell>
          <cell r="J292">
            <v>52.16</v>
          </cell>
          <cell r="K292">
            <v>54.53</v>
          </cell>
          <cell r="L292">
            <v>60.37</v>
          </cell>
          <cell r="M292">
            <v>56.63</v>
          </cell>
          <cell r="N292">
            <v>35.31</v>
          </cell>
          <cell r="O292">
            <v>18.16</v>
          </cell>
          <cell r="P292">
            <v>34.25</v>
          </cell>
          <cell r="Q292">
            <v>0</v>
          </cell>
          <cell r="R292" t="e">
            <v>#N/A</v>
          </cell>
          <cell r="S292">
            <v>0</v>
          </cell>
          <cell r="T292" t="e">
            <v>#N/A</v>
          </cell>
          <cell r="U292" t="e">
            <v>#N/A</v>
          </cell>
          <cell r="V292" t="e">
            <v>#N/A</v>
          </cell>
          <cell r="W292" t="e">
            <v>#N/A</v>
          </cell>
          <cell r="X292" t="e">
            <v>#N/A</v>
          </cell>
          <cell r="Y292" t="e">
            <v>#N/A</v>
          </cell>
          <cell r="Z292" t="e">
            <v>#N/A</v>
          </cell>
          <cell r="AA292" t="e">
            <v>#N/A</v>
          </cell>
          <cell r="AB292" t="e">
            <v>#N/A</v>
          </cell>
          <cell r="AC292" t="e">
            <v>#N/A</v>
          </cell>
        </row>
        <row r="293">
          <cell r="A293" t="str">
            <v>ACDASPR04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103.94</v>
          </cell>
          <cell r="N293">
            <v>130.44999999999999</v>
          </cell>
          <cell r="O293">
            <v>145.55000000000001</v>
          </cell>
          <cell r="P293">
            <v>145.53</v>
          </cell>
          <cell r="Q293">
            <v>144.94</v>
          </cell>
          <cell r="R293">
            <v>145.19999999999999</v>
          </cell>
          <cell r="S293">
            <v>144.55000000000001</v>
          </cell>
          <cell r="T293">
            <v>144.46</v>
          </cell>
          <cell r="U293">
            <v>135.22</v>
          </cell>
          <cell r="V293">
            <v>116.17</v>
          </cell>
          <cell r="W293">
            <v>120.1</v>
          </cell>
          <cell r="X293">
            <v>130.59</v>
          </cell>
          <cell r="Y293">
            <v>107.99</v>
          </cell>
          <cell r="Z293">
            <v>117.43</v>
          </cell>
          <cell r="AA293">
            <v>130.6</v>
          </cell>
          <cell r="AB293">
            <v>133.31</v>
          </cell>
          <cell r="AC293">
            <v>114.26</v>
          </cell>
        </row>
        <row r="294">
          <cell r="A294" t="str">
            <v>ACDASPR05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125.84</v>
          </cell>
          <cell r="O294">
            <v>131.05000000000001</v>
          </cell>
          <cell r="P294">
            <v>0</v>
          </cell>
          <cell r="Q294">
            <v>0</v>
          </cell>
          <cell r="R294" t="e">
            <v>#N/A</v>
          </cell>
          <cell r="S294">
            <v>0</v>
          </cell>
          <cell r="T294" t="e">
            <v>#N/A</v>
          </cell>
          <cell r="U294" t="e">
            <v>#N/A</v>
          </cell>
          <cell r="V294" t="e">
            <v>#N/A</v>
          </cell>
          <cell r="W294" t="e">
            <v>#N/A</v>
          </cell>
          <cell r="X294" t="e">
            <v>#N/A</v>
          </cell>
          <cell r="Y294" t="e">
            <v>#N/A</v>
          </cell>
          <cell r="Z294" t="e">
            <v>#N/A</v>
          </cell>
          <cell r="AA294" t="e">
            <v>#N/A</v>
          </cell>
          <cell r="AB294" t="e">
            <v>#N/A</v>
          </cell>
          <cell r="AC294" t="e">
            <v>#N/A</v>
          </cell>
        </row>
        <row r="295">
          <cell r="A295" t="str">
            <v>ACDASPR06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152.79</v>
          </cell>
          <cell r="O295">
            <v>134.46</v>
          </cell>
          <cell r="P295">
            <v>0</v>
          </cell>
          <cell r="Q295">
            <v>0</v>
          </cell>
          <cell r="R295">
            <v>129.58000000000001</v>
          </cell>
          <cell r="S295">
            <v>146</v>
          </cell>
          <cell r="T295">
            <v>143.99</v>
          </cell>
          <cell r="U295">
            <v>145.07</v>
          </cell>
          <cell r="V295">
            <v>144.30000000000001</v>
          </cell>
          <cell r="W295">
            <v>138.46</v>
          </cell>
          <cell r="X295">
            <v>144.71</v>
          </cell>
          <cell r="Y295">
            <v>129.83000000000001</v>
          </cell>
          <cell r="Z295">
            <v>140.38</v>
          </cell>
          <cell r="AA295">
            <v>138.31</v>
          </cell>
          <cell r="AB295">
            <v>145.66</v>
          </cell>
          <cell r="AC295">
            <v>132.65</v>
          </cell>
        </row>
        <row r="296">
          <cell r="A296" t="str">
            <v>ACDASPR13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78.31</v>
          </cell>
          <cell r="N296">
            <v>65.59</v>
          </cell>
          <cell r="O296">
            <v>65.900000000000006</v>
          </cell>
          <cell r="P296">
            <v>73.760000000000005</v>
          </cell>
          <cell r="Q296">
            <v>75.14</v>
          </cell>
          <cell r="R296">
            <v>75.48</v>
          </cell>
          <cell r="S296">
            <v>76.3</v>
          </cell>
          <cell r="T296">
            <v>76.12</v>
          </cell>
          <cell r="U296">
            <v>75.53</v>
          </cell>
          <cell r="V296">
            <v>75.84</v>
          </cell>
          <cell r="W296">
            <v>75.680000000000007</v>
          </cell>
          <cell r="X296">
            <v>76.14</v>
          </cell>
          <cell r="Y296">
            <v>76.3</v>
          </cell>
          <cell r="Z296">
            <v>76.83</v>
          </cell>
          <cell r="AA296">
            <v>74.77</v>
          </cell>
          <cell r="AB296">
            <v>75.040000000000006</v>
          </cell>
          <cell r="AC296" t="e">
            <v>#N/A</v>
          </cell>
        </row>
        <row r="297">
          <cell r="A297" t="str">
            <v>ACDASPR13_PRUEBAS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34.299999999999997</v>
          </cell>
          <cell r="O297">
            <v>32.159999999999997</v>
          </cell>
          <cell r="P297">
            <v>28.13</v>
          </cell>
          <cell r="Q297">
            <v>32.89</v>
          </cell>
          <cell r="R297">
            <v>32.67</v>
          </cell>
          <cell r="S297">
            <v>30.27</v>
          </cell>
          <cell r="T297">
            <v>29.81</v>
          </cell>
          <cell r="U297">
            <v>30.66</v>
          </cell>
          <cell r="V297">
            <v>33.76</v>
          </cell>
          <cell r="W297">
            <v>27.2</v>
          </cell>
          <cell r="X297" t="e">
            <v>#N/A</v>
          </cell>
          <cell r="Y297" t="e">
            <v>#N/A</v>
          </cell>
          <cell r="Z297" t="e">
            <v>#N/A</v>
          </cell>
          <cell r="AA297" t="e">
            <v>#N/A</v>
          </cell>
          <cell r="AB297" t="e">
            <v>#N/A</v>
          </cell>
          <cell r="AC297" t="e">
            <v>#N/A</v>
          </cell>
        </row>
        <row r="298">
          <cell r="A298" t="str">
            <v>ACDNDBD01</v>
          </cell>
          <cell r="B298">
            <v>20.52</v>
          </cell>
          <cell r="C298">
            <v>21.41</v>
          </cell>
          <cell r="D298">
            <v>20.67</v>
          </cell>
          <cell r="E298">
            <v>20.77</v>
          </cell>
          <cell r="F298">
            <v>23.28</v>
          </cell>
          <cell r="G298">
            <v>20.97</v>
          </cell>
          <cell r="H298">
            <v>34.159999999999997</v>
          </cell>
          <cell r="I298">
            <v>36.880000000000003</v>
          </cell>
          <cell r="J298">
            <v>36.81</v>
          </cell>
          <cell r="K298">
            <v>36.67</v>
          </cell>
          <cell r="L298">
            <v>37.450000000000003</v>
          </cell>
          <cell r="M298">
            <v>38.229999999999997</v>
          </cell>
          <cell r="N298">
            <v>38.03</v>
          </cell>
          <cell r="O298">
            <v>47.54</v>
          </cell>
          <cell r="P298">
            <v>41.76</v>
          </cell>
          <cell r="Q298">
            <v>39.47</v>
          </cell>
          <cell r="R298">
            <v>38.31</v>
          </cell>
          <cell r="S298">
            <v>40.130000000000003</v>
          </cell>
          <cell r="T298">
            <v>37.96</v>
          </cell>
          <cell r="U298">
            <v>40.36</v>
          </cell>
          <cell r="V298">
            <v>39.32</v>
          </cell>
          <cell r="W298">
            <v>36.97</v>
          </cell>
          <cell r="X298">
            <v>38.340000000000003</v>
          </cell>
          <cell r="Y298">
            <v>36.44</v>
          </cell>
          <cell r="Z298">
            <v>40.28</v>
          </cell>
          <cell r="AA298">
            <v>40.71</v>
          </cell>
          <cell r="AB298">
            <v>39.81</v>
          </cell>
          <cell r="AC298">
            <v>43.21</v>
          </cell>
        </row>
        <row r="299">
          <cell r="A299" t="str">
            <v>ACDNDBD01_CLONE</v>
          </cell>
          <cell r="B299">
            <v>15.64</v>
          </cell>
          <cell r="C299">
            <v>15.47</v>
          </cell>
          <cell r="D299">
            <v>14.39</v>
          </cell>
          <cell r="E299">
            <v>15.81</v>
          </cell>
          <cell r="F299">
            <v>16.3</v>
          </cell>
          <cell r="G299">
            <v>14.71</v>
          </cell>
          <cell r="H299">
            <v>14.6</v>
          </cell>
          <cell r="I299">
            <v>14.68</v>
          </cell>
          <cell r="J299">
            <v>14.2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 t="e">
            <v>#N/A</v>
          </cell>
          <cell r="S299">
            <v>0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A299" t="e">
            <v>#N/A</v>
          </cell>
          <cell r="AB299" t="e">
            <v>#N/A</v>
          </cell>
          <cell r="AC299" t="e">
            <v>#N/A</v>
          </cell>
        </row>
        <row r="300">
          <cell r="A300" t="str">
            <v>ACDNDBD01_CLONE_XIV</v>
          </cell>
          <cell r="B300">
            <v>12.63</v>
          </cell>
          <cell r="C300">
            <v>13.1</v>
          </cell>
          <cell r="D300">
            <v>0</v>
          </cell>
          <cell r="E300">
            <v>0</v>
          </cell>
          <cell r="F300">
            <v>0</v>
          </cell>
          <cell r="G300">
            <v>20.350000000000001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 t="e">
            <v>#N/A</v>
          </cell>
          <cell r="S300">
            <v>0</v>
          </cell>
          <cell r="T300" t="e">
            <v>#N/A</v>
          </cell>
          <cell r="U300" t="e">
            <v>#N/A</v>
          </cell>
          <cell r="V300" t="e">
            <v>#N/A</v>
          </cell>
          <cell r="W300" t="e">
            <v>#N/A</v>
          </cell>
          <cell r="X300" t="e">
            <v>#N/A</v>
          </cell>
          <cell r="Y300" t="e">
            <v>#N/A</v>
          </cell>
          <cell r="Z300" t="e">
            <v>#N/A</v>
          </cell>
          <cell r="AA300" t="e">
            <v>#N/A</v>
          </cell>
          <cell r="AB300" t="e">
            <v>#N/A</v>
          </cell>
          <cell r="AC300" t="e">
            <v>#N/A</v>
          </cell>
        </row>
        <row r="301">
          <cell r="A301" t="str">
            <v>ACDNDBD01_PARCHE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14.9</v>
          </cell>
          <cell r="K301">
            <v>15.07</v>
          </cell>
          <cell r="L301">
            <v>14.88</v>
          </cell>
          <cell r="M301">
            <v>14.7</v>
          </cell>
          <cell r="N301">
            <v>16.920000000000002</v>
          </cell>
          <cell r="O301">
            <v>21.24</v>
          </cell>
          <cell r="P301">
            <v>20.85</v>
          </cell>
          <cell r="Q301">
            <v>20.85</v>
          </cell>
          <cell r="R301">
            <v>20.55</v>
          </cell>
          <cell r="S301">
            <v>0</v>
          </cell>
          <cell r="T301" t="e">
            <v>#N/A</v>
          </cell>
          <cell r="U301" t="e">
            <v>#N/A</v>
          </cell>
          <cell r="V301" t="e">
            <v>#N/A</v>
          </cell>
          <cell r="W301">
            <v>21.12</v>
          </cell>
          <cell r="X301" t="e">
            <v>#N/A</v>
          </cell>
          <cell r="Y301" t="e">
            <v>#N/A</v>
          </cell>
          <cell r="Z301" t="e">
            <v>#N/A</v>
          </cell>
          <cell r="AA301" t="e">
            <v>#N/A</v>
          </cell>
          <cell r="AB301" t="e">
            <v>#N/A</v>
          </cell>
          <cell r="AC301" t="e">
            <v>#N/A</v>
          </cell>
        </row>
        <row r="302">
          <cell r="A302" t="str">
            <v>ACDNDPR01</v>
          </cell>
          <cell r="B302">
            <v>15.74</v>
          </cell>
          <cell r="C302">
            <v>19.63</v>
          </cell>
          <cell r="D302">
            <v>19.510000000000002</v>
          </cell>
          <cell r="E302">
            <v>19.5</v>
          </cell>
          <cell r="F302">
            <v>19.89</v>
          </cell>
          <cell r="G302">
            <v>18.760000000000002</v>
          </cell>
          <cell r="H302">
            <v>15.66</v>
          </cell>
          <cell r="I302">
            <v>16.36</v>
          </cell>
          <cell r="J302">
            <v>16.850000000000001</v>
          </cell>
          <cell r="K302">
            <v>16.41</v>
          </cell>
          <cell r="L302">
            <v>16.57</v>
          </cell>
          <cell r="M302">
            <v>16.25</v>
          </cell>
          <cell r="N302">
            <v>17.07</v>
          </cell>
          <cell r="O302">
            <v>17.920000000000002</v>
          </cell>
          <cell r="P302">
            <v>18.14</v>
          </cell>
          <cell r="Q302">
            <v>16.89</v>
          </cell>
          <cell r="R302">
            <v>19.149999999999999</v>
          </cell>
          <cell r="S302">
            <v>18.02</v>
          </cell>
          <cell r="T302">
            <v>18.45</v>
          </cell>
          <cell r="U302">
            <v>18.25</v>
          </cell>
          <cell r="V302">
            <v>20.18</v>
          </cell>
          <cell r="W302">
            <v>20.85</v>
          </cell>
          <cell r="X302">
            <v>17.64</v>
          </cell>
          <cell r="Y302">
            <v>17.5</v>
          </cell>
          <cell r="Z302">
            <v>19.21</v>
          </cell>
          <cell r="AA302">
            <v>20.62</v>
          </cell>
          <cell r="AB302">
            <v>20.52</v>
          </cell>
          <cell r="AC302">
            <v>21.23</v>
          </cell>
        </row>
        <row r="303">
          <cell r="A303" t="str">
            <v>ACDNDPR01_CLONEMIGRACION</v>
          </cell>
          <cell r="B303">
            <v>11.52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 t="e">
            <v>#N/A</v>
          </cell>
          <cell r="S303">
            <v>0</v>
          </cell>
          <cell r="T303" t="e">
            <v>#N/A</v>
          </cell>
          <cell r="U303" t="e">
            <v>#N/A</v>
          </cell>
          <cell r="V303" t="e">
            <v>#N/A</v>
          </cell>
          <cell r="W303" t="e">
            <v>#N/A</v>
          </cell>
          <cell r="X303" t="e">
            <v>#N/A</v>
          </cell>
          <cell r="Y303" t="e">
            <v>#N/A</v>
          </cell>
          <cell r="Z303" t="e">
            <v>#N/A</v>
          </cell>
          <cell r="AA303" t="e">
            <v>#N/A</v>
          </cell>
          <cell r="AB303" t="e">
            <v>#N/A</v>
          </cell>
          <cell r="AC303" t="e">
            <v>#N/A</v>
          </cell>
        </row>
        <row r="304">
          <cell r="A304" t="str">
            <v>ACDNDPR01_NUEVA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22.96</v>
          </cell>
          <cell r="H304">
            <v>73.400000000000006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 t="e">
            <v>#N/A</v>
          </cell>
          <cell r="S304">
            <v>0</v>
          </cell>
          <cell r="T304" t="e">
            <v>#N/A</v>
          </cell>
          <cell r="U304" t="e">
            <v>#N/A</v>
          </cell>
          <cell r="V304" t="e">
            <v>#N/A</v>
          </cell>
          <cell r="W304" t="e">
            <v>#N/A</v>
          </cell>
          <cell r="X304" t="e">
            <v>#N/A</v>
          </cell>
          <cell r="Y304" t="e">
            <v>#N/A</v>
          </cell>
          <cell r="Z304" t="e">
            <v>#N/A</v>
          </cell>
          <cell r="AA304" t="e">
            <v>#N/A</v>
          </cell>
          <cell r="AB304" t="e">
            <v>#N/A</v>
          </cell>
          <cell r="AC304" t="e">
            <v>#N/A</v>
          </cell>
        </row>
        <row r="305">
          <cell r="A305" t="str">
            <v>ACDNDPR01_PARCHE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11.78</v>
          </cell>
          <cell r="K305">
            <v>12.32</v>
          </cell>
          <cell r="L305">
            <v>10.06</v>
          </cell>
          <cell r="M305">
            <v>9</v>
          </cell>
          <cell r="N305">
            <v>10.41</v>
          </cell>
          <cell r="O305">
            <v>10.19</v>
          </cell>
          <cell r="P305">
            <v>7.93</v>
          </cell>
          <cell r="Q305">
            <v>20.37</v>
          </cell>
          <cell r="R305">
            <v>20.38</v>
          </cell>
          <cell r="S305">
            <v>0</v>
          </cell>
          <cell r="T305" t="e">
            <v>#N/A</v>
          </cell>
          <cell r="U305" t="e">
            <v>#N/A</v>
          </cell>
          <cell r="V305" t="e">
            <v>#N/A</v>
          </cell>
          <cell r="W305" t="e">
            <v>#N/A</v>
          </cell>
          <cell r="X305" t="e">
            <v>#N/A</v>
          </cell>
          <cell r="Y305" t="e">
            <v>#N/A</v>
          </cell>
          <cell r="Z305" t="e">
            <v>#N/A</v>
          </cell>
          <cell r="AA305" t="e">
            <v>#N/A</v>
          </cell>
          <cell r="AB305" t="e">
            <v>#N/A</v>
          </cell>
          <cell r="AC305" t="e">
            <v>#N/A</v>
          </cell>
        </row>
        <row r="306">
          <cell r="A306" t="str">
            <v>ACDNDPR01_PRUEBAS</v>
          </cell>
          <cell r="B306">
            <v>12.45</v>
          </cell>
          <cell r="C306">
            <v>13.14</v>
          </cell>
          <cell r="D306">
            <v>16</v>
          </cell>
          <cell r="E306">
            <v>17.29</v>
          </cell>
          <cell r="F306">
            <v>17.260000000000002</v>
          </cell>
          <cell r="G306">
            <v>15.87</v>
          </cell>
          <cell r="H306">
            <v>14.07</v>
          </cell>
          <cell r="I306">
            <v>12.66</v>
          </cell>
          <cell r="J306">
            <v>12.39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 t="e">
            <v>#N/A</v>
          </cell>
          <cell r="S306">
            <v>0</v>
          </cell>
          <cell r="T306" t="e">
            <v>#N/A</v>
          </cell>
          <cell r="U306" t="e">
            <v>#N/A</v>
          </cell>
          <cell r="V306" t="e">
            <v>#N/A</v>
          </cell>
          <cell r="W306" t="e">
            <v>#N/A</v>
          </cell>
          <cell r="X306" t="e">
            <v>#N/A</v>
          </cell>
          <cell r="Y306" t="e">
            <v>#N/A</v>
          </cell>
          <cell r="Z306" t="e">
            <v>#N/A</v>
          </cell>
          <cell r="AA306" t="e">
            <v>#N/A</v>
          </cell>
          <cell r="AB306" t="e">
            <v>#N/A</v>
          </cell>
          <cell r="AC306" t="e">
            <v>#N/A</v>
          </cell>
        </row>
        <row r="307">
          <cell r="A307" t="str">
            <v>ACDNDPR02</v>
          </cell>
          <cell r="B307">
            <v>19.850000000000001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 t="e">
            <v>#N/A</v>
          </cell>
          <cell r="S307">
            <v>0</v>
          </cell>
          <cell r="T307" t="e">
            <v>#N/A</v>
          </cell>
          <cell r="U307" t="e">
            <v>#N/A</v>
          </cell>
          <cell r="V307" t="e">
            <v>#N/A</v>
          </cell>
          <cell r="W307" t="e">
            <v>#N/A</v>
          </cell>
          <cell r="X307" t="e">
            <v>#N/A</v>
          </cell>
          <cell r="Y307" t="e">
            <v>#N/A</v>
          </cell>
          <cell r="Z307" t="e">
            <v>#N/A</v>
          </cell>
          <cell r="AA307" t="e">
            <v>#N/A</v>
          </cell>
          <cell r="AB307" t="e">
            <v>#N/A</v>
          </cell>
          <cell r="AC307" t="e">
            <v>#N/A</v>
          </cell>
        </row>
        <row r="308">
          <cell r="A308" t="str">
            <v>ACDNPAP01</v>
          </cell>
          <cell r="B308">
            <v>16.97</v>
          </cell>
          <cell r="C308">
            <v>27.63</v>
          </cell>
          <cell r="D308">
            <v>29.53</v>
          </cell>
          <cell r="E308">
            <v>30.42</v>
          </cell>
          <cell r="F308">
            <v>34.590000000000003</v>
          </cell>
          <cell r="G308">
            <v>32.33</v>
          </cell>
          <cell r="H308">
            <v>30.27</v>
          </cell>
          <cell r="I308">
            <v>26.24</v>
          </cell>
          <cell r="J308">
            <v>27.54</v>
          </cell>
          <cell r="K308">
            <v>38.729999999999997</v>
          </cell>
          <cell r="L308">
            <v>35.619999999999997</v>
          </cell>
          <cell r="M308">
            <v>47.36</v>
          </cell>
          <cell r="N308">
            <v>49.49</v>
          </cell>
          <cell r="O308">
            <v>45.54</v>
          </cell>
          <cell r="P308">
            <v>57.24</v>
          </cell>
          <cell r="Q308">
            <v>55.7</v>
          </cell>
          <cell r="R308">
            <v>53.75</v>
          </cell>
          <cell r="S308">
            <v>61.24</v>
          </cell>
          <cell r="T308">
            <v>60.8</v>
          </cell>
          <cell r="U308">
            <v>42.04</v>
          </cell>
          <cell r="V308" t="e">
            <v>#N/A</v>
          </cell>
          <cell r="W308" t="e">
            <v>#N/A</v>
          </cell>
          <cell r="X308" t="e">
            <v>#N/A</v>
          </cell>
          <cell r="Y308" t="e">
            <v>#N/A</v>
          </cell>
          <cell r="Z308" t="e">
            <v>#N/A</v>
          </cell>
          <cell r="AA308" t="e">
            <v>#N/A</v>
          </cell>
          <cell r="AB308" t="e">
            <v>#N/A</v>
          </cell>
          <cell r="AC308" t="e">
            <v>#N/A</v>
          </cell>
        </row>
        <row r="309">
          <cell r="A309" t="str">
            <v>ACDNPBD01</v>
          </cell>
          <cell r="B309">
            <v>23.32</v>
          </cell>
          <cell r="C309">
            <v>21.21</v>
          </cell>
          <cell r="D309">
            <v>20.56</v>
          </cell>
          <cell r="E309">
            <v>22.35</v>
          </cell>
          <cell r="F309">
            <v>38.520000000000003</v>
          </cell>
          <cell r="G309">
            <v>46.46</v>
          </cell>
          <cell r="H309">
            <v>57.6</v>
          </cell>
          <cell r="I309">
            <v>56.04</v>
          </cell>
          <cell r="J309">
            <v>51.57</v>
          </cell>
          <cell r="K309">
            <v>62.46</v>
          </cell>
          <cell r="L309">
            <v>72.19</v>
          </cell>
          <cell r="M309">
            <v>69.64</v>
          </cell>
          <cell r="N309">
            <v>69.09</v>
          </cell>
          <cell r="O309">
            <v>70.16</v>
          </cell>
          <cell r="P309">
            <v>71.42</v>
          </cell>
          <cell r="Q309">
            <v>66.7</v>
          </cell>
          <cell r="R309">
            <v>70.849999999999994</v>
          </cell>
          <cell r="S309">
            <v>70.05</v>
          </cell>
          <cell r="T309">
            <v>51.57</v>
          </cell>
          <cell r="U309">
            <v>36.5</v>
          </cell>
          <cell r="V309" t="e">
            <v>#N/A</v>
          </cell>
          <cell r="W309" t="e">
            <v>#N/A</v>
          </cell>
          <cell r="X309" t="e">
            <v>#N/A</v>
          </cell>
          <cell r="Y309" t="e">
            <v>#N/A</v>
          </cell>
          <cell r="Z309" t="e">
            <v>#N/A</v>
          </cell>
          <cell r="AA309" t="e">
            <v>#N/A</v>
          </cell>
          <cell r="AB309" t="e">
            <v>#N/A</v>
          </cell>
          <cell r="AC309" t="e">
            <v>#N/A</v>
          </cell>
        </row>
        <row r="310">
          <cell r="A310" t="str">
            <v>ACDNPBD02</v>
          </cell>
          <cell r="B310">
            <v>16.91</v>
          </cell>
          <cell r="C310">
            <v>15.95</v>
          </cell>
          <cell r="D310">
            <v>17.82</v>
          </cell>
          <cell r="E310">
            <v>18.05</v>
          </cell>
          <cell r="F310">
            <v>17.21</v>
          </cell>
          <cell r="G310">
            <v>16.32</v>
          </cell>
          <cell r="H310">
            <v>17.54</v>
          </cell>
          <cell r="I310">
            <v>18.43</v>
          </cell>
          <cell r="J310">
            <v>19</v>
          </cell>
          <cell r="K310">
            <v>19.11</v>
          </cell>
          <cell r="L310">
            <v>18.72</v>
          </cell>
          <cell r="M310">
            <v>18.88</v>
          </cell>
          <cell r="N310">
            <v>16.66</v>
          </cell>
          <cell r="O310">
            <v>16.600000000000001</v>
          </cell>
          <cell r="P310">
            <v>17.61</v>
          </cell>
          <cell r="Q310">
            <v>16.850000000000001</v>
          </cell>
          <cell r="R310">
            <v>17.64</v>
          </cell>
          <cell r="S310">
            <v>0</v>
          </cell>
          <cell r="T310" t="e">
            <v>#N/A</v>
          </cell>
          <cell r="U310" t="e">
            <v>#N/A</v>
          </cell>
          <cell r="V310" t="e">
            <v>#N/A</v>
          </cell>
          <cell r="W310">
            <v>12.9</v>
          </cell>
          <cell r="X310" t="e">
            <v>#N/A</v>
          </cell>
          <cell r="Y310" t="e">
            <v>#N/A</v>
          </cell>
          <cell r="Z310" t="e">
            <v>#N/A</v>
          </cell>
          <cell r="AA310" t="e">
            <v>#N/A</v>
          </cell>
          <cell r="AB310" t="e">
            <v>#N/A</v>
          </cell>
          <cell r="AC310" t="e">
            <v>#N/A</v>
          </cell>
        </row>
        <row r="311">
          <cell r="A311" t="str">
            <v>ACDNPPR02</v>
          </cell>
          <cell r="B311">
            <v>18.62</v>
          </cell>
          <cell r="C311">
            <v>18.48</v>
          </cell>
          <cell r="D311">
            <v>18.3</v>
          </cell>
          <cell r="E311">
            <v>19.14</v>
          </cell>
          <cell r="F311">
            <v>19.329999999999998</v>
          </cell>
          <cell r="G311">
            <v>18.920000000000002</v>
          </cell>
          <cell r="H311">
            <v>19.37</v>
          </cell>
          <cell r="I311">
            <v>19.77</v>
          </cell>
          <cell r="J311">
            <v>19.940000000000001</v>
          </cell>
          <cell r="K311">
            <v>19.98</v>
          </cell>
          <cell r="L311">
            <v>19.440000000000001</v>
          </cell>
          <cell r="M311">
            <v>19.38</v>
          </cell>
          <cell r="N311">
            <v>17.350000000000001</v>
          </cell>
          <cell r="O311">
            <v>16.93</v>
          </cell>
          <cell r="P311">
            <v>17.71</v>
          </cell>
          <cell r="Q311">
            <v>17.510000000000002</v>
          </cell>
          <cell r="R311">
            <v>17.82</v>
          </cell>
          <cell r="S311">
            <v>0</v>
          </cell>
          <cell r="T311" t="e">
            <v>#N/A</v>
          </cell>
          <cell r="U311" t="e">
            <v>#N/A</v>
          </cell>
          <cell r="V311" t="e">
            <v>#N/A</v>
          </cell>
          <cell r="W311" t="e">
            <v>#N/A</v>
          </cell>
          <cell r="X311" t="e">
            <v>#N/A</v>
          </cell>
          <cell r="Y311" t="e">
            <v>#N/A</v>
          </cell>
          <cell r="Z311" t="e">
            <v>#N/A</v>
          </cell>
          <cell r="AA311" t="e">
            <v>#N/A</v>
          </cell>
          <cell r="AB311" t="e">
            <v>#N/A</v>
          </cell>
          <cell r="AC311" t="e">
            <v>#N/A</v>
          </cell>
        </row>
        <row r="312">
          <cell r="A312" t="str">
            <v>ACESABD01</v>
          </cell>
          <cell r="B312">
            <v>32.89</v>
          </cell>
          <cell r="C312">
            <v>28.27</v>
          </cell>
          <cell r="D312">
            <v>31.23</v>
          </cell>
          <cell r="E312">
            <v>31.48</v>
          </cell>
          <cell r="F312">
            <v>31.49</v>
          </cell>
          <cell r="G312">
            <v>25.06</v>
          </cell>
          <cell r="H312">
            <v>36.090000000000003</v>
          </cell>
          <cell r="I312">
            <v>36.54</v>
          </cell>
          <cell r="J312">
            <v>37.130000000000003</v>
          </cell>
          <cell r="K312">
            <v>37.06</v>
          </cell>
          <cell r="L312">
            <v>36.83</v>
          </cell>
          <cell r="M312">
            <v>32.35</v>
          </cell>
          <cell r="N312">
            <v>29.84</v>
          </cell>
          <cell r="O312">
            <v>0</v>
          </cell>
          <cell r="P312">
            <v>0</v>
          </cell>
          <cell r="Q312">
            <v>0</v>
          </cell>
          <cell r="R312" t="e">
            <v>#N/A</v>
          </cell>
          <cell r="S312">
            <v>0</v>
          </cell>
          <cell r="T312" t="e">
            <v>#N/A</v>
          </cell>
          <cell r="U312" t="e">
            <v>#N/A</v>
          </cell>
          <cell r="V312" t="e">
            <v>#N/A</v>
          </cell>
          <cell r="W312" t="e">
            <v>#N/A</v>
          </cell>
          <cell r="X312" t="e">
            <v>#N/A</v>
          </cell>
          <cell r="Y312" t="e">
            <v>#N/A</v>
          </cell>
          <cell r="Z312" t="e">
            <v>#N/A</v>
          </cell>
          <cell r="AA312" t="e">
            <v>#N/A</v>
          </cell>
          <cell r="AB312" t="e">
            <v>#N/A</v>
          </cell>
          <cell r="AC312" t="e">
            <v>#N/A</v>
          </cell>
        </row>
        <row r="313">
          <cell r="A313" t="str">
            <v>ACESABD02</v>
          </cell>
          <cell r="B313">
            <v>8.5500000000000007</v>
          </cell>
          <cell r="C313">
            <v>7.8</v>
          </cell>
          <cell r="D313">
            <v>15.26</v>
          </cell>
          <cell r="E313">
            <v>18.23</v>
          </cell>
          <cell r="F313">
            <v>18.34</v>
          </cell>
          <cell r="G313">
            <v>15.64</v>
          </cell>
          <cell r="H313">
            <v>13.79</v>
          </cell>
          <cell r="I313">
            <v>34.01</v>
          </cell>
          <cell r="J313">
            <v>68.58</v>
          </cell>
          <cell r="K313">
            <v>77.62</v>
          </cell>
          <cell r="L313">
            <v>77.78</v>
          </cell>
          <cell r="M313">
            <v>77.86</v>
          </cell>
          <cell r="N313">
            <v>78.06</v>
          </cell>
          <cell r="O313">
            <v>0</v>
          </cell>
          <cell r="P313">
            <v>0</v>
          </cell>
          <cell r="Q313">
            <v>0</v>
          </cell>
          <cell r="R313" t="e">
            <v>#N/A</v>
          </cell>
          <cell r="S313">
            <v>0</v>
          </cell>
          <cell r="T313" t="e">
            <v>#N/A</v>
          </cell>
          <cell r="U313" t="e">
            <v>#N/A</v>
          </cell>
          <cell r="V313" t="e">
            <v>#N/A</v>
          </cell>
          <cell r="W313" t="e">
            <v>#N/A</v>
          </cell>
          <cell r="X313" t="e">
            <v>#N/A</v>
          </cell>
          <cell r="Y313" t="e">
            <v>#N/A</v>
          </cell>
          <cell r="Z313" t="e">
            <v>#N/A</v>
          </cell>
          <cell r="AA313" t="e">
            <v>#N/A</v>
          </cell>
          <cell r="AB313" t="e">
            <v>#N/A</v>
          </cell>
          <cell r="AC313" t="e">
            <v>#N/A</v>
          </cell>
        </row>
        <row r="314">
          <cell r="A314" t="str">
            <v>ACESABD02_NEW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87.85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 t="e">
            <v>#N/A</v>
          </cell>
          <cell r="S314">
            <v>0</v>
          </cell>
          <cell r="T314" t="e">
            <v>#N/A</v>
          </cell>
          <cell r="U314" t="e">
            <v>#N/A</v>
          </cell>
          <cell r="V314" t="e">
            <v>#N/A</v>
          </cell>
          <cell r="W314" t="e">
            <v>#N/A</v>
          </cell>
          <cell r="X314" t="e">
            <v>#N/A</v>
          </cell>
          <cell r="Y314" t="e">
            <v>#N/A</v>
          </cell>
          <cell r="Z314" t="e">
            <v>#N/A</v>
          </cell>
          <cell r="AA314" t="e">
            <v>#N/A</v>
          </cell>
          <cell r="AB314" t="e">
            <v>#N/A</v>
          </cell>
          <cell r="AC314" t="e">
            <v>#N/A</v>
          </cell>
        </row>
        <row r="315">
          <cell r="A315" t="str">
            <v>ACESABD02_PARA BORRAR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5.55</v>
          </cell>
          <cell r="J315">
            <v>18.16</v>
          </cell>
          <cell r="K315">
            <v>8.4499999999999993</v>
          </cell>
          <cell r="L315">
            <v>7.46</v>
          </cell>
          <cell r="M315">
            <v>5.76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 t="e">
            <v>#N/A</v>
          </cell>
          <cell r="S315">
            <v>0</v>
          </cell>
          <cell r="T315" t="e">
            <v>#N/A</v>
          </cell>
          <cell r="U315" t="e">
            <v>#N/A</v>
          </cell>
          <cell r="V315" t="e">
            <v>#N/A</v>
          </cell>
          <cell r="W315" t="e">
            <v>#N/A</v>
          </cell>
          <cell r="X315" t="e">
            <v>#N/A</v>
          </cell>
          <cell r="Y315" t="e">
            <v>#N/A</v>
          </cell>
          <cell r="Z315" t="e">
            <v>#N/A</v>
          </cell>
          <cell r="AA315" t="e">
            <v>#N/A</v>
          </cell>
          <cell r="AB315" t="e">
            <v>#N/A</v>
          </cell>
          <cell r="AC315" t="e">
            <v>#N/A</v>
          </cell>
        </row>
        <row r="316">
          <cell r="A316" t="str">
            <v>ACESAPR01</v>
          </cell>
          <cell r="B316">
            <v>28.21</v>
          </cell>
          <cell r="C316">
            <v>27.45</v>
          </cell>
          <cell r="D316">
            <v>34.11</v>
          </cell>
          <cell r="E316">
            <v>39.68</v>
          </cell>
          <cell r="F316">
            <v>40.020000000000003</v>
          </cell>
          <cell r="G316">
            <v>45</v>
          </cell>
          <cell r="H316">
            <v>44.39</v>
          </cell>
          <cell r="I316">
            <v>45.46</v>
          </cell>
          <cell r="J316">
            <v>39.53</v>
          </cell>
          <cell r="K316">
            <v>40.99</v>
          </cell>
          <cell r="L316">
            <v>42.55</v>
          </cell>
          <cell r="M316">
            <v>26.48</v>
          </cell>
          <cell r="N316">
            <v>18.86</v>
          </cell>
          <cell r="O316">
            <v>0</v>
          </cell>
          <cell r="P316">
            <v>0</v>
          </cell>
          <cell r="Q316">
            <v>0</v>
          </cell>
          <cell r="R316" t="e">
            <v>#N/A</v>
          </cell>
          <cell r="S316">
            <v>0</v>
          </cell>
          <cell r="T316" t="e">
            <v>#N/A</v>
          </cell>
          <cell r="U316" t="e">
            <v>#N/A</v>
          </cell>
          <cell r="V316" t="e">
            <v>#N/A</v>
          </cell>
          <cell r="W316" t="e">
            <v>#N/A</v>
          </cell>
          <cell r="X316" t="e">
            <v>#N/A</v>
          </cell>
          <cell r="Y316" t="e">
            <v>#N/A</v>
          </cell>
          <cell r="Z316" t="e">
            <v>#N/A</v>
          </cell>
          <cell r="AA316" t="e">
            <v>#N/A</v>
          </cell>
          <cell r="AB316" t="e">
            <v>#N/A</v>
          </cell>
          <cell r="AC316" t="e">
            <v>#N/A</v>
          </cell>
        </row>
        <row r="317">
          <cell r="A317" t="str">
            <v>ACESAPR02</v>
          </cell>
          <cell r="B317">
            <v>62.97</v>
          </cell>
          <cell r="C317">
            <v>27.79</v>
          </cell>
          <cell r="D317">
            <v>36.83</v>
          </cell>
          <cell r="E317">
            <v>54.16</v>
          </cell>
          <cell r="F317">
            <v>52.68</v>
          </cell>
          <cell r="G317">
            <v>50.66</v>
          </cell>
          <cell r="H317">
            <v>65.13</v>
          </cell>
          <cell r="I317">
            <v>73.81</v>
          </cell>
          <cell r="J317">
            <v>77.61</v>
          </cell>
          <cell r="K317">
            <v>74.86</v>
          </cell>
          <cell r="L317">
            <v>78.5</v>
          </cell>
          <cell r="M317">
            <v>59</v>
          </cell>
          <cell r="N317">
            <v>33.31</v>
          </cell>
          <cell r="O317">
            <v>0</v>
          </cell>
          <cell r="P317">
            <v>0</v>
          </cell>
          <cell r="Q317">
            <v>0</v>
          </cell>
          <cell r="R317" t="e">
            <v>#N/A</v>
          </cell>
          <cell r="S317">
            <v>0</v>
          </cell>
          <cell r="T317" t="e">
            <v>#N/A</v>
          </cell>
          <cell r="U317" t="e">
            <v>#N/A</v>
          </cell>
          <cell r="V317" t="e">
            <v>#N/A</v>
          </cell>
          <cell r="W317" t="e">
            <v>#N/A</v>
          </cell>
          <cell r="X317" t="e">
            <v>#N/A</v>
          </cell>
          <cell r="Y317" t="e">
            <v>#N/A</v>
          </cell>
          <cell r="Z317" t="e">
            <v>#N/A</v>
          </cell>
          <cell r="AA317" t="e">
            <v>#N/A</v>
          </cell>
          <cell r="AB317" t="e">
            <v>#N/A</v>
          </cell>
          <cell r="AC317" t="e">
            <v>#N/A</v>
          </cell>
        </row>
        <row r="318">
          <cell r="A318" t="str">
            <v>ACESAPR02_CLONE</v>
          </cell>
          <cell r="B318">
            <v>0</v>
          </cell>
          <cell r="C318">
            <v>45.34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 t="e">
            <v>#N/A</v>
          </cell>
          <cell r="S318">
            <v>0</v>
          </cell>
          <cell r="T318" t="e">
            <v>#N/A</v>
          </cell>
          <cell r="U318" t="e">
            <v>#N/A</v>
          </cell>
          <cell r="V318" t="e">
            <v>#N/A</v>
          </cell>
          <cell r="W318" t="e">
            <v>#N/A</v>
          </cell>
          <cell r="X318" t="e">
            <v>#N/A</v>
          </cell>
          <cell r="Y318" t="e">
            <v>#N/A</v>
          </cell>
          <cell r="Z318" t="e">
            <v>#N/A</v>
          </cell>
          <cell r="AA318" t="e">
            <v>#N/A</v>
          </cell>
          <cell r="AB318" t="e">
            <v>#N/A</v>
          </cell>
          <cell r="AC318" t="e">
            <v>#N/A</v>
          </cell>
        </row>
        <row r="319">
          <cell r="A319" t="str">
            <v>ACESAPR02_NEW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20.34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 t="e">
            <v>#N/A</v>
          </cell>
          <cell r="S319">
            <v>0</v>
          </cell>
          <cell r="T319" t="e">
            <v>#N/A</v>
          </cell>
          <cell r="U319" t="e">
            <v>#N/A</v>
          </cell>
          <cell r="V319" t="e">
            <v>#N/A</v>
          </cell>
          <cell r="W319" t="e">
            <v>#N/A</v>
          </cell>
          <cell r="X319" t="e">
            <v>#N/A</v>
          </cell>
          <cell r="Y319" t="e">
            <v>#N/A</v>
          </cell>
          <cell r="Z319" t="e">
            <v>#N/A</v>
          </cell>
          <cell r="AA319" t="e">
            <v>#N/A</v>
          </cell>
          <cell r="AB319" t="e">
            <v>#N/A</v>
          </cell>
          <cell r="AC319" t="e">
            <v>#N/A</v>
          </cell>
        </row>
        <row r="320">
          <cell r="A320" t="str">
            <v>ACESAPR02_PARA BORRAR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9.35</v>
          </cell>
          <cell r="J320">
            <v>18.98</v>
          </cell>
          <cell r="K320">
            <v>14.1</v>
          </cell>
          <cell r="L320">
            <v>11.47</v>
          </cell>
          <cell r="M320">
            <v>9.89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 t="e">
            <v>#N/A</v>
          </cell>
          <cell r="S320">
            <v>0</v>
          </cell>
          <cell r="T320" t="e">
            <v>#N/A</v>
          </cell>
          <cell r="U320" t="e">
            <v>#N/A</v>
          </cell>
          <cell r="V320" t="e">
            <v>#N/A</v>
          </cell>
          <cell r="W320" t="e">
            <v>#N/A</v>
          </cell>
          <cell r="X320" t="e">
            <v>#N/A</v>
          </cell>
          <cell r="Y320" t="e">
            <v>#N/A</v>
          </cell>
          <cell r="Z320" t="e">
            <v>#N/A</v>
          </cell>
          <cell r="AA320" t="e">
            <v>#N/A</v>
          </cell>
          <cell r="AB320" t="e">
            <v>#N/A</v>
          </cell>
          <cell r="AC320" t="e">
            <v>#N/A</v>
          </cell>
        </row>
        <row r="321">
          <cell r="A321" t="str">
            <v>ACESPBD01</v>
          </cell>
          <cell r="B321">
            <v>10.53</v>
          </cell>
          <cell r="C321">
            <v>13.15</v>
          </cell>
          <cell r="D321">
            <v>14.45</v>
          </cell>
          <cell r="E321">
            <v>13.84</v>
          </cell>
          <cell r="F321">
            <v>10.93</v>
          </cell>
          <cell r="G321">
            <v>9.19</v>
          </cell>
          <cell r="H321">
            <v>15.41</v>
          </cell>
          <cell r="I321">
            <v>17.149999999999999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 t="e">
            <v>#N/A</v>
          </cell>
          <cell r="S321">
            <v>0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A321" t="e">
            <v>#N/A</v>
          </cell>
          <cell r="AB321" t="e">
            <v>#N/A</v>
          </cell>
          <cell r="AC321" t="e">
            <v>#N/A</v>
          </cell>
        </row>
        <row r="322">
          <cell r="A322" t="str">
            <v>ACESPPR01</v>
          </cell>
          <cell r="B322">
            <v>34.22</v>
          </cell>
          <cell r="C322">
            <v>31.61</v>
          </cell>
          <cell r="D322">
            <v>29.73</v>
          </cell>
          <cell r="E322">
            <v>30.42</v>
          </cell>
          <cell r="F322">
            <v>36.06</v>
          </cell>
          <cell r="G322">
            <v>18.649999999999999</v>
          </cell>
          <cell r="H322">
            <v>21.35</v>
          </cell>
          <cell r="I322">
            <v>21.28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 t="e">
            <v>#N/A</v>
          </cell>
          <cell r="S322">
            <v>0</v>
          </cell>
          <cell r="T322" t="e">
            <v>#N/A</v>
          </cell>
          <cell r="U322" t="e">
            <v>#N/A</v>
          </cell>
          <cell r="V322" t="e">
            <v>#N/A</v>
          </cell>
          <cell r="W322" t="e">
            <v>#N/A</v>
          </cell>
          <cell r="X322" t="e">
            <v>#N/A</v>
          </cell>
          <cell r="Y322" t="e">
            <v>#N/A</v>
          </cell>
          <cell r="Z322" t="e">
            <v>#N/A</v>
          </cell>
          <cell r="AA322" t="e">
            <v>#N/A</v>
          </cell>
          <cell r="AB322" t="e">
            <v>#N/A</v>
          </cell>
          <cell r="AC322" t="e">
            <v>#N/A</v>
          </cell>
        </row>
        <row r="323">
          <cell r="A323" t="str">
            <v>ACHMCBD01</v>
          </cell>
          <cell r="B323">
            <v>0</v>
          </cell>
          <cell r="C323">
            <v>7.65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 t="e">
            <v>#N/A</v>
          </cell>
          <cell r="S323">
            <v>0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A323" t="e">
            <v>#N/A</v>
          </cell>
          <cell r="AB323" t="e">
            <v>#N/A</v>
          </cell>
          <cell r="AC323" t="e">
            <v>#N/A</v>
          </cell>
        </row>
        <row r="324">
          <cell r="A324" t="str">
            <v>ACICABD01</v>
          </cell>
          <cell r="B324">
            <v>16.12</v>
          </cell>
          <cell r="C324">
            <v>20.329999999999998</v>
          </cell>
          <cell r="D324">
            <v>0</v>
          </cell>
          <cell r="E324">
            <v>0</v>
          </cell>
          <cell r="F324">
            <v>0</v>
          </cell>
          <cell r="G324">
            <v>20.29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 t="e">
            <v>#N/A</v>
          </cell>
          <cell r="S324">
            <v>0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A324" t="e">
            <v>#N/A</v>
          </cell>
          <cell r="AB324" t="e">
            <v>#N/A</v>
          </cell>
          <cell r="AC324" t="e">
            <v>#N/A</v>
          </cell>
        </row>
        <row r="325">
          <cell r="A325" t="str">
            <v>ACICAPR01</v>
          </cell>
          <cell r="B325">
            <v>21.3</v>
          </cell>
          <cell r="C325">
            <v>22.52</v>
          </cell>
          <cell r="D325">
            <v>0</v>
          </cell>
          <cell r="E325">
            <v>0</v>
          </cell>
          <cell r="F325">
            <v>0</v>
          </cell>
          <cell r="G325">
            <v>20.92</v>
          </cell>
          <cell r="H325">
            <v>22.04</v>
          </cell>
          <cell r="I325">
            <v>22.08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 t="e">
            <v>#N/A</v>
          </cell>
          <cell r="S325">
            <v>0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A325" t="e">
            <v>#N/A</v>
          </cell>
          <cell r="AB325" t="e">
            <v>#N/A</v>
          </cell>
          <cell r="AC325" t="e">
            <v>#N/A</v>
          </cell>
        </row>
        <row r="326">
          <cell r="A326" t="str">
            <v>ACITUAM01</v>
          </cell>
          <cell r="B326">
            <v>20.69</v>
          </cell>
          <cell r="C326">
            <v>22.69</v>
          </cell>
          <cell r="D326">
            <v>21.85</v>
          </cell>
          <cell r="E326">
            <v>22.19</v>
          </cell>
          <cell r="F326">
            <v>22.33</v>
          </cell>
          <cell r="G326">
            <v>23.26</v>
          </cell>
          <cell r="H326">
            <v>22.28</v>
          </cell>
          <cell r="I326">
            <v>22.57</v>
          </cell>
          <cell r="J326">
            <v>54.81</v>
          </cell>
          <cell r="K326">
            <v>76.33</v>
          </cell>
          <cell r="L326">
            <v>79.61</v>
          </cell>
          <cell r="M326">
            <v>78.319999999999993</v>
          </cell>
          <cell r="N326">
            <v>68.760000000000005</v>
          </cell>
          <cell r="O326">
            <v>74.02</v>
          </cell>
          <cell r="P326">
            <v>75.7</v>
          </cell>
          <cell r="Q326">
            <v>0</v>
          </cell>
          <cell r="R326" t="e">
            <v>#N/A</v>
          </cell>
          <cell r="S326">
            <v>0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A326" t="e">
            <v>#N/A</v>
          </cell>
          <cell r="AB326">
            <v>76.3</v>
          </cell>
          <cell r="AC326">
            <v>77.400000000000006</v>
          </cell>
        </row>
        <row r="327">
          <cell r="A327" t="str">
            <v>ACITUAM02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30.78</v>
          </cell>
          <cell r="M327">
            <v>33</v>
          </cell>
          <cell r="N327">
            <v>46.89</v>
          </cell>
          <cell r="O327">
            <v>46.81</v>
          </cell>
          <cell r="P327">
            <v>53.02</v>
          </cell>
          <cell r="Q327">
            <v>55.25</v>
          </cell>
          <cell r="R327">
            <v>52.85</v>
          </cell>
          <cell r="S327">
            <v>53.87</v>
          </cell>
          <cell r="T327">
            <v>51.76</v>
          </cell>
          <cell r="U327">
            <v>50.3</v>
          </cell>
          <cell r="V327">
            <v>53.28</v>
          </cell>
          <cell r="W327">
            <v>55.01</v>
          </cell>
          <cell r="X327">
            <v>58.64</v>
          </cell>
          <cell r="Y327">
            <v>60.08</v>
          </cell>
          <cell r="Z327">
            <v>51.67</v>
          </cell>
          <cell r="AA327">
            <v>59.77</v>
          </cell>
          <cell r="AB327">
            <v>61.58</v>
          </cell>
          <cell r="AC327">
            <v>62.42</v>
          </cell>
        </row>
        <row r="328">
          <cell r="A328" t="str">
            <v>ACMCIAP01</v>
          </cell>
          <cell r="B328">
            <v>11.78</v>
          </cell>
          <cell r="C328">
            <v>40.74</v>
          </cell>
          <cell r="D328">
            <v>48.96</v>
          </cell>
          <cell r="E328">
            <v>47.86</v>
          </cell>
          <cell r="F328">
            <v>73.89</v>
          </cell>
          <cell r="G328">
            <v>33.25</v>
          </cell>
          <cell r="H328">
            <v>35.22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 t="e">
            <v>#N/A</v>
          </cell>
          <cell r="S328">
            <v>0</v>
          </cell>
          <cell r="T328" t="e">
            <v>#N/A</v>
          </cell>
          <cell r="U328" t="e">
            <v>#N/A</v>
          </cell>
          <cell r="V328" t="e">
            <v>#N/A</v>
          </cell>
          <cell r="W328" t="e">
            <v>#N/A</v>
          </cell>
          <cell r="X328" t="e">
            <v>#N/A</v>
          </cell>
          <cell r="Y328" t="e">
            <v>#N/A</v>
          </cell>
          <cell r="Z328" t="e">
            <v>#N/A</v>
          </cell>
          <cell r="AA328" t="e">
            <v>#N/A</v>
          </cell>
          <cell r="AB328" t="e">
            <v>#N/A</v>
          </cell>
          <cell r="AC328" t="e">
            <v>#N/A</v>
          </cell>
        </row>
        <row r="329">
          <cell r="A329" t="str">
            <v>ACMCIAP01_CLONE</v>
          </cell>
          <cell r="B329">
            <v>0</v>
          </cell>
          <cell r="C329">
            <v>81.44</v>
          </cell>
          <cell r="D329">
            <v>35.090000000000003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 t="e">
            <v>#N/A</v>
          </cell>
          <cell r="S329">
            <v>0</v>
          </cell>
          <cell r="T329" t="e">
            <v>#N/A</v>
          </cell>
          <cell r="U329" t="e">
            <v>#N/A</v>
          </cell>
          <cell r="V329" t="e">
            <v>#N/A</v>
          </cell>
          <cell r="W329" t="e">
            <v>#N/A</v>
          </cell>
          <cell r="X329" t="e">
            <v>#N/A</v>
          </cell>
          <cell r="Y329" t="e">
            <v>#N/A</v>
          </cell>
          <cell r="Z329" t="e">
            <v>#N/A</v>
          </cell>
          <cell r="AA329" t="e">
            <v>#N/A</v>
          </cell>
          <cell r="AB329" t="e">
            <v>#N/A</v>
          </cell>
          <cell r="AC329" t="e">
            <v>#N/A</v>
          </cell>
        </row>
        <row r="330">
          <cell r="A330" t="str">
            <v>ACMCIBD01</v>
          </cell>
          <cell r="B330">
            <v>0</v>
          </cell>
          <cell r="C330">
            <v>31.98</v>
          </cell>
          <cell r="D330">
            <v>0</v>
          </cell>
          <cell r="E330">
            <v>0</v>
          </cell>
          <cell r="F330">
            <v>26.4</v>
          </cell>
          <cell r="G330">
            <v>23.92</v>
          </cell>
          <cell r="H330">
            <v>48.08</v>
          </cell>
          <cell r="I330">
            <v>46.49</v>
          </cell>
          <cell r="J330">
            <v>34.659999999999997</v>
          </cell>
          <cell r="K330">
            <v>42.04</v>
          </cell>
          <cell r="L330">
            <v>87.02</v>
          </cell>
          <cell r="M330">
            <v>142.44</v>
          </cell>
          <cell r="N330">
            <v>141.38</v>
          </cell>
          <cell r="O330">
            <v>140.80000000000001</v>
          </cell>
          <cell r="P330">
            <v>133.24</v>
          </cell>
          <cell r="Q330">
            <v>140.72</v>
          </cell>
          <cell r="R330">
            <v>133.74</v>
          </cell>
          <cell r="S330">
            <v>133.72</v>
          </cell>
          <cell r="T330">
            <v>128.55000000000001</v>
          </cell>
          <cell r="U330">
            <v>122.02</v>
          </cell>
          <cell r="V330" t="e">
            <v>#N/A</v>
          </cell>
          <cell r="W330" t="e">
            <v>#N/A</v>
          </cell>
          <cell r="X330" t="e">
            <v>#N/A</v>
          </cell>
          <cell r="Y330" t="e">
            <v>#N/A</v>
          </cell>
          <cell r="Z330" t="e">
            <v>#N/A</v>
          </cell>
          <cell r="AA330" t="e">
            <v>#N/A</v>
          </cell>
          <cell r="AB330" t="e">
            <v>#N/A</v>
          </cell>
          <cell r="AC330" t="e">
            <v>#N/A</v>
          </cell>
        </row>
        <row r="331">
          <cell r="A331" t="str">
            <v>ACMCIBD02</v>
          </cell>
          <cell r="B331">
            <v>9.4499999999999993</v>
          </cell>
          <cell r="C331">
            <v>35.340000000000003</v>
          </cell>
          <cell r="D331">
            <v>150.27000000000001</v>
          </cell>
          <cell r="E331">
            <v>150.33000000000001</v>
          </cell>
          <cell r="F331">
            <v>150.33000000000001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 t="e">
            <v>#N/A</v>
          </cell>
          <cell r="S331">
            <v>0</v>
          </cell>
          <cell r="T331" t="e">
            <v>#N/A</v>
          </cell>
          <cell r="U331" t="e">
            <v>#N/A</v>
          </cell>
          <cell r="V331" t="e">
            <v>#N/A</v>
          </cell>
          <cell r="W331" t="e">
            <v>#N/A</v>
          </cell>
          <cell r="X331" t="e">
            <v>#N/A</v>
          </cell>
          <cell r="Y331" t="e">
            <v>#N/A</v>
          </cell>
          <cell r="Z331" t="e">
            <v>#N/A</v>
          </cell>
          <cell r="AA331" t="e">
            <v>#N/A</v>
          </cell>
          <cell r="AB331" t="e">
            <v>#N/A</v>
          </cell>
          <cell r="AC331" t="e">
            <v>#N/A</v>
          </cell>
        </row>
        <row r="332">
          <cell r="A332" t="str">
            <v>ACMCIPR01</v>
          </cell>
          <cell r="B332">
            <v>0</v>
          </cell>
          <cell r="C332">
            <v>29.07</v>
          </cell>
          <cell r="D332">
            <v>0</v>
          </cell>
          <cell r="E332">
            <v>0</v>
          </cell>
          <cell r="F332">
            <v>15.42</v>
          </cell>
          <cell r="G332">
            <v>6.69</v>
          </cell>
          <cell r="H332">
            <v>46.48</v>
          </cell>
          <cell r="I332">
            <v>43.78</v>
          </cell>
          <cell r="J332">
            <v>22.64</v>
          </cell>
          <cell r="K332">
            <v>29.22</v>
          </cell>
          <cell r="L332">
            <v>100.19</v>
          </cell>
          <cell r="M332">
            <v>131.74</v>
          </cell>
          <cell r="N332">
            <v>137.49</v>
          </cell>
          <cell r="O332">
            <v>81.06</v>
          </cell>
          <cell r="P332">
            <v>73.17</v>
          </cell>
          <cell r="Q332">
            <v>64.5</v>
          </cell>
          <cell r="R332">
            <v>58.84</v>
          </cell>
          <cell r="S332">
            <v>51.82</v>
          </cell>
          <cell r="T332">
            <v>57.56</v>
          </cell>
          <cell r="U332">
            <v>57.34</v>
          </cell>
          <cell r="V332" t="e">
            <v>#N/A</v>
          </cell>
          <cell r="W332" t="e">
            <v>#N/A</v>
          </cell>
          <cell r="X332" t="e">
            <v>#N/A</v>
          </cell>
          <cell r="Y332" t="e">
            <v>#N/A</v>
          </cell>
          <cell r="Z332" t="e">
            <v>#N/A</v>
          </cell>
          <cell r="AA332" t="e">
            <v>#N/A</v>
          </cell>
          <cell r="AB332" t="e">
            <v>#N/A</v>
          </cell>
          <cell r="AC332" t="e">
            <v>#N/A</v>
          </cell>
        </row>
        <row r="333">
          <cell r="A333" t="str">
            <v>ACMCIPR02</v>
          </cell>
          <cell r="B333">
            <v>11.83</v>
          </cell>
          <cell r="C333">
            <v>10.83</v>
          </cell>
          <cell r="D333">
            <v>0</v>
          </cell>
          <cell r="E333">
            <v>0</v>
          </cell>
          <cell r="F333">
            <v>15.48</v>
          </cell>
          <cell r="G333">
            <v>4.71</v>
          </cell>
          <cell r="H333">
            <v>4.57</v>
          </cell>
          <cell r="I333">
            <v>4.88</v>
          </cell>
          <cell r="J333">
            <v>10.050000000000001</v>
          </cell>
          <cell r="K333">
            <v>17.649999999999999</v>
          </cell>
          <cell r="L333">
            <v>22.18</v>
          </cell>
          <cell r="M333">
            <v>23.77</v>
          </cell>
          <cell r="N333">
            <v>27.8</v>
          </cell>
          <cell r="O333">
            <v>0</v>
          </cell>
          <cell r="P333">
            <v>25.8</v>
          </cell>
          <cell r="Q333">
            <v>21.87</v>
          </cell>
          <cell r="R333">
            <v>23.7</v>
          </cell>
          <cell r="S333">
            <v>0</v>
          </cell>
          <cell r="T333" t="e">
            <v>#N/A</v>
          </cell>
          <cell r="U333" t="e">
            <v>#N/A</v>
          </cell>
          <cell r="V333" t="e">
            <v>#N/A</v>
          </cell>
          <cell r="W333" t="e">
            <v>#N/A</v>
          </cell>
          <cell r="X333" t="e">
            <v>#N/A</v>
          </cell>
          <cell r="Y333" t="e">
            <v>#N/A</v>
          </cell>
          <cell r="Z333" t="e">
            <v>#N/A</v>
          </cell>
          <cell r="AA333" t="e">
            <v>#N/A</v>
          </cell>
          <cell r="AB333" t="e">
            <v>#N/A</v>
          </cell>
          <cell r="AC333" t="e">
            <v>#N/A</v>
          </cell>
        </row>
        <row r="334">
          <cell r="A334" t="str">
            <v>ACMDAAP01</v>
          </cell>
          <cell r="B334">
            <v>24.74</v>
          </cell>
          <cell r="C334">
            <v>24.59</v>
          </cell>
          <cell r="D334">
            <v>24.34</v>
          </cell>
          <cell r="E334">
            <v>25.17</v>
          </cell>
          <cell r="F334">
            <v>59.83</v>
          </cell>
          <cell r="G334">
            <v>76.010000000000005</v>
          </cell>
          <cell r="H334">
            <v>117.83</v>
          </cell>
          <cell r="I334">
            <v>165.17</v>
          </cell>
          <cell r="J334">
            <v>152.91</v>
          </cell>
          <cell r="K334">
            <v>90.51</v>
          </cell>
          <cell r="L334">
            <v>38.409999999999997</v>
          </cell>
          <cell r="M334">
            <v>27.94</v>
          </cell>
          <cell r="N334">
            <v>31.15</v>
          </cell>
          <cell r="O334">
            <v>33.799999999999997</v>
          </cell>
          <cell r="P334">
            <v>33.630000000000003</v>
          </cell>
          <cell r="Q334">
            <v>35.9</v>
          </cell>
          <cell r="R334">
            <v>38.6</v>
          </cell>
          <cell r="S334">
            <v>42.41</v>
          </cell>
          <cell r="T334">
            <v>41.66</v>
          </cell>
          <cell r="U334">
            <v>45.77</v>
          </cell>
          <cell r="V334">
            <v>50.51</v>
          </cell>
          <cell r="W334">
            <v>48.43</v>
          </cell>
          <cell r="X334">
            <v>56.09</v>
          </cell>
          <cell r="Y334">
            <v>45.34</v>
          </cell>
          <cell r="Z334">
            <v>36.71</v>
          </cell>
          <cell r="AA334">
            <v>35.08</v>
          </cell>
          <cell r="AB334">
            <v>39.29</v>
          </cell>
          <cell r="AC334">
            <v>36.28</v>
          </cell>
        </row>
        <row r="335">
          <cell r="A335" t="str">
            <v>ACMDAAP01-2003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18.829999999999998</v>
          </cell>
          <cell r="G335">
            <v>17.09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 t="e">
            <v>#N/A</v>
          </cell>
          <cell r="S335">
            <v>0</v>
          </cell>
          <cell r="T335" t="e">
            <v>#N/A</v>
          </cell>
          <cell r="U335" t="e">
            <v>#N/A</v>
          </cell>
          <cell r="V335" t="e">
            <v>#N/A</v>
          </cell>
          <cell r="W335" t="e">
            <v>#N/A</v>
          </cell>
          <cell r="X335" t="e">
            <v>#N/A</v>
          </cell>
          <cell r="Y335" t="e">
            <v>#N/A</v>
          </cell>
          <cell r="Z335" t="e">
            <v>#N/A</v>
          </cell>
          <cell r="AA335" t="e">
            <v>#N/A</v>
          </cell>
          <cell r="AB335" t="e">
            <v>#N/A</v>
          </cell>
          <cell r="AC335" t="e">
            <v>#N/A</v>
          </cell>
        </row>
        <row r="336">
          <cell r="A336" t="str">
            <v>ACMDAAP02</v>
          </cell>
          <cell r="B336">
            <v>27.03</v>
          </cell>
          <cell r="C336">
            <v>13.46</v>
          </cell>
          <cell r="D336">
            <v>13.43</v>
          </cell>
          <cell r="E336">
            <v>13.43</v>
          </cell>
          <cell r="F336">
            <v>14.25</v>
          </cell>
          <cell r="G336">
            <v>13.96</v>
          </cell>
          <cell r="H336">
            <v>14.23</v>
          </cell>
          <cell r="I336">
            <v>14.43</v>
          </cell>
          <cell r="J336">
            <v>14.15</v>
          </cell>
          <cell r="K336">
            <v>13.92</v>
          </cell>
          <cell r="L336">
            <v>37.78</v>
          </cell>
          <cell r="M336">
            <v>15.18</v>
          </cell>
          <cell r="N336">
            <v>15.02</v>
          </cell>
          <cell r="O336">
            <v>13.95</v>
          </cell>
          <cell r="P336">
            <v>14.07</v>
          </cell>
          <cell r="Q336">
            <v>14.35</v>
          </cell>
          <cell r="R336">
            <v>14.29</v>
          </cell>
          <cell r="S336">
            <v>14.83</v>
          </cell>
          <cell r="T336">
            <v>16.11</v>
          </cell>
          <cell r="U336">
            <v>17.73</v>
          </cell>
          <cell r="V336">
            <v>17.600000000000001</v>
          </cell>
          <cell r="W336">
            <v>17.940000000000001</v>
          </cell>
          <cell r="X336">
            <v>17.25</v>
          </cell>
          <cell r="Y336">
            <v>16.41</v>
          </cell>
          <cell r="Z336">
            <v>16.28</v>
          </cell>
          <cell r="AA336">
            <v>16.690000000000001</v>
          </cell>
          <cell r="AB336">
            <v>16.12</v>
          </cell>
          <cell r="AC336">
            <v>15.49</v>
          </cell>
        </row>
        <row r="337">
          <cell r="A337" t="str">
            <v>ACMDAAP03</v>
          </cell>
          <cell r="B337">
            <v>0</v>
          </cell>
          <cell r="C337">
            <v>0</v>
          </cell>
          <cell r="D337">
            <v>0</v>
          </cell>
          <cell r="E337">
            <v>17.88</v>
          </cell>
          <cell r="F337">
            <v>46.32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 t="e">
            <v>#N/A</v>
          </cell>
          <cell r="S337">
            <v>0</v>
          </cell>
          <cell r="T337" t="e">
            <v>#N/A</v>
          </cell>
          <cell r="U337" t="e">
            <v>#N/A</v>
          </cell>
          <cell r="V337" t="e">
            <v>#N/A</v>
          </cell>
          <cell r="W337" t="e">
            <v>#N/A</v>
          </cell>
          <cell r="X337" t="e">
            <v>#N/A</v>
          </cell>
          <cell r="Y337" t="e">
            <v>#N/A</v>
          </cell>
          <cell r="Z337" t="e">
            <v>#N/A</v>
          </cell>
          <cell r="AA337" t="e">
            <v>#N/A</v>
          </cell>
          <cell r="AB337" t="e">
            <v>#N/A</v>
          </cell>
          <cell r="AC337" t="e">
            <v>#N/A</v>
          </cell>
        </row>
        <row r="338">
          <cell r="A338" t="str">
            <v>ACMDABD01</v>
          </cell>
          <cell r="B338">
            <v>38</v>
          </cell>
          <cell r="C338">
            <v>44.4</v>
          </cell>
          <cell r="D338">
            <v>42.1</v>
          </cell>
          <cell r="E338">
            <v>49.27</v>
          </cell>
          <cell r="F338">
            <v>47.68</v>
          </cell>
          <cell r="G338">
            <v>49.14</v>
          </cell>
          <cell r="H338">
            <v>50.52</v>
          </cell>
          <cell r="I338">
            <v>51.96</v>
          </cell>
          <cell r="J338">
            <v>51.78</v>
          </cell>
          <cell r="K338">
            <v>50.35</v>
          </cell>
          <cell r="L338">
            <v>55.11</v>
          </cell>
          <cell r="M338">
            <v>51.91</v>
          </cell>
          <cell r="N338">
            <v>57.13</v>
          </cell>
          <cell r="O338">
            <v>64.59</v>
          </cell>
          <cell r="P338">
            <v>54.42</v>
          </cell>
          <cell r="Q338">
            <v>65.790000000000006</v>
          </cell>
          <cell r="R338">
            <v>64.959999999999994</v>
          </cell>
          <cell r="S338">
            <v>63.94</v>
          </cell>
          <cell r="T338">
            <v>59.35</v>
          </cell>
          <cell r="U338">
            <v>68.52</v>
          </cell>
          <cell r="V338">
            <v>80.12</v>
          </cell>
          <cell r="W338">
            <v>63.51</v>
          </cell>
          <cell r="X338">
            <v>70.12</v>
          </cell>
          <cell r="Y338">
            <v>75.05</v>
          </cell>
          <cell r="Z338">
            <v>55.51</v>
          </cell>
          <cell r="AA338">
            <v>56.06</v>
          </cell>
          <cell r="AB338">
            <v>53.41</v>
          </cell>
          <cell r="AC338">
            <v>56.35</v>
          </cell>
        </row>
        <row r="339">
          <cell r="A339" t="str">
            <v>ACMDABD01 (1)</v>
          </cell>
          <cell r="B339">
            <v>0</v>
          </cell>
          <cell r="C339">
            <v>41.27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 t="e">
            <v>#N/A</v>
          </cell>
          <cell r="S339">
            <v>0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A339" t="e">
            <v>#N/A</v>
          </cell>
          <cell r="AB339" t="e">
            <v>#N/A</v>
          </cell>
          <cell r="AC339" t="e">
            <v>#N/A</v>
          </cell>
        </row>
        <row r="340">
          <cell r="A340" t="str">
            <v>ACMDABD01_DS4800</v>
          </cell>
          <cell r="B340">
            <v>56.82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 t="e">
            <v>#N/A</v>
          </cell>
          <cell r="S340">
            <v>0</v>
          </cell>
          <cell r="T340" t="e">
            <v>#N/A</v>
          </cell>
          <cell r="U340" t="e">
            <v>#N/A</v>
          </cell>
          <cell r="V340" t="e">
            <v>#N/A</v>
          </cell>
          <cell r="W340" t="e">
            <v>#N/A</v>
          </cell>
          <cell r="X340" t="e">
            <v>#N/A</v>
          </cell>
          <cell r="Y340" t="e">
            <v>#N/A</v>
          </cell>
          <cell r="Z340" t="e">
            <v>#N/A</v>
          </cell>
          <cell r="AA340" t="e">
            <v>#N/A</v>
          </cell>
          <cell r="AB340" t="e">
            <v>#N/A</v>
          </cell>
          <cell r="AC340" t="e">
            <v>#N/A</v>
          </cell>
        </row>
        <row r="341">
          <cell r="A341" t="str">
            <v>ACMDABD01_VIEJA</v>
          </cell>
          <cell r="B341">
            <v>0</v>
          </cell>
          <cell r="C341">
            <v>0</v>
          </cell>
          <cell r="D341">
            <v>0</v>
          </cell>
          <cell r="E341">
            <v>33.020000000000003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 t="e">
            <v>#N/A</v>
          </cell>
          <cell r="S341">
            <v>0</v>
          </cell>
          <cell r="T341" t="e">
            <v>#N/A</v>
          </cell>
          <cell r="U341" t="e">
            <v>#N/A</v>
          </cell>
          <cell r="V341" t="e">
            <v>#N/A</v>
          </cell>
          <cell r="W341" t="e">
            <v>#N/A</v>
          </cell>
          <cell r="X341" t="e">
            <v>#N/A</v>
          </cell>
          <cell r="Y341" t="e">
            <v>#N/A</v>
          </cell>
          <cell r="Z341" t="e">
            <v>#N/A</v>
          </cell>
          <cell r="AA341" t="e">
            <v>#N/A</v>
          </cell>
          <cell r="AB341" t="e">
            <v>#N/A</v>
          </cell>
          <cell r="AC341" t="e">
            <v>#N/A</v>
          </cell>
        </row>
        <row r="342">
          <cell r="A342" t="str">
            <v>ACMDABD01-2003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25.18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 t="e">
            <v>#N/A</v>
          </cell>
          <cell r="S342">
            <v>0</v>
          </cell>
          <cell r="T342" t="e">
            <v>#N/A</v>
          </cell>
          <cell r="U342" t="e">
            <v>#N/A</v>
          </cell>
          <cell r="V342" t="e">
            <v>#N/A</v>
          </cell>
          <cell r="W342" t="e">
            <v>#N/A</v>
          </cell>
          <cell r="X342" t="e">
            <v>#N/A</v>
          </cell>
          <cell r="Y342" t="e">
            <v>#N/A</v>
          </cell>
          <cell r="Z342" t="e">
            <v>#N/A</v>
          </cell>
          <cell r="AA342" t="e">
            <v>#N/A</v>
          </cell>
          <cell r="AB342" t="e">
            <v>#N/A</v>
          </cell>
          <cell r="AC342" t="e">
            <v>#N/A</v>
          </cell>
        </row>
        <row r="343">
          <cell r="A343" t="str">
            <v>ACMDABD02</v>
          </cell>
          <cell r="B343">
            <v>24.26</v>
          </cell>
          <cell r="C343">
            <v>12.31</v>
          </cell>
          <cell r="D343">
            <v>13.54</v>
          </cell>
          <cell r="E343">
            <v>13.37</v>
          </cell>
          <cell r="F343">
            <v>14.25</v>
          </cell>
          <cell r="G343">
            <v>13.95</v>
          </cell>
          <cell r="H343">
            <v>13.96</v>
          </cell>
          <cell r="I343">
            <v>14.13</v>
          </cell>
          <cell r="J343">
            <v>14.17</v>
          </cell>
          <cell r="K343">
            <v>14.17</v>
          </cell>
          <cell r="L343">
            <v>15.08</v>
          </cell>
          <cell r="M343">
            <v>15.26</v>
          </cell>
          <cell r="N343">
            <v>14.34</v>
          </cell>
          <cell r="O343">
            <v>14.46</v>
          </cell>
          <cell r="P343">
            <v>14.44</v>
          </cell>
          <cell r="Q343">
            <v>14.46</v>
          </cell>
          <cell r="R343">
            <v>14.88</v>
          </cell>
          <cell r="S343">
            <v>17.25</v>
          </cell>
          <cell r="T343">
            <v>15.84</v>
          </cell>
          <cell r="U343">
            <v>14.79</v>
          </cell>
          <cell r="V343">
            <v>15.81</v>
          </cell>
          <cell r="W343">
            <v>72.569999999999993</v>
          </cell>
          <cell r="X343">
            <v>15.52</v>
          </cell>
          <cell r="Y343">
            <v>14.71</v>
          </cell>
          <cell r="Z343">
            <v>14.75</v>
          </cell>
          <cell r="AA343">
            <v>14.57</v>
          </cell>
          <cell r="AB343">
            <v>14.73</v>
          </cell>
          <cell r="AC343">
            <v>15.08</v>
          </cell>
        </row>
        <row r="344">
          <cell r="A344" t="str">
            <v>ACMDABD03</v>
          </cell>
          <cell r="B344">
            <v>0</v>
          </cell>
          <cell r="C344">
            <v>0</v>
          </cell>
          <cell r="D344">
            <v>0</v>
          </cell>
          <cell r="E344">
            <v>18.39</v>
          </cell>
          <cell r="F344">
            <v>31.53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 t="e">
            <v>#N/A</v>
          </cell>
          <cell r="S344">
            <v>0</v>
          </cell>
          <cell r="T344" t="e">
            <v>#N/A</v>
          </cell>
          <cell r="U344" t="e">
            <v>#N/A</v>
          </cell>
          <cell r="V344" t="e">
            <v>#N/A</v>
          </cell>
          <cell r="W344" t="e">
            <v>#N/A</v>
          </cell>
          <cell r="X344" t="e">
            <v>#N/A</v>
          </cell>
          <cell r="Y344" t="e">
            <v>#N/A</v>
          </cell>
          <cell r="Z344" t="e">
            <v>#N/A</v>
          </cell>
          <cell r="AA344" t="e">
            <v>#N/A</v>
          </cell>
          <cell r="AB344" t="e">
            <v>#N/A</v>
          </cell>
          <cell r="AC344" t="e">
            <v>#N/A</v>
          </cell>
        </row>
        <row r="345">
          <cell r="A345" t="str">
            <v>ACMDIAP03</v>
          </cell>
          <cell r="B345">
            <v>66.900000000000006</v>
          </cell>
          <cell r="C345">
            <v>64.88</v>
          </cell>
          <cell r="D345">
            <v>54.32</v>
          </cell>
          <cell r="E345">
            <v>45.64</v>
          </cell>
          <cell r="F345">
            <v>52.28</v>
          </cell>
          <cell r="G345">
            <v>61.05</v>
          </cell>
          <cell r="H345">
            <v>17.850000000000001</v>
          </cell>
          <cell r="I345">
            <v>61.71</v>
          </cell>
          <cell r="J345">
            <v>62.22</v>
          </cell>
          <cell r="K345">
            <v>62.76</v>
          </cell>
          <cell r="L345">
            <v>62.66</v>
          </cell>
          <cell r="M345">
            <v>63.42</v>
          </cell>
          <cell r="N345">
            <v>64.63</v>
          </cell>
          <cell r="O345">
            <v>0</v>
          </cell>
          <cell r="P345">
            <v>0</v>
          </cell>
          <cell r="Q345">
            <v>0</v>
          </cell>
          <cell r="R345" t="e">
            <v>#N/A</v>
          </cell>
          <cell r="S345">
            <v>0</v>
          </cell>
          <cell r="T345">
            <v>25.24</v>
          </cell>
          <cell r="U345" t="e">
            <v>#N/A</v>
          </cell>
          <cell r="V345" t="e">
            <v>#N/A</v>
          </cell>
          <cell r="W345" t="e">
            <v>#N/A</v>
          </cell>
          <cell r="X345" t="e">
            <v>#N/A</v>
          </cell>
          <cell r="Y345" t="e">
            <v>#N/A</v>
          </cell>
          <cell r="Z345" t="e">
            <v>#N/A</v>
          </cell>
          <cell r="AA345" t="e">
            <v>#N/A</v>
          </cell>
          <cell r="AB345" t="e">
            <v>#N/A</v>
          </cell>
          <cell r="AC345" t="e">
            <v>#N/A</v>
          </cell>
        </row>
        <row r="346">
          <cell r="A346" t="str">
            <v>ACMDIAP03_CLONE</v>
          </cell>
          <cell r="B346">
            <v>0</v>
          </cell>
          <cell r="C346">
            <v>62.38</v>
          </cell>
          <cell r="D346">
            <v>56.85</v>
          </cell>
          <cell r="E346">
            <v>0</v>
          </cell>
          <cell r="F346">
            <v>22.94</v>
          </cell>
          <cell r="G346">
            <v>24.74</v>
          </cell>
          <cell r="H346">
            <v>63.5</v>
          </cell>
          <cell r="I346">
            <v>63.94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 t="e">
            <v>#N/A</v>
          </cell>
          <cell r="S346">
            <v>0</v>
          </cell>
          <cell r="T346" t="e">
            <v>#N/A</v>
          </cell>
          <cell r="U346" t="e">
            <v>#N/A</v>
          </cell>
          <cell r="V346" t="e">
            <v>#N/A</v>
          </cell>
          <cell r="W346" t="e">
            <v>#N/A</v>
          </cell>
          <cell r="X346" t="e">
            <v>#N/A</v>
          </cell>
          <cell r="Y346" t="e">
            <v>#N/A</v>
          </cell>
          <cell r="Z346" t="e">
            <v>#N/A</v>
          </cell>
          <cell r="AA346" t="e">
            <v>#N/A</v>
          </cell>
          <cell r="AB346" t="e">
            <v>#N/A</v>
          </cell>
          <cell r="AC346" t="e">
            <v>#N/A</v>
          </cell>
        </row>
        <row r="347">
          <cell r="A347" t="str">
            <v>ACMDIBD01</v>
          </cell>
          <cell r="B347">
            <v>0</v>
          </cell>
          <cell r="C347">
            <v>16</v>
          </cell>
          <cell r="D347">
            <v>0</v>
          </cell>
          <cell r="E347">
            <v>0</v>
          </cell>
          <cell r="F347">
            <v>17.21</v>
          </cell>
          <cell r="G347">
            <v>15.69</v>
          </cell>
          <cell r="H347">
            <v>20.62</v>
          </cell>
          <cell r="I347">
            <v>0</v>
          </cell>
          <cell r="J347">
            <v>28.79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 t="e">
            <v>#N/A</v>
          </cell>
          <cell r="S347">
            <v>0</v>
          </cell>
          <cell r="T347" t="e">
            <v>#N/A</v>
          </cell>
          <cell r="U347" t="e">
            <v>#N/A</v>
          </cell>
          <cell r="V347" t="e">
            <v>#N/A</v>
          </cell>
          <cell r="W347" t="e">
            <v>#N/A</v>
          </cell>
          <cell r="X347" t="e">
            <v>#N/A</v>
          </cell>
          <cell r="Y347" t="e">
            <v>#N/A</v>
          </cell>
          <cell r="Z347" t="e">
            <v>#N/A</v>
          </cell>
          <cell r="AA347" t="e">
            <v>#N/A</v>
          </cell>
          <cell r="AB347" t="e">
            <v>#N/A</v>
          </cell>
          <cell r="AC347" t="e">
            <v>#N/A</v>
          </cell>
        </row>
        <row r="348">
          <cell r="A348" t="str">
            <v>ACMDIBD02</v>
          </cell>
          <cell r="B348">
            <v>0</v>
          </cell>
          <cell r="C348">
            <v>14.96</v>
          </cell>
          <cell r="D348">
            <v>0</v>
          </cell>
          <cell r="E348">
            <v>0</v>
          </cell>
          <cell r="F348">
            <v>0</v>
          </cell>
          <cell r="G348">
            <v>20.239999999999998</v>
          </cell>
          <cell r="H348">
            <v>95.87</v>
          </cell>
          <cell r="I348">
            <v>0</v>
          </cell>
          <cell r="J348">
            <v>60.73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 t="e">
            <v>#N/A</v>
          </cell>
          <cell r="S348">
            <v>0</v>
          </cell>
          <cell r="T348" t="e">
            <v>#N/A</v>
          </cell>
          <cell r="U348" t="e">
            <v>#N/A</v>
          </cell>
          <cell r="V348" t="e">
            <v>#N/A</v>
          </cell>
          <cell r="W348">
            <v>16.850000000000001</v>
          </cell>
          <cell r="X348" t="e">
            <v>#N/A</v>
          </cell>
          <cell r="Y348" t="e">
            <v>#N/A</v>
          </cell>
          <cell r="Z348" t="e">
            <v>#N/A</v>
          </cell>
          <cell r="AA348" t="e">
            <v>#N/A</v>
          </cell>
          <cell r="AB348" t="e">
            <v>#N/A</v>
          </cell>
          <cell r="AC348" t="e">
            <v>#N/A</v>
          </cell>
        </row>
        <row r="349">
          <cell r="A349" t="str">
            <v>ACMDIBD03</v>
          </cell>
          <cell r="B349">
            <v>74.8</v>
          </cell>
          <cell r="C349">
            <v>66.03</v>
          </cell>
          <cell r="D349">
            <v>59.37</v>
          </cell>
          <cell r="E349">
            <v>60.28</v>
          </cell>
          <cell r="F349">
            <v>59.99</v>
          </cell>
          <cell r="G349">
            <v>59.37</v>
          </cell>
          <cell r="H349">
            <v>53.09</v>
          </cell>
          <cell r="I349">
            <v>53.83</v>
          </cell>
          <cell r="J349">
            <v>54.34</v>
          </cell>
          <cell r="K349">
            <v>53.61</v>
          </cell>
          <cell r="L349">
            <v>55.41</v>
          </cell>
          <cell r="M349">
            <v>55.94</v>
          </cell>
          <cell r="N349">
            <v>56.76</v>
          </cell>
          <cell r="O349">
            <v>0</v>
          </cell>
          <cell r="P349">
            <v>0</v>
          </cell>
          <cell r="Q349">
            <v>0</v>
          </cell>
          <cell r="R349" t="e">
            <v>#N/A</v>
          </cell>
          <cell r="S349">
            <v>0</v>
          </cell>
          <cell r="T349">
            <v>59.8</v>
          </cell>
          <cell r="U349" t="e">
            <v>#N/A</v>
          </cell>
          <cell r="V349" t="e">
            <v>#N/A</v>
          </cell>
          <cell r="W349" t="e">
            <v>#N/A</v>
          </cell>
          <cell r="X349" t="e">
            <v>#N/A</v>
          </cell>
          <cell r="Y349" t="e">
            <v>#N/A</v>
          </cell>
          <cell r="Z349" t="e">
            <v>#N/A</v>
          </cell>
          <cell r="AA349" t="e">
            <v>#N/A</v>
          </cell>
          <cell r="AB349" t="e">
            <v>#N/A</v>
          </cell>
          <cell r="AC349" t="e">
            <v>#N/A</v>
          </cell>
        </row>
        <row r="350">
          <cell r="A350" t="str">
            <v>ACMDIBD04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42.86</v>
          </cell>
          <cell r="N350">
            <v>60.43</v>
          </cell>
          <cell r="O350">
            <v>59.19</v>
          </cell>
          <cell r="P350">
            <v>60.87</v>
          </cell>
          <cell r="Q350">
            <v>66.41</v>
          </cell>
          <cell r="R350">
            <v>63.61</v>
          </cell>
          <cell r="S350">
            <v>57.5</v>
          </cell>
          <cell r="T350">
            <v>57.87</v>
          </cell>
          <cell r="U350">
            <v>65.900000000000006</v>
          </cell>
          <cell r="V350">
            <v>59.88</v>
          </cell>
          <cell r="W350">
            <v>57.26</v>
          </cell>
          <cell r="X350">
            <v>61.5</v>
          </cell>
          <cell r="Y350">
            <v>61.99</v>
          </cell>
          <cell r="Z350">
            <v>62.58</v>
          </cell>
          <cell r="AA350">
            <v>78.099999999999994</v>
          </cell>
          <cell r="AB350">
            <v>78.239999999999995</v>
          </cell>
          <cell r="AC350" t="e">
            <v>#N/A</v>
          </cell>
        </row>
        <row r="351">
          <cell r="A351" t="str">
            <v>ACMDIPR01</v>
          </cell>
          <cell r="B351">
            <v>0</v>
          </cell>
          <cell r="C351">
            <v>10.24</v>
          </cell>
          <cell r="D351">
            <v>0</v>
          </cell>
          <cell r="E351">
            <v>0</v>
          </cell>
          <cell r="F351">
            <v>15.21</v>
          </cell>
          <cell r="G351">
            <v>14.93</v>
          </cell>
          <cell r="H351">
            <v>21.2</v>
          </cell>
          <cell r="I351">
            <v>0</v>
          </cell>
          <cell r="J351">
            <v>30.11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 t="e">
            <v>#N/A</v>
          </cell>
          <cell r="S351">
            <v>0</v>
          </cell>
          <cell r="T351" t="e">
            <v>#N/A</v>
          </cell>
          <cell r="U351" t="e">
            <v>#N/A</v>
          </cell>
          <cell r="V351" t="e">
            <v>#N/A</v>
          </cell>
          <cell r="W351" t="e">
            <v>#N/A</v>
          </cell>
          <cell r="X351" t="e">
            <v>#N/A</v>
          </cell>
          <cell r="Y351" t="e">
            <v>#N/A</v>
          </cell>
          <cell r="Z351" t="e">
            <v>#N/A</v>
          </cell>
          <cell r="AA351" t="e">
            <v>#N/A</v>
          </cell>
          <cell r="AB351" t="e">
            <v>#N/A</v>
          </cell>
          <cell r="AC351" t="e">
            <v>#N/A</v>
          </cell>
        </row>
        <row r="352">
          <cell r="A352" t="str">
            <v>ACMDIPR01_PROD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46.25</v>
          </cell>
          <cell r="G352">
            <v>13.14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 t="e">
            <v>#N/A</v>
          </cell>
          <cell r="S352">
            <v>0</v>
          </cell>
          <cell r="T352" t="e">
            <v>#N/A</v>
          </cell>
          <cell r="U352" t="e">
            <v>#N/A</v>
          </cell>
          <cell r="V352" t="e">
            <v>#N/A</v>
          </cell>
          <cell r="W352" t="e">
            <v>#N/A</v>
          </cell>
          <cell r="X352" t="e">
            <v>#N/A</v>
          </cell>
          <cell r="Y352" t="e">
            <v>#N/A</v>
          </cell>
          <cell r="Z352" t="e">
            <v>#N/A</v>
          </cell>
          <cell r="AA352" t="e">
            <v>#N/A</v>
          </cell>
          <cell r="AB352" t="e">
            <v>#N/A</v>
          </cell>
          <cell r="AC352" t="e">
            <v>#N/A</v>
          </cell>
        </row>
        <row r="353">
          <cell r="A353" t="str">
            <v>ACMDIPR02</v>
          </cell>
          <cell r="B353">
            <v>0</v>
          </cell>
          <cell r="C353">
            <v>30.7</v>
          </cell>
          <cell r="D353">
            <v>0</v>
          </cell>
          <cell r="E353">
            <v>0</v>
          </cell>
          <cell r="F353">
            <v>0</v>
          </cell>
          <cell r="G353">
            <v>25.42</v>
          </cell>
          <cell r="H353">
            <v>29.59</v>
          </cell>
          <cell r="I353">
            <v>32.06</v>
          </cell>
          <cell r="J353">
            <v>88.53</v>
          </cell>
          <cell r="K353">
            <v>0</v>
          </cell>
          <cell r="L353">
            <v>0</v>
          </cell>
          <cell r="M353">
            <v>11.87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 t="e">
            <v>#N/A</v>
          </cell>
          <cell r="S353">
            <v>0</v>
          </cell>
          <cell r="T353" t="e">
            <v>#N/A</v>
          </cell>
          <cell r="U353" t="e">
            <v>#N/A</v>
          </cell>
          <cell r="V353" t="e">
            <v>#N/A</v>
          </cell>
          <cell r="W353" t="e">
            <v>#N/A</v>
          </cell>
          <cell r="X353" t="e">
            <v>#N/A</v>
          </cell>
          <cell r="Y353" t="e">
            <v>#N/A</v>
          </cell>
          <cell r="Z353" t="e">
            <v>#N/A</v>
          </cell>
          <cell r="AA353" t="e">
            <v>#N/A</v>
          </cell>
          <cell r="AB353" t="e">
            <v>#N/A</v>
          </cell>
          <cell r="AC353" t="e">
            <v>#N/A</v>
          </cell>
        </row>
        <row r="354">
          <cell r="A354" t="str">
            <v>ACMDIPR03</v>
          </cell>
          <cell r="B354">
            <v>13.77</v>
          </cell>
          <cell r="C354">
            <v>13.54</v>
          </cell>
          <cell r="D354">
            <v>34.409999999999997</v>
          </cell>
          <cell r="E354">
            <v>40.49</v>
          </cell>
          <cell r="F354">
            <v>28.2</v>
          </cell>
          <cell r="G354">
            <v>15.59</v>
          </cell>
          <cell r="H354">
            <v>14.22</v>
          </cell>
          <cell r="I354">
            <v>16.34</v>
          </cell>
          <cell r="J354">
            <v>17.29</v>
          </cell>
          <cell r="K354">
            <v>18.079999999999998</v>
          </cell>
          <cell r="L354">
            <v>18.73</v>
          </cell>
          <cell r="M354">
            <v>19.489999999999998</v>
          </cell>
          <cell r="N354">
            <v>23.29</v>
          </cell>
          <cell r="O354">
            <v>0</v>
          </cell>
          <cell r="P354">
            <v>0</v>
          </cell>
          <cell r="Q354">
            <v>0</v>
          </cell>
          <cell r="R354" t="e">
            <v>#N/A</v>
          </cell>
          <cell r="S354">
            <v>0</v>
          </cell>
          <cell r="T354">
            <v>86.81</v>
          </cell>
          <cell r="U354">
            <v>87.43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A354" t="e">
            <v>#N/A</v>
          </cell>
          <cell r="AB354" t="e">
            <v>#N/A</v>
          </cell>
          <cell r="AC354" t="e">
            <v>#N/A</v>
          </cell>
        </row>
        <row r="355">
          <cell r="A355" t="str">
            <v>ACMDIPR04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35.200000000000003</v>
          </cell>
          <cell r="N355">
            <v>40.74</v>
          </cell>
          <cell r="O355">
            <v>37.67</v>
          </cell>
          <cell r="P355">
            <v>33.14</v>
          </cell>
          <cell r="Q355">
            <v>40.21</v>
          </cell>
          <cell r="R355">
            <v>40.409999999999997</v>
          </cell>
          <cell r="S355">
            <v>35.090000000000003</v>
          </cell>
          <cell r="T355">
            <v>40.869999999999997</v>
          </cell>
          <cell r="U355">
            <v>38.71</v>
          </cell>
          <cell r="V355">
            <v>39.729999999999997</v>
          </cell>
          <cell r="W355">
            <v>36.409999999999997</v>
          </cell>
          <cell r="X355">
            <v>41.29</v>
          </cell>
          <cell r="Y355">
            <v>41.35</v>
          </cell>
          <cell r="Z355">
            <v>41.44</v>
          </cell>
          <cell r="AA355">
            <v>78.83</v>
          </cell>
          <cell r="AB355">
            <v>78.239999999999995</v>
          </cell>
          <cell r="AC355" t="e">
            <v>#N/A</v>
          </cell>
        </row>
        <row r="356">
          <cell r="A356" t="str">
            <v>ACMDPAP01</v>
          </cell>
          <cell r="B356">
            <v>19.54</v>
          </cell>
          <cell r="C356">
            <v>22.28</v>
          </cell>
          <cell r="D356">
            <v>20.190000000000001</v>
          </cell>
          <cell r="E356">
            <v>19.739999999999998</v>
          </cell>
          <cell r="F356">
            <v>19.53</v>
          </cell>
          <cell r="G356">
            <v>20.170000000000002</v>
          </cell>
          <cell r="H356">
            <v>21.09</v>
          </cell>
          <cell r="I356">
            <v>22.35</v>
          </cell>
          <cell r="J356">
            <v>21.48</v>
          </cell>
          <cell r="K356">
            <v>23.75</v>
          </cell>
          <cell r="L356">
            <v>24.58</v>
          </cell>
          <cell r="M356">
            <v>20.96</v>
          </cell>
          <cell r="N356">
            <v>22.75</v>
          </cell>
          <cell r="O356">
            <v>22.06</v>
          </cell>
          <cell r="P356">
            <v>22.22</v>
          </cell>
          <cell r="Q356">
            <v>21.58</v>
          </cell>
          <cell r="R356">
            <v>20.62</v>
          </cell>
          <cell r="S356">
            <v>21.58</v>
          </cell>
          <cell r="T356">
            <v>22.81</v>
          </cell>
          <cell r="U356">
            <v>23.28</v>
          </cell>
          <cell r="V356">
            <v>21.1</v>
          </cell>
          <cell r="W356">
            <v>20.97</v>
          </cell>
          <cell r="X356">
            <v>20.73</v>
          </cell>
          <cell r="Y356">
            <v>19.760000000000002</v>
          </cell>
          <cell r="Z356">
            <v>22.06</v>
          </cell>
          <cell r="AA356">
            <v>24.17</v>
          </cell>
          <cell r="AB356">
            <v>28.14</v>
          </cell>
          <cell r="AC356">
            <v>29.13</v>
          </cell>
        </row>
        <row r="357">
          <cell r="A357" t="str">
            <v>ACMDPAP04</v>
          </cell>
          <cell r="B357">
            <v>14.92</v>
          </cell>
          <cell r="C357">
            <v>15.21</v>
          </cell>
          <cell r="D357">
            <v>15.05</v>
          </cell>
          <cell r="E357">
            <v>13.46</v>
          </cell>
          <cell r="F357">
            <v>15.89</v>
          </cell>
          <cell r="G357">
            <v>15.89</v>
          </cell>
          <cell r="H357">
            <v>16.73</v>
          </cell>
          <cell r="I357">
            <v>17.86</v>
          </cell>
          <cell r="J357">
            <v>18.47</v>
          </cell>
          <cell r="K357">
            <v>24.36</v>
          </cell>
          <cell r="L357">
            <v>27.16</v>
          </cell>
          <cell r="M357">
            <v>28.53</v>
          </cell>
          <cell r="N357">
            <v>29.28</v>
          </cell>
          <cell r="O357">
            <v>28.86</v>
          </cell>
          <cell r="P357">
            <v>25.66</v>
          </cell>
          <cell r="Q357">
            <v>25.61</v>
          </cell>
          <cell r="R357">
            <v>27.29</v>
          </cell>
          <cell r="S357">
            <v>26.15</v>
          </cell>
          <cell r="T357">
            <v>26.98</v>
          </cell>
          <cell r="U357">
            <v>33.770000000000003</v>
          </cell>
          <cell r="V357">
            <v>38.229999999999997</v>
          </cell>
          <cell r="W357">
            <v>36.880000000000003</v>
          </cell>
          <cell r="X357">
            <v>40.17</v>
          </cell>
          <cell r="Y357">
            <v>40.619999999999997</v>
          </cell>
          <cell r="Z357">
            <v>47.26</v>
          </cell>
          <cell r="AA357">
            <v>65.36</v>
          </cell>
          <cell r="AB357">
            <v>61.94</v>
          </cell>
          <cell r="AC357">
            <v>65.569999999999993</v>
          </cell>
        </row>
        <row r="358">
          <cell r="A358" t="str">
            <v>ACMDPAP05</v>
          </cell>
          <cell r="B358">
            <v>17.079999999999998</v>
          </cell>
          <cell r="C358">
            <v>25.31</v>
          </cell>
          <cell r="D358">
            <v>26.65</v>
          </cell>
          <cell r="E358">
            <v>22.28</v>
          </cell>
          <cell r="F358">
            <v>43.15</v>
          </cell>
          <cell r="G358">
            <v>43.72</v>
          </cell>
          <cell r="H358">
            <v>45.03</v>
          </cell>
          <cell r="I358">
            <v>45.07</v>
          </cell>
          <cell r="J358">
            <v>43.85</v>
          </cell>
          <cell r="K358">
            <v>44.6</v>
          </cell>
          <cell r="L358">
            <v>43.47</v>
          </cell>
          <cell r="M358">
            <v>42.15</v>
          </cell>
          <cell r="N358">
            <v>44.26</v>
          </cell>
          <cell r="O358">
            <v>43.56</v>
          </cell>
          <cell r="P358">
            <v>41.03</v>
          </cell>
          <cell r="Q358">
            <v>40.44</v>
          </cell>
          <cell r="R358">
            <v>38.450000000000003</v>
          </cell>
          <cell r="S358">
            <v>37.020000000000003</v>
          </cell>
          <cell r="T358">
            <v>31.23</v>
          </cell>
          <cell r="U358">
            <v>31.7</v>
          </cell>
          <cell r="V358">
            <v>29.22</v>
          </cell>
          <cell r="W358">
            <v>87.53</v>
          </cell>
          <cell r="X358">
            <v>23.85</v>
          </cell>
          <cell r="Y358">
            <v>81.55</v>
          </cell>
          <cell r="Z358" t="e">
            <v>#N/A</v>
          </cell>
          <cell r="AA358">
            <v>91.16</v>
          </cell>
          <cell r="AB358" t="e">
            <v>#N/A</v>
          </cell>
          <cell r="AC358" t="e">
            <v>#N/A</v>
          </cell>
        </row>
        <row r="359">
          <cell r="A359" t="str">
            <v>ACMDPAP06</v>
          </cell>
          <cell r="B359">
            <v>11.4</v>
          </cell>
          <cell r="C359">
            <v>13.88</v>
          </cell>
          <cell r="D359">
            <v>12.28</v>
          </cell>
          <cell r="E359">
            <v>11.52</v>
          </cell>
          <cell r="F359">
            <v>13.6</v>
          </cell>
          <cell r="G359">
            <v>14.64</v>
          </cell>
          <cell r="H359">
            <v>14.37</v>
          </cell>
          <cell r="I359">
            <v>14.79</v>
          </cell>
          <cell r="J359">
            <v>14.41</v>
          </cell>
          <cell r="K359">
            <v>14.68</v>
          </cell>
          <cell r="L359">
            <v>15.32</v>
          </cell>
          <cell r="M359">
            <v>15.55</v>
          </cell>
          <cell r="N359">
            <v>17.8</v>
          </cell>
          <cell r="O359">
            <v>16.940000000000001</v>
          </cell>
          <cell r="P359">
            <v>14.62</v>
          </cell>
          <cell r="Q359">
            <v>13.99</v>
          </cell>
          <cell r="R359">
            <v>14.13</v>
          </cell>
          <cell r="S359">
            <v>14.48</v>
          </cell>
          <cell r="T359">
            <v>14.27</v>
          </cell>
          <cell r="U359">
            <v>15.17</v>
          </cell>
          <cell r="V359">
            <v>14.05</v>
          </cell>
          <cell r="W359">
            <v>13.2</v>
          </cell>
          <cell r="X359">
            <v>13.43</v>
          </cell>
          <cell r="Y359">
            <v>13.94</v>
          </cell>
          <cell r="Z359">
            <v>19</v>
          </cell>
          <cell r="AA359">
            <v>20.22</v>
          </cell>
          <cell r="AB359">
            <v>20.05</v>
          </cell>
          <cell r="AC359">
            <v>19.95</v>
          </cell>
        </row>
        <row r="360">
          <cell r="A360" t="str">
            <v>ACMDPAP07</v>
          </cell>
          <cell r="B360">
            <v>18.16</v>
          </cell>
          <cell r="C360">
            <v>19.510000000000002</v>
          </cell>
          <cell r="D360">
            <v>26.84</v>
          </cell>
          <cell r="E360">
            <v>29.01</v>
          </cell>
          <cell r="F360">
            <v>61.29</v>
          </cell>
          <cell r="G360">
            <v>65.94</v>
          </cell>
          <cell r="H360">
            <v>64.53</v>
          </cell>
          <cell r="I360">
            <v>62.52</v>
          </cell>
          <cell r="J360">
            <v>63.97</v>
          </cell>
          <cell r="K360">
            <v>65.959999999999994</v>
          </cell>
          <cell r="L360">
            <v>67.25</v>
          </cell>
          <cell r="M360">
            <v>70.97</v>
          </cell>
          <cell r="N360">
            <v>71.97</v>
          </cell>
          <cell r="O360">
            <v>73.34</v>
          </cell>
          <cell r="P360">
            <v>73.239999999999995</v>
          </cell>
          <cell r="Q360">
            <v>71.489999999999995</v>
          </cell>
          <cell r="R360">
            <v>71.510000000000005</v>
          </cell>
          <cell r="S360">
            <v>72.349999999999994</v>
          </cell>
          <cell r="T360">
            <v>72.36</v>
          </cell>
          <cell r="U360">
            <v>61.2</v>
          </cell>
          <cell r="V360">
            <v>62.41</v>
          </cell>
          <cell r="W360">
            <v>50.9</v>
          </cell>
          <cell r="X360">
            <v>60.2</v>
          </cell>
          <cell r="Y360">
            <v>230.19</v>
          </cell>
          <cell r="Z360">
            <v>306.88</v>
          </cell>
          <cell r="AA360">
            <v>313.36</v>
          </cell>
          <cell r="AB360">
            <v>314.37</v>
          </cell>
          <cell r="AC360">
            <v>314.57</v>
          </cell>
        </row>
        <row r="361">
          <cell r="A361" t="str">
            <v>ACMDPAP08</v>
          </cell>
          <cell r="B361">
            <v>0</v>
          </cell>
          <cell r="C361">
            <v>14.35</v>
          </cell>
          <cell r="D361">
            <v>12.57</v>
          </cell>
          <cell r="E361">
            <v>12.52</v>
          </cell>
          <cell r="F361">
            <v>13.38</v>
          </cell>
          <cell r="G361">
            <v>15.08</v>
          </cell>
          <cell r="H361">
            <v>14.59</v>
          </cell>
          <cell r="I361">
            <v>14.1</v>
          </cell>
          <cell r="J361">
            <v>14.78</v>
          </cell>
          <cell r="K361">
            <v>17.510000000000002</v>
          </cell>
          <cell r="L361">
            <v>14.11</v>
          </cell>
          <cell r="M361">
            <v>0</v>
          </cell>
          <cell r="N361">
            <v>0</v>
          </cell>
          <cell r="O361">
            <v>0</v>
          </cell>
          <cell r="P361">
            <v>11.47</v>
          </cell>
          <cell r="Q361">
            <v>12.51</v>
          </cell>
          <cell r="R361">
            <v>12.4</v>
          </cell>
          <cell r="S361">
            <v>12.23</v>
          </cell>
          <cell r="T361">
            <v>13</v>
          </cell>
          <cell r="U361">
            <v>13.52</v>
          </cell>
          <cell r="V361">
            <v>13.39</v>
          </cell>
          <cell r="W361">
            <v>10.63</v>
          </cell>
          <cell r="X361">
            <v>12.99</v>
          </cell>
          <cell r="Y361">
            <v>12.89</v>
          </cell>
          <cell r="Z361">
            <v>15.61</v>
          </cell>
          <cell r="AA361">
            <v>19.82</v>
          </cell>
          <cell r="AB361">
            <v>19.38</v>
          </cell>
          <cell r="AC361">
            <v>19.57</v>
          </cell>
        </row>
        <row r="362">
          <cell r="A362" t="str">
            <v>ACMDPAP09</v>
          </cell>
          <cell r="B362">
            <v>0</v>
          </cell>
          <cell r="C362">
            <v>16.11</v>
          </cell>
          <cell r="D362">
            <v>15.34</v>
          </cell>
          <cell r="E362">
            <v>11.75</v>
          </cell>
          <cell r="F362">
            <v>11.93</v>
          </cell>
          <cell r="G362">
            <v>11.86</v>
          </cell>
          <cell r="H362">
            <v>10.98</v>
          </cell>
          <cell r="I362">
            <v>12.19</v>
          </cell>
          <cell r="J362">
            <v>12.69</v>
          </cell>
          <cell r="K362">
            <v>12.48</v>
          </cell>
          <cell r="L362">
            <v>14.54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 t="e">
            <v>#N/A</v>
          </cell>
          <cell r="S362">
            <v>0</v>
          </cell>
          <cell r="T362" t="e">
            <v>#N/A</v>
          </cell>
          <cell r="U362" t="e">
            <v>#N/A</v>
          </cell>
          <cell r="V362" t="e">
            <v>#N/A</v>
          </cell>
          <cell r="W362" t="e">
            <v>#N/A</v>
          </cell>
          <cell r="X362" t="e">
            <v>#N/A</v>
          </cell>
          <cell r="Y362" t="e">
            <v>#N/A</v>
          </cell>
          <cell r="Z362" t="e">
            <v>#N/A</v>
          </cell>
          <cell r="AA362" t="e">
            <v>#N/A</v>
          </cell>
          <cell r="AB362" t="e">
            <v>#N/A</v>
          </cell>
          <cell r="AC362" t="e">
            <v>#N/A</v>
          </cell>
        </row>
        <row r="363">
          <cell r="A363" t="str">
            <v>ACMDPAP10</v>
          </cell>
          <cell r="B363">
            <v>45.32</v>
          </cell>
          <cell r="C363">
            <v>58.05</v>
          </cell>
          <cell r="D363">
            <v>108.22</v>
          </cell>
          <cell r="E363">
            <v>104.74</v>
          </cell>
          <cell r="F363">
            <v>70.290000000000006</v>
          </cell>
          <cell r="G363">
            <v>80.45</v>
          </cell>
          <cell r="H363">
            <v>88.15</v>
          </cell>
          <cell r="I363">
            <v>97.11</v>
          </cell>
          <cell r="J363">
            <v>91.6</v>
          </cell>
          <cell r="K363">
            <v>95.26</v>
          </cell>
          <cell r="L363">
            <v>90.34</v>
          </cell>
          <cell r="M363">
            <v>78.319999999999993</v>
          </cell>
          <cell r="N363">
            <v>80.58</v>
          </cell>
          <cell r="O363">
            <v>96.04</v>
          </cell>
          <cell r="P363">
            <v>117.15</v>
          </cell>
          <cell r="Q363">
            <v>126.79</v>
          </cell>
          <cell r="R363">
            <v>126.05</v>
          </cell>
          <cell r="S363">
            <v>114.46</v>
          </cell>
          <cell r="T363">
            <v>112.91</v>
          </cell>
          <cell r="U363">
            <v>103.58</v>
          </cell>
          <cell r="V363">
            <v>149.88999999999999</v>
          </cell>
          <cell r="W363">
            <v>120.21</v>
          </cell>
          <cell r="X363">
            <v>153.28</v>
          </cell>
          <cell r="Y363">
            <v>165.69</v>
          </cell>
          <cell r="Z363">
            <v>161.19</v>
          </cell>
          <cell r="AA363">
            <v>240.25</v>
          </cell>
          <cell r="AB363">
            <v>266.95</v>
          </cell>
          <cell r="AC363">
            <v>250.78</v>
          </cell>
        </row>
        <row r="364">
          <cell r="A364" t="str">
            <v>ACMDPAP11</v>
          </cell>
          <cell r="B364">
            <v>16.399999999999999</v>
          </cell>
          <cell r="C364">
            <v>21.95</v>
          </cell>
          <cell r="D364">
            <v>18.54</v>
          </cell>
          <cell r="E364">
            <v>15.17</v>
          </cell>
          <cell r="F364">
            <v>14.59</v>
          </cell>
          <cell r="G364">
            <v>14.42</v>
          </cell>
          <cell r="H364">
            <v>14.75</v>
          </cell>
          <cell r="I364">
            <v>15.61</v>
          </cell>
          <cell r="J364">
            <v>17.329999999999998</v>
          </cell>
          <cell r="K364">
            <v>16.72</v>
          </cell>
          <cell r="L364">
            <v>19.3</v>
          </cell>
          <cell r="M364">
            <v>21.86</v>
          </cell>
          <cell r="N364">
            <v>22.83</v>
          </cell>
          <cell r="O364">
            <v>23.44</v>
          </cell>
          <cell r="P364">
            <v>23.22</v>
          </cell>
          <cell r="Q364">
            <v>26.52</v>
          </cell>
          <cell r="R364">
            <v>31.31</v>
          </cell>
          <cell r="S364">
            <v>33.06</v>
          </cell>
          <cell r="T364">
            <v>22.05</v>
          </cell>
          <cell r="U364">
            <v>20.12</v>
          </cell>
          <cell r="V364">
            <v>23.03</v>
          </cell>
          <cell r="W364">
            <v>19.329999999999998</v>
          </cell>
          <cell r="X364">
            <v>21.61</v>
          </cell>
          <cell r="Y364">
            <v>21.41</v>
          </cell>
          <cell r="Z364">
            <v>23.16</v>
          </cell>
          <cell r="AA364">
            <v>53.7</v>
          </cell>
          <cell r="AB364">
            <v>56.27</v>
          </cell>
          <cell r="AC364">
            <v>57.35</v>
          </cell>
        </row>
        <row r="365">
          <cell r="A365" t="str">
            <v>ACMDPAP12</v>
          </cell>
          <cell r="B365">
            <v>0</v>
          </cell>
          <cell r="C365">
            <v>0</v>
          </cell>
          <cell r="D365">
            <v>77.12</v>
          </cell>
          <cell r="E365">
            <v>23.48</v>
          </cell>
          <cell r="F365">
            <v>133.81</v>
          </cell>
          <cell r="G365">
            <v>157.41999999999999</v>
          </cell>
          <cell r="H365">
            <v>180.16</v>
          </cell>
          <cell r="I365">
            <v>206.97</v>
          </cell>
          <cell r="J365">
            <v>226.15</v>
          </cell>
          <cell r="K365">
            <v>234.41</v>
          </cell>
          <cell r="L365">
            <v>201.66</v>
          </cell>
          <cell r="M365">
            <v>175.17</v>
          </cell>
          <cell r="N365">
            <v>203.2</v>
          </cell>
          <cell r="O365">
            <v>206.41</v>
          </cell>
          <cell r="P365">
            <v>225.73</v>
          </cell>
          <cell r="Q365">
            <v>225.41</v>
          </cell>
          <cell r="R365">
            <v>215.39</v>
          </cell>
          <cell r="S365">
            <v>174.96</v>
          </cell>
          <cell r="T365">
            <v>225.28</v>
          </cell>
          <cell r="U365">
            <v>210.96</v>
          </cell>
          <cell r="V365">
            <v>138.93</v>
          </cell>
          <cell r="W365">
            <v>155.11000000000001</v>
          </cell>
          <cell r="X365">
            <v>222.59</v>
          </cell>
          <cell r="Y365">
            <v>214.86</v>
          </cell>
          <cell r="Z365">
            <v>218.2</v>
          </cell>
          <cell r="AA365">
            <v>230.12</v>
          </cell>
          <cell r="AB365">
            <v>277.19</v>
          </cell>
          <cell r="AC365">
            <v>310.86</v>
          </cell>
        </row>
        <row r="366">
          <cell r="A366" t="str">
            <v>ACMDPAP12_NEW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169.67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 t="e">
            <v>#N/A</v>
          </cell>
          <cell r="S366">
            <v>0</v>
          </cell>
          <cell r="T366" t="e">
            <v>#N/A</v>
          </cell>
          <cell r="U366" t="e">
            <v>#N/A</v>
          </cell>
          <cell r="V366" t="e">
            <v>#N/A</v>
          </cell>
          <cell r="W366" t="e">
            <v>#N/A</v>
          </cell>
          <cell r="X366" t="e">
            <v>#N/A</v>
          </cell>
          <cell r="Y366" t="e">
            <v>#N/A</v>
          </cell>
          <cell r="Z366" t="e">
            <v>#N/A</v>
          </cell>
          <cell r="AA366" t="e">
            <v>#N/A</v>
          </cell>
          <cell r="AB366" t="e">
            <v>#N/A</v>
          </cell>
          <cell r="AC366" t="e">
            <v>#N/A</v>
          </cell>
        </row>
        <row r="367">
          <cell r="A367" t="str">
            <v>ACMDPAP12_VIEJA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55.92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 t="e">
            <v>#N/A</v>
          </cell>
          <cell r="S367">
            <v>0</v>
          </cell>
          <cell r="T367" t="e">
            <v>#N/A</v>
          </cell>
          <cell r="U367" t="e">
            <v>#N/A</v>
          </cell>
          <cell r="V367" t="e">
            <v>#N/A</v>
          </cell>
          <cell r="W367" t="e">
            <v>#N/A</v>
          </cell>
          <cell r="X367" t="e">
            <v>#N/A</v>
          </cell>
          <cell r="Y367" t="e">
            <v>#N/A</v>
          </cell>
          <cell r="Z367" t="e">
            <v>#N/A</v>
          </cell>
          <cell r="AA367" t="e">
            <v>#N/A</v>
          </cell>
          <cell r="AB367" t="e">
            <v>#N/A</v>
          </cell>
          <cell r="AC367" t="e">
            <v>#N/A</v>
          </cell>
        </row>
        <row r="368">
          <cell r="A368" t="str">
            <v>ACMDPBD01</v>
          </cell>
          <cell r="B368">
            <v>380.35</v>
          </cell>
          <cell r="C368">
            <v>389</v>
          </cell>
          <cell r="D368">
            <v>361.51</v>
          </cell>
          <cell r="E368">
            <v>394.79</v>
          </cell>
          <cell r="F368">
            <v>363.62</v>
          </cell>
          <cell r="G368">
            <v>359.78</v>
          </cell>
          <cell r="H368">
            <v>384.23</v>
          </cell>
          <cell r="I368">
            <v>361.92</v>
          </cell>
          <cell r="J368">
            <v>355.12</v>
          </cell>
          <cell r="K368">
            <v>345.76</v>
          </cell>
          <cell r="L368">
            <v>352.75</v>
          </cell>
          <cell r="M368">
            <v>334.78</v>
          </cell>
          <cell r="N368">
            <v>342.57</v>
          </cell>
          <cell r="O368">
            <v>366.92</v>
          </cell>
          <cell r="P368">
            <v>372.68</v>
          </cell>
          <cell r="Q368">
            <v>391.44</v>
          </cell>
          <cell r="R368">
            <v>365.93</v>
          </cell>
          <cell r="S368">
            <v>366.76</v>
          </cell>
          <cell r="T368">
            <v>398.63</v>
          </cell>
          <cell r="U368">
            <v>387.39</v>
          </cell>
          <cell r="V368">
            <v>366.3</v>
          </cell>
          <cell r="W368">
            <v>378.22</v>
          </cell>
          <cell r="X368">
            <v>382.31</v>
          </cell>
          <cell r="Y368">
            <v>323.8</v>
          </cell>
          <cell r="Z368">
            <v>359.52</v>
          </cell>
          <cell r="AA368">
            <v>374.98</v>
          </cell>
          <cell r="AB368">
            <v>342.41</v>
          </cell>
          <cell r="AC368">
            <v>381.91</v>
          </cell>
        </row>
        <row r="369">
          <cell r="A369" t="str">
            <v>ACMDPBD02</v>
          </cell>
          <cell r="B369">
            <v>40.14</v>
          </cell>
          <cell r="C369">
            <v>44.9</v>
          </cell>
          <cell r="D369">
            <v>41.91</v>
          </cell>
          <cell r="E369">
            <v>43.72</v>
          </cell>
          <cell r="F369">
            <v>44.52</v>
          </cell>
          <cell r="G369">
            <v>45.16</v>
          </cell>
          <cell r="H369">
            <v>47.56</v>
          </cell>
          <cell r="I369">
            <v>47.44</v>
          </cell>
          <cell r="J369">
            <v>47</v>
          </cell>
          <cell r="K369">
            <v>51.56</v>
          </cell>
          <cell r="L369">
            <v>51.51</v>
          </cell>
          <cell r="M369">
            <v>48.6</v>
          </cell>
          <cell r="N369">
            <v>50.51</v>
          </cell>
          <cell r="O369">
            <v>52.14</v>
          </cell>
          <cell r="P369">
            <v>53.85</v>
          </cell>
          <cell r="Q369">
            <v>50.94</v>
          </cell>
          <cell r="R369">
            <v>53.69</v>
          </cell>
          <cell r="S369">
            <v>51.79</v>
          </cell>
          <cell r="T369">
            <v>54.94</v>
          </cell>
          <cell r="U369">
            <v>67.760000000000005</v>
          </cell>
          <cell r="V369">
            <v>84.1</v>
          </cell>
          <cell r="W369">
            <v>78.400000000000006</v>
          </cell>
          <cell r="X369">
            <v>81.31</v>
          </cell>
          <cell r="Y369">
            <v>72.260000000000005</v>
          </cell>
          <cell r="Z369">
            <v>84.23</v>
          </cell>
          <cell r="AA369">
            <v>95.23</v>
          </cell>
          <cell r="AB369">
            <v>94.37</v>
          </cell>
          <cell r="AC369">
            <v>95.95</v>
          </cell>
        </row>
        <row r="370">
          <cell r="A370" t="str">
            <v>ACMDPBD03</v>
          </cell>
          <cell r="B370">
            <v>49.02</v>
          </cell>
          <cell r="C370">
            <v>44.92</v>
          </cell>
          <cell r="D370">
            <v>34.9</v>
          </cell>
          <cell r="E370">
            <v>46.31</v>
          </cell>
          <cell r="F370">
            <v>61.09</v>
          </cell>
          <cell r="G370">
            <v>67.430000000000007</v>
          </cell>
          <cell r="H370">
            <v>67.180000000000007</v>
          </cell>
          <cell r="I370">
            <v>64.95</v>
          </cell>
          <cell r="J370">
            <v>84.8</v>
          </cell>
          <cell r="K370">
            <v>56.08</v>
          </cell>
          <cell r="L370">
            <v>54.32</v>
          </cell>
          <cell r="M370">
            <v>60.38</v>
          </cell>
          <cell r="N370">
            <v>64.13</v>
          </cell>
          <cell r="O370">
            <v>56.06</v>
          </cell>
          <cell r="P370">
            <v>50.09</v>
          </cell>
          <cell r="Q370">
            <v>94.72</v>
          </cell>
          <cell r="R370">
            <v>90.81</v>
          </cell>
          <cell r="S370">
            <v>80.64</v>
          </cell>
          <cell r="T370">
            <v>100.63</v>
          </cell>
          <cell r="U370">
            <v>91.69</v>
          </cell>
          <cell r="V370">
            <v>79.72</v>
          </cell>
          <cell r="W370">
            <v>62.15</v>
          </cell>
          <cell r="X370">
            <v>74.069999999999993</v>
          </cell>
          <cell r="Y370">
            <v>95</v>
          </cell>
          <cell r="Z370">
            <v>114.56</v>
          </cell>
          <cell r="AA370">
            <v>229.35</v>
          </cell>
          <cell r="AB370">
            <v>229.36</v>
          </cell>
          <cell r="AC370">
            <v>230.98</v>
          </cell>
        </row>
        <row r="371">
          <cell r="A371" t="str">
            <v>ACMDPBD04</v>
          </cell>
          <cell r="B371">
            <v>41.95</v>
          </cell>
          <cell r="C371">
            <v>41.45</v>
          </cell>
          <cell r="D371">
            <v>40.909999999999997</v>
          </cell>
          <cell r="E371">
            <v>36.79</v>
          </cell>
          <cell r="F371">
            <v>41.64</v>
          </cell>
          <cell r="G371">
            <v>40.409999999999997</v>
          </cell>
          <cell r="H371">
            <v>45.63</v>
          </cell>
          <cell r="I371">
            <v>39.03</v>
          </cell>
          <cell r="J371">
            <v>25.77</v>
          </cell>
          <cell r="K371">
            <v>26.58</v>
          </cell>
          <cell r="L371">
            <v>31.39</v>
          </cell>
          <cell r="M371">
            <v>30.69</v>
          </cell>
          <cell r="N371">
            <v>30.27</v>
          </cell>
          <cell r="O371">
            <v>30.25</v>
          </cell>
          <cell r="P371">
            <v>26.06</v>
          </cell>
          <cell r="Q371">
            <v>27.95</v>
          </cell>
          <cell r="R371">
            <v>26.54</v>
          </cell>
          <cell r="S371">
            <v>28.55</v>
          </cell>
          <cell r="T371">
            <v>60.11</v>
          </cell>
          <cell r="U371">
            <v>39.92</v>
          </cell>
          <cell r="V371">
            <v>43.75</v>
          </cell>
          <cell r="W371">
            <v>43.58</v>
          </cell>
          <cell r="X371">
            <v>47.64</v>
          </cell>
          <cell r="Y371">
            <v>50.3</v>
          </cell>
          <cell r="Z371">
            <v>52.4</v>
          </cell>
          <cell r="AA371">
            <v>66.11</v>
          </cell>
          <cell r="AB371">
            <v>65.63</v>
          </cell>
          <cell r="AC371">
            <v>64.75</v>
          </cell>
        </row>
        <row r="372">
          <cell r="A372" t="str">
            <v>ACMDPBD05</v>
          </cell>
          <cell r="B372">
            <v>20.75</v>
          </cell>
          <cell r="C372">
            <v>23.04</v>
          </cell>
          <cell r="D372">
            <v>16.68</v>
          </cell>
          <cell r="E372">
            <v>21.09</v>
          </cell>
          <cell r="F372">
            <v>32.479999999999997</v>
          </cell>
          <cell r="G372">
            <v>37.659999999999997</v>
          </cell>
          <cell r="H372">
            <v>39.69</v>
          </cell>
          <cell r="I372">
            <v>40.07</v>
          </cell>
          <cell r="J372">
            <v>46.17</v>
          </cell>
          <cell r="K372">
            <v>49.59</v>
          </cell>
          <cell r="L372">
            <v>58.4</v>
          </cell>
          <cell r="M372">
            <v>59.06</v>
          </cell>
          <cell r="N372">
            <v>59.09</v>
          </cell>
          <cell r="O372">
            <v>58.84</v>
          </cell>
          <cell r="P372">
            <v>59.8</v>
          </cell>
          <cell r="Q372">
            <v>61.3</v>
          </cell>
          <cell r="R372">
            <v>54.82</v>
          </cell>
          <cell r="S372">
            <v>52.91</v>
          </cell>
          <cell r="T372">
            <v>82.94</v>
          </cell>
          <cell r="U372">
            <v>101.18</v>
          </cell>
          <cell r="V372">
            <v>93.79</v>
          </cell>
          <cell r="W372">
            <v>136.18</v>
          </cell>
          <cell r="X372">
            <v>73.67</v>
          </cell>
          <cell r="Y372">
            <v>181.91</v>
          </cell>
          <cell r="Z372" t="e">
            <v>#N/A</v>
          </cell>
          <cell r="AA372">
            <v>185.91</v>
          </cell>
          <cell r="AB372" t="e">
            <v>#N/A</v>
          </cell>
          <cell r="AC372" t="e">
            <v>#N/A</v>
          </cell>
        </row>
        <row r="373">
          <cell r="A373" t="str">
            <v>ACMDPBD07</v>
          </cell>
          <cell r="B373">
            <v>23.31</v>
          </cell>
          <cell r="C373">
            <v>30.93</v>
          </cell>
          <cell r="D373">
            <v>45.36</v>
          </cell>
          <cell r="E373">
            <v>39.57</v>
          </cell>
          <cell r="F373">
            <v>39.28</v>
          </cell>
          <cell r="G373">
            <v>92.74</v>
          </cell>
          <cell r="H373">
            <v>101.97</v>
          </cell>
          <cell r="I373">
            <v>103.46</v>
          </cell>
          <cell r="J373">
            <v>103.84</v>
          </cell>
          <cell r="K373">
            <v>104.01</v>
          </cell>
          <cell r="L373">
            <v>104.58</v>
          </cell>
          <cell r="M373">
            <v>104.74</v>
          </cell>
          <cell r="N373">
            <v>108.03</v>
          </cell>
          <cell r="O373">
            <v>107.39</v>
          </cell>
          <cell r="P373">
            <v>123.66</v>
          </cell>
          <cell r="Q373">
            <v>131.99</v>
          </cell>
          <cell r="R373">
            <v>134.34</v>
          </cell>
          <cell r="S373">
            <v>135</v>
          </cell>
          <cell r="T373">
            <v>139.72999999999999</v>
          </cell>
          <cell r="U373">
            <v>109.41</v>
          </cell>
          <cell r="V373">
            <v>99.81</v>
          </cell>
          <cell r="W373">
            <v>76.739999999999995</v>
          </cell>
          <cell r="X373">
            <v>41.32</v>
          </cell>
          <cell r="Y373">
            <v>216.08</v>
          </cell>
          <cell r="Z373">
            <v>304.67</v>
          </cell>
          <cell r="AA373">
            <v>307.7</v>
          </cell>
          <cell r="AB373">
            <v>314</v>
          </cell>
          <cell r="AC373">
            <v>313.01</v>
          </cell>
        </row>
        <row r="374">
          <cell r="A374" t="str">
            <v>ACMDPBD08</v>
          </cell>
          <cell r="B374">
            <v>34.03</v>
          </cell>
          <cell r="C374">
            <v>29.12</v>
          </cell>
          <cell r="D374">
            <v>41.24</v>
          </cell>
          <cell r="E374">
            <v>42.85</v>
          </cell>
          <cell r="F374">
            <v>44.47</v>
          </cell>
          <cell r="G374">
            <v>29.22</v>
          </cell>
          <cell r="H374">
            <v>25.81</v>
          </cell>
          <cell r="I374">
            <v>27.51</v>
          </cell>
          <cell r="J374">
            <v>28.7</v>
          </cell>
          <cell r="K374">
            <v>31.09</v>
          </cell>
          <cell r="L374">
            <v>31.63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 t="e">
            <v>#N/A</v>
          </cell>
          <cell r="S374">
            <v>0</v>
          </cell>
          <cell r="T374" t="e">
            <v>#N/A</v>
          </cell>
          <cell r="U374" t="e">
            <v>#N/A</v>
          </cell>
          <cell r="V374" t="e">
            <v>#N/A</v>
          </cell>
          <cell r="W374" t="e">
            <v>#N/A</v>
          </cell>
          <cell r="X374" t="e">
            <v>#N/A</v>
          </cell>
          <cell r="Y374" t="e">
            <v>#N/A</v>
          </cell>
          <cell r="Z374" t="e">
            <v>#N/A</v>
          </cell>
          <cell r="AA374" t="e">
            <v>#N/A</v>
          </cell>
          <cell r="AB374" t="e">
            <v>#N/A</v>
          </cell>
          <cell r="AC374" t="e">
            <v>#N/A</v>
          </cell>
        </row>
        <row r="375">
          <cell r="A375" t="str">
            <v>ACMDPBD10</v>
          </cell>
          <cell r="B375">
            <v>102.65</v>
          </cell>
          <cell r="C375">
            <v>183.19</v>
          </cell>
          <cell r="D375">
            <v>307.39999999999998</v>
          </cell>
          <cell r="E375">
            <v>321.31</v>
          </cell>
          <cell r="F375">
            <v>434.32</v>
          </cell>
          <cell r="G375">
            <v>448.56</v>
          </cell>
          <cell r="H375">
            <v>470.61</v>
          </cell>
          <cell r="I375">
            <v>489.06</v>
          </cell>
          <cell r="J375">
            <v>472.79</v>
          </cell>
          <cell r="K375">
            <v>470.9</v>
          </cell>
          <cell r="L375">
            <v>511.78</v>
          </cell>
          <cell r="M375">
            <v>519.04999999999995</v>
          </cell>
          <cell r="N375">
            <v>530.05999999999995</v>
          </cell>
          <cell r="O375">
            <v>664.99</v>
          </cell>
          <cell r="P375">
            <v>827.47</v>
          </cell>
          <cell r="Q375">
            <v>845.35</v>
          </cell>
          <cell r="R375">
            <v>854.06</v>
          </cell>
          <cell r="S375">
            <v>848.32</v>
          </cell>
          <cell r="T375">
            <v>843.93</v>
          </cell>
          <cell r="U375">
            <v>850.85</v>
          </cell>
          <cell r="V375">
            <v>822.81</v>
          </cell>
          <cell r="W375">
            <v>818.22</v>
          </cell>
          <cell r="X375">
            <v>850.15</v>
          </cell>
          <cell r="Y375">
            <v>840</v>
          </cell>
          <cell r="Z375">
            <v>859.35</v>
          </cell>
          <cell r="AA375">
            <v>794.83</v>
          </cell>
          <cell r="AB375">
            <v>801.66</v>
          </cell>
          <cell r="AC375">
            <v>827.82</v>
          </cell>
        </row>
        <row r="376">
          <cell r="A376" t="str">
            <v>ACMDPBD11</v>
          </cell>
          <cell r="B376">
            <v>38.92</v>
          </cell>
          <cell r="C376">
            <v>46.16</v>
          </cell>
          <cell r="D376">
            <v>67.58</v>
          </cell>
          <cell r="E376">
            <v>60.52</v>
          </cell>
          <cell r="F376">
            <v>50.46</v>
          </cell>
          <cell r="G376">
            <v>46.79</v>
          </cell>
          <cell r="H376">
            <v>54.17</v>
          </cell>
          <cell r="I376">
            <v>51.57</v>
          </cell>
          <cell r="J376">
            <v>83.24</v>
          </cell>
          <cell r="K376">
            <v>50.81</v>
          </cell>
          <cell r="L376">
            <v>57.6</v>
          </cell>
          <cell r="M376">
            <v>68.61</v>
          </cell>
          <cell r="N376">
            <v>77.680000000000007</v>
          </cell>
          <cell r="O376">
            <v>87.12</v>
          </cell>
          <cell r="P376">
            <v>105.02</v>
          </cell>
          <cell r="Q376">
            <v>93.59</v>
          </cell>
          <cell r="R376">
            <v>106.25</v>
          </cell>
          <cell r="S376">
            <v>98.92</v>
          </cell>
          <cell r="T376">
            <v>103.16</v>
          </cell>
          <cell r="U376">
            <v>107.39</v>
          </cell>
          <cell r="V376">
            <v>128.5</v>
          </cell>
          <cell r="W376">
            <v>138.38999999999999</v>
          </cell>
          <cell r="X376">
            <v>134.06</v>
          </cell>
          <cell r="Y376">
            <v>141.37</v>
          </cell>
          <cell r="Z376">
            <v>144.05000000000001</v>
          </cell>
          <cell r="AA376">
            <v>158.18</v>
          </cell>
          <cell r="AB376">
            <v>158.91999999999999</v>
          </cell>
          <cell r="AC376">
            <v>160.06</v>
          </cell>
        </row>
        <row r="377">
          <cell r="A377" t="str">
            <v>ACMDPBD12</v>
          </cell>
          <cell r="B377">
            <v>0</v>
          </cell>
          <cell r="C377">
            <v>0</v>
          </cell>
          <cell r="D377">
            <v>305.89999999999998</v>
          </cell>
          <cell r="E377">
            <v>1052.71</v>
          </cell>
          <cell r="F377">
            <v>651.25</v>
          </cell>
          <cell r="G377">
            <v>1098.46</v>
          </cell>
          <cell r="H377">
            <v>1189.74</v>
          </cell>
          <cell r="I377">
            <v>1166</v>
          </cell>
          <cell r="J377">
            <v>1182.4000000000001</v>
          </cell>
          <cell r="K377">
            <v>1213.18</v>
          </cell>
          <cell r="L377">
            <v>1231.1600000000001</v>
          </cell>
          <cell r="M377">
            <v>1174.7</v>
          </cell>
          <cell r="N377">
            <v>1171.7</v>
          </cell>
          <cell r="O377">
            <v>1216.7</v>
          </cell>
          <cell r="P377">
            <v>1232.6300000000001</v>
          </cell>
          <cell r="Q377">
            <v>1231.77</v>
          </cell>
          <cell r="R377">
            <v>1179.74</v>
          </cell>
          <cell r="S377">
            <v>1191.6099999999999</v>
          </cell>
          <cell r="T377">
            <v>1207.69</v>
          </cell>
          <cell r="U377">
            <v>1235.1199999999999</v>
          </cell>
          <cell r="V377">
            <v>1212.27</v>
          </cell>
          <cell r="W377">
            <v>1074.3800000000001</v>
          </cell>
          <cell r="X377">
            <v>1215.3399999999999</v>
          </cell>
          <cell r="Y377">
            <v>1177.0999999999999</v>
          </cell>
          <cell r="Z377">
            <v>1195.99</v>
          </cell>
          <cell r="AA377">
            <v>1226.92</v>
          </cell>
          <cell r="AB377">
            <v>1137.75</v>
          </cell>
          <cell r="AC377">
            <v>1251.8900000000001</v>
          </cell>
        </row>
        <row r="378">
          <cell r="A378" t="str">
            <v>ACMDPBD12_CLONE</v>
          </cell>
          <cell r="B378">
            <v>0</v>
          </cell>
          <cell r="C378">
            <v>0</v>
          </cell>
          <cell r="D378">
            <v>0</v>
          </cell>
          <cell r="E378">
            <v>49.25</v>
          </cell>
          <cell r="F378">
            <v>46.3</v>
          </cell>
          <cell r="G378">
            <v>80.5</v>
          </cell>
          <cell r="H378">
            <v>77.92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 t="e">
            <v>#N/A</v>
          </cell>
          <cell r="S378">
            <v>0</v>
          </cell>
          <cell r="T378" t="e">
            <v>#N/A</v>
          </cell>
          <cell r="U378" t="e">
            <v>#N/A</v>
          </cell>
          <cell r="V378" t="e">
            <v>#N/A</v>
          </cell>
          <cell r="W378" t="e">
            <v>#N/A</v>
          </cell>
          <cell r="X378" t="e">
            <v>#N/A</v>
          </cell>
          <cell r="Y378" t="e">
            <v>#N/A</v>
          </cell>
          <cell r="Z378" t="e">
            <v>#N/A</v>
          </cell>
          <cell r="AA378" t="e">
            <v>#N/A</v>
          </cell>
          <cell r="AB378" t="e">
            <v>#N/A</v>
          </cell>
          <cell r="AC378" t="e">
            <v>#N/A</v>
          </cell>
        </row>
        <row r="379">
          <cell r="A379" t="str">
            <v>ACMDPPR01</v>
          </cell>
          <cell r="B379">
            <v>40.590000000000003</v>
          </cell>
          <cell r="C379">
            <v>40.82</v>
          </cell>
          <cell r="D379">
            <v>51.39</v>
          </cell>
          <cell r="E379">
            <v>56.94</v>
          </cell>
          <cell r="F379">
            <v>47.78</v>
          </cell>
          <cell r="G379">
            <v>44.32</v>
          </cell>
          <cell r="H379">
            <v>44.36</v>
          </cell>
          <cell r="I379">
            <v>59.65</v>
          </cell>
          <cell r="J379">
            <v>58.76</v>
          </cell>
          <cell r="K379">
            <v>63.36</v>
          </cell>
          <cell r="L379">
            <v>58.93</v>
          </cell>
          <cell r="M379">
            <v>57.45</v>
          </cell>
          <cell r="N379">
            <v>60.87</v>
          </cell>
          <cell r="O379">
            <v>62.91</v>
          </cell>
          <cell r="P379">
            <v>58.71</v>
          </cell>
          <cell r="Q379">
            <v>60.62</v>
          </cell>
          <cell r="R379">
            <v>56.41</v>
          </cell>
          <cell r="S379">
            <v>49.7</v>
          </cell>
          <cell r="T379">
            <v>57.04</v>
          </cell>
          <cell r="U379">
            <v>57.24</v>
          </cell>
          <cell r="V379">
            <v>39.119999999999997</v>
          </cell>
          <cell r="W379">
            <v>51.77</v>
          </cell>
          <cell r="X379">
            <v>57.41</v>
          </cell>
          <cell r="Y379">
            <v>55.08</v>
          </cell>
          <cell r="Z379">
            <v>53.74</v>
          </cell>
          <cell r="AA379">
            <v>58.93</v>
          </cell>
          <cell r="AB379">
            <v>74.19</v>
          </cell>
          <cell r="AC379">
            <v>84.63</v>
          </cell>
        </row>
        <row r="380">
          <cell r="A380" t="str">
            <v>ACMDPPR02</v>
          </cell>
          <cell r="B380">
            <v>16.149999999999999</v>
          </cell>
          <cell r="C380">
            <v>19.63</v>
          </cell>
          <cell r="D380">
            <v>19.39</v>
          </cell>
          <cell r="E380">
            <v>18.12</v>
          </cell>
          <cell r="F380">
            <v>20.65</v>
          </cell>
          <cell r="G380">
            <v>22.42</v>
          </cell>
          <cell r="H380">
            <v>23.85</v>
          </cell>
          <cell r="I380">
            <v>24.66</v>
          </cell>
          <cell r="J380">
            <v>28.93</v>
          </cell>
          <cell r="K380">
            <v>38.26</v>
          </cell>
          <cell r="L380">
            <v>40.450000000000003</v>
          </cell>
          <cell r="M380">
            <v>31.34</v>
          </cell>
          <cell r="N380">
            <v>38.33</v>
          </cell>
          <cell r="O380">
            <v>57.92</v>
          </cell>
          <cell r="P380">
            <v>47.14</v>
          </cell>
          <cell r="Q380">
            <v>40.799999999999997</v>
          </cell>
          <cell r="R380">
            <v>45.01</v>
          </cell>
          <cell r="S380">
            <v>40.619999999999997</v>
          </cell>
          <cell r="T380">
            <v>43.64</v>
          </cell>
          <cell r="U380">
            <v>59.66</v>
          </cell>
          <cell r="V380">
            <v>70.77</v>
          </cell>
          <cell r="W380">
            <v>50.94</v>
          </cell>
          <cell r="X380">
            <v>49.61</v>
          </cell>
          <cell r="Y380">
            <v>48.77</v>
          </cell>
          <cell r="Z380">
            <v>59.59</v>
          </cell>
          <cell r="AA380">
            <v>67.209999999999994</v>
          </cell>
          <cell r="AB380">
            <v>59.49</v>
          </cell>
          <cell r="AC380">
            <v>60.62</v>
          </cell>
        </row>
        <row r="381">
          <cell r="A381" t="str">
            <v>ACMDPPR02_CLONE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15.59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 t="e">
            <v>#N/A</v>
          </cell>
          <cell r="S381">
            <v>0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A381" t="e">
            <v>#N/A</v>
          </cell>
          <cell r="AB381" t="e">
            <v>#N/A</v>
          </cell>
          <cell r="AC381" t="e">
            <v>#N/A</v>
          </cell>
        </row>
        <row r="382">
          <cell r="A382" t="str">
            <v>ACMDPPR02_PARA BORRAR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24.1</v>
          </cell>
          <cell r="L382">
            <v>22.42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 t="e">
            <v>#N/A</v>
          </cell>
          <cell r="S382">
            <v>0</v>
          </cell>
          <cell r="T382" t="e">
            <v>#N/A</v>
          </cell>
          <cell r="U382" t="e">
            <v>#N/A</v>
          </cell>
          <cell r="V382" t="e">
            <v>#N/A</v>
          </cell>
          <cell r="W382" t="e">
            <v>#N/A</v>
          </cell>
          <cell r="X382" t="e">
            <v>#N/A</v>
          </cell>
          <cell r="Y382" t="e">
            <v>#N/A</v>
          </cell>
          <cell r="Z382" t="e">
            <v>#N/A</v>
          </cell>
          <cell r="AA382" t="e">
            <v>#N/A</v>
          </cell>
          <cell r="AB382" t="e">
            <v>#N/A</v>
          </cell>
          <cell r="AC382" t="e">
            <v>#N/A</v>
          </cell>
        </row>
        <row r="383">
          <cell r="A383" t="str">
            <v>ACMDPPR03</v>
          </cell>
          <cell r="B383">
            <v>68.58</v>
          </cell>
          <cell r="C383">
            <v>63.59</v>
          </cell>
          <cell r="D383">
            <v>68.459999999999994</v>
          </cell>
          <cell r="E383">
            <v>102.03</v>
          </cell>
          <cell r="F383">
            <v>75.59</v>
          </cell>
          <cell r="G383">
            <v>66.81</v>
          </cell>
          <cell r="H383">
            <v>95.35</v>
          </cell>
          <cell r="I383">
            <v>77.42</v>
          </cell>
          <cell r="J383">
            <v>100.68</v>
          </cell>
          <cell r="K383">
            <v>75.72</v>
          </cell>
          <cell r="L383">
            <v>75</v>
          </cell>
          <cell r="M383">
            <v>76.569999999999993</v>
          </cell>
          <cell r="N383">
            <v>78.11</v>
          </cell>
          <cell r="O383">
            <v>68.05</v>
          </cell>
          <cell r="P383">
            <v>57.7</v>
          </cell>
          <cell r="Q383">
            <v>114.22</v>
          </cell>
          <cell r="R383">
            <v>84.14</v>
          </cell>
          <cell r="S383">
            <v>120.07</v>
          </cell>
          <cell r="T383">
            <v>123.66</v>
          </cell>
          <cell r="U383">
            <v>106.91</v>
          </cell>
          <cell r="V383">
            <v>63.35</v>
          </cell>
          <cell r="W383">
            <v>41.65</v>
          </cell>
          <cell r="X383">
            <v>87.48</v>
          </cell>
          <cell r="Y383">
            <v>101.2</v>
          </cell>
          <cell r="Z383">
            <v>122.33</v>
          </cell>
          <cell r="AA383">
            <v>266.69</v>
          </cell>
          <cell r="AB383">
            <v>283.87</v>
          </cell>
          <cell r="AC383">
            <v>241.76</v>
          </cell>
        </row>
        <row r="384">
          <cell r="A384" t="str">
            <v>ACMDPPR04</v>
          </cell>
          <cell r="B384">
            <v>31.49</v>
          </cell>
          <cell r="C384">
            <v>26.72</v>
          </cell>
          <cell r="D384">
            <v>27.13</v>
          </cell>
          <cell r="E384">
            <v>27.57</v>
          </cell>
          <cell r="F384">
            <v>26.87</v>
          </cell>
          <cell r="G384">
            <v>30.74</v>
          </cell>
          <cell r="H384">
            <v>35.01</v>
          </cell>
          <cell r="I384">
            <v>31.01</v>
          </cell>
          <cell r="J384">
            <v>28.27</v>
          </cell>
          <cell r="K384">
            <v>35.11</v>
          </cell>
          <cell r="L384">
            <v>41.61</v>
          </cell>
          <cell r="M384">
            <v>36.119999999999997</v>
          </cell>
          <cell r="N384">
            <v>38.5</v>
          </cell>
          <cell r="O384">
            <v>36.26</v>
          </cell>
          <cell r="P384">
            <v>36.72</v>
          </cell>
          <cell r="Q384">
            <v>42.79</v>
          </cell>
          <cell r="R384">
            <v>43.2</v>
          </cell>
          <cell r="S384">
            <v>44.54</v>
          </cell>
          <cell r="T384">
            <v>44.76</v>
          </cell>
          <cell r="U384">
            <v>42.54</v>
          </cell>
          <cell r="V384">
            <v>40.36</v>
          </cell>
          <cell r="W384">
            <v>36.79</v>
          </cell>
          <cell r="X384">
            <v>37.08</v>
          </cell>
          <cell r="Y384">
            <v>35.380000000000003</v>
          </cell>
          <cell r="Z384">
            <v>46.64</v>
          </cell>
          <cell r="AA384">
            <v>67.349999999999994</v>
          </cell>
          <cell r="AB384">
            <v>61.6</v>
          </cell>
          <cell r="AC384">
            <v>62.11</v>
          </cell>
        </row>
        <row r="385">
          <cell r="A385" t="str">
            <v>ACMDPPR05</v>
          </cell>
          <cell r="B385">
            <v>40.31</v>
          </cell>
          <cell r="C385">
            <v>38.090000000000003</v>
          </cell>
          <cell r="D385">
            <v>41.26</v>
          </cell>
          <cell r="E385">
            <v>43.33</v>
          </cell>
          <cell r="F385">
            <v>44.39</v>
          </cell>
          <cell r="G385">
            <v>46.68</v>
          </cell>
          <cell r="H385">
            <v>49.31</v>
          </cell>
          <cell r="I385">
            <v>50.83</v>
          </cell>
          <cell r="J385">
            <v>49.31</v>
          </cell>
          <cell r="K385">
            <v>44.96</v>
          </cell>
          <cell r="L385">
            <v>45.37</v>
          </cell>
          <cell r="M385">
            <v>49.38</v>
          </cell>
          <cell r="N385">
            <v>54.68</v>
          </cell>
          <cell r="O385">
            <v>51.54</v>
          </cell>
          <cell r="P385">
            <v>55.47</v>
          </cell>
          <cell r="Q385">
            <v>59.1</v>
          </cell>
          <cell r="R385">
            <v>60.08</v>
          </cell>
          <cell r="S385">
            <v>69.88</v>
          </cell>
          <cell r="T385">
            <v>70.64</v>
          </cell>
          <cell r="U385">
            <v>40.24</v>
          </cell>
          <cell r="V385">
            <v>25.6</v>
          </cell>
          <cell r="W385" t="e">
            <v>#N/A</v>
          </cell>
          <cell r="X385">
            <v>24.43</v>
          </cell>
          <cell r="Y385">
            <v>85.19</v>
          </cell>
          <cell r="Z385" t="e">
            <v>#N/A</v>
          </cell>
          <cell r="AA385">
            <v>93.22</v>
          </cell>
          <cell r="AB385" t="e">
            <v>#N/A</v>
          </cell>
          <cell r="AC385" t="e">
            <v>#N/A</v>
          </cell>
        </row>
        <row r="386">
          <cell r="A386" t="str">
            <v>ACMDPPR07</v>
          </cell>
          <cell r="B386">
            <v>20.86</v>
          </cell>
          <cell r="C386">
            <v>24.04</v>
          </cell>
          <cell r="D386">
            <v>25.54</v>
          </cell>
          <cell r="E386">
            <v>23.34</v>
          </cell>
          <cell r="F386">
            <v>22.81</v>
          </cell>
          <cell r="G386">
            <v>23.21</v>
          </cell>
          <cell r="H386">
            <v>22.53</v>
          </cell>
          <cell r="I386">
            <v>23.25</v>
          </cell>
          <cell r="J386">
            <v>23.37</v>
          </cell>
          <cell r="K386">
            <v>20.8</v>
          </cell>
          <cell r="L386">
            <v>24.31</v>
          </cell>
          <cell r="M386">
            <v>25.17</v>
          </cell>
          <cell r="N386">
            <v>27.48</v>
          </cell>
          <cell r="O386">
            <v>26.81</v>
          </cell>
          <cell r="P386">
            <v>25.8</v>
          </cell>
          <cell r="Q386">
            <v>25.34</v>
          </cell>
          <cell r="R386">
            <v>24.11</v>
          </cell>
          <cell r="S386">
            <v>26.03</v>
          </cell>
          <cell r="T386">
            <v>26.79</v>
          </cell>
          <cell r="U386">
            <v>21.88</v>
          </cell>
          <cell r="V386">
            <v>18.07</v>
          </cell>
          <cell r="W386">
            <v>74.67</v>
          </cell>
          <cell r="X386">
            <v>21.87</v>
          </cell>
          <cell r="Y386">
            <v>259.99</v>
          </cell>
          <cell r="Z386">
            <v>418.18</v>
          </cell>
          <cell r="AA386">
            <v>441.65</v>
          </cell>
          <cell r="AB386">
            <v>394.59</v>
          </cell>
          <cell r="AC386">
            <v>343.71</v>
          </cell>
        </row>
        <row r="387">
          <cell r="A387" t="str">
            <v>ACMDPPR08</v>
          </cell>
          <cell r="B387">
            <v>0</v>
          </cell>
          <cell r="C387">
            <v>15.05</v>
          </cell>
          <cell r="D387">
            <v>15.34</v>
          </cell>
          <cell r="E387">
            <v>13.38</v>
          </cell>
          <cell r="F387">
            <v>13.07</v>
          </cell>
          <cell r="G387">
            <v>12.94</v>
          </cell>
          <cell r="H387">
            <v>11.99</v>
          </cell>
          <cell r="I387">
            <v>12.78</v>
          </cell>
          <cell r="J387">
            <v>13.24</v>
          </cell>
          <cell r="K387">
            <v>13.56</v>
          </cell>
          <cell r="L387">
            <v>13.13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 t="e">
            <v>#N/A</v>
          </cell>
          <cell r="S387">
            <v>0</v>
          </cell>
          <cell r="T387" t="e">
            <v>#N/A</v>
          </cell>
          <cell r="U387" t="e">
            <v>#N/A</v>
          </cell>
          <cell r="V387" t="e">
            <v>#N/A</v>
          </cell>
          <cell r="W387" t="e">
            <v>#N/A</v>
          </cell>
          <cell r="X387" t="e">
            <v>#N/A</v>
          </cell>
          <cell r="Y387" t="e">
            <v>#N/A</v>
          </cell>
          <cell r="Z387" t="e">
            <v>#N/A</v>
          </cell>
          <cell r="AA387" t="e">
            <v>#N/A</v>
          </cell>
          <cell r="AB387" t="e">
            <v>#N/A</v>
          </cell>
          <cell r="AC387" t="e">
            <v>#N/A</v>
          </cell>
        </row>
        <row r="388">
          <cell r="A388" t="str">
            <v>ACMDPPR09</v>
          </cell>
          <cell r="B388">
            <v>0</v>
          </cell>
          <cell r="C388">
            <v>12.15</v>
          </cell>
          <cell r="D388">
            <v>10.88</v>
          </cell>
          <cell r="E388">
            <v>11.26</v>
          </cell>
          <cell r="F388">
            <v>9.82</v>
          </cell>
          <cell r="G388">
            <v>12.55</v>
          </cell>
          <cell r="H388">
            <v>12.19</v>
          </cell>
          <cell r="I388">
            <v>12</v>
          </cell>
          <cell r="J388">
            <v>12.14</v>
          </cell>
          <cell r="K388">
            <v>12.29</v>
          </cell>
          <cell r="L388">
            <v>11.78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 t="e">
            <v>#N/A</v>
          </cell>
          <cell r="S388">
            <v>0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A388" t="e">
            <v>#N/A</v>
          </cell>
          <cell r="AB388" t="e">
            <v>#N/A</v>
          </cell>
          <cell r="AC388" t="e">
            <v>#N/A</v>
          </cell>
        </row>
        <row r="389">
          <cell r="A389" t="str">
            <v>ACMDPPR10</v>
          </cell>
          <cell r="B389">
            <v>12.77</v>
          </cell>
          <cell r="C389">
            <v>12.12</v>
          </cell>
          <cell r="D389">
            <v>13.29</v>
          </cell>
          <cell r="E389">
            <v>16.59</v>
          </cell>
          <cell r="F389">
            <v>60.25</v>
          </cell>
          <cell r="G389">
            <v>89.41</v>
          </cell>
          <cell r="H389">
            <v>81.75</v>
          </cell>
          <cell r="I389">
            <v>163.34</v>
          </cell>
          <cell r="J389">
            <v>172.33</v>
          </cell>
          <cell r="K389">
            <v>177.85</v>
          </cell>
          <cell r="L389">
            <v>166.72</v>
          </cell>
          <cell r="M389">
            <v>146.02000000000001</v>
          </cell>
          <cell r="N389">
            <v>134.83000000000001</v>
          </cell>
          <cell r="O389">
            <v>153.13999999999999</v>
          </cell>
          <cell r="P389">
            <v>181.28</v>
          </cell>
          <cell r="Q389">
            <v>190.42</v>
          </cell>
          <cell r="R389">
            <v>217.41</v>
          </cell>
          <cell r="S389">
            <v>176.95</v>
          </cell>
          <cell r="T389">
            <v>275.47000000000003</v>
          </cell>
          <cell r="U389">
            <v>247.44</v>
          </cell>
          <cell r="V389">
            <v>158.69</v>
          </cell>
          <cell r="W389">
            <v>107.12</v>
          </cell>
          <cell r="X389">
            <v>109.91</v>
          </cell>
          <cell r="Y389">
            <v>114.07</v>
          </cell>
          <cell r="Z389">
            <v>151.13999999999999</v>
          </cell>
          <cell r="AA389">
            <v>150.88999999999999</v>
          </cell>
          <cell r="AB389">
            <v>220.92</v>
          </cell>
          <cell r="AC389">
            <v>225.44</v>
          </cell>
        </row>
        <row r="390">
          <cell r="A390" t="str">
            <v>ACMDPPR10_CLONE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52.25</v>
          </cell>
          <cell r="J390">
            <v>18.32</v>
          </cell>
          <cell r="K390">
            <v>17.63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 t="e">
            <v>#N/A</v>
          </cell>
          <cell r="S390">
            <v>0</v>
          </cell>
          <cell r="T390" t="e">
            <v>#N/A</v>
          </cell>
          <cell r="U390" t="e">
            <v>#N/A</v>
          </cell>
          <cell r="V390" t="e">
            <v>#N/A</v>
          </cell>
          <cell r="W390" t="e">
            <v>#N/A</v>
          </cell>
          <cell r="X390" t="e">
            <v>#N/A</v>
          </cell>
          <cell r="Y390" t="e">
            <v>#N/A</v>
          </cell>
          <cell r="Z390" t="e">
            <v>#N/A</v>
          </cell>
          <cell r="AA390" t="e">
            <v>#N/A</v>
          </cell>
          <cell r="AB390" t="e">
            <v>#N/A</v>
          </cell>
          <cell r="AC390" t="e">
            <v>#N/A</v>
          </cell>
        </row>
        <row r="391">
          <cell r="A391" t="str">
            <v>ACMDPPR11</v>
          </cell>
          <cell r="B391">
            <v>28.16</v>
          </cell>
          <cell r="C391">
            <v>46.05</v>
          </cell>
          <cell r="D391">
            <v>59.44</v>
          </cell>
          <cell r="E391">
            <v>61.83</v>
          </cell>
          <cell r="F391">
            <v>58.26</v>
          </cell>
          <cell r="G391">
            <v>82.76</v>
          </cell>
          <cell r="H391">
            <v>96</v>
          </cell>
          <cell r="I391">
            <v>108.52</v>
          </cell>
          <cell r="J391">
            <v>87.41</v>
          </cell>
          <cell r="K391">
            <v>90.92</v>
          </cell>
          <cell r="L391">
            <v>86.33</v>
          </cell>
          <cell r="M391">
            <v>90.96</v>
          </cell>
          <cell r="N391">
            <v>107.31</v>
          </cell>
          <cell r="O391">
            <v>93.54</v>
          </cell>
          <cell r="P391">
            <v>78.510000000000005</v>
          </cell>
          <cell r="Q391">
            <v>92.29</v>
          </cell>
          <cell r="R391">
            <v>111.27</v>
          </cell>
          <cell r="S391">
            <v>66.430000000000007</v>
          </cell>
          <cell r="T391">
            <v>62.16</v>
          </cell>
          <cell r="U391">
            <v>49.49</v>
          </cell>
          <cell r="V391">
            <v>74.56</v>
          </cell>
          <cell r="W391">
            <v>55.56</v>
          </cell>
          <cell r="X391">
            <v>56.33</v>
          </cell>
          <cell r="Y391">
            <v>54.54</v>
          </cell>
          <cell r="Z391">
            <v>76.290000000000006</v>
          </cell>
          <cell r="AA391">
            <v>146.53</v>
          </cell>
          <cell r="AB391">
            <v>152.36000000000001</v>
          </cell>
          <cell r="AC391">
            <v>150.94999999999999</v>
          </cell>
        </row>
        <row r="392">
          <cell r="A392" t="str">
            <v>ACMDPPR12</v>
          </cell>
          <cell r="B392">
            <v>0</v>
          </cell>
          <cell r="C392">
            <v>0</v>
          </cell>
          <cell r="D392">
            <v>138.22</v>
          </cell>
          <cell r="E392">
            <v>1157.19</v>
          </cell>
          <cell r="F392">
            <v>1079.19</v>
          </cell>
          <cell r="G392">
            <v>1098.76</v>
          </cell>
          <cell r="H392">
            <v>1129.5999999999999</v>
          </cell>
          <cell r="I392">
            <v>1108.48</v>
          </cell>
          <cell r="J392">
            <v>1016.56</v>
          </cell>
          <cell r="K392">
            <v>1127.96</v>
          </cell>
          <cell r="L392">
            <v>1095.32</v>
          </cell>
          <cell r="M392">
            <v>1045.47</v>
          </cell>
          <cell r="N392">
            <v>1074.33</v>
          </cell>
          <cell r="O392">
            <v>1030.1099999999999</v>
          </cell>
          <cell r="P392">
            <v>1177.82</v>
          </cell>
          <cell r="Q392">
            <v>1167.1099999999999</v>
          </cell>
          <cell r="R392">
            <v>1081.54</v>
          </cell>
          <cell r="S392">
            <v>1050.21</v>
          </cell>
          <cell r="T392">
            <v>1006.18</v>
          </cell>
          <cell r="U392">
            <v>1050.33</v>
          </cell>
          <cell r="V392">
            <v>984.05</v>
          </cell>
          <cell r="W392">
            <v>912.91</v>
          </cell>
          <cell r="X392">
            <v>1048.5999999999999</v>
          </cell>
          <cell r="Y392">
            <v>1005.78</v>
          </cell>
          <cell r="Z392">
            <v>1052.3</v>
          </cell>
          <cell r="AA392">
            <v>1080.96</v>
          </cell>
          <cell r="AB392">
            <v>1130.5899999999999</v>
          </cell>
          <cell r="AC392">
            <v>1195.76</v>
          </cell>
        </row>
        <row r="393">
          <cell r="A393" t="str">
            <v>ACMICAP01</v>
          </cell>
          <cell r="B393">
            <v>32.86</v>
          </cell>
          <cell r="C393">
            <v>30.93</v>
          </cell>
          <cell r="D393">
            <v>56.51</v>
          </cell>
          <cell r="E393">
            <v>77.22</v>
          </cell>
          <cell r="F393">
            <v>77.180000000000007</v>
          </cell>
          <cell r="G393">
            <v>74.400000000000006</v>
          </cell>
          <cell r="H393">
            <v>77.239999999999995</v>
          </cell>
          <cell r="I393">
            <v>76.349999999999994</v>
          </cell>
          <cell r="J393">
            <v>80.19</v>
          </cell>
          <cell r="K393">
            <v>80.709999999999994</v>
          </cell>
          <cell r="L393">
            <v>80.569999999999993</v>
          </cell>
          <cell r="M393">
            <v>80.569999999999993</v>
          </cell>
          <cell r="N393">
            <v>81.11</v>
          </cell>
          <cell r="O393">
            <v>81.17</v>
          </cell>
          <cell r="P393">
            <v>81.459999999999994</v>
          </cell>
          <cell r="Q393">
            <v>0</v>
          </cell>
          <cell r="R393" t="e">
            <v>#N/A</v>
          </cell>
          <cell r="S393">
            <v>55.55</v>
          </cell>
          <cell r="T393">
            <v>60.7</v>
          </cell>
          <cell r="U393">
            <v>64.52</v>
          </cell>
          <cell r="V393">
            <v>68.36</v>
          </cell>
          <cell r="W393">
            <v>70.87</v>
          </cell>
          <cell r="X393">
            <v>69.680000000000007</v>
          </cell>
          <cell r="Y393">
            <v>32.380000000000003</v>
          </cell>
          <cell r="Z393">
            <v>31.32</v>
          </cell>
          <cell r="AA393">
            <v>24.08</v>
          </cell>
          <cell r="AB393">
            <v>25.91</v>
          </cell>
          <cell r="AC393">
            <v>28.43</v>
          </cell>
        </row>
        <row r="394">
          <cell r="A394" t="str">
            <v>ACMICAP02</v>
          </cell>
          <cell r="B394">
            <v>90.45</v>
          </cell>
          <cell r="C394">
            <v>40.94</v>
          </cell>
          <cell r="D394">
            <v>88.22</v>
          </cell>
          <cell r="E394">
            <v>91.11</v>
          </cell>
          <cell r="F394">
            <v>139.91</v>
          </cell>
          <cell r="G394">
            <v>108.46</v>
          </cell>
          <cell r="H394">
            <v>140.49</v>
          </cell>
          <cell r="I394">
            <v>132.54</v>
          </cell>
          <cell r="J394">
            <v>142.75</v>
          </cell>
          <cell r="K394">
            <v>132.52000000000001</v>
          </cell>
          <cell r="L394">
            <v>150.62</v>
          </cell>
          <cell r="M394">
            <v>150.91999999999999</v>
          </cell>
          <cell r="N394">
            <v>151.81</v>
          </cell>
          <cell r="O394">
            <v>151.5</v>
          </cell>
          <cell r="P394">
            <v>151.09</v>
          </cell>
          <cell r="Q394">
            <v>0</v>
          </cell>
          <cell r="R394" t="e">
            <v>#N/A</v>
          </cell>
          <cell r="S394">
            <v>78.87</v>
          </cell>
          <cell r="T394">
            <v>27.7</v>
          </cell>
          <cell r="U394">
            <v>27.31</v>
          </cell>
          <cell r="V394">
            <v>34.46</v>
          </cell>
          <cell r="W394">
            <v>35.03</v>
          </cell>
          <cell r="X394">
            <v>115.22</v>
          </cell>
          <cell r="Y394">
            <v>120.4</v>
          </cell>
          <cell r="Z394">
            <v>125.18</v>
          </cell>
          <cell r="AA394">
            <v>126.38</v>
          </cell>
          <cell r="AB394">
            <v>130.96</v>
          </cell>
          <cell r="AC394">
            <v>135.09</v>
          </cell>
        </row>
        <row r="395">
          <cell r="A395" t="str">
            <v>ACMICAP03</v>
          </cell>
          <cell r="B395">
            <v>79.27</v>
          </cell>
          <cell r="C395">
            <v>42.29</v>
          </cell>
          <cell r="D395">
            <v>64.09</v>
          </cell>
          <cell r="E395">
            <v>73.78</v>
          </cell>
          <cell r="F395">
            <v>74.03</v>
          </cell>
          <cell r="G395">
            <v>47.17</v>
          </cell>
          <cell r="H395">
            <v>69</v>
          </cell>
          <cell r="I395">
            <v>74.680000000000007</v>
          </cell>
          <cell r="J395">
            <v>82.58</v>
          </cell>
          <cell r="K395">
            <v>77.180000000000007</v>
          </cell>
          <cell r="L395">
            <v>77.209999999999994</v>
          </cell>
          <cell r="M395">
            <v>78.55</v>
          </cell>
          <cell r="N395">
            <v>76.459999999999994</v>
          </cell>
          <cell r="O395">
            <v>75.13</v>
          </cell>
          <cell r="P395">
            <v>77.8</v>
          </cell>
          <cell r="Q395">
            <v>0</v>
          </cell>
          <cell r="R395" t="e">
            <v>#N/A</v>
          </cell>
          <cell r="S395">
            <v>46.66</v>
          </cell>
          <cell r="T395">
            <v>43.02</v>
          </cell>
          <cell r="U395">
            <v>47.22</v>
          </cell>
          <cell r="V395">
            <v>45.07</v>
          </cell>
          <cell r="W395">
            <v>44.86</v>
          </cell>
          <cell r="X395">
            <v>47.84</v>
          </cell>
          <cell r="Y395">
            <v>46.18</v>
          </cell>
          <cell r="Z395">
            <v>46.22</v>
          </cell>
          <cell r="AA395">
            <v>46.14</v>
          </cell>
          <cell r="AB395">
            <v>46.51</v>
          </cell>
          <cell r="AC395">
            <v>46.55</v>
          </cell>
        </row>
        <row r="396">
          <cell r="A396" t="str">
            <v>ACMICBD01</v>
          </cell>
          <cell r="B396">
            <v>0</v>
          </cell>
          <cell r="C396">
            <v>20.87</v>
          </cell>
          <cell r="D396">
            <v>20.88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 t="e">
            <v>#N/A</v>
          </cell>
          <cell r="S396">
            <v>0</v>
          </cell>
          <cell r="T396" t="e">
            <v>#N/A</v>
          </cell>
          <cell r="U396" t="e">
            <v>#N/A</v>
          </cell>
          <cell r="V396" t="e">
            <v>#N/A</v>
          </cell>
          <cell r="W396" t="e">
            <v>#N/A</v>
          </cell>
          <cell r="X396" t="e">
            <v>#N/A</v>
          </cell>
          <cell r="Y396" t="e">
            <v>#N/A</v>
          </cell>
          <cell r="Z396" t="e">
            <v>#N/A</v>
          </cell>
          <cell r="AA396" t="e">
            <v>#N/A</v>
          </cell>
          <cell r="AB396" t="e">
            <v>#N/A</v>
          </cell>
          <cell r="AC396" t="e">
            <v>#N/A</v>
          </cell>
        </row>
        <row r="397">
          <cell r="A397" t="str">
            <v>ACMICBD02</v>
          </cell>
          <cell r="B397">
            <v>104.1</v>
          </cell>
          <cell r="C397">
            <v>103.87</v>
          </cell>
          <cell r="D397">
            <v>74.319999999999993</v>
          </cell>
          <cell r="E397">
            <v>63.47</v>
          </cell>
          <cell r="F397">
            <v>64.819999999999993</v>
          </cell>
          <cell r="G397">
            <v>87.61</v>
          </cell>
          <cell r="H397">
            <v>114.14</v>
          </cell>
          <cell r="I397">
            <v>154.62</v>
          </cell>
          <cell r="J397">
            <v>89.82</v>
          </cell>
          <cell r="K397">
            <v>92.99</v>
          </cell>
          <cell r="L397">
            <v>140.31</v>
          </cell>
          <cell r="M397">
            <v>159.77000000000001</v>
          </cell>
          <cell r="N397">
            <v>159.83000000000001</v>
          </cell>
          <cell r="O397">
            <v>161.88</v>
          </cell>
          <cell r="P397">
            <v>162.91</v>
          </cell>
          <cell r="Q397">
            <v>0</v>
          </cell>
          <cell r="R397" t="e">
            <v>#N/A</v>
          </cell>
          <cell r="S397">
            <v>89.3</v>
          </cell>
          <cell r="T397">
            <v>82.69</v>
          </cell>
          <cell r="U397">
            <v>86.04</v>
          </cell>
          <cell r="V397">
            <v>81.34</v>
          </cell>
          <cell r="W397">
            <v>84.32</v>
          </cell>
          <cell r="X397">
            <v>82.6</v>
          </cell>
          <cell r="Y397">
            <v>79.23</v>
          </cell>
          <cell r="Z397">
            <v>76.86</v>
          </cell>
          <cell r="AA397">
            <v>76.48</v>
          </cell>
          <cell r="AB397">
            <v>75.760000000000005</v>
          </cell>
          <cell r="AC397">
            <v>74.290000000000006</v>
          </cell>
        </row>
        <row r="398">
          <cell r="A398" t="str">
            <v>ACMICPR01</v>
          </cell>
          <cell r="B398">
            <v>0</v>
          </cell>
          <cell r="C398">
            <v>17.309999999999999</v>
          </cell>
          <cell r="D398">
            <v>19.41</v>
          </cell>
          <cell r="E398">
            <v>23.57</v>
          </cell>
          <cell r="F398">
            <v>23.58</v>
          </cell>
          <cell r="G398">
            <v>16.52</v>
          </cell>
          <cell r="H398">
            <v>13.93</v>
          </cell>
          <cell r="I398">
            <v>14.95</v>
          </cell>
          <cell r="J398">
            <v>15.19</v>
          </cell>
          <cell r="K398">
            <v>15.7</v>
          </cell>
          <cell r="L398">
            <v>24.38</v>
          </cell>
          <cell r="M398">
            <v>23.27</v>
          </cell>
          <cell r="N398">
            <v>24.23</v>
          </cell>
          <cell r="O398">
            <v>0</v>
          </cell>
          <cell r="P398">
            <v>0</v>
          </cell>
          <cell r="Q398">
            <v>0</v>
          </cell>
          <cell r="R398" t="e">
            <v>#N/A</v>
          </cell>
          <cell r="S398">
            <v>0</v>
          </cell>
          <cell r="T398" t="e">
            <v>#N/A</v>
          </cell>
          <cell r="U398" t="e">
            <v>#N/A</v>
          </cell>
          <cell r="V398" t="e">
            <v>#N/A</v>
          </cell>
          <cell r="W398" t="e">
            <v>#N/A</v>
          </cell>
          <cell r="X398" t="e">
            <v>#N/A</v>
          </cell>
          <cell r="Y398" t="e">
            <v>#N/A</v>
          </cell>
          <cell r="Z398" t="e">
            <v>#N/A</v>
          </cell>
          <cell r="AA398" t="e">
            <v>#N/A</v>
          </cell>
          <cell r="AB398" t="e">
            <v>#N/A</v>
          </cell>
          <cell r="AC398" t="e">
            <v>#N/A</v>
          </cell>
        </row>
        <row r="399">
          <cell r="A399" t="str">
            <v>ACMITBD01</v>
          </cell>
          <cell r="B399">
            <v>226.68</v>
          </cell>
          <cell r="C399">
            <v>249.24</v>
          </cell>
          <cell r="D399">
            <v>228.56</v>
          </cell>
          <cell r="E399">
            <v>224.49</v>
          </cell>
          <cell r="F399">
            <v>223.74</v>
          </cell>
          <cell r="G399">
            <v>239.15</v>
          </cell>
          <cell r="H399">
            <v>251.88</v>
          </cell>
          <cell r="I399">
            <v>261.52999999999997</v>
          </cell>
          <cell r="J399">
            <v>259.70999999999998</v>
          </cell>
          <cell r="K399">
            <v>253.68</v>
          </cell>
          <cell r="L399">
            <v>288.29000000000002</v>
          </cell>
          <cell r="M399">
            <v>280.11</v>
          </cell>
          <cell r="N399">
            <v>276.08</v>
          </cell>
          <cell r="O399">
            <v>321.69</v>
          </cell>
          <cell r="P399">
            <v>308.14999999999998</v>
          </cell>
          <cell r="Q399">
            <v>239.28</v>
          </cell>
          <cell r="R399">
            <v>196.18</v>
          </cell>
          <cell r="S399">
            <v>306.38</v>
          </cell>
          <cell r="T399" t="e">
            <v>#N/A</v>
          </cell>
          <cell r="U399" t="e">
            <v>#N/A</v>
          </cell>
          <cell r="V399" t="e">
            <v>#N/A</v>
          </cell>
          <cell r="W399">
            <v>138.47</v>
          </cell>
          <cell r="X399" t="e">
            <v>#N/A</v>
          </cell>
          <cell r="Y399" t="e">
            <v>#N/A</v>
          </cell>
          <cell r="Z399" t="e">
            <v>#N/A</v>
          </cell>
          <cell r="AA399" t="e">
            <v>#N/A</v>
          </cell>
          <cell r="AB399" t="e">
            <v>#N/A</v>
          </cell>
          <cell r="AC399" t="e">
            <v>#N/A</v>
          </cell>
        </row>
        <row r="400">
          <cell r="A400" t="str">
            <v>ACMITBD01_PARCHE</v>
          </cell>
          <cell r="B400">
            <v>50.36</v>
          </cell>
          <cell r="C400">
            <v>45.4</v>
          </cell>
          <cell r="D400">
            <v>53.05</v>
          </cell>
          <cell r="E400">
            <v>53.96</v>
          </cell>
          <cell r="F400">
            <v>53.18</v>
          </cell>
          <cell r="G400">
            <v>53.34</v>
          </cell>
          <cell r="H400">
            <v>53.01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 t="e">
            <v>#N/A</v>
          </cell>
          <cell r="S400">
            <v>0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A400" t="e">
            <v>#N/A</v>
          </cell>
          <cell r="AB400" t="e">
            <v>#N/A</v>
          </cell>
          <cell r="AC400" t="e">
            <v>#N/A</v>
          </cell>
        </row>
        <row r="401">
          <cell r="A401" t="str">
            <v>ACMITPR01</v>
          </cell>
          <cell r="B401">
            <v>197.29</v>
          </cell>
          <cell r="C401">
            <v>193.64</v>
          </cell>
          <cell r="D401">
            <v>227.73</v>
          </cell>
          <cell r="E401">
            <v>315.67</v>
          </cell>
          <cell r="F401">
            <v>318.24</v>
          </cell>
          <cell r="G401">
            <v>319.92</v>
          </cell>
          <cell r="H401">
            <v>338.01</v>
          </cell>
          <cell r="I401">
            <v>346.71</v>
          </cell>
          <cell r="J401">
            <v>342.32</v>
          </cell>
          <cell r="K401">
            <v>350.01</v>
          </cell>
          <cell r="L401">
            <v>292.58999999999997</v>
          </cell>
          <cell r="M401">
            <v>102.18</v>
          </cell>
          <cell r="N401">
            <v>160</v>
          </cell>
          <cell r="O401">
            <v>225.71</v>
          </cell>
          <cell r="P401">
            <v>160.07</v>
          </cell>
          <cell r="Q401">
            <v>211.92</v>
          </cell>
          <cell r="R401">
            <v>205.45</v>
          </cell>
          <cell r="S401">
            <v>230.93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A401" t="e">
            <v>#N/A</v>
          </cell>
          <cell r="AB401" t="e">
            <v>#N/A</v>
          </cell>
          <cell r="AC401" t="e">
            <v>#N/A</v>
          </cell>
        </row>
        <row r="402">
          <cell r="A402" t="str">
            <v>ACMITPR01_CLONE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214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 t="e">
            <v>#N/A</v>
          </cell>
          <cell r="S402">
            <v>0</v>
          </cell>
          <cell r="T402" t="e">
            <v>#N/A</v>
          </cell>
          <cell r="U402" t="e">
            <v>#N/A</v>
          </cell>
          <cell r="V402" t="e">
            <v>#N/A</v>
          </cell>
          <cell r="W402" t="e">
            <v>#N/A</v>
          </cell>
          <cell r="X402" t="e">
            <v>#N/A</v>
          </cell>
          <cell r="Y402" t="e">
            <v>#N/A</v>
          </cell>
          <cell r="Z402" t="e">
            <v>#N/A</v>
          </cell>
          <cell r="AA402" t="e">
            <v>#N/A</v>
          </cell>
          <cell r="AB402" t="e">
            <v>#N/A</v>
          </cell>
          <cell r="AC402" t="e">
            <v>#N/A</v>
          </cell>
        </row>
        <row r="403">
          <cell r="A403" t="str">
            <v>ACMITPR01_NEW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74.680000000000007</v>
          </cell>
          <cell r="M403">
            <v>97.49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 t="e">
            <v>#N/A</v>
          </cell>
          <cell r="S403">
            <v>0</v>
          </cell>
          <cell r="T403" t="e">
            <v>#N/A</v>
          </cell>
          <cell r="U403" t="e">
            <v>#N/A</v>
          </cell>
          <cell r="V403" t="e">
            <v>#N/A</v>
          </cell>
          <cell r="W403" t="e">
            <v>#N/A</v>
          </cell>
          <cell r="X403" t="e">
            <v>#N/A</v>
          </cell>
          <cell r="Y403" t="e">
            <v>#N/A</v>
          </cell>
          <cell r="Z403" t="e">
            <v>#N/A</v>
          </cell>
          <cell r="AA403" t="e">
            <v>#N/A</v>
          </cell>
          <cell r="AB403" t="e">
            <v>#N/A</v>
          </cell>
          <cell r="AC403" t="e">
            <v>#N/A</v>
          </cell>
        </row>
        <row r="404">
          <cell r="A404" t="str">
            <v>ACMITPR01_PARCHE</v>
          </cell>
          <cell r="B404">
            <v>40.19</v>
          </cell>
          <cell r="C404">
            <v>38</v>
          </cell>
          <cell r="D404">
            <v>38.159999999999997</v>
          </cell>
          <cell r="E404">
            <v>41.01</v>
          </cell>
          <cell r="F404">
            <v>40.369999999999997</v>
          </cell>
          <cell r="G404">
            <v>39.380000000000003</v>
          </cell>
          <cell r="H404">
            <v>39.880000000000003</v>
          </cell>
          <cell r="I404">
            <v>0</v>
          </cell>
          <cell r="J404">
            <v>0</v>
          </cell>
          <cell r="K404">
            <v>0</v>
          </cell>
          <cell r="L404">
            <v>43.28</v>
          </cell>
          <cell r="M404">
            <v>43.1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 t="e">
            <v>#N/A</v>
          </cell>
          <cell r="S404">
            <v>0</v>
          </cell>
          <cell r="T404" t="e">
            <v>#N/A</v>
          </cell>
          <cell r="U404" t="e">
            <v>#N/A</v>
          </cell>
          <cell r="V404" t="e">
            <v>#N/A</v>
          </cell>
          <cell r="W404" t="e">
            <v>#N/A</v>
          </cell>
          <cell r="X404" t="e">
            <v>#N/A</v>
          </cell>
          <cell r="Y404" t="e">
            <v>#N/A</v>
          </cell>
          <cell r="Z404" t="e">
            <v>#N/A</v>
          </cell>
          <cell r="AA404" t="e">
            <v>#N/A</v>
          </cell>
          <cell r="AB404" t="e">
            <v>#N/A</v>
          </cell>
          <cell r="AC404" t="e">
            <v>#N/A</v>
          </cell>
        </row>
        <row r="405">
          <cell r="A405" t="str">
            <v>ACSNRAP01</v>
          </cell>
          <cell r="B405">
            <v>36.01</v>
          </cell>
          <cell r="C405">
            <v>32.29</v>
          </cell>
          <cell r="D405">
            <v>40.67</v>
          </cell>
          <cell r="E405">
            <v>52.31</v>
          </cell>
          <cell r="F405">
            <v>53.12</v>
          </cell>
          <cell r="G405">
            <v>54.79</v>
          </cell>
          <cell r="H405">
            <v>54.97</v>
          </cell>
          <cell r="I405">
            <v>56.03</v>
          </cell>
          <cell r="J405">
            <v>61.1</v>
          </cell>
          <cell r="K405">
            <v>65.42</v>
          </cell>
          <cell r="L405">
            <v>92.25</v>
          </cell>
          <cell r="M405">
            <v>171.8</v>
          </cell>
          <cell r="N405">
            <v>161.88</v>
          </cell>
          <cell r="O405">
            <v>228.07</v>
          </cell>
          <cell r="P405">
            <v>184.15</v>
          </cell>
          <cell r="Q405">
            <v>243.46</v>
          </cell>
          <cell r="R405">
            <v>235.66</v>
          </cell>
          <cell r="S405">
            <v>222.48</v>
          </cell>
          <cell r="T405" t="e">
            <v>#N/A</v>
          </cell>
          <cell r="U405" t="e">
            <v>#N/A</v>
          </cell>
          <cell r="V405" t="e">
            <v>#N/A</v>
          </cell>
          <cell r="W405" t="e">
            <v>#N/A</v>
          </cell>
          <cell r="X405" t="e">
            <v>#N/A</v>
          </cell>
          <cell r="Y405" t="e">
            <v>#N/A</v>
          </cell>
          <cell r="Z405" t="e">
            <v>#N/A</v>
          </cell>
          <cell r="AA405" t="e">
            <v>#N/A</v>
          </cell>
          <cell r="AB405" t="e">
            <v>#N/A</v>
          </cell>
          <cell r="AC405" t="e">
            <v>#N/A</v>
          </cell>
        </row>
        <row r="406">
          <cell r="A406" t="str">
            <v>ACSNRAP01_CLONE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37.29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 t="e">
            <v>#N/A</v>
          </cell>
          <cell r="S406">
            <v>0</v>
          </cell>
          <cell r="T406" t="e">
            <v>#N/A</v>
          </cell>
          <cell r="U406" t="e">
            <v>#N/A</v>
          </cell>
          <cell r="V406" t="e">
            <v>#N/A</v>
          </cell>
          <cell r="W406" t="e">
            <v>#N/A</v>
          </cell>
          <cell r="X406" t="e">
            <v>#N/A</v>
          </cell>
          <cell r="Y406" t="e">
            <v>#N/A</v>
          </cell>
          <cell r="Z406" t="e">
            <v>#N/A</v>
          </cell>
          <cell r="AA406" t="e">
            <v>#N/A</v>
          </cell>
          <cell r="AB406" t="e">
            <v>#N/A</v>
          </cell>
          <cell r="AC406" t="e">
            <v>#N/A</v>
          </cell>
        </row>
        <row r="407">
          <cell r="A407" t="str">
            <v>ACSNRAP01_Desarrollo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79.27</v>
          </cell>
          <cell r="L407">
            <v>86.17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 t="e">
            <v>#N/A</v>
          </cell>
          <cell r="S407">
            <v>0</v>
          </cell>
          <cell r="T407" t="e">
            <v>#N/A</v>
          </cell>
          <cell r="U407" t="e">
            <v>#N/A</v>
          </cell>
          <cell r="V407" t="e">
            <v>#N/A</v>
          </cell>
          <cell r="W407" t="e">
            <v>#N/A</v>
          </cell>
          <cell r="X407" t="e">
            <v>#N/A</v>
          </cell>
          <cell r="Y407" t="e">
            <v>#N/A</v>
          </cell>
          <cell r="Z407" t="e">
            <v>#N/A</v>
          </cell>
          <cell r="AA407" t="e">
            <v>#N/A</v>
          </cell>
          <cell r="AB407" t="e">
            <v>#N/A</v>
          </cell>
          <cell r="AC407" t="e">
            <v>#N/A</v>
          </cell>
        </row>
        <row r="408">
          <cell r="A408" t="str">
            <v>ACSNRAP01_NUEVA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70.91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 t="e">
            <v>#N/A</v>
          </cell>
          <cell r="S408">
            <v>0</v>
          </cell>
          <cell r="T408" t="e">
            <v>#N/A</v>
          </cell>
          <cell r="U408" t="e">
            <v>#N/A</v>
          </cell>
          <cell r="V408" t="e">
            <v>#N/A</v>
          </cell>
          <cell r="W408" t="e">
            <v>#N/A</v>
          </cell>
          <cell r="X408" t="e">
            <v>#N/A</v>
          </cell>
          <cell r="Y408" t="e">
            <v>#N/A</v>
          </cell>
          <cell r="Z408" t="e">
            <v>#N/A</v>
          </cell>
          <cell r="AA408" t="e">
            <v>#N/A</v>
          </cell>
          <cell r="AB408" t="e">
            <v>#N/A</v>
          </cell>
          <cell r="AC408" t="e">
            <v>#N/A</v>
          </cell>
        </row>
        <row r="409">
          <cell r="A409" t="str">
            <v>ACSNRAP01_PRODUCCION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62.78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 t="e">
            <v>#N/A</v>
          </cell>
          <cell r="S409">
            <v>0</v>
          </cell>
          <cell r="T409" t="e">
            <v>#N/A</v>
          </cell>
          <cell r="U409" t="e">
            <v>#N/A</v>
          </cell>
          <cell r="V409" t="e">
            <v>#N/A</v>
          </cell>
          <cell r="W409" t="e">
            <v>#N/A</v>
          </cell>
          <cell r="X409" t="e">
            <v>#N/A</v>
          </cell>
          <cell r="Y409" t="e">
            <v>#N/A</v>
          </cell>
          <cell r="Z409" t="e">
            <v>#N/A</v>
          </cell>
          <cell r="AA409" t="e">
            <v>#N/A</v>
          </cell>
          <cell r="AB409" t="e">
            <v>#N/A</v>
          </cell>
          <cell r="AC409" t="e">
            <v>#N/A</v>
          </cell>
        </row>
        <row r="410">
          <cell r="A410" t="str">
            <v>ACSNRAP01_Pruebas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66.709999999999994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 t="e">
            <v>#N/A</v>
          </cell>
          <cell r="S410">
            <v>0</v>
          </cell>
          <cell r="T410" t="e">
            <v>#N/A</v>
          </cell>
          <cell r="U410" t="e">
            <v>#N/A</v>
          </cell>
          <cell r="V410" t="e">
            <v>#N/A</v>
          </cell>
          <cell r="W410" t="e">
            <v>#N/A</v>
          </cell>
          <cell r="X410" t="e">
            <v>#N/A</v>
          </cell>
          <cell r="Y410" t="e">
            <v>#N/A</v>
          </cell>
          <cell r="Z410" t="e">
            <v>#N/A</v>
          </cell>
          <cell r="AA410" t="e">
            <v>#N/A</v>
          </cell>
          <cell r="AB410" t="e">
            <v>#N/A</v>
          </cell>
          <cell r="AC410" t="e">
            <v>#N/A</v>
          </cell>
        </row>
        <row r="411">
          <cell r="A411" t="str">
            <v>ACSNRAP01_TMP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45.84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 t="e">
            <v>#N/A</v>
          </cell>
          <cell r="S411">
            <v>0</v>
          </cell>
          <cell r="T411" t="e">
            <v>#N/A</v>
          </cell>
          <cell r="U411" t="e">
            <v>#N/A</v>
          </cell>
          <cell r="V411" t="e">
            <v>#N/A</v>
          </cell>
          <cell r="W411" t="e">
            <v>#N/A</v>
          </cell>
          <cell r="X411" t="e">
            <v>#N/A</v>
          </cell>
          <cell r="Y411" t="e">
            <v>#N/A</v>
          </cell>
          <cell r="Z411" t="e">
            <v>#N/A</v>
          </cell>
          <cell r="AA411" t="e">
            <v>#N/A</v>
          </cell>
          <cell r="AB411" t="e">
            <v>#N/A</v>
          </cell>
          <cell r="AC411" t="e">
            <v>#N/A</v>
          </cell>
        </row>
        <row r="412">
          <cell r="A412" t="str">
            <v>ACSNRAP01_VIEJA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90.12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 t="e">
            <v>#N/A</v>
          </cell>
          <cell r="S412">
            <v>0</v>
          </cell>
          <cell r="T412" t="e">
            <v>#N/A</v>
          </cell>
          <cell r="U412" t="e">
            <v>#N/A</v>
          </cell>
          <cell r="V412" t="e">
            <v>#N/A</v>
          </cell>
          <cell r="W412" t="e">
            <v>#N/A</v>
          </cell>
          <cell r="X412" t="e">
            <v>#N/A</v>
          </cell>
          <cell r="Y412" t="e">
            <v>#N/A</v>
          </cell>
          <cell r="Z412" t="e">
            <v>#N/A</v>
          </cell>
          <cell r="AA412" t="e">
            <v>#N/A</v>
          </cell>
          <cell r="AB412" t="e">
            <v>#N/A</v>
          </cell>
          <cell r="AC412" t="e">
            <v>#N/A</v>
          </cell>
        </row>
        <row r="413">
          <cell r="A413" t="str">
            <v>ACSNRAP01C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67.09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 t="e">
            <v>#N/A</v>
          </cell>
          <cell r="S413">
            <v>0</v>
          </cell>
          <cell r="T413" t="e">
            <v>#N/A</v>
          </cell>
          <cell r="U413" t="e">
            <v>#N/A</v>
          </cell>
          <cell r="V413" t="e">
            <v>#N/A</v>
          </cell>
          <cell r="W413" t="e">
            <v>#N/A</v>
          </cell>
          <cell r="X413" t="e">
            <v>#N/A</v>
          </cell>
          <cell r="Y413" t="e">
            <v>#N/A</v>
          </cell>
          <cell r="Z413" t="e">
            <v>#N/A</v>
          </cell>
          <cell r="AA413" t="e">
            <v>#N/A</v>
          </cell>
          <cell r="AB413" t="e">
            <v>#N/A</v>
          </cell>
          <cell r="AC413" t="e">
            <v>#N/A</v>
          </cell>
        </row>
        <row r="414">
          <cell r="A414" t="str">
            <v>ACSNRAP02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16.440000000000001</v>
          </cell>
          <cell r="K414">
            <v>18.600000000000001</v>
          </cell>
          <cell r="L414">
            <v>19.989999999999998</v>
          </cell>
          <cell r="M414">
            <v>34.39</v>
          </cell>
          <cell r="N414">
            <v>57.35</v>
          </cell>
          <cell r="O414">
            <v>32.64</v>
          </cell>
          <cell r="P414">
            <v>50.71</v>
          </cell>
          <cell r="Q414">
            <v>57.9</v>
          </cell>
          <cell r="R414">
            <v>43.03</v>
          </cell>
          <cell r="S414">
            <v>23.3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A414" t="e">
            <v>#N/A</v>
          </cell>
          <cell r="AB414" t="e">
            <v>#N/A</v>
          </cell>
          <cell r="AC414" t="e">
            <v>#N/A</v>
          </cell>
        </row>
        <row r="415">
          <cell r="A415" t="str">
            <v>ACSNRAP03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32.659999999999997</v>
          </cell>
          <cell r="M415">
            <v>22.46</v>
          </cell>
          <cell r="N415">
            <v>38.58</v>
          </cell>
          <cell r="O415">
            <v>37.18</v>
          </cell>
          <cell r="P415">
            <v>0</v>
          </cell>
          <cell r="Q415">
            <v>0</v>
          </cell>
          <cell r="R415" t="e">
            <v>#N/A</v>
          </cell>
          <cell r="S415">
            <v>0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A415" t="e">
            <v>#N/A</v>
          </cell>
          <cell r="AB415" t="e">
            <v>#N/A</v>
          </cell>
          <cell r="AC415" t="e">
            <v>#N/A</v>
          </cell>
        </row>
        <row r="416">
          <cell r="A416" t="str">
            <v>ACSNRAP04</v>
          </cell>
          <cell r="B416">
            <v>14.32</v>
          </cell>
          <cell r="C416">
            <v>21.69</v>
          </cell>
          <cell r="D416">
            <v>71.930000000000007</v>
          </cell>
          <cell r="E416">
            <v>54.18</v>
          </cell>
          <cell r="F416">
            <v>16.350000000000001</v>
          </cell>
          <cell r="G416">
            <v>9.83</v>
          </cell>
          <cell r="H416">
            <v>7.9</v>
          </cell>
          <cell r="I416">
            <v>7.59</v>
          </cell>
          <cell r="J416">
            <v>7.56</v>
          </cell>
          <cell r="K416">
            <v>7.34</v>
          </cell>
          <cell r="L416">
            <v>7.34</v>
          </cell>
          <cell r="M416">
            <v>7.09</v>
          </cell>
          <cell r="N416">
            <v>7.43</v>
          </cell>
          <cell r="O416">
            <v>7.67</v>
          </cell>
          <cell r="P416">
            <v>7.83</v>
          </cell>
          <cell r="Q416">
            <v>8.17</v>
          </cell>
          <cell r="R416">
            <v>8.57</v>
          </cell>
          <cell r="S416">
            <v>8.58</v>
          </cell>
          <cell r="T416">
            <v>8.8000000000000007</v>
          </cell>
          <cell r="U416">
            <v>8.86</v>
          </cell>
          <cell r="V416">
            <v>8.8000000000000007</v>
          </cell>
          <cell r="W416">
            <v>11.87</v>
          </cell>
          <cell r="X416">
            <v>13.44</v>
          </cell>
          <cell r="Y416">
            <v>10.36</v>
          </cell>
          <cell r="Z416">
            <v>8.48</v>
          </cell>
          <cell r="AA416">
            <v>8.7100000000000009</v>
          </cell>
          <cell r="AB416">
            <v>8.86</v>
          </cell>
          <cell r="AC416">
            <v>8.8800000000000008</v>
          </cell>
        </row>
        <row r="417">
          <cell r="A417" t="str">
            <v>ACSNRAP04_PARABORRAR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14.09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 t="e">
            <v>#N/A</v>
          </cell>
          <cell r="S417">
            <v>0</v>
          </cell>
          <cell r="T417" t="e">
            <v>#N/A</v>
          </cell>
          <cell r="U417" t="e">
            <v>#N/A</v>
          </cell>
          <cell r="V417" t="e">
            <v>#N/A</v>
          </cell>
          <cell r="W417" t="e">
            <v>#N/A</v>
          </cell>
          <cell r="X417" t="e">
            <v>#N/A</v>
          </cell>
          <cell r="Y417" t="e">
            <v>#N/A</v>
          </cell>
          <cell r="Z417" t="e">
            <v>#N/A</v>
          </cell>
          <cell r="AA417" t="e">
            <v>#N/A</v>
          </cell>
          <cell r="AB417" t="e">
            <v>#N/A</v>
          </cell>
          <cell r="AC417" t="e">
            <v>#N/A</v>
          </cell>
        </row>
        <row r="418">
          <cell r="A418" t="str">
            <v>ACSNRBD01</v>
          </cell>
          <cell r="B418">
            <v>22.53</v>
          </cell>
          <cell r="C418">
            <v>16.579999999999998</v>
          </cell>
          <cell r="D418">
            <v>14.6</v>
          </cell>
          <cell r="E418">
            <v>21.68</v>
          </cell>
          <cell r="F418">
            <v>22.33</v>
          </cell>
          <cell r="G418">
            <v>22.64</v>
          </cell>
          <cell r="H418">
            <v>30.12</v>
          </cell>
          <cell r="I418">
            <v>31.59</v>
          </cell>
          <cell r="J418">
            <v>30.16</v>
          </cell>
          <cell r="K418">
            <v>16.579999999999998</v>
          </cell>
          <cell r="L418">
            <v>17.98</v>
          </cell>
          <cell r="M418">
            <v>21.33</v>
          </cell>
          <cell r="N418">
            <v>19.87</v>
          </cell>
          <cell r="O418">
            <v>20.59</v>
          </cell>
          <cell r="P418">
            <v>21.54</v>
          </cell>
          <cell r="Q418">
            <v>21.89</v>
          </cell>
          <cell r="R418">
            <v>23.01</v>
          </cell>
          <cell r="S418">
            <v>43.19</v>
          </cell>
          <cell r="T418" t="e">
            <v>#N/A</v>
          </cell>
          <cell r="U418" t="e">
            <v>#N/A</v>
          </cell>
          <cell r="V418" t="e">
            <v>#N/A</v>
          </cell>
          <cell r="W418" t="e">
            <v>#N/A</v>
          </cell>
          <cell r="X418" t="e">
            <v>#N/A</v>
          </cell>
          <cell r="Y418" t="e">
            <v>#N/A</v>
          </cell>
          <cell r="Z418" t="e">
            <v>#N/A</v>
          </cell>
          <cell r="AA418" t="e">
            <v>#N/A</v>
          </cell>
          <cell r="AB418" t="e">
            <v>#N/A</v>
          </cell>
          <cell r="AC418" t="e">
            <v>#N/A</v>
          </cell>
        </row>
        <row r="419">
          <cell r="A419" t="str">
            <v>ACSNRBD01 (1)</v>
          </cell>
          <cell r="B419">
            <v>0</v>
          </cell>
          <cell r="C419">
            <v>12.24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 t="e">
            <v>#N/A</v>
          </cell>
          <cell r="S419">
            <v>0</v>
          </cell>
          <cell r="T419" t="e">
            <v>#N/A</v>
          </cell>
          <cell r="U419" t="e">
            <v>#N/A</v>
          </cell>
          <cell r="V419" t="e">
            <v>#N/A</v>
          </cell>
          <cell r="W419" t="e">
            <v>#N/A</v>
          </cell>
          <cell r="X419" t="e">
            <v>#N/A</v>
          </cell>
          <cell r="Y419" t="e">
            <v>#N/A</v>
          </cell>
          <cell r="Z419" t="e">
            <v>#N/A</v>
          </cell>
          <cell r="AA419" t="e">
            <v>#N/A</v>
          </cell>
          <cell r="AB419" t="e">
            <v>#N/A</v>
          </cell>
          <cell r="AC419" t="e">
            <v>#N/A</v>
          </cell>
        </row>
        <row r="420">
          <cell r="A420" t="str">
            <v>ACSNRBD01_BORRAR</v>
          </cell>
          <cell r="B420">
            <v>0</v>
          </cell>
          <cell r="C420">
            <v>22.52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 t="e">
            <v>#N/A</v>
          </cell>
          <cell r="S420">
            <v>0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A420" t="e">
            <v>#N/A</v>
          </cell>
          <cell r="AB420" t="e">
            <v>#N/A</v>
          </cell>
          <cell r="AC420" t="e">
            <v>#N/A</v>
          </cell>
        </row>
        <row r="421">
          <cell r="A421" t="str">
            <v>ACSNRBD01_Desarrollo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10.42</v>
          </cell>
          <cell r="L421">
            <v>9.17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 t="e">
            <v>#N/A</v>
          </cell>
          <cell r="S421">
            <v>0</v>
          </cell>
          <cell r="T421" t="e">
            <v>#N/A</v>
          </cell>
          <cell r="U421" t="e">
            <v>#N/A</v>
          </cell>
          <cell r="V421" t="e">
            <v>#N/A</v>
          </cell>
          <cell r="W421" t="e">
            <v>#N/A</v>
          </cell>
          <cell r="X421" t="e">
            <v>#N/A</v>
          </cell>
          <cell r="Y421" t="e">
            <v>#N/A</v>
          </cell>
          <cell r="Z421" t="e">
            <v>#N/A</v>
          </cell>
          <cell r="AA421" t="e">
            <v>#N/A</v>
          </cell>
          <cell r="AB421" t="e">
            <v>#N/A</v>
          </cell>
          <cell r="AC421" t="e">
            <v>#N/A</v>
          </cell>
        </row>
        <row r="422">
          <cell r="A422" t="str">
            <v>ACSNRBD01_NUEVA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9.0399999999999991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 t="e">
            <v>#N/A</v>
          </cell>
          <cell r="S422">
            <v>0</v>
          </cell>
          <cell r="T422" t="e">
            <v>#N/A</v>
          </cell>
          <cell r="U422" t="e">
            <v>#N/A</v>
          </cell>
          <cell r="V422" t="e">
            <v>#N/A</v>
          </cell>
          <cell r="W422" t="e">
            <v>#N/A</v>
          </cell>
          <cell r="X422" t="e">
            <v>#N/A</v>
          </cell>
          <cell r="Y422" t="e">
            <v>#N/A</v>
          </cell>
          <cell r="Z422" t="e">
            <v>#N/A</v>
          </cell>
          <cell r="AA422" t="e">
            <v>#N/A</v>
          </cell>
          <cell r="AB422" t="e">
            <v>#N/A</v>
          </cell>
          <cell r="AC422" t="e">
            <v>#N/A</v>
          </cell>
        </row>
        <row r="423">
          <cell r="A423" t="str">
            <v>ACSNRBD01_PRODUCCION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13.01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 t="e">
            <v>#N/A</v>
          </cell>
          <cell r="S423">
            <v>0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A423" t="e">
            <v>#N/A</v>
          </cell>
          <cell r="AB423" t="e">
            <v>#N/A</v>
          </cell>
          <cell r="AC423" t="e">
            <v>#N/A</v>
          </cell>
        </row>
        <row r="424">
          <cell r="A424" t="str">
            <v>ACSNRBD01_vieja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16.059999999999999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 t="e">
            <v>#N/A</v>
          </cell>
          <cell r="S424">
            <v>0</v>
          </cell>
          <cell r="T424" t="e">
            <v>#N/A</v>
          </cell>
          <cell r="U424" t="e">
            <v>#N/A</v>
          </cell>
          <cell r="V424" t="e">
            <v>#N/A</v>
          </cell>
          <cell r="W424" t="e">
            <v>#N/A</v>
          </cell>
          <cell r="X424" t="e">
            <v>#N/A</v>
          </cell>
          <cell r="Y424" t="e">
            <v>#N/A</v>
          </cell>
          <cell r="Z424" t="e">
            <v>#N/A</v>
          </cell>
          <cell r="AA424" t="e">
            <v>#N/A</v>
          </cell>
          <cell r="AB424" t="e">
            <v>#N/A</v>
          </cell>
          <cell r="AC424" t="e">
            <v>#N/A</v>
          </cell>
        </row>
        <row r="425">
          <cell r="A425" t="str">
            <v>ACSNRBD02</v>
          </cell>
          <cell r="B425">
            <v>39.01</v>
          </cell>
          <cell r="C425">
            <v>33.33</v>
          </cell>
          <cell r="D425">
            <v>36.26</v>
          </cell>
          <cell r="E425">
            <v>36.64</v>
          </cell>
          <cell r="F425">
            <v>33.090000000000003</v>
          </cell>
          <cell r="G425">
            <v>35.869999999999997</v>
          </cell>
          <cell r="H425">
            <v>34.22</v>
          </cell>
          <cell r="I425">
            <v>34.18</v>
          </cell>
          <cell r="J425">
            <v>53.69</v>
          </cell>
          <cell r="K425">
            <v>69.239999999999995</v>
          </cell>
          <cell r="L425">
            <v>60.62</v>
          </cell>
          <cell r="M425">
            <v>62.6</v>
          </cell>
          <cell r="N425">
            <v>68.87</v>
          </cell>
          <cell r="O425">
            <v>67.930000000000007</v>
          </cell>
          <cell r="P425">
            <v>65.819999999999993</v>
          </cell>
          <cell r="Q425">
            <v>73.97</v>
          </cell>
          <cell r="R425">
            <v>74.2</v>
          </cell>
          <cell r="S425">
            <v>72.010000000000005</v>
          </cell>
          <cell r="T425" t="e">
            <v>#N/A</v>
          </cell>
          <cell r="U425" t="e">
            <v>#N/A</v>
          </cell>
          <cell r="V425" t="e">
            <v>#N/A</v>
          </cell>
          <cell r="W425" t="e">
            <v>#N/A</v>
          </cell>
          <cell r="X425" t="e">
            <v>#N/A</v>
          </cell>
          <cell r="Y425" t="e">
            <v>#N/A</v>
          </cell>
          <cell r="Z425" t="e">
            <v>#N/A</v>
          </cell>
          <cell r="AA425" t="e">
            <v>#N/A</v>
          </cell>
          <cell r="AB425" t="e">
            <v>#N/A</v>
          </cell>
          <cell r="AC425" t="e">
            <v>#N/A</v>
          </cell>
        </row>
        <row r="426">
          <cell r="A426" t="str">
            <v>ACSNRBD03</v>
          </cell>
          <cell r="B426">
            <v>40.93</v>
          </cell>
          <cell r="C426">
            <v>40.61</v>
          </cell>
          <cell r="D426">
            <v>38.4</v>
          </cell>
          <cell r="E426">
            <v>38.18</v>
          </cell>
          <cell r="F426">
            <v>52.4</v>
          </cell>
          <cell r="G426">
            <v>96.06</v>
          </cell>
          <cell r="H426">
            <v>103.43</v>
          </cell>
          <cell r="I426">
            <v>101.61</v>
          </cell>
          <cell r="J426">
            <v>125.76</v>
          </cell>
          <cell r="K426">
            <v>131.61000000000001</v>
          </cell>
          <cell r="L426">
            <v>132.87</v>
          </cell>
          <cell r="M426">
            <v>137.69999999999999</v>
          </cell>
          <cell r="N426">
            <v>140.69</v>
          </cell>
          <cell r="O426">
            <v>142.47</v>
          </cell>
          <cell r="P426">
            <v>153.96</v>
          </cell>
          <cell r="Q426">
            <v>165.8</v>
          </cell>
          <cell r="R426">
            <v>166.98</v>
          </cell>
          <cell r="S426">
            <v>148.55000000000001</v>
          </cell>
          <cell r="T426" t="e">
            <v>#N/A</v>
          </cell>
          <cell r="U426" t="e">
            <v>#N/A</v>
          </cell>
          <cell r="V426" t="e">
            <v>#N/A</v>
          </cell>
          <cell r="W426" t="e">
            <v>#N/A</v>
          </cell>
          <cell r="X426" t="e">
            <v>#N/A</v>
          </cell>
          <cell r="Y426" t="e">
            <v>#N/A</v>
          </cell>
          <cell r="Z426" t="e">
            <v>#N/A</v>
          </cell>
          <cell r="AA426" t="e">
            <v>#N/A</v>
          </cell>
          <cell r="AB426" t="e">
            <v>#N/A</v>
          </cell>
          <cell r="AC426" t="e">
            <v>#N/A</v>
          </cell>
        </row>
        <row r="427">
          <cell r="A427" t="str">
            <v>ACSNRBD04</v>
          </cell>
          <cell r="B427">
            <v>59.35</v>
          </cell>
          <cell r="C427">
            <v>51.76</v>
          </cell>
          <cell r="D427">
            <v>60.3</v>
          </cell>
          <cell r="E427">
            <v>73.48</v>
          </cell>
          <cell r="F427">
            <v>73.55</v>
          </cell>
          <cell r="G427">
            <v>32.96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 t="e">
            <v>#N/A</v>
          </cell>
          <cell r="S427">
            <v>0</v>
          </cell>
          <cell r="T427" t="e">
            <v>#N/A</v>
          </cell>
          <cell r="U427" t="e">
            <v>#N/A</v>
          </cell>
          <cell r="V427" t="e">
            <v>#N/A</v>
          </cell>
          <cell r="W427" t="e">
            <v>#N/A</v>
          </cell>
          <cell r="X427" t="e">
            <v>#N/A</v>
          </cell>
          <cell r="Y427" t="e">
            <v>#N/A</v>
          </cell>
          <cell r="Z427" t="e">
            <v>#N/A</v>
          </cell>
          <cell r="AA427" t="e">
            <v>#N/A</v>
          </cell>
          <cell r="AB427" t="e">
            <v>#N/A</v>
          </cell>
          <cell r="AC427" t="e">
            <v>#N/A</v>
          </cell>
        </row>
        <row r="428">
          <cell r="A428" t="str">
            <v>ACSNRBD04_PARABORRAR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73.7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 t="e">
            <v>#N/A</v>
          </cell>
          <cell r="S428">
            <v>0</v>
          </cell>
          <cell r="T428" t="e">
            <v>#N/A</v>
          </cell>
          <cell r="U428" t="e">
            <v>#N/A</v>
          </cell>
          <cell r="V428" t="e">
            <v>#N/A</v>
          </cell>
          <cell r="W428" t="e">
            <v>#N/A</v>
          </cell>
          <cell r="X428" t="e">
            <v>#N/A</v>
          </cell>
          <cell r="Y428" t="e">
            <v>#N/A</v>
          </cell>
          <cell r="Z428" t="e">
            <v>#N/A</v>
          </cell>
          <cell r="AA428" t="e">
            <v>#N/A</v>
          </cell>
          <cell r="AB428" t="e">
            <v>#N/A</v>
          </cell>
          <cell r="AC428" t="e">
            <v>#N/A</v>
          </cell>
        </row>
        <row r="429">
          <cell r="A429" t="str">
            <v>ACSNRPR01</v>
          </cell>
          <cell r="B429">
            <v>34.200000000000003</v>
          </cell>
          <cell r="C429">
            <v>19.05</v>
          </cell>
          <cell r="D429">
            <v>18.77</v>
          </cell>
          <cell r="E429">
            <v>32.94</v>
          </cell>
          <cell r="F429">
            <v>39.57</v>
          </cell>
          <cell r="G429">
            <v>46.69</v>
          </cell>
          <cell r="H429">
            <v>59.23</v>
          </cell>
          <cell r="I429">
            <v>59</v>
          </cell>
          <cell r="J429">
            <v>43.94</v>
          </cell>
          <cell r="K429">
            <v>43.29</v>
          </cell>
          <cell r="L429">
            <v>36.020000000000003</v>
          </cell>
          <cell r="M429">
            <v>49.06</v>
          </cell>
          <cell r="N429">
            <v>54.15</v>
          </cell>
          <cell r="O429">
            <v>59.13</v>
          </cell>
          <cell r="P429">
            <v>60.12</v>
          </cell>
          <cell r="Q429">
            <v>60.27</v>
          </cell>
          <cell r="R429">
            <v>60.25</v>
          </cell>
          <cell r="S429">
            <v>59.49</v>
          </cell>
          <cell r="T429" t="e">
            <v>#N/A</v>
          </cell>
          <cell r="U429" t="e">
            <v>#N/A</v>
          </cell>
          <cell r="V429" t="e">
            <v>#N/A</v>
          </cell>
          <cell r="W429" t="e">
            <v>#N/A</v>
          </cell>
          <cell r="X429" t="e">
            <v>#N/A</v>
          </cell>
          <cell r="Y429" t="e">
            <v>#N/A</v>
          </cell>
          <cell r="Z429" t="e">
            <v>#N/A</v>
          </cell>
          <cell r="AA429" t="e">
            <v>#N/A</v>
          </cell>
          <cell r="AB429" t="e">
            <v>#N/A</v>
          </cell>
          <cell r="AC429" t="e">
            <v>#N/A</v>
          </cell>
        </row>
        <row r="430">
          <cell r="A430" t="str">
            <v>ACSNRPR01_Desarrollo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14.34</v>
          </cell>
          <cell r="L430">
            <v>15.02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 t="e">
            <v>#N/A</v>
          </cell>
          <cell r="S430">
            <v>0</v>
          </cell>
          <cell r="T430" t="e">
            <v>#N/A</v>
          </cell>
          <cell r="U430" t="e">
            <v>#N/A</v>
          </cell>
          <cell r="V430" t="e">
            <v>#N/A</v>
          </cell>
          <cell r="W430" t="e">
            <v>#N/A</v>
          </cell>
          <cell r="X430" t="e">
            <v>#N/A</v>
          </cell>
          <cell r="Y430" t="e">
            <v>#N/A</v>
          </cell>
          <cell r="Z430" t="e">
            <v>#N/A</v>
          </cell>
          <cell r="AA430" t="e">
            <v>#N/A</v>
          </cell>
          <cell r="AB430" t="e">
            <v>#N/A</v>
          </cell>
          <cell r="AC430" t="e">
            <v>#N/A</v>
          </cell>
        </row>
        <row r="431">
          <cell r="A431" t="str">
            <v>ACSNRPR01_NUEVA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13.39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 t="e">
            <v>#N/A</v>
          </cell>
          <cell r="S431">
            <v>0</v>
          </cell>
          <cell r="T431" t="e">
            <v>#N/A</v>
          </cell>
          <cell r="U431" t="e">
            <v>#N/A</v>
          </cell>
          <cell r="V431" t="e">
            <v>#N/A</v>
          </cell>
          <cell r="W431" t="e">
            <v>#N/A</v>
          </cell>
          <cell r="X431" t="e">
            <v>#N/A</v>
          </cell>
          <cell r="Y431" t="e">
            <v>#N/A</v>
          </cell>
          <cell r="Z431" t="e">
            <v>#N/A</v>
          </cell>
          <cell r="AA431" t="e">
            <v>#N/A</v>
          </cell>
          <cell r="AB431" t="e">
            <v>#N/A</v>
          </cell>
          <cell r="AC431" t="e">
            <v>#N/A</v>
          </cell>
        </row>
        <row r="432">
          <cell r="A432" t="str">
            <v>ACSNRPR01_OLD</v>
          </cell>
          <cell r="B432">
            <v>28.24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56.25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 t="e">
            <v>#N/A</v>
          </cell>
          <cell r="S432">
            <v>0</v>
          </cell>
          <cell r="T432" t="e">
            <v>#N/A</v>
          </cell>
          <cell r="U432" t="e">
            <v>#N/A</v>
          </cell>
          <cell r="V432" t="e">
            <v>#N/A</v>
          </cell>
          <cell r="W432" t="e">
            <v>#N/A</v>
          </cell>
          <cell r="X432" t="e">
            <v>#N/A</v>
          </cell>
          <cell r="Y432" t="e">
            <v>#N/A</v>
          </cell>
          <cell r="Z432" t="e">
            <v>#N/A</v>
          </cell>
          <cell r="AA432" t="e">
            <v>#N/A</v>
          </cell>
          <cell r="AB432" t="e">
            <v>#N/A</v>
          </cell>
          <cell r="AC432" t="e">
            <v>#N/A</v>
          </cell>
        </row>
        <row r="433">
          <cell r="A433" t="str">
            <v>ACSNRPR01_PRODUCCION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32.57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 t="e">
            <v>#N/A</v>
          </cell>
          <cell r="S433">
            <v>0</v>
          </cell>
          <cell r="T433" t="e">
            <v>#N/A</v>
          </cell>
          <cell r="U433" t="e">
            <v>#N/A</v>
          </cell>
          <cell r="V433" t="e">
            <v>#N/A</v>
          </cell>
          <cell r="W433" t="e">
            <v>#N/A</v>
          </cell>
          <cell r="X433" t="e">
            <v>#N/A</v>
          </cell>
          <cell r="Y433" t="e">
            <v>#N/A</v>
          </cell>
          <cell r="Z433" t="e">
            <v>#N/A</v>
          </cell>
          <cell r="AA433" t="e">
            <v>#N/A</v>
          </cell>
          <cell r="AB433" t="e">
            <v>#N/A</v>
          </cell>
          <cell r="AC433" t="e">
            <v>#N/A</v>
          </cell>
        </row>
        <row r="434">
          <cell r="A434" t="str">
            <v>ACSNRPR01_vieja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32.32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 t="e">
            <v>#N/A</v>
          </cell>
          <cell r="S434">
            <v>0</v>
          </cell>
          <cell r="T434" t="e">
            <v>#N/A</v>
          </cell>
          <cell r="U434" t="e">
            <v>#N/A</v>
          </cell>
          <cell r="V434" t="e">
            <v>#N/A</v>
          </cell>
          <cell r="W434" t="e">
            <v>#N/A</v>
          </cell>
          <cell r="X434" t="e">
            <v>#N/A</v>
          </cell>
          <cell r="Y434" t="e">
            <v>#N/A</v>
          </cell>
          <cell r="Z434" t="e">
            <v>#N/A</v>
          </cell>
          <cell r="AA434" t="e">
            <v>#N/A</v>
          </cell>
          <cell r="AB434" t="e">
            <v>#N/A</v>
          </cell>
          <cell r="AC434" t="e">
            <v>#N/A</v>
          </cell>
        </row>
        <row r="435">
          <cell r="A435" t="str">
            <v>ACSNRPR02</v>
          </cell>
          <cell r="B435">
            <v>41.25</v>
          </cell>
          <cell r="C435">
            <v>42.76</v>
          </cell>
          <cell r="D435">
            <v>40.729999999999997</v>
          </cell>
          <cell r="E435">
            <v>35.770000000000003</v>
          </cell>
          <cell r="F435">
            <v>36.56</v>
          </cell>
          <cell r="G435">
            <v>70.430000000000007</v>
          </cell>
          <cell r="H435">
            <v>87.81</v>
          </cell>
          <cell r="I435">
            <v>85.95</v>
          </cell>
          <cell r="J435">
            <v>105.1</v>
          </cell>
          <cell r="K435">
            <v>89.37</v>
          </cell>
          <cell r="L435">
            <v>104.52</v>
          </cell>
          <cell r="M435">
            <v>102.27</v>
          </cell>
          <cell r="N435">
            <v>86.7</v>
          </cell>
          <cell r="O435">
            <v>102.11</v>
          </cell>
          <cell r="P435">
            <v>108.42</v>
          </cell>
          <cell r="Q435">
            <v>102.39</v>
          </cell>
          <cell r="R435">
            <v>73.97</v>
          </cell>
          <cell r="S435">
            <v>110.16</v>
          </cell>
          <cell r="T435" t="e">
            <v>#N/A</v>
          </cell>
          <cell r="U435" t="e">
            <v>#N/A</v>
          </cell>
          <cell r="V435" t="e">
            <v>#N/A</v>
          </cell>
          <cell r="W435" t="e">
            <v>#N/A</v>
          </cell>
          <cell r="X435" t="e">
            <v>#N/A</v>
          </cell>
          <cell r="Y435" t="e">
            <v>#N/A</v>
          </cell>
          <cell r="Z435" t="e">
            <v>#N/A</v>
          </cell>
          <cell r="AA435" t="e">
            <v>#N/A</v>
          </cell>
          <cell r="AB435" t="e">
            <v>#N/A</v>
          </cell>
          <cell r="AC435" t="e">
            <v>#N/A</v>
          </cell>
        </row>
        <row r="436">
          <cell r="A436" t="str">
            <v>ACSYNAD01</v>
          </cell>
          <cell r="B436">
            <v>15.06</v>
          </cell>
          <cell r="C436">
            <v>15.9</v>
          </cell>
          <cell r="D436">
            <v>15.39</v>
          </cell>
          <cell r="E436">
            <v>16.18</v>
          </cell>
          <cell r="F436">
            <v>18.78</v>
          </cell>
          <cell r="G436">
            <v>27.34</v>
          </cell>
          <cell r="H436">
            <v>29.21</v>
          </cell>
          <cell r="I436">
            <v>27.78</v>
          </cell>
          <cell r="J436">
            <v>27.29</v>
          </cell>
          <cell r="K436">
            <v>29.75</v>
          </cell>
          <cell r="L436">
            <v>27.9</v>
          </cell>
          <cell r="M436">
            <v>29.49</v>
          </cell>
          <cell r="N436">
            <v>31.2</v>
          </cell>
          <cell r="O436">
            <v>33.79</v>
          </cell>
          <cell r="P436">
            <v>34.01</v>
          </cell>
          <cell r="Q436">
            <v>32.42</v>
          </cell>
          <cell r="R436">
            <v>32.880000000000003</v>
          </cell>
          <cell r="S436">
            <v>34.42</v>
          </cell>
          <cell r="T436">
            <v>32.200000000000003</v>
          </cell>
          <cell r="U436">
            <v>32.200000000000003</v>
          </cell>
          <cell r="V436">
            <v>33.19</v>
          </cell>
          <cell r="W436">
            <v>26.81</v>
          </cell>
          <cell r="X436">
            <v>26.49</v>
          </cell>
          <cell r="Y436">
            <v>42.48</v>
          </cell>
          <cell r="Z436">
            <v>33.24</v>
          </cell>
          <cell r="AA436">
            <v>43.79</v>
          </cell>
          <cell r="AB436">
            <v>39.409999999999997</v>
          </cell>
          <cell r="AC436">
            <v>42.24</v>
          </cell>
        </row>
        <row r="437">
          <cell r="A437" t="str">
            <v>ACSYNAD02</v>
          </cell>
          <cell r="B437">
            <v>13.56</v>
          </cell>
          <cell r="C437">
            <v>16.420000000000002</v>
          </cell>
          <cell r="D437">
            <v>16.850000000000001</v>
          </cell>
          <cell r="E437">
            <v>17.260000000000002</v>
          </cell>
          <cell r="F437">
            <v>19.96</v>
          </cell>
          <cell r="G437">
            <v>24.96</v>
          </cell>
          <cell r="H437">
            <v>31.38</v>
          </cell>
          <cell r="I437">
            <v>32.97</v>
          </cell>
          <cell r="J437">
            <v>29.56</v>
          </cell>
          <cell r="K437">
            <v>32.74</v>
          </cell>
          <cell r="L437">
            <v>38.64</v>
          </cell>
          <cell r="M437">
            <v>39.270000000000003</v>
          </cell>
          <cell r="N437">
            <v>35</v>
          </cell>
          <cell r="O437">
            <v>32.31</v>
          </cell>
          <cell r="P437">
            <v>34.78</v>
          </cell>
          <cell r="Q437">
            <v>37.49</v>
          </cell>
          <cell r="R437">
            <v>40</v>
          </cell>
          <cell r="S437">
            <v>40.21</v>
          </cell>
          <cell r="T437">
            <v>38.68</v>
          </cell>
          <cell r="U437">
            <v>33.68</v>
          </cell>
          <cell r="V437">
            <v>39.729999999999997</v>
          </cell>
          <cell r="W437">
            <v>39.869999999999997</v>
          </cell>
          <cell r="X437">
            <v>37.07</v>
          </cell>
          <cell r="Y437">
            <v>37.700000000000003</v>
          </cell>
          <cell r="Z437">
            <v>41.91</v>
          </cell>
          <cell r="AA437">
            <v>41.87</v>
          </cell>
          <cell r="AB437">
            <v>40.51</v>
          </cell>
          <cell r="AC437">
            <v>42.4</v>
          </cell>
        </row>
        <row r="438">
          <cell r="A438" t="str">
            <v>ACSYNDN01</v>
          </cell>
          <cell r="B438">
            <v>19</v>
          </cell>
          <cell r="C438">
            <v>24.28</v>
          </cell>
          <cell r="D438">
            <v>27.57</v>
          </cell>
          <cell r="E438">
            <v>28.74</v>
          </cell>
          <cell r="F438">
            <v>29.12</v>
          </cell>
          <cell r="G438">
            <v>27.83</v>
          </cell>
          <cell r="H438">
            <v>28.13</v>
          </cell>
          <cell r="I438">
            <v>28.36</v>
          </cell>
          <cell r="J438">
            <v>28.95</v>
          </cell>
          <cell r="K438">
            <v>28.79</v>
          </cell>
          <cell r="L438">
            <v>29.02</v>
          </cell>
          <cell r="M438">
            <v>28.19</v>
          </cell>
          <cell r="N438">
            <v>27.93</v>
          </cell>
          <cell r="O438">
            <v>27.78</v>
          </cell>
          <cell r="P438">
            <v>25.39</v>
          </cell>
          <cell r="Q438">
            <v>20.25</v>
          </cell>
          <cell r="R438">
            <v>21.76</v>
          </cell>
          <cell r="S438">
            <v>27.08</v>
          </cell>
          <cell r="T438">
            <v>23.59</v>
          </cell>
          <cell r="U438">
            <v>23</v>
          </cell>
          <cell r="V438">
            <v>22.79</v>
          </cell>
          <cell r="W438">
            <v>25.9</v>
          </cell>
          <cell r="X438">
            <v>28.38</v>
          </cell>
          <cell r="Y438">
            <v>28.04</v>
          </cell>
          <cell r="Z438">
            <v>26.68</v>
          </cell>
          <cell r="AA438">
            <v>28.45</v>
          </cell>
          <cell r="AB438">
            <v>28.32</v>
          </cell>
          <cell r="AC438">
            <v>26.55</v>
          </cell>
        </row>
        <row r="439">
          <cell r="A439" t="str">
            <v>ACSYNGL01</v>
          </cell>
          <cell r="B439">
            <v>66.510000000000005</v>
          </cell>
          <cell r="C439">
            <v>85.46</v>
          </cell>
          <cell r="D439">
            <v>86.24</v>
          </cell>
          <cell r="E439">
            <v>89.13</v>
          </cell>
          <cell r="F439">
            <v>98.81</v>
          </cell>
          <cell r="G439">
            <v>91.31</v>
          </cell>
          <cell r="H439">
            <v>98.95</v>
          </cell>
          <cell r="I439">
            <v>97.12</v>
          </cell>
          <cell r="J439">
            <v>96.15</v>
          </cell>
          <cell r="K439">
            <v>96.24</v>
          </cell>
          <cell r="L439">
            <v>102.43</v>
          </cell>
          <cell r="M439">
            <v>98.48</v>
          </cell>
          <cell r="N439">
            <v>95.06</v>
          </cell>
          <cell r="O439">
            <v>94.32</v>
          </cell>
          <cell r="P439">
            <v>96.19</v>
          </cell>
          <cell r="Q439">
            <v>92.92</v>
          </cell>
          <cell r="R439">
            <v>96.21</v>
          </cell>
          <cell r="S439">
            <v>95.9</v>
          </cell>
          <cell r="T439">
            <v>97.54</v>
          </cell>
          <cell r="U439">
            <v>97.08</v>
          </cell>
          <cell r="V439">
            <v>89.03</v>
          </cell>
          <cell r="W439">
            <v>81.48</v>
          </cell>
          <cell r="X439">
            <v>86.04</v>
          </cell>
          <cell r="Y439">
            <v>90.98</v>
          </cell>
          <cell r="Z439">
            <v>86.99</v>
          </cell>
          <cell r="AA439">
            <v>88.06</v>
          </cell>
          <cell r="AB439">
            <v>81.98</v>
          </cell>
          <cell r="AC439">
            <v>82.63</v>
          </cell>
        </row>
        <row r="440">
          <cell r="A440" t="str">
            <v>ACSYNGL01_ANTIGUA</v>
          </cell>
          <cell r="B440">
            <v>47.5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 t="e">
            <v>#N/A</v>
          </cell>
          <cell r="S440">
            <v>0</v>
          </cell>
          <cell r="T440" t="e">
            <v>#N/A</v>
          </cell>
          <cell r="U440" t="e">
            <v>#N/A</v>
          </cell>
          <cell r="V440" t="e">
            <v>#N/A</v>
          </cell>
          <cell r="W440" t="e">
            <v>#N/A</v>
          </cell>
          <cell r="X440" t="e">
            <v>#N/A</v>
          </cell>
          <cell r="Y440" t="e">
            <v>#N/A</v>
          </cell>
          <cell r="Z440" t="e">
            <v>#N/A</v>
          </cell>
          <cell r="AA440" t="e">
            <v>#N/A</v>
          </cell>
          <cell r="AB440" t="e">
            <v>#N/A</v>
          </cell>
          <cell r="AC440" t="e">
            <v>#N/A</v>
          </cell>
        </row>
        <row r="441">
          <cell r="A441" t="str">
            <v>ACSYNGL01_DS4800</v>
          </cell>
          <cell r="B441">
            <v>70.05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 t="e">
            <v>#N/A</v>
          </cell>
          <cell r="S441">
            <v>0</v>
          </cell>
          <cell r="T441" t="e">
            <v>#N/A</v>
          </cell>
          <cell r="U441" t="e">
            <v>#N/A</v>
          </cell>
          <cell r="V441" t="e">
            <v>#N/A</v>
          </cell>
          <cell r="W441" t="e">
            <v>#N/A</v>
          </cell>
          <cell r="X441" t="e">
            <v>#N/A</v>
          </cell>
          <cell r="Y441" t="e">
            <v>#N/A</v>
          </cell>
          <cell r="Z441" t="e">
            <v>#N/A</v>
          </cell>
          <cell r="AA441" t="e">
            <v>#N/A</v>
          </cell>
          <cell r="AB441" t="e">
            <v>#N/A</v>
          </cell>
          <cell r="AC441" t="e">
            <v>#N/A</v>
          </cell>
        </row>
        <row r="442">
          <cell r="A442" t="str">
            <v>ACSYNGL03</v>
          </cell>
          <cell r="B442">
            <v>87.8</v>
          </cell>
          <cell r="C442">
            <v>108.96</v>
          </cell>
          <cell r="D442">
            <v>106.98</v>
          </cell>
          <cell r="E442">
            <v>105.62</v>
          </cell>
          <cell r="F442">
            <v>106.7</v>
          </cell>
          <cell r="G442">
            <v>106.2</v>
          </cell>
          <cell r="H442">
            <v>111.47</v>
          </cell>
          <cell r="I442">
            <v>111.65</v>
          </cell>
          <cell r="J442">
            <v>91.99</v>
          </cell>
          <cell r="K442">
            <v>92.22</v>
          </cell>
          <cell r="L442">
            <v>91.31</v>
          </cell>
          <cell r="M442">
            <v>76.540000000000006</v>
          </cell>
          <cell r="N442">
            <v>64</v>
          </cell>
          <cell r="O442">
            <v>56.95</v>
          </cell>
          <cell r="P442">
            <v>61.25</v>
          </cell>
          <cell r="Q442">
            <v>82.46</v>
          </cell>
          <cell r="R442">
            <v>83.09</v>
          </cell>
          <cell r="S442">
            <v>131.54</v>
          </cell>
          <cell r="T442">
            <v>139.51</v>
          </cell>
          <cell r="U442">
            <v>89.15</v>
          </cell>
          <cell r="V442">
            <v>83.62</v>
          </cell>
          <cell r="W442">
            <v>81.260000000000005</v>
          </cell>
          <cell r="X442">
            <v>83.83</v>
          </cell>
          <cell r="Y442">
            <v>83.13</v>
          </cell>
          <cell r="Z442">
            <v>82.39</v>
          </cell>
          <cell r="AA442">
            <v>83.71</v>
          </cell>
          <cell r="AB442">
            <v>83.73</v>
          </cell>
          <cell r="AC442">
            <v>80.11</v>
          </cell>
        </row>
        <row r="443">
          <cell r="A443" t="str">
            <v>ACSYNGL03_DS4800</v>
          </cell>
          <cell r="B443">
            <v>51.16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 t="e">
            <v>#N/A</v>
          </cell>
          <cell r="S443">
            <v>0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A443" t="e">
            <v>#N/A</v>
          </cell>
          <cell r="AB443" t="e">
            <v>#N/A</v>
          </cell>
          <cell r="AC443" t="e">
            <v>#N/A</v>
          </cell>
        </row>
        <row r="444">
          <cell r="A444" t="str">
            <v>ACSYNRC01</v>
          </cell>
          <cell r="B444">
            <v>9.9600000000000009</v>
          </cell>
          <cell r="C444">
            <v>10.73</v>
          </cell>
          <cell r="D444">
            <v>10.09</v>
          </cell>
          <cell r="E444">
            <v>8.48</v>
          </cell>
          <cell r="F444">
            <v>9.5</v>
          </cell>
          <cell r="G444">
            <v>13.77</v>
          </cell>
          <cell r="H444">
            <v>26.18</v>
          </cell>
          <cell r="I444">
            <v>26.55</v>
          </cell>
          <cell r="J444">
            <v>24.87</v>
          </cell>
          <cell r="K444">
            <v>17.010000000000002</v>
          </cell>
          <cell r="L444">
            <v>12.36</v>
          </cell>
          <cell r="M444">
            <v>9.8000000000000007</v>
          </cell>
          <cell r="N444">
            <v>28.25</v>
          </cell>
          <cell r="O444">
            <v>26.37</v>
          </cell>
          <cell r="P444">
            <v>27.97</v>
          </cell>
          <cell r="Q444">
            <v>29.01</v>
          </cell>
          <cell r="R444">
            <v>28.66</v>
          </cell>
          <cell r="S444">
            <v>32.369999999999997</v>
          </cell>
          <cell r="T444">
            <v>31.6</v>
          </cell>
          <cell r="U444">
            <v>31.37</v>
          </cell>
          <cell r="V444">
            <v>30.84</v>
          </cell>
          <cell r="W444">
            <v>29.68</v>
          </cell>
          <cell r="X444">
            <v>30.92</v>
          </cell>
          <cell r="Y444">
            <v>25.97</v>
          </cell>
          <cell r="Z444">
            <v>25.05</v>
          </cell>
          <cell r="AA444">
            <v>28.77</v>
          </cell>
          <cell r="AB444">
            <v>29.25</v>
          </cell>
          <cell r="AC444">
            <v>27.92</v>
          </cell>
        </row>
        <row r="445">
          <cell r="A445" t="str">
            <v>ACSYNRC01_PARCHE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5.8</v>
          </cell>
          <cell r="H445">
            <v>0</v>
          </cell>
          <cell r="I445">
            <v>0</v>
          </cell>
          <cell r="J445">
            <v>0</v>
          </cell>
          <cell r="K445">
            <v>5.54</v>
          </cell>
          <cell r="L445">
            <v>5.57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 t="e">
            <v>#N/A</v>
          </cell>
          <cell r="S445">
            <v>0</v>
          </cell>
          <cell r="T445" t="e">
            <v>#N/A</v>
          </cell>
          <cell r="U445" t="e">
            <v>#N/A</v>
          </cell>
          <cell r="V445" t="e">
            <v>#N/A</v>
          </cell>
          <cell r="W445" t="e">
            <v>#N/A</v>
          </cell>
          <cell r="X445" t="e">
            <v>#N/A</v>
          </cell>
          <cell r="Y445" t="e">
            <v>#N/A</v>
          </cell>
          <cell r="Z445" t="e">
            <v>#N/A</v>
          </cell>
          <cell r="AA445" t="e">
            <v>#N/A</v>
          </cell>
          <cell r="AB445" t="e">
            <v>#N/A</v>
          </cell>
          <cell r="AC445" t="e">
            <v>#N/A</v>
          </cell>
        </row>
        <row r="446">
          <cell r="A446" t="str">
            <v>ACSYNREP01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14.36</v>
          </cell>
          <cell r="H446">
            <v>24.52</v>
          </cell>
          <cell r="I446">
            <v>35.14</v>
          </cell>
          <cell r="J446">
            <v>35.57</v>
          </cell>
          <cell r="K446">
            <v>29.23</v>
          </cell>
          <cell r="L446">
            <v>23.5</v>
          </cell>
          <cell r="M446">
            <v>20.88</v>
          </cell>
          <cell r="N446">
            <v>21.39</v>
          </cell>
          <cell r="O446">
            <v>24.62</v>
          </cell>
          <cell r="P446">
            <v>36.11</v>
          </cell>
          <cell r="Q446">
            <v>43.04</v>
          </cell>
          <cell r="R446">
            <v>48.69</v>
          </cell>
          <cell r="S446">
            <v>52.21</v>
          </cell>
          <cell r="T446">
            <v>52.92</v>
          </cell>
          <cell r="U446">
            <v>51.19</v>
          </cell>
          <cell r="V446">
            <v>44.24</v>
          </cell>
          <cell r="W446">
            <v>38.78</v>
          </cell>
          <cell r="X446">
            <v>50.63</v>
          </cell>
          <cell r="Y446">
            <v>37.869999999999997</v>
          </cell>
          <cell r="Z446">
            <v>46.11</v>
          </cell>
          <cell r="AA446">
            <v>55.56</v>
          </cell>
          <cell r="AB446">
            <v>57.72</v>
          </cell>
          <cell r="AC446">
            <v>59.21</v>
          </cell>
        </row>
        <row r="447">
          <cell r="A447" t="str">
            <v>ACSYNREP02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37.659999999999997</v>
          </cell>
          <cell r="L447">
            <v>13.56</v>
          </cell>
          <cell r="M447">
            <v>40.79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 t="e">
            <v>#N/A</v>
          </cell>
          <cell r="S447">
            <v>0</v>
          </cell>
          <cell r="T447" t="e">
            <v>#N/A</v>
          </cell>
          <cell r="U447" t="e">
            <v>#N/A</v>
          </cell>
          <cell r="V447" t="e">
            <v>#N/A</v>
          </cell>
          <cell r="W447" t="e">
            <v>#N/A</v>
          </cell>
          <cell r="X447" t="e">
            <v>#N/A</v>
          </cell>
          <cell r="Y447" t="e">
            <v>#N/A</v>
          </cell>
          <cell r="Z447" t="e">
            <v>#N/A</v>
          </cell>
          <cell r="AA447" t="e">
            <v>#N/A</v>
          </cell>
          <cell r="AB447" t="e">
            <v>#N/A</v>
          </cell>
          <cell r="AC447" t="e">
            <v>#N/A</v>
          </cell>
        </row>
        <row r="448">
          <cell r="A448" t="str">
            <v>ACSYNSG01</v>
          </cell>
          <cell r="B448">
            <v>209.99</v>
          </cell>
          <cell r="C448">
            <v>195.77</v>
          </cell>
          <cell r="D448">
            <v>220.21</v>
          </cell>
          <cell r="E448">
            <v>228.96</v>
          </cell>
          <cell r="F448">
            <v>191.5</v>
          </cell>
          <cell r="G448">
            <v>224.77</v>
          </cell>
          <cell r="H448">
            <v>232.19</v>
          </cell>
          <cell r="I448">
            <v>242.93</v>
          </cell>
          <cell r="J448">
            <v>246.66</v>
          </cell>
          <cell r="K448">
            <v>227.27</v>
          </cell>
          <cell r="L448">
            <v>228.41</v>
          </cell>
          <cell r="M448">
            <v>213.06</v>
          </cell>
          <cell r="N448">
            <v>239.56</v>
          </cell>
          <cell r="O448">
            <v>249.11</v>
          </cell>
          <cell r="P448">
            <v>237.97</v>
          </cell>
          <cell r="Q448">
            <v>263.58999999999997</v>
          </cell>
          <cell r="R448">
            <v>230.87</v>
          </cell>
          <cell r="S448">
            <v>222.67</v>
          </cell>
          <cell r="T448">
            <v>231.71</v>
          </cell>
          <cell r="U448">
            <v>198.99</v>
          </cell>
          <cell r="V448">
            <v>143.51</v>
          </cell>
          <cell r="W448">
            <v>118.11</v>
          </cell>
          <cell r="X448" t="e">
            <v>#N/A</v>
          </cell>
          <cell r="Y448" t="e">
            <v>#N/A</v>
          </cell>
          <cell r="Z448" t="e">
            <v>#N/A</v>
          </cell>
          <cell r="AA448" t="e">
            <v>#N/A</v>
          </cell>
          <cell r="AB448" t="e">
            <v>#N/A</v>
          </cell>
          <cell r="AC448" t="e">
            <v>#N/A</v>
          </cell>
        </row>
        <row r="449">
          <cell r="A449" t="str">
            <v>ACSYNSG02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12</v>
          </cell>
          <cell r="K449">
            <v>6.12</v>
          </cell>
          <cell r="L449">
            <v>10.24</v>
          </cell>
          <cell r="M449">
            <v>20.22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 t="e">
            <v>#N/A</v>
          </cell>
          <cell r="S449">
            <v>0</v>
          </cell>
          <cell r="T449" t="e">
            <v>#N/A</v>
          </cell>
          <cell r="U449" t="e">
            <v>#N/A</v>
          </cell>
          <cell r="V449" t="e">
            <v>#N/A</v>
          </cell>
          <cell r="W449" t="e">
            <v>#N/A</v>
          </cell>
          <cell r="X449" t="e">
            <v>#N/A</v>
          </cell>
          <cell r="Y449" t="e">
            <v>#N/A</v>
          </cell>
          <cell r="Z449" t="e">
            <v>#N/A</v>
          </cell>
          <cell r="AA449" t="e">
            <v>#N/A</v>
          </cell>
          <cell r="AB449" t="e">
            <v>#N/A</v>
          </cell>
          <cell r="AC449" t="e">
            <v>#N/A</v>
          </cell>
        </row>
        <row r="450">
          <cell r="A450" t="str">
            <v>ACSYNSG03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24.95</v>
          </cell>
          <cell r="M450">
            <v>22.17</v>
          </cell>
          <cell r="N450">
            <v>15.68</v>
          </cell>
          <cell r="O450">
            <v>0</v>
          </cell>
          <cell r="P450">
            <v>0</v>
          </cell>
          <cell r="Q450">
            <v>0</v>
          </cell>
          <cell r="R450" t="e">
            <v>#N/A</v>
          </cell>
          <cell r="S450">
            <v>0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A450" t="e">
            <v>#N/A</v>
          </cell>
          <cell r="AB450" t="e">
            <v>#N/A</v>
          </cell>
          <cell r="AC450" t="e">
            <v>#N/A</v>
          </cell>
        </row>
        <row r="451">
          <cell r="A451" t="str">
            <v>ACSYNSG04</v>
          </cell>
          <cell r="B451">
            <v>12.18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 t="e">
            <v>#N/A</v>
          </cell>
          <cell r="S451">
            <v>0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A451" t="e">
            <v>#N/A</v>
          </cell>
          <cell r="AB451" t="e">
            <v>#N/A</v>
          </cell>
          <cell r="AC451" t="e">
            <v>#N/A</v>
          </cell>
        </row>
        <row r="452">
          <cell r="A452" t="str">
            <v>ACSYNSG05</v>
          </cell>
          <cell r="B452">
            <v>16.14</v>
          </cell>
          <cell r="C452">
            <v>24.78</v>
          </cell>
          <cell r="D452">
            <v>18.93</v>
          </cell>
          <cell r="E452">
            <v>20.73</v>
          </cell>
          <cell r="F452">
            <v>37.22</v>
          </cell>
          <cell r="G452">
            <v>27.21</v>
          </cell>
          <cell r="H452">
            <v>31.05</v>
          </cell>
          <cell r="I452">
            <v>77.91</v>
          </cell>
          <cell r="J452">
            <v>62.93</v>
          </cell>
          <cell r="K452">
            <v>51.49</v>
          </cell>
          <cell r="L452">
            <v>47.56</v>
          </cell>
          <cell r="M452">
            <v>102.32</v>
          </cell>
          <cell r="N452">
            <v>100.75</v>
          </cell>
          <cell r="O452">
            <v>62.73</v>
          </cell>
          <cell r="P452">
            <v>54.34</v>
          </cell>
          <cell r="Q452">
            <v>57.02</v>
          </cell>
          <cell r="R452">
            <v>56.38</v>
          </cell>
          <cell r="S452">
            <v>0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A452" t="e">
            <v>#N/A</v>
          </cell>
          <cell r="AB452" t="e">
            <v>#N/A</v>
          </cell>
          <cell r="AC452" t="e">
            <v>#N/A</v>
          </cell>
        </row>
        <row r="453">
          <cell r="A453" t="str">
            <v>ACSYNSG05 (1)</v>
          </cell>
          <cell r="B453">
            <v>0</v>
          </cell>
          <cell r="C453">
            <v>4.01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 t="e">
            <v>#N/A</v>
          </cell>
          <cell r="S453">
            <v>0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A453" t="e">
            <v>#N/A</v>
          </cell>
          <cell r="AB453" t="e">
            <v>#N/A</v>
          </cell>
          <cell r="AC453" t="e">
            <v>#N/A</v>
          </cell>
        </row>
        <row r="454">
          <cell r="A454" t="str">
            <v>ACSYNSG05_CLONE</v>
          </cell>
          <cell r="B454">
            <v>0</v>
          </cell>
          <cell r="C454">
            <v>0</v>
          </cell>
          <cell r="D454">
            <v>19.579999999999998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 t="e">
            <v>#N/A</v>
          </cell>
          <cell r="S454">
            <v>0</v>
          </cell>
          <cell r="T454" t="e">
            <v>#N/A</v>
          </cell>
          <cell r="U454" t="e">
            <v>#N/A</v>
          </cell>
          <cell r="V454" t="e">
            <v>#N/A</v>
          </cell>
          <cell r="W454" t="e">
            <v>#N/A</v>
          </cell>
          <cell r="X454" t="e">
            <v>#N/A</v>
          </cell>
          <cell r="Y454" t="e">
            <v>#N/A</v>
          </cell>
          <cell r="Z454" t="e">
            <v>#N/A</v>
          </cell>
          <cell r="AA454" t="e">
            <v>#N/A</v>
          </cell>
          <cell r="AB454" t="e">
            <v>#N/A</v>
          </cell>
          <cell r="AC454" t="e">
            <v>#N/A</v>
          </cell>
        </row>
        <row r="455">
          <cell r="A455" t="str">
            <v>ACSYNSG05_DS4800</v>
          </cell>
          <cell r="B455">
            <v>0</v>
          </cell>
          <cell r="C455">
            <v>30.5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 t="e">
            <v>#N/A</v>
          </cell>
          <cell r="S455">
            <v>0</v>
          </cell>
          <cell r="T455" t="e">
            <v>#N/A</v>
          </cell>
          <cell r="U455" t="e">
            <v>#N/A</v>
          </cell>
          <cell r="V455" t="e">
            <v>#N/A</v>
          </cell>
          <cell r="W455" t="e">
            <v>#N/A</v>
          </cell>
          <cell r="X455" t="e">
            <v>#N/A</v>
          </cell>
          <cell r="Y455" t="e">
            <v>#N/A</v>
          </cell>
          <cell r="Z455" t="e">
            <v>#N/A</v>
          </cell>
          <cell r="AA455" t="e">
            <v>#N/A</v>
          </cell>
          <cell r="AB455" t="e">
            <v>#N/A</v>
          </cell>
          <cell r="AC455" t="e">
            <v>#N/A</v>
          </cell>
        </row>
        <row r="456">
          <cell r="A456" t="str">
            <v>ACTICBD01</v>
          </cell>
          <cell r="B456">
            <v>10.85</v>
          </cell>
          <cell r="C456">
            <v>12.25</v>
          </cell>
          <cell r="D456">
            <v>13.89</v>
          </cell>
          <cell r="E456">
            <v>16.170000000000002</v>
          </cell>
          <cell r="F456">
            <v>12.63</v>
          </cell>
          <cell r="G456">
            <v>12.93</v>
          </cell>
          <cell r="H456">
            <v>12.77</v>
          </cell>
          <cell r="I456">
            <v>13.07</v>
          </cell>
          <cell r="J456">
            <v>16.510000000000002</v>
          </cell>
          <cell r="K456">
            <v>17.39</v>
          </cell>
          <cell r="L456">
            <v>21.59</v>
          </cell>
          <cell r="M456">
            <v>18.64</v>
          </cell>
          <cell r="N456">
            <v>20.420000000000002</v>
          </cell>
          <cell r="O456">
            <v>27.8</v>
          </cell>
          <cell r="P456">
            <v>26.66</v>
          </cell>
          <cell r="Q456">
            <v>29.1</v>
          </cell>
          <cell r="R456">
            <v>26.38</v>
          </cell>
          <cell r="S456">
            <v>23.88</v>
          </cell>
          <cell r="T456">
            <v>28.71</v>
          </cell>
          <cell r="U456">
            <v>25.39</v>
          </cell>
          <cell r="V456">
            <v>25.35</v>
          </cell>
          <cell r="W456">
            <v>19.53</v>
          </cell>
          <cell r="X456">
            <v>20.72</v>
          </cell>
          <cell r="Y456">
            <v>22.22</v>
          </cell>
          <cell r="Z456">
            <v>18.149999999999999</v>
          </cell>
          <cell r="AA456">
            <v>39.14</v>
          </cell>
          <cell r="AB456" t="e">
            <v>#N/A</v>
          </cell>
          <cell r="AC456" t="e">
            <v>#N/A</v>
          </cell>
        </row>
        <row r="457">
          <cell r="A457" t="str">
            <v>ACTICBD02</v>
          </cell>
          <cell r="B457">
            <v>0</v>
          </cell>
          <cell r="C457">
            <v>0</v>
          </cell>
          <cell r="D457">
            <v>0</v>
          </cell>
          <cell r="E457">
            <v>25.44</v>
          </cell>
          <cell r="F457">
            <v>43.37</v>
          </cell>
          <cell r="G457">
            <v>35.369999999999997</v>
          </cell>
          <cell r="H457">
            <v>42.06</v>
          </cell>
          <cell r="I457">
            <v>109.63</v>
          </cell>
          <cell r="J457">
            <v>112.5</v>
          </cell>
          <cell r="K457">
            <v>138.9</v>
          </cell>
          <cell r="L457">
            <v>229.23</v>
          </cell>
          <cell r="M457">
            <v>138.08000000000001</v>
          </cell>
          <cell r="N457">
            <v>131.04</v>
          </cell>
          <cell r="O457">
            <v>136.34</v>
          </cell>
          <cell r="P457">
            <v>144.78</v>
          </cell>
          <cell r="Q457">
            <v>152.44999999999999</v>
          </cell>
          <cell r="R457">
            <v>154.06</v>
          </cell>
          <cell r="S457">
            <v>147.94</v>
          </cell>
          <cell r="T457">
            <v>142.78</v>
          </cell>
          <cell r="U457">
            <v>158.78</v>
          </cell>
          <cell r="V457">
            <v>143.13999999999999</v>
          </cell>
          <cell r="W457">
            <v>133.08000000000001</v>
          </cell>
          <cell r="X457">
            <v>153.91</v>
          </cell>
          <cell r="Y457">
            <v>152.85</v>
          </cell>
          <cell r="Z457">
            <v>154.9</v>
          </cell>
          <cell r="AA457">
            <v>273.43</v>
          </cell>
          <cell r="AB457">
            <v>305.52</v>
          </cell>
          <cell r="AC457">
            <v>288.39999999999998</v>
          </cell>
        </row>
        <row r="458">
          <cell r="A458" t="str">
            <v>ACTICBD03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84.33</v>
          </cell>
          <cell r="G458">
            <v>127.28</v>
          </cell>
          <cell r="H458">
            <v>108.39</v>
          </cell>
          <cell r="I458">
            <v>96.25</v>
          </cell>
          <cell r="J458">
            <v>99.99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 t="e">
            <v>#N/A</v>
          </cell>
          <cell r="S458">
            <v>0</v>
          </cell>
          <cell r="T458" t="e">
            <v>#N/A</v>
          </cell>
          <cell r="U458" t="e">
            <v>#N/A</v>
          </cell>
          <cell r="V458" t="e">
            <v>#N/A</v>
          </cell>
          <cell r="W458" t="e">
            <v>#N/A</v>
          </cell>
          <cell r="X458" t="e">
            <v>#N/A</v>
          </cell>
          <cell r="Y458" t="e">
            <v>#N/A</v>
          </cell>
          <cell r="Z458" t="e">
            <v>#N/A</v>
          </cell>
          <cell r="AA458" t="e">
            <v>#N/A</v>
          </cell>
          <cell r="AB458">
            <v>37.01</v>
          </cell>
          <cell r="AC458">
            <v>42.49</v>
          </cell>
        </row>
        <row r="459">
          <cell r="A459" t="str">
            <v>ACTICPR01</v>
          </cell>
          <cell r="B459">
            <v>12</v>
          </cell>
          <cell r="C459">
            <v>14.75</v>
          </cell>
          <cell r="D459">
            <v>15.77</v>
          </cell>
          <cell r="E459">
            <v>23.04</v>
          </cell>
          <cell r="F459">
            <v>21.95</v>
          </cell>
          <cell r="G459">
            <v>23.58</v>
          </cell>
          <cell r="H459">
            <v>22.54</v>
          </cell>
          <cell r="I459">
            <v>20.54</v>
          </cell>
          <cell r="J459">
            <v>20.190000000000001</v>
          </cell>
          <cell r="K459">
            <v>21.25</v>
          </cell>
          <cell r="L459">
            <v>23.09</v>
          </cell>
          <cell r="M459">
            <v>25.83</v>
          </cell>
          <cell r="N459">
            <v>28.11</v>
          </cell>
          <cell r="O459">
            <v>27.65</v>
          </cell>
          <cell r="P459">
            <v>26.2</v>
          </cell>
          <cell r="Q459">
            <v>28.25</v>
          </cell>
          <cell r="R459">
            <v>24.96</v>
          </cell>
          <cell r="S459">
            <v>25.73</v>
          </cell>
          <cell r="T459">
            <v>25.43</v>
          </cell>
          <cell r="U459">
            <v>26.67</v>
          </cell>
          <cell r="V459">
            <v>26.34</v>
          </cell>
          <cell r="W459">
            <v>23.5</v>
          </cell>
          <cell r="X459">
            <v>24.41</v>
          </cell>
          <cell r="Y459">
            <v>26.41</v>
          </cell>
          <cell r="Z459">
            <v>25.63</v>
          </cell>
          <cell r="AA459">
            <v>37.770000000000003</v>
          </cell>
          <cell r="AB459" t="e">
            <v>#N/A</v>
          </cell>
          <cell r="AC459" t="e">
            <v>#N/A</v>
          </cell>
        </row>
        <row r="460">
          <cell r="A460" t="str">
            <v>ACTICPR02</v>
          </cell>
          <cell r="B460">
            <v>0</v>
          </cell>
          <cell r="C460">
            <v>0</v>
          </cell>
          <cell r="D460">
            <v>0</v>
          </cell>
          <cell r="E460">
            <v>34.729999999999997</v>
          </cell>
          <cell r="F460">
            <v>83.77</v>
          </cell>
          <cell r="G460">
            <v>104.6</v>
          </cell>
          <cell r="H460">
            <v>235.62</v>
          </cell>
          <cell r="I460">
            <v>248.14</v>
          </cell>
          <cell r="J460">
            <v>296.56</v>
          </cell>
          <cell r="K460">
            <v>311.58999999999997</v>
          </cell>
          <cell r="L460">
            <v>286.82</v>
          </cell>
          <cell r="M460">
            <v>280.94</v>
          </cell>
          <cell r="N460">
            <v>281.39</v>
          </cell>
          <cell r="O460">
            <v>268.11</v>
          </cell>
          <cell r="P460">
            <v>280.72000000000003</v>
          </cell>
          <cell r="Q460">
            <v>277.81</v>
          </cell>
          <cell r="R460">
            <v>279.08999999999997</v>
          </cell>
          <cell r="S460">
            <v>266.16000000000003</v>
          </cell>
          <cell r="T460">
            <v>273.55</v>
          </cell>
          <cell r="U460">
            <v>281.91000000000003</v>
          </cell>
          <cell r="V460">
            <v>280.12</v>
          </cell>
          <cell r="W460">
            <v>259.39</v>
          </cell>
          <cell r="X460">
            <v>285.87</v>
          </cell>
          <cell r="Y460">
            <v>264.02</v>
          </cell>
          <cell r="Z460">
            <v>266.91000000000003</v>
          </cell>
          <cell r="AA460">
            <v>297.52</v>
          </cell>
          <cell r="AB460">
            <v>312.70999999999998</v>
          </cell>
          <cell r="AC460">
            <v>312.06</v>
          </cell>
        </row>
        <row r="461">
          <cell r="A461" t="str">
            <v>ACTICPR03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157.08000000000001</v>
          </cell>
          <cell r="G461">
            <v>208.43</v>
          </cell>
          <cell r="H461">
            <v>212.92</v>
          </cell>
          <cell r="I461">
            <v>245.91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 t="e">
            <v>#N/A</v>
          </cell>
          <cell r="S461">
            <v>0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A461" t="e">
            <v>#N/A</v>
          </cell>
          <cell r="AB461">
            <v>37.46</v>
          </cell>
          <cell r="AC461">
            <v>51.15</v>
          </cell>
        </row>
        <row r="462">
          <cell r="A462" t="str">
            <v>ACTICPR04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91.84</v>
          </cell>
          <cell r="L462">
            <v>77.88</v>
          </cell>
          <cell r="M462">
            <v>78.45</v>
          </cell>
          <cell r="N462">
            <v>65.44</v>
          </cell>
          <cell r="O462">
            <v>67.28</v>
          </cell>
          <cell r="P462">
            <v>73.790000000000006</v>
          </cell>
          <cell r="Q462">
            <v>81.39</v>
          </cell>
          <cell r="R462">
            <v>90.54</v>
          </cell>
          <cell r="S462">
            <v>84.42</v>
          </cell>
          <cell r="T462">
            <v>101.36</v>
          </cell>
          <cell r="U462">
            <v>96.3</v>
          </cell>
          <cell r="V462">
            <v>85.96</v>
          </cell>
          <cell r="W462">
            <v>73.430000000000007</v>
          </cell>
          <cell r="X462">
            <v>76.58</v>
          </cell>
          <cell r="Y462">
            <v>89.73</v>
          </cell>
          <cell r="Z462">
            <v>103.92</v>
          </cell>
          <cell r="AA462">
            <v>146.19999999999999</v>
          </cell>
          <cell r="AB462">
            <v>166.91</v>
          </cell>
          <cell r="AC462">
            <v>167.01</v>
          </cell>
        </row>
        <row r="463">
          <cell r="A463" t="str">
            <v>ACADCBD34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7.66</v>
          </cell>
          <cell r="Q463">
            <v>0</v>
          </cell>
          <cell r="R463" t="e">
            <v>#N/A</v>
          </cell>
          <cell r="S463">
            <v>0</v>
          </cell>
          <cell r="T463" t="e">
            <v>#N/A</v>
          </cell>
          <cell r="U463" t="e">
            <v>#N/A</v>
          </cell>
          <cell r="V463" t="e">
            <v>#N/A</v>
          </cell>
          <cell r="W463" t="e">
            <v>#N/A</v>
          </cell>
          <cell r="X463" t="e">
            <v>#N/A</v>
          </cell>
          <cell r="Y463" t="e">
            <v>#N/A</v>
          </cell>
          <cell r="Z463" t="e">
            <v>#N/A</v>
          </cell>
          <cell r="AA463" t="e">
            <v>#N/A</v>
          </cell>
          <cell r="AB463" t="e">
            <v>#N/A</v>
          </cell>
          <cell r="AC463" t="e">
            <v>#N/A</v>
          </cell>
        </row>
        <row r="464">
          <cell r="A464" t="str">
            <v>ACADCBD46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30.29</v>
          </cell>
          <cell r="Q464">
            <v>32.6</v>
          </cell>
          <cell r="R464">
            <v>35.049999999999997</v>
          </cell>
          <cell r="S464">
            <v>34.86</v>
          </cell>
          <cell r="T464">
            <v>38.97</v>
          </cell>
          <cell r="U464">
            <v>38.32</v>
          </cell>
          <cell r="V464">
            <v>47.86</v>
          </cell>
          <cell r="W464">
            <v>35.520000000000003</v>
          </cell>
          <cell r="X464">
            <v>35.67</v>
          </cell>
          <cell r="Y464">
            <v>35.479999999999997</v>
          </cell>
          <cell r="Z464">
            <v>35.840000000000003</v>
          </cell>
          <cell r="AA464">
            <v>58.76</v>
          </cell>
          <cell r="AB464">
            <v>57.19</v>
          </cell>
          <cell r="AC464">
            <v>52.53</v>
          </cell>
        </row>
        <row r="465">
          <cell r="A465" t="str">
            <v>ACADCPR46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37.270000000000003</v>
          </cell>
          <cell r="Q465">
            <v>36.119999999999997</v>
          </cell>
          <cell r="R465">
            <v>47.05</v>
          </cell>
          <cell r="S465">
            <v>40.14</v>
          </cell>
          <cell r="T465">
            <v>48.7</v>
          </cell>
          <cell r="U465">
            <v>39.270000000000003</v>
          </cell>
          <cell r="V465">
            <v>18.13</v>
          </cell>
          <cell r="W465">
            <v>42.01</v>
          </cell>
          <cell r="X465">
            <v>46.16</v>
          </cell>
          <cell r="Y465">
            <v>46.2</v>
          </cell>
          <cell r="Z465">
            <v>49.56</v>
          </cell>
          <cell r="AA465">
            <v>58.2</v>
          </cell>
          <cell r="AB465">
            <v>59.08</v>
          </cell>
          <cell r="AC465">
            <v>59.89</v>
          </cell>
        </row>
        <row r="466">
          <cell r="A466" t="str">
            <v>ACCRTAP01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49.99</v>
          </cell>
          <cell r="Q466">
            <v>72.930000000000007</v>
          </cell>
          <cell r="R466">
            <v>72.98</v>
          </cell>
          <cell r="S466">
            <v>66.86</v>
          </cell>
          <cell r="T466">
            <v>70.42</v>
          </cell>
          <cell r="U466">
            <v>69.709999999999994</v>
          </cell>
          <cell r="V466">
            <v>71.349999999999994</v>
          </cell>
          <cell r="W466">
            <v>71.36</v>
          </cell>
          <cell r="X466" t="e">
            <v>#N/A</v>
          </cell>
          <cell r="Y466" t="e">
            <v>#N/A</v>
          </cell>
          <cell r="Z466" t="e">
            <v>#N/A</v>
          </cell>
          <cell r="AA466" t="e">
            <v>#N/A</v>
          </cell>
          <cell r="AB466">
            <v>3.86</v>
          </cell>
          <cell r="AC466" t="e">
            <v>#N/A</v>
          </cell>
        </row>
        <row r="467">
          <cell r="A467" t="str">
            <v>ACDACAP03_BORRAR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158.01</v>
          </cell>
          <cell r="Q467">
            <v>0</v>
          </cell>
          <cell r="R467" t="e">
            <v>#N/A</v>
          </cell>
          <cell r="S467">
            <v>0</v>
          </cell>
          <cell r="T467" t="e">
            <v>#N/A</v>
          </cell>
          <cell r="U467" t="e">
            <v>#N/A</v>
          </cell>
          <cell r="V467" t="e">
            <v>#N/A</v>
          </cell>
          <cell r="W467" t="e">
            <v>#N/A</v>
          </cell>
          <cell r="X467" t="e">
            <v>#N/A</v>
          </cell>
          <cell r="Y467" t="e">
            <v>#N/A</v>
          </cell>
          <cell r="Z467" t="e">
            <v>#N/A</v>
          </cell>
          <cell r="AA467" t="e">
            <v>#N/A</v>
          </cell>
          <cell r="AB467" t="e">
            <v>#N/A</v>
          </cell>
          <cell r="AC467">
            <v>397.09</v>
          </cell>
        </row>
        <row r="468">
          <cell r="A468" t="str">
            <v>ACDASBD01_PARCHE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17.600000000000001</v>
          </cell>
          <cell r="Q468">
            <v>20.8</v>
          </cell>
          <cell r="R468">
            <v>21.09</v>
          </cell>
          <cell r="S468">
            <v>21.29</v>
          </cell>
          <cell r="T468">
            <v>14.06</v>
          </cell>
          <cell r="U468">
            <v>9.26</v>
          </cell>
          <cell r="V468">
            <v>10.029999999999999</v>
          </cell>
          <cell r="W468">
            <v>9.94</v>
          </cell>
          <cell r="X468" t="e">
            <v>#N/A</v>
          </cell>
          <cell r="Y468" t="e">
            <v>#N/A</v>
          </cell>
          <cell r="Z468" t="e">
            <v>#N/A</v>
          </cell>
          <cell r="AA468" t="e">
            <v>#N/A</v>
          </cell>
          <cell r="AB468" t="e">
            <v>#N/A</v>
          </cell>
          <cell r="AC468" t="e">
            <v>#N/A</v>
          </cell>
        </row>
        <row r="469">
          <cell r="A469" t="str">
            <v>ACDASPR06_PARCHE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71.05</v>
          </cell>
          <cell r="Q469">
            <v>68.959999999999994</v>
          </cell>
          <cell r="R469">
            <v>65.099999999999994</v>
          </cell>
          <cell r="S469">
            <v>39.14</v>
          </cell>
          <cell r="T469">
            <v>22.92</v>
          </cell>
          <cell r="U469">
            <v>11.11</v>
          </cell>
          <cell r="V469">
            <v>10.94</v>
          </cell>
          <cell r="W469">
            <v>10.83</v>
          </cell>
          <cell r="X469" t="e">
            <v>#N/A</v>
          </cell>
          <cell r="Y469" t="e">
            <v>#N/A</v>
          </cell>
          <cell r="Z469" t="e">
            <v>#N/A</v>
          </cell>
          <cell r="AA469" t="e">
            <v>#N/A</v>
          </cell>
          <cell r="AB469" t="e">
            <v>#N/A</v>
          </cell>
          <cell r="AC469" t="e">
            <v>#N/A</v>
          </cell>
        </row>
        <row r="470">
          <cell r="A470" t="str">
            <v>ACMDPPR06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29.87</v>
          </cell>
          <cell r="Q470">
            <v>44.55</v>
          </cell>
          <cell r="R470">
            <v>42.58</v>
          </cell>
          <cell r="S470">
            <v>47.19</v>
          </cell>
          <cell r="T470">
            <v>44.92</v>
          </cell>
          <cell r="U470">
            <v>31.52</v>
          </cell>
          <cell r="V470">
            <v>29.57</v>
          </cell>
          <cell r="W470">
            <v>23.03</v>
          </cell>
          <cell r="X470">
            <v>20.5</v>
          </cell>
          <cell r="Y470">
            <v>31.4</v>
          </cell>
          <cell r="Z470">
            <v>44.11</v>
          </cell>
          <cell r="AA470">
            <v>71.739999999999995</v>
          </cell>
          <cell r="AB470" t="e">
            <v>#N/A</v>
          </cell>
          <cell r="AC470" t="e">
            <v>#N/A</v>
          </cell>
        </row>
        <row r="471">
          <cell r="A471" t="str">
            <v>ACADCBD45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 t="e">
            <v>#REF!</v>
          </cell>
          <cell r="Q471" t="e">
            <v>#REF!</v>
          </cell>
          <cell r="R471">
            <v>14.95</v>
          </cell>
          <cell r="S471">
            <v>15.7</v>
          </cell>
          <cell r="T471">
            <v>16.34</v>
          </cell>
          <cell r="U471">
            <v>14.28</v>
          </cell>
          <cell r="V471">
            <v>14.64</v>
          </cell>
          <cell r="W471">
            <v>12.71</v>
          </cell>
          <cell r="X471" t="e">
            <v>#N/A</v>
          </cell>
          <cell r="Y471" t="e">
            <v>#N/A</v>
          </cell>
          <cell r="Z471" t="e">
            <v>#N/A</v>
          </cell>
          <cell r="AA471" t="e">
            <v>#N/A</v>
          </cell>
          <cell r="AB471" t="e">
            <v>#N/A</v>
          </cell>
          <cell r="AC471" t="e">
            <v>#N/A</v>
          </cell>
        </row>
        <row r="472">
          <cell r="A472" t="str">
            <v>ACDNEAP01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67.45</v>
          </cell>
          <cell r="S472">
            <v>70.36</v>
          </cell>
          <cell r="T472">
            <v>73.040000000000006</v>
          </cell>
          <cell r="U472">
            <v>72.599999999999994</v>
          </cell>
          <cell r="V472">
            <v>72.16</v>
          </cell>
          <cell r="W472">
            <v>71.59</v>
          </cell>
          <cell r="X472" t="e">
            <v>#N/A</v>
          </cell>
          <cell r="Y472" t="e">
            <v>#N/A</v>
          </cell>
          <cell r="Z472" t="e">
            <v>#N/A</v>
          </cell>
          <cell r="AA472" t="e">
            <v>#N/A</v>
          </cell>
          <cell r="AB472" t="e">
            <v>#N/A</v>
          </cell>
          <cell r="AC472" t="e">
            <v>#N/A</v>
          </cell>
        </row>
        <row r="473">
          <cell r="A473" t="str">
            <v>ACDNEAP02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66.900000000000006</v>
          </cell>
          <cell r="S473">
            <v>71.31</v>
          </cell>
          <cell r="T473">
            <v>73.73</v>
          </cell>
          <cell r="U473">
            <v>73.02</v>
          </cell>
          <cell r="V473">
            <v>66.86</v>
          </cell>
          <cell r="W473">
            <v>57.17</v>
          </cell>
          <cell r="X473" t="e">
            <v>#N/A</v>
          </cell>
          <cell r="Y473" t="e">
            <v>#N/A</v>
          </cell>
          <cell r="Z473" t="e">
            <v>#N/A</v>
          </cell>
          <cell r="AA473" t="e">
            <v>#N/A</v>
          </cell>
          <cell r="AB473" t="e">
            <v>#N/A</v>
          </cell>
          <cell r="AC473" t="e">
            <v>#N/A</v>
          </cell>
        </row>
        <row r="474">
          <cell r="A474" t="str">
            <v>ACDNEBD01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114.3</v>
          </cell>
          <cell r="S474">
            <v>116.16</v>
          </cell>
          <cell r="T474">
            <v>117.48</v>
          </cell>
          <cell r="U474" t="e">
            <v>#N/A</v>
          </cell>
          <cell r="V474">
            <v>117.29</v>
          </cell>
          <cell r="W474">
            <v>117.42</v>
          </cell>
          <cell r="X474" t="e">
            <v>#N/A</v>
          </cell>
          <cell r="Y474" t="e">
            <v>#N/A</v>
          </cell>
          <cell r="Z474" t="e">
            <v>#N/A</v>
          </cell>
          <cell r="AA474" t="e">
            <v>#N/A</v>
          </cell>
          <cell r="AB474" t="e">
            <v>#N/A</v>
          </cell>
          <cell r="AC474" t="e">
            <v>#N/A</v>
          </cell>
        </row>
        <row r="475">
          <cell r="A475" t="str">
            <v>ACDNEBD02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114.16</v>
          </cell>
          <cell r="S475">
            <v>116.4</v>
          </cell>
          <cell r="T475">
            <v>116.88</v>
          </cell>
          <cell r="U475" t="e">
            <v>#N/A</v>
          </cell>
          <cell r="V475">
            <v>116.53</v>
          </cell>
          <cell r="W475">
            <v>116.52</v>
          </cell>
          <cell r="X475" t="e">
            <v>#N/A</v>
          </cell>
          <cell r="Y475" t="e">
            <v>#N/A</v>
          </cell>
          <cell r="Z475" t="e">
            <v>#N/A</v>
          </cell>
          <cell r="AA475" t="e">
            <v>#N/A</v>
          </cell>
          <cell r="AB475" t="e">
            <v>#N/A</v>
          </cell>
          <cell r="AC475" t="e">
            <v>#N/A</v>
          </cell>
        </row>
        <row r="476">
          <cell r="A476" t="str">
            <v>ACDNEBD03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112.39</v>
          </cell>
          <cell r="S476">
            <v>0</v>
          </cell>
          <cell r="T476">
            <v>107.69</v>
          </cell>
          <cell r="U476">
            <v>106.97</v>
          </cell>
          <cell r="V476">
            <v>99.48</v>
          </cell>
          <cell r="W476">
            <v>109.6</v>
          </cell>
          <cell r="X476">
            <v>68.099999999999994</v>
          </cell>
          <cell r="Y476">
            <v>98.43</v>
          </cell>
          <cell r="Z476" t="e">
            <v>#N/A</v>
          </cell>
          <cell r="AA476" t="e">
            <v>#N/A</v>
          </cell>
          <cell r="AB476" t="e">
            <v>#N/A</v>
          </cell>
          <cell r="AC476" t="e">
            <v>#N/A</v>
          </cell>
        </row>
        <row r="477">
          <cell r="A477" t="str">
            <v>ACDNEBD04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113.01</v>
          </cell>
          <cell r="S477">
            <v>0</v>
          </cell>
          <cell r="T477">
            <v>110.86</v>
          </cell>
          <cell r="U477">
            <v>114.82</v>
          </cell>
          <cell r="V477">
            <v>109.03</v>
          </cell>
          <cell r="W477">
            <v>95.61</v>
          </cell>
          <cell r="X477">
            <v>71.39</v>
          </cell>
          <cell r="Y477">
            <v>109.52</v>
          </cell>
          <cell r="Z477" t="e">
            <v>#N/A</v>
          </cell>
          <cell r="AA477" t="e">
            <v>#N/A</v>
          </cell>
          <cell r="AB477" t="e">
            <v>#N/A</v>
          </cell>
          <cell r="AC477" t="e">
            <v>#N/A</v>
          </cell>
        </row>
        <row r="478">
          <cell r="A478" t="str">
            <v>ACMDPBD13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71.78</v>
          </cell>
          <cell r="S478">
            <v>72.430000000000007</v>
          </cell>
          <cell r="T478">
            <v>72.95</v>
          </cell>
          <cell r="U478">
            <v>73.16</v>
          </cell>
          <cell r="V478">
            <v>68.19</v>
          </cell>
          <cell r="W478">
            <v>72.58</v>
          </cell>
          <cell r="X478">
            <v>74.48</v>
          </cell>
          <cell r="Y478">
            <v>74.819999999999993</v>
          </cell>
          <cell r="Z478">
            <v>73.44</v>
          </cell>
          <cell r="AA478">
            <v>77.81</v>
          </cell>
          <cell r="AB478">
            <v>77.319999999999993</v>
          </cell>
          <cell r="AC478">
            <v>79.44</v>
          </cell>
        </row>
        <row r="479">
          <cell r="A479" t="str">
            <v>ACMDPPR13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70.7</v>
          </cell>
          <cell r="S479">
            <v>72.099999999999994</v>
          </cell>
          <cell r="T479">
            <v>73.47</v>
          </cell>
          <cell r="U479">
            <v>74.16</v>
          </cell>
          <cell r="V479">
            <v>70.03</v>
          </cell>
          <cell r="W479">
            <v>71.36</v>
          </cell>
          <cell r="X479">
            <v>70.91</v>
          </cell>
          <cell r="Y479">
            <v>63.68</v>
          </cell>
          <cell r="Z479">
            <v>67.69</v>
          </cell>
          <cell r="AA479">
            <v>82.33</v>
          </cell>
          <cell r="AB479">
            <v>78.08</v>
          </cell>
          <cell r="AC479">
            <v>79.12</v>
          </cell>
        </row>
        <row r="480">
          <cell r="A480" t="str">
            <v>ACCOLBD04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304.73</v>
          </cell>
          <cell r="T480">
            <v>416.19</v>
          </cell>
          <cell r="U480">
            <v>450.33</v>
          </cell>
          <cell r="V480">
            <v>456.1</v>
          </cell>
          <cell r="W480">
            <v>473.46</v>
          </cell>
          <cell r="X480">
            <v>525.04999999999995</v>
          </cell>
          <cell r="Y480">
            <v>472.78</v>
          </cell>
          <cell r="Z480">
            <v>432.6</v>
          </cell>
          <cell r="AA480">
            <v>459.41</v>
          </cell>
          <cell r="AB480">
            <v>448.17</v>
          </cell>
          <cell r="AC480">
            <v>419.74</v>
          </cell>
        </row>
        <row r="481">
          <cell r="A481" t="str">
            <v>ACCOLPR03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342.34</v>
          </cell>
          <cell r="T481">
            <v>388.66</v>
          </cell>
          <cell r="U481">
            <v>355.7</v>
          </cell>
          <cell r="V481">
            <v>361.79</v>
          </cell>
          <cell r="W481">
            <v>367.4</v>
          </cell>
          <cell r="X481">
            <v>425.92</v>
          </cell>
          <cell r="Y481">
            <v>389.16</v>
          </cell>
          <cell r="Z481">
            <v>367.27</v>
          </cell>
          <cell r="AA481">
            <v>404.99</v>
          </cell>
          <cell r="AB481">
            <v>380.04</v>
          </cell>
          <cell r="AC481">
            <v>361.29</v>
          </cell>
        </row>
        <row r="482">
          <cell r="A482" t="str">
            <v>ACMCIPR01_2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41.03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A482" t="e">
            <v>#N/A</v>
          </cell>
          <cell r="AB482" t="e">
            <v>#N/A</v>
          </cell>
          <cell r="AC482" t="e">
            <v>#N/A</v>
          </cell>
        </row>
        <row r="483">
          <cell r="A483" t="str">
            <v>ACMDAAP02_CLONE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14.78</v>
          </cell>
          <cell r="T483">
            <v>15.86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A483" t="e">
            <v>#N/A</v>
          </cell>
          <cell r="AB483" t="e">
            <v>#N/A</v>
          </cell>
          <cell r="AC483" t="e">
            <v>#N/A</v>
          </cell>
        </row>
        <row r="484">
          <cell r="A484" t="str">
            <v>ACMDABD02_CLONE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14.37</v>
          </cell>
          <cell r="T484">
            <v>15.35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A484" t="e">
            <v>#N/A</v>
          </cell>
          <cell r="AB484" t="e">
            <v>#N/A</v>
          </cell>
          <cell r="AC484" t="e">
            <v>#N/A</v>
          </cell>
        </row>
        <row r="485">
          <cell r="A485" t="str">
            <v>ACSIEAP01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28.13</v>
          </cell>
          <cell r="T485">
            <v>9.1</v>
          </cell>
          <cell r="U485">
            <v>21.21</v>
          </cell>
          <cell r="V485">
            <v>27.68</v>
          </cell>
          <cell r="W485">
            <v>27.22</v>
          </cell>
          <cell r="X485">
            <v>29.39</v>
          </cell>
          <cell r="Y485">
            <v>32.9</v>
          </cell>
          <cell r="Z485">
            <v>35.51</v>
          </cell>
          <cell r="AA485">
            <v>39.14</v>
          </cell>
          <cell r="AB485">
            <v>40</v>
          </cell>
          <cell r="AC485">
            <v>39.46</v>
          </cell>
        </row>
        <row r="486">
          <cell r="A486" t="str">
            <v>ACSIEBD01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30.47</v>
          </cell>
          <cell r="T486">
            <v>28.95</v>
          </cell>
          <cell r="U486">
            <v>30.26</v>
          </cell>
          <cell r="V486">
            <v>33.33</v>
          </cell>
          <cell r="W486">
            <v>35.65</v>
          </cell>
          <cell r="X486">
            <v>36.57</v>
          </cell>
          <cell r="Y486">
            <v>38.130000000000003</v>
          </cell>
          <cell r="Z486">
            <v>37.82</v>
          </cell>
          <cell r="AA486">
            <v>39.479999999999997</v>
          </cell>
          <cell r="AB486">
            <v>39.6</v>
          </cell>
          <cell r="AC486">
            <v>38.31</v>
          </cell>
        </row>
        <row r="487">
          <cell r="A487" t="str">
            <v>ACSYNDN03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11.14</v>
          </cell>
          <cell r="T487">
            <v>7.66</v>
          </cell>
          <cell r="U487">
            <v>7.61</v>
          </cell>
          <cell r="V487">
            <v>7.45</v>
          </cell>
          <cell r="W487">
            <v>11.18</v>
          </cell>
          <cell r="X487">
            <v>12.26</v>
          </cell>
          <cell r="Y487">
            <v>12.64</v>
          </cell>
          <cell r="Z487">
            <v>13.43</v>
          </cell>
          <cell r="AA487">
            <v>13.67</v>
          </cell>
          <cell r="AB487">
            <v>13.7</v>
          </cell>
          <cell r="AC487">
            <v>13.55</v>
          </cell>
        </row>
        <row r="488">
          <cell r="A488" t="str">
            <v>ACTSTSC01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43.66</v>
          </cell>
          <cell r="T488">
            <v>29.41</v>
          </cell>
          <cell r="U488">
            <v>50.82</v>
          </cell>
          <cell r="V488">
            <v>40.51</v>
          </cell>
          <cell r="W488">
            <v>44.57</v>
          </cell>
          <cell r="X488" t="e">
            <v>#N/A</v>
          </cell>
          <cell r="Y488" t="e">
            <v>#N/A</v>
          </cell>
          <cell r="Z488" t="e">
            <v>#N/A</v>
          </cell>
          <cell r="AA488" t="e">
            <v>#N/A</v>
          </cell>
          <cell r="AB488" t="e">
            <v>#N/A</v>
          </cell>
          <cell r="AC488" t="e">
            <v>#N/A</v>
          </cell>
        </row>
        <row r="489">
          <cell r="A489" t="str">
            <v>ACADCAP41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68.06</v>
          </cell>
          <cell r="U489">
            <v>105.26</v>
          </cell>
          <cell r="V489">
            <v>116.66</v>
          </cell>
          <cell r="W489">
            <v>26.89</v>
          </cell>
          <cell r="X489">
            <v>24.05</v>
          </cell>
          <cell r="Y489">
            <v>25.04</v>
          </cell>
          <cell r="Z489">
            <v>23.09</v>
          </cell>
          <cell r="AA489">
            <v>21.39</v>
          </cell>
          <cell r="AB489">
            <v>18.489999999999998</v>
          </cell>
          <cell r="AC489">
            <v>18.309999999999999</v>
          </cell>
        </row>
        <row r="490">
          <cell r="A490" t="str">
            <v>ACADCAP43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11.88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A490" t="e">
            <v>#N/A</v>
          </cell>
          <cell r="AB490" t="e">
            <v>#N/A</v>
          </cell>
          <cell r="AC490" t="e">
            <v>#N/A</v>
          </cell>
        </row>
        <row r="491">
          <cell r="A491" t="str">
            <v>ACADCAP44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31.29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A491" t="e">
            <v>#N/A</v>
          </cell>
          <cell r="AB491">
            <v>151.07</v>
          </cell>
          <cell r="AC491">
            <v>231.04</v>
          </cell>
        </row>
        <row r="492">
          <cell r="A492" t="str">
            <v>ACADCAP46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34.909999999999997</v>
          </cell>
          <cell r="U492" t="e">
            <v>#N/A</v>
          </cell>
          <cell r="V492" t="e">
            <v>#N/A</v>
          </cell>
          <cell r="W492" t="e">
            <v>#N/A</v>
          </cell>
          <cell r="X492" t="e">
            <v>#N/A</v>
          </cell>
          <cell r="Y492" t="e">
            <v>#N/A</v>
          </cell>
          <cell r="Z492" t="e">
            <v>#N/A</v>
          </cell>
          <cell r="AA492" t="e">
            <v>#N/A</v>
          </cell>
          <cell r="AB492" t="e">
            <v>#N/A</v>
          </cell>
          <cell r="AC492" t="e">
            <v>#N/A</v>
          </cell>
        </row>
        <row r="493">
          <cell r="A493" t="str">
            <v>ACADCBD35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25.1</v>
          </cell>
          <cell r="U493">
            <v>53.63</v>
          </cell>
          <cell r="V493">
            <v>66.28</v>
          </cell>
          <cell r="W493">
            <v>80.099999999999994</v>
          </cell>
          <cell r="X493">
            <v>19.32</v>
          </cell>
          <cell r="Y493">
            <v>20.59</v>
          </cell>
          <cell r="Z493">
            <v>22.1</v>
          </cell>
          <cell r="AA493">
            <v>22.73</v>
          </cell>
          <cell r="AB493">
            <v>22.7</v>
          </cell>
          <cell r="AC493">
            <v>21.96</v>
          </cell>
        </row>
        <row r="494">
          <cell r="A494" t="str">
            <v>ACCLCAP01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19.899999999999999</v>
          </cell>
          <cell r="U494">
            <v>14.1</v>
          </cell>
          <cell r="V494">
            <v>15.12</v>
          </cell>
          <cell r="W494" t="e">
            <v>#N/A</v>
          </cell>
          <cell r="X494">
            <v>34.479999999999997</v>
          </cell>
          <cell r="Y494">
            <v>77.23</v>
          </cell>
          <cell r="Z494">
            <v>69.94</v>
          </cell>
          <cell r="AA494">
            <v>90.2</v>
          </cell>
          <cell r="AB494">
            <v>99.9</v>
          </cell>
          <cell r="AC494">
            <v>107.69</v>
          </cell>
        </row>
        <row r="495">
          <cell r="A495" t="str">
            <v>ACCLCAP02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15.69</v>
          </cell>
          <cell r="U495">
            <v>7.62</v>
          </cell>
          <cell r="V495">
            <v>7.13</v>
          </cell>
          <cell r="W495" t="e">
            <v>#N/A</v>
          </cell>
          <cell r="X495" t="e">
            <v>#N/A</v>
          </cell>
          <cell r="Y495" t="e">
            <v>#N/A</v>
          </cell>
          <cell r="Z495" t="e">
            <v>#N/A</v>
          </cell>
          <cell r="AA495" t="e">
            <v>#N/A</v>
          </cell>
          <cell r="AB495" t="e">
            <v>#N/A</v>
          </cell>
          <cell r="AC495" t="e">
            <v>#N/A</v>
          </cell>
        </row>
        <row r="496">
          <cell r="A496" t="str">
            <v>ACCLCAP03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11.82</v>
          </cell>
          <cell r="U496">
            <v>6.42</v>
          </cell>
          <cell r="V496">
            <v>6.21</v>
          </cell>
          <cell r="W496">
            <v>16.73</v>
          </cell>
          <cell r="X496" t="e">
            <v>#N/A</v>
          </cell>
          <cell r="Y496" t="e">
            <v>#N/A</v>
          </cell>
          <cell r="Z496" t="e">
            <v>#N/A</v>
          </cell>
          <cell r="AA496" t="e">
            <v>#N/A</v>
          </cell>
          <cell r="AB496" t="e">
            <v>#N/A</v>
          </cell>
          <cell r="AC496" t="e">
            <v>#N/A</v>
          </cell>
        </row>
        <row r="497">
          <cell r="A497" t="str">
            <v>ACCLCAP04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13.44</v>
          </cell>
          <cell r="U497">
            <v>8.89</v>
          </cell>
          <cell r="V497">
            <v>6.96</v>
          </cell>
          <cell r="W497" t="e">
            <v>#N/A</v>
          </cell>
          <cell r="X497">
            <v>34.96</v>
          </cell>
          <cell r="Y497" t="e">
            <v>#N/A</v>
          </cell>
          <cell r="Z497" t="e">
            <v>#N/A</v>
          </cell>
          <cell r="AA497" t="e">
            <v>#N/A</v>
          </cell>
          <cell r="AB497" t="e">
            <v>#N/A</v>
          </cell>
          <cell r="AC497" t="e">
            <v>#N/A</v>
          </cell>
        </row>
        <row r="498">
          <cell r="A498" t="str">
            <v>ACCLCAP05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34.19</v>
          </cell>
          <cell r="U498">
            <v>7.93</v>
          </cell>
          <cell r="V498">
            <v>6.2</v>
          </cell>
          <cell r="W498">
            <v>16.059999999999999</v>
          </cell>
          <cell r="X498" t="e">
            <v>#N/A</v>
          </cell>
          <cell r="Y498" t="e">
            <v>#N/A</v>
          </cell>
          <cell r="Z498" t="e">
            <v>#N/A</v>
          </cell>
          <cell r="AA498" t="e">
            <v>#N/A</v>
          </cell>
          <cell r="AB498" t="e">
            <v>#N/A</v>
          </cell>
          <cell r="AC498" t="e">
            <v>#N/A</v>
          </cell>
        </row>
        <row r="499">
          <cell r="A499" t="str">
            <v>ACCLCAP06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12.44</v>
          </cell>
          <cell r="U499">
            <v>8.83</v>
          </cell>
          <cell r="V499">
            <v>6.82</v>
          </cell>
          <cell r="W499" t="e">
            <v>#N/A</v>
          </cell>
          <cell r="X499" t="e">
            <v>#N/A</v>
          </cell>
          <cell r="Y499" t="e">
            <v>#N/A</v>
          </cell>
          <cell r="Z499" t="e">
            <v>#N/A</v>
          </cell>
          <cell r="AA499" t="e">
            <v>#N/A</v>
          </cell>
          <cell r="AB499" t="e">
            <v>#N/A</v>
          </cell>
          <cell r="AC499" t="e">
            <v>#N/A</v>
          </cell>
        </row>
        <row r="500">
          <cell r="A500" t="str">
            <v>ACCLCBD01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60.99</v>
          </cell>
          <cell r="U500">
            <v>93.24</v>
          </cell>
          <cell r="V500">
            <v>101.51</v>
          </cell>
          <cell r="W500" t="e">
            <v>#N/A</v>
          </cell>
          <cell r="X500">
            <v>24.54</v>
          </cell>
          <cell r="Y500">
            <v>33.47</v>
          </cell>
          <cell r="Z500">
            <v>32.86</v>
          </cell>
          <cell r="AA500">
            <v>34.51</v>
          </cell>
          <cell r="AB500">
            <v>34.71</v>
          </cell>
          <cell r="AC500">
            <v>37.26</v>
          </cell>
        </row>
        <row r="501">
          <cell r="A501" t="str">
            <v>ACCLCBD02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11.66</v>
          </cell>
          <cell r="U501">
            <v>9.57</v>
          </cell>
          <cell r="V501">
            <v>9.41</v>
          </cell>
          <cell r="W501" t="e">
            <v>#N/A</v>
          </cell>
          <cell r="X501">
            <v>24.57</v>
          </cell>
          <cell r="Y501" t="e">
            <v>#N/A</v>
          </cell>
          <cell r="Z501" t="e">
            <v>#N/A</v>
          </cell>
          <cell r="AA501" t="e">
            <v>#N/A</v>
          </cell>
          <cell r="AB501">
            <v>56.95</v>
          </cell>
          <cell r="AC501">
            <v>72.569999999999993</v>
          </cell>
        </row>
        <row r="502">
          <cell r="A502" t="str">
            <v>ACCLCDC01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13.05</v>
          </cell>
          <cell r="U502">
            <v>7.51</v>
          </cell>
          <cell r="V502">
            <v>7.5</v>
          </cell>
          <cell r="W502" t="e">
            <v>#N/A</v>
          </cell>
          <cell r="X502">
            <v>31.99</v>
          </cell>
          <cell r="Y502">
            <v>27.63</v>
          </cell>
          <cell r="Z502">
            <v>34.53</v>
          </cell>
          <cell r="AA502">
            <v>39.03</v>
          </cell>
          <cell r="AB502">
            <v>39.01</v>
          </cell>
          <cell r="AC502">
            <v>39.049999999999997</v>
          </cell>
        </row>
        <row r="503">
          <cell r="A503" t="str">
            <v>ACDEMAP01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54.74</v>
          </cell>
          <cell r="U503">
            <v>103.38</v>
          </cell>
          <cell r="V503">
            <v>112.25</v>
          </cell>
          <cell r="W503">
            <v>119.5</v>
          </cell>
          <cell r="X503">
            <v>151.63</v>
          </cell>
          <cell r="Y503">
            <v>155.03</v>
          </cell>
          <cell r="Z503">
            <v>122.35</v>
          </cell>
          <cell r="AA503">
            <v>121.74</v>
          </cell>
          <cell r="AB503">
            <v>145.41999999999999</v>
          </cell>
          <cell r="AC503">
            <v>146.33000000000001</v>
          </cell>
        </row>
        <row r="504">
          <cell r="A504" t="str">
            <v>ACDEMBD01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63.81</v>
          </cell>
          <cell r="U504">
            <v>103.5</v>
          </cell>
          <cell r="V504">
            <v>101.72</v>
          </cell>
          <cell r="W504">
            <v>87.66</v>
          </cell>
          <cell r="X504">
            <v>92.48</v>
          </cell>
          <cell r="Y504">
            <v>94.36</v>
          </cell>
          <cell r="Z504">
            <v>97.48</v>
          </cell>
          <cell r="AA504">
            <v>103.38</v>
          </cell>
          <cell r="AB504">
            <v>131.59</v>
          </cell>
          <cell r="AC504">
            <v>119.62</v>
          </cell>
        </row>
        <row r="505">
          <cell r="A505" t="str">
            <v>ACDEMPR01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27.28</v>
          </cell>
          <cell r="U505">
            <v>26.41</v>
          </cell>
          <cell r="V505">
            <v>28.35</v>
          </cell>
          <cell r="W505">
            <v>27.58</v>
          </cell>
          <cell r="X505">
            <v>30.78</v>
          </cell>
          <cell r="Y505">
            <v>31.99</v>
          </cell>
          <cell r="Z505">
            <v>28.01</v>
          </cell>
          <cell r="AA505">
            <v>28.76</v>
          </cell>
          <cell r="AB505">
            <v>28.92</v>
          </cell>
          <cell r="AC505">
            <v>32.04</v>
          </cell>
        </row>
        <row r="506">
          <cell r="A506" t="str">
            <v>ACDEMPR02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3.93</v>
          </cell>
          <cell r="U506">
            <v>18.72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>
            <v>20.34</v>
          </cell>
          <cell r="AA506" t="e">
            <v>#N/A</v>
          </cell>
          <cell r="AB506" t="e">
            <v>#N/A</v>
          </cell>
          <cell r="AC506" t="e">
            <v>#N/A</v>
          </cell>
        </row>
        <row r="507">
          <cell r="A507" t="str">
            <v>ACDEMPR03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4.1900000000000004</v>
          </cell>
          <cell r="U507">
            <v>14.3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A507" t="e">
            <v>#N/A</v>
          </cell>
          <cell r="AB507" t="e">
            <v>#N/A</v>
          </cell>
          <cell r="AC507" t="e">
            <v>#N/A</v>
          </cell>
        </row>
        <row r="508">
          <cell r="A508" t="str">
            <v>ACDNEAP03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66.06</v>
          </cell>
          <cell r="U508">
            <v>146.18</v>
          </cell>
          <cell r="V508">
            <v>147.72999999999999</v>
          </cell>
          <cell r="W508">
            <v>75.87</v>
          </cell>
          <cell r="X508">
            <v>73.94</v>
          </cell>
          <cell r="Y508">
            <v>74.7</v>
          </cell>
          <cell r="Z508" t="e">
            <v>#N/A</v>
          </cell>
          <cell r="AA508" t="e">
            <v>#N/A</v>
          </cell>
          <cell r="AB508" t="e">
            <v>#N/A</v>
          </cell>
          <cell r="AC508" t="e">
            <v>#N/A</v>
          </cell>
        </row>
        <row r="509">
          <cell r="A509" t="str">
            <v>ACDNEAP04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49.74</v>
          </cell>
          <cell r="U509">
            <v>72.92</v>
          </cell>
          <cell r="V509">
            <v>151.04</v>
          </cell>
          <cell r="W509">
            <v>139.25</v>
          </cell>
          <cell r="X509">
            <v>73.930000000000007</v>
          </cell>
          <cell r="Y509">
            <v>74.13</v>
          </cell>
          <cell r="Z509" t="e">
            <v>#N/A</v>
          </cell>
          <cell r="AA509" t="e">
            <v>#N/A</v>
          </cell>
          <cell r="AB509" t="e">
            <v>#N/A</v>
          </cell>
          <cell r="AC509" t="e">
            <v>#N/A</v>
          </cell>
        </row>
        <row r="510">
          <cell r="A510" t="str">
            <v>ACADCAP42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88.64</v>
          </cell>
          <cell r="W510">
            <v>27.77</v>
          </cell>
          <cell r="X510">
            <v>25.63</v>
          </cell>
          <cell r="Y510">
            <v>26.69</v>
          </cell>
          <cell r="Z510">
            <v>27.87</v>
          </cell>
          <cell r="AA510">
            <v>27.84</v>
          </cell>
          <cell r="AB510">
            <v>27.7</v>
          </cell>
          <cell r="AC510">
            <v>27.78</v>
          </cell>
        </row>
        <row r="511">
          <cell r="A511" t="str">
            <v>ACADCAP48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33.409999999999997</v>
          </cell>
          <cell r="W511">
            <v>24.21</v>
          </cell>
          <cell r="X511">
            <v>25.37</v>
          </cell>
          <cell r="Y511">
            <v>26.56</v>
          </cell>
          <cell r="Z511">
            <v>23.26</v>
          </cell>
          <cell r="AA511">
            <v>22</v>
          </cell>
          <cell r="AB511">
            <v>19.14</v>
          </cell>
          <cell r="AC511">
            <v>19.010000000000002</v>
          </cell>
        </row>
        <row r="512">
          <cell r="A512" t="str">
            <v>ACADCAP49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90.64</v>
          </cell>
          <cell r="W512">
            <v>26</v>
          </cell>
          <cell r="X512">
            <v>25.12</v>
          </cell>
          <cell r="Y512">
            <v>26.31</v>
          </cell>
          <cell r="Z512">
            <v>27.52</v>
          </cell>
          <cell r="AA512">
            <v>27.49</v>
          </cell>
          <cell r="AB512">
            <v>27.33</v>
          </cell>
          <cell r="AC512">
            <v>27.37</v>
          </cell>
        </row>
        <row r="513">
          <cell r="A513" t="str">
            <v>ACADCAP50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75.209999999999994</v>
          </cell>
          <cell r="W513">
            <v>25.74</v>
          </cell>
          <cell r="X513">
            <v>25.4</v>
          </cell>
          <cell r="Y513">
            <v>26.46</v>
          </cell>
          <cell r="Z513">
            <v>27.67</v>
          </cell>
          <cell r="AA513">
            <v>25.36</v>
          </cell>
          <cell r="AB513">
            <v>19.8</v>
          </cell>
          <cell r="AC513">
            <v>20.25</v>
          </cell>
        </row>
        <row r="514">
          <cell r="A514" t="str">
            <v>ACADCAP51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22.35</v>
          </cell>
          <cell r="W514">
            <v>24.5</v>
          </cell>
          <cell r="X514">
            <v>20.29</v>
          </cell>
          <cell r="Y514">
            <v>21.58</v>
          </cell>
          <cell r="Z514">
            <v>22.08</v>
          </cell>
          <cell r="AA514">
            <v>22.52</v>
          </cell>
          <cell r="AB514">
            <v>22.74</v>
          </cell>
          <cell r="AC514">
            <v>22.83</v>
          </cell>
        </row>
        <row r="515">
          <cell r="A515" t="str">
            <v>ACADCAP52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28.73</v>
          </cell>
          <cell r="W515">
            <v>28.01</v>
          </cell>
          <cell r="X515">
            <v>20.95</v>
          </cell>
          <cell r="Y515">
            <v>20.94</v>
          </cell>
          <cell r="Z515">
            <v>23.22</v>
          </cell>
          <cell r="AA515">
            <v>27.21</v>
          </cell>
          <cell r="AB515">
            <v>28.86</v>
          </cell>
          <cell r="AC515">
            <v>30.18</v>
          </cell>
        </row>
        <row r="516">
          <cell r="A516" t="str">
            <v>ACADCAP53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40.75</v>
          </cell>
          <cell r="W516">
            <v>46.95</v>
          </cell>
          <cell r="X516">
            <v>44.34</v>
          </cell>
          <cell r="Y516">
            <v>46.18</v>
          </cell>
          <cell r="Z516">
            <v>46.29</v>
          </cell>
          <cell r="AA516">
            <v>47.02</v>
          </cell>
          <cell r="AB516">
            <v>46.98</v>
          </cell>
          <cell r="AC516">
            <v>46.85</v>
          </cell>
        </row>
        <row r="517">
          <cell r="A517" t="str">
            <v>ACADCBD47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111.89</v>
          </cell>
          <cell r="W517">
            <v>111.82</v>
          </cell>
          <cell r="X517" t="e">
            <v>#N/A</v>
          </cell>
          <cell r="Y517" t="e">
            <v>#N/A</v>
          </cell>
          <cell r="Z517" t="e">
            <v>#N/A</v>
          </cell>
          <cell r="AA517" t="e">
            <v>#N/A</v>
          </cell>
          <cell r="AB517" t="e">
            <v>#N/A</v>
          </cell>
          <cell r="AC517" t="e">
            <v>#N/A</v>
          </cell>
        </row>
        <row r="518">
          <cell r="A518" t="str">
            <v>ACADCBD51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27.91</v>
          </cell>
          <cell r="W518">
            <v>25.44</v>
          </cell>
          <cell r="X518">
            <v>22.75</v>
          </cell>
          <cell r="Y518">
            <v>23.69</v>
          </cell>
          <cell r="Z518">
            <v>36.950000000000003</v>
          </cell>
          <cell r="AA518">
            <v>46.8</v>
          </cell>
          <cell r="AB518">
            <v>46.44</v>
          </cell>
          <cell r="AC518">
            <v>45.81</v>
          </cell>
        </row>
        <row r="519">
          <cell r="A519" t="str">
            <v>ACADCPR47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33.409999999999997</v>
          </cell>
          <cell r="W519">
            <v>33.85</v>
          </cell>
          <cell r="X519" t="e">
            <v>#N/A</v>
          </cell>
          <cell r="Y519" t="e">
            <v>#N/A</v>
          </cell>
          <cell r="Z519" t="e">
            <v>#N/A</v>
          </cell>
          <cell r="AA519" t="e">
            <v>#N/A</v>
          </cell>
          <cell r="AB519">
            <v>24.19</v>
          </cell>
          <cell r="AC519" t="e">
            <v>#N/A</v>
          </cell>
        </row>
        <row r="520">
          <cell r="A520" t="str">
            <v>ACADCPR48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58.31</v>
          </cell>
          <cell r="W520">
            <v>59.01</v>
          </cell>
          <cell r="X520" t="e">
            <v>#N/A</v>
          </cell>
          <cell r="Y520" t="e">
            <v>#N/A</v>
          </cell>
          <cell r="Z520" t="e">
            <v>#N/A</v>
          </cell>
          <cell r="AA520" t="e">
            <v>#N/A</v>
          </cell>
          <cell r="AB520" t="e">
            <v>#N/A</v>
          </cell>
          <cell r="AC520" t="e">
            <v>#N/A</v>
          </cell>
        </row>
        <row r="521">
          <cell r="A521" t="str">
            <v>ACADCPR49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68.56</v>
          </cell>
          <cell r="W521">
            <v>75.930000000000007</v>
          </cell>
          <cell r="X521">
            <v>19.989999999999998</v>
          </cell>
          <cell r="Y521">
            <v>21.21</v>
          </cell>
          <cell r="Z521">
            <v>21.18</v>
          </cell>
          <cell r="AA521">
            <v>21.98</v>
          </cell>
          <cell r="AB521">
            <v>22.16</v>
          </cell>
          <cell r="AC521">
            <v>22.22</v>
          </cell>
        </row>
        <row r="522">
          <cell r="A522" t="str">
            <v>ACADCPR50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21.64</v>
          </cell>
          <cell r="W522">
            <v>40.96</v>
          </cell>
          <cell r="X522">
            <v>19.05</v>
          </cell>
          <cell r="Y522">
            <v>20.43</v>
          </cell>
          <cell r="Z522">
            <v>20.38</v>
          </cell>
          <cell r="AA522">
            <v>21.2</v>
          </cell>
          <cell r="AB522">
            <v>21.38</v>
          </cell>
          <cell r="AC522">
            <v>21.43</v>
          </cell>
        </row>
        <row r="523">
          <cell r="A523" t="str">
            <v>ACADCPR51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27.4</v>
          </cell>
          <cell r="W523">
            <v>45.28</v>
          </cell>
          <cell r="X523">
            <v>52.37</v>
          </cell>
          <cell r="Y523">
            <v>50.83</v>
          </cell>
          <cell r="Z523">
            <v>69.89</v>
          </cell>
          <cell r="AA523">
            <v>83.88</v>
          </cell>
          <cell r="AB523">
            <v>83.6</v>
          </cell>
          <cell r="AC523">
            <v>82.23</v>
          </cell>
        </row>
        <row r="524">
          <cell r="A524" t="str">
            <v>ACDACPR01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55.11</v>
          </cell>
          <cell r="W524">
            <v>59.1</v>
          </cell>
          <cell r="X524">
            <v>58.54</v>
          </cell>
          <cell r="Y524">
            <v>57.38</v>
          </cell>
          <cell r="Z524">
            <v>52.01</v>
          </cell>
          <cell r="AA524">
            <v>70.84</v>
          </cell>
          <cell r="AB524">
            <v>71.260000000000005</v>
          </cell>
          <cell r="AC524">
            <v>70.86</v>
          </cell>
        </row>
        <row r="525">
          <cell r="A525" t="str">
            <v>ACDNEBD05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49.42</v>
          </cell>
          <cell r="W525">
            <v>168.33</v>
          </cell>
          <cell r="X525" t="e">
            <v>#N/A</v>
          </cell>
          <cell r="Y525" t="e">
            <v>#N/A</v>
          </cell>
          <cell r="Z525" t="e">
            <v>#N/A</v>
          </cell>
          <cell r="AA525" t="e">
            <v>#N/A</v>
          </cell>
          <cell r="AB525" t="e">
            <v>#N/A</v>
          </cell>
          <cell r="AC525" t="e">
            <v>#N/A</v>
          </cell>
        </row>
        <row r="526">
          <cell r="A526" t="str">
            <v>ACDNEPR05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32.619999999999997</v>
          </cell>
          <cell r="W526">
            <v>11.61</v>
          </cell>
          <cell r="X526" t="e">
            <v>#N/A</v>
          </cell>
          <cell r="Y526" t="e">
            <v>#N/A</v>
          </cell>
          <cell r="Z526" t="e">
            <v>#N/A</v>
          </cell>
          <cell r="AA526" t="e">
            <v>#N/A</v>
          </cell>
          <cell r="AB526" t="e">
            <v>#N/A</v>
          </cell>
          <cell r="AC526" t="e">
            <v>#N/A</v>
          </cell>
        </row>
        <row r="527">
          <cell r="A527" t="str">
            <v>ACMDIBD05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36.39</v>
          </cell>
          <cell r="W527">
            <v>42.07</v>
          </cell>
          <cell r="X527">
            <v>43.89</v>
          </cell>
          <cell r="Y527">
            <v>51.71</v>
          </cell>
          <cell r="Z527">
            <v>73.05</v>
          </cell>
          <cell r="AA527" t="e">
            <v>#N/A</v>
          </cell>
          <cell r="AB527" t="e">
            <v>#N/A</v>
          </cell>
          <cell r="AC527" t="e">
            <v>#N/A</v>
          </cell>
        </row>
        <row r="528">
          <cell r="A528" t="str">
            <v>ACMDIPR05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20.76</v>
          </cell>
          <cell r="W528">
            <v>26.06</v>
          </cell>
          <cell r="X528">
            <v>25.55</v>
          </cell>
          <cell r="Y528">
            <v>44.21</v>
          </cell>
          <cell r="Z528">
            <v>57.84</v>
          </cell>
          <cell r="AA528" t="e">
            <v>#N/A</v>
          </cell>
          <cell r="AB528" t="e">
            <v>#N/A</v>
          </cell>
          <cell r="AC528" t="e">
            <v>#N/A</v>
          </cell>
        </row>
        <row r="529">
          <cell r="A529" t="str">
            <v>ACMDIPR06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23.1</v>
          </cell>
          <cell r="W529">
            <v>25.53</v>
          </cell>
          <cell r="X529">
            <v>23.42</v>
          </cell>
          <cell r="Y529">
            <v>44.61</v>
          </cell>
          <cell r="Z529">
            <v>54.75</v>
          </cell>
          <cell r="AA529" t="e">
            <v>#N/A</v>
          </cell>
          <cell r="AB529" t="e">
            <v>#N/A</v>
          </cell>
          <cell r="AC529" t="e">
            <v>#N/A</v>
          </cell>
        </row>
        <row r="530">
          <cell r="A530" t="str">
            <v>ACRPABD01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76.22</v>
          </cell>
          <cell r="W530">
            <v>70.98</v>
          </cell>
          <cell r="X530">
            <v>77.22</v>
          </cell>
          <cell r="Y530">
            <v>77.489999999999995</v>
          </cell>
          <cell r="Z530">
            <v>77.06</v>
          </cell>
          <cell r="AA530">
            <v>80.33</v>
          </cell>
          <cell r="AB530">
            <v>81.510000000000005</v>
          </cell>
          <cell r="AC530">
            <v>82.11</v>
          </cell>
        </row>
        <row r="531">
          <cell r="A531" t="str">
            <v>ACRPADC01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34.380000000000003</v>
          </cell>
          <cell r="W531">
            <v>30.15</v>
          </cell>
          <cell r="X531">
            <v>35.840000000000003</v>
          </cell>
          <cell r="Y531">
            <v>36.92</v>
          </cell>
          <cell r="Z531">
            <v>36.96</v>
          </cell>
          <cell r="AA531">
            <v>42.01</v>
          </cell>
          <cell r="AB531">
            <v>42.62</v>
          </cell>
          <cell r="AC531">
            <v>45.74</v>
          </cell>
        </row>
        <row r="532">
          <cell r="A532" t="str">
            <v>ACRPADC02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40.69</v>
          </cell>
          <cell r="W532">
            <v>25.55</v>
          </cell>
          <cell r="X532">
            <v>32.76</v>
          </cell>
          <cell r="Y532">
            <v>45.37</v>
          </cell>
          <cell r="Z532">
            <v>43.57</v>
          </cell>
          <cell r="AA532">
            <v>58.59</v>
          </cell>
          <cell r="AB532">
            <v>59.73</v>
          </cell>
          <cell r="AC532">
            <v>59.67</v>
          </cell>
        </row>
        <row r="533">
          <cell r="A533" t="str">
            <v>ACRPAFS01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28.89</v>
          </cell>
          <cell r="W533">
            <v>21.23</v>
          </cell>
          <cell r="X533" t="e">
            <v>#N/A</v>
          </cell>
          <cell r="Y533" t="e">
            <v>#N/A</v>
          </cell>
          <cell r="Z533" t="e">
            <v>#N/A</v>
          </cell>
          <cell r="AA533" t="e">
            <v>#N/A</v>
          </cell>
          <cell r="AB533" t="e">
            <v>#N/A</v>
          </cell>
          <cell r="AC533" t="e">
            <v>#N/A</v>
          </cell>
        </row>
        <row r="534">
          <cell r="A534" t="str">
            <v>ACRPAFS02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39.01</v>
          </cell>
          <cell r="W534">
            <v>32.369999999999997</v>
          </cell>
          <cell r="X534" t="e">
            <v>#N/A</v>
          </cell>
          <cell r="Y534" t="e">
            <v>#N/A</v>
          </cell>
          <cell r="Z534" t="e">
            <v>#N/A</v>
          </cell>
          <cell r="AA534" t="e">
            <v>#N/A</v>
          </cell>
          <cell r="AB534" t="e">
            <v>#N/A</v>
          </cell>
          <cell r="AC534" t="e">
            <v>#N/A</v>
          </cell>
        </row>
        <row r="535">
          <cell r="A535" t="str">
            <v>ACRPAFS03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12.34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A535" t="e">
            <v>#N/A</v>
          </cell>
          <cell r="AB535" t="e">
            <v>#N/A</v>
          </cell>
          <cell r="AC535" t="e">
            <v>#N/A</v>
          </cell>
        </row>
        <row r="536">
          <cell r="A536" t="str">
            <v>ACRPAAP01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 t="e">
            <v>#N/A</v>
          </cell>
          <cell r="W536" t="e">
            <v>#N/A</v>
          </cell>
          <cell r="X536" t="e">
            <v>#N/A</v>
          </cell>
          <cell r="Y536">
            <v>50.69</v>
          </cell>
          <cell r="Z536">
            <v>50.6</v>
          </cell>
          <cell r="AA536">
            <v>58.93</v>
          </cell>
          <cell r="AB536">
            <v>59.97</v>
          </cell>
          <cell r="AC536">
            <v>59.97</v>
          </cell>
        </row>
        <row r="537">
          <cell r="A537" t="str">
            <v>ACADCAP47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0.11</v>
          </cell>
          <cell r="X537" t="e">
            <v>#N/A</v>
          </cell>
          <cell r="Y537" t="e">
            <v>#N/A</v>
          </cell>
          <cell r="Z537" t="e">
            <v>#N/A</v>
          </cell>
          <cell r="AA537" t="e">
            <v>#N/A</v>
          </cell>
          <cell r="AB537">
            <v>88.94</v>
          </cell>
          <cell r="AC537">
            <v>157.19999999999999</v>
          </cell>
        </row>
        <row r="538">
          <cell r="A538" t="str">
            <v>ACCNSPR16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78.540000000000006</v>
          </cell>
          <cell r="X538">
            <v>79.13</v>
          </cell>
          <cell r="Y538">
            <v>67.78</v>
          </cell>
          <cell r="Z538">
            <v>110.43</v>
          </cell>
          <cell r="AA538">
            <v>227.93</v>
          </cell>
          <cell r="AB538">
            <v>263.79000000000002</v>
          </cell>
          <cell r="AC538">
            <v>197.31</v>
          </cell>
        </row>
        <row r="539">
          <cell r="A539" t="str">
            <v>ACDASBD07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24.26</v>
          </cell>
          <cell r="X539">
            <v>31.62</v>
          </cell>
          <cell r="Y539">
            <v>32.729999999999997</v>
          </cell>
          <cell r="Z539">
            <v>33.119999999999997</v>
          </cell>
          <cell r="AA539">
            <v>34.159999999999997</v>
          </cell>
          <cell r="AB539">
            <v>35.17</v>
          </cell>
          <cell r="AC539">
            <v>35.64</v>
          </cell>
        </row>
        <row r="540">
          <cell r="A540" t="str">
            <v>ACDASPR07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20.12</v>
          </cell>
          <cell r="X540">
            <v>20.48</v>
          </cell>
          <cell r="Y540">
            <v>20.55</v>
          </cell>
          <cell r="Z540">
            <v>20.12</v>
          </cell>
          <cell r="AA540">
            <v>20.46</v>
          </cell>
          <cell r="AB540">
            <v>20.47</v>
          </cell>
          <cell r="AC540">
            <v>20.46</v>
          </cell>
        </row>
        <row r="541">
          <cell r="A541" t="str">
            <v>ACKACBD01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40.53</v>
          </cell>
          <cell r="X541">
            <v>104.85</v>
          </cell>
          <cell r="Y541">
            <v>117.86</v>
          </cell>
          <cell r="Z541">
            <v>126.19</v>
          </cell>
          <cell r="AA541">
            <v>129.28</v>
          </cell>
          <cell r="AB541">
            <v>154.76</v>
          </cell>
          <cell r="AC541">
            <v>155.79</v>
          </cell>
        </row>
        <row r="542">
          <cell r="A542" t="str">
            <v>ACKACBD01_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38.81</v>
          </cell>
          <cell r="X542">
            <v>34.229999999999997</v>
          </cell>
          <cell r="Y542" t="e">
            <v>#N/A</v>
          </cell>
          <cell r="Z542">
            <v>71.91</v>
          </cell>
          <cell r="AA542" t="e">
            <v>#N/A</v>
          </cell>
          <cell r="AB542" t="e">
            <v>#N/A</v>
          </cell>
          <cell r="AC542" t="e">
            <v>#N/A</v>
          </cell>
        </row>
        <row r="543">
          <cell r="A543" t="str">
            <v>ACKACPR01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20.8</v>
          </cell>
          <cell r="X543">
            <v>32.409999999999997</v>
          </cell>
          <cell r="Y543">
            <v>25.42</v>
          </cell>
          <cell r="Z543">
            <v>30.23</v>
          </cell>
          <cell r="AA543">
            <v>76.319999999999993</v>
          </cell>
          <cell r="AB543">
            <v>78.05</v>
          </cell>
          <cell r="AC543">
            <v>77.63</v>
          </cell>
        </row>
        <row r="544">
          <cell r="A544" t="str">
            <v>ACKACPR01_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42.5</v>
          </cell>
          <cell r="X544">
            <v>34.869999999999997</v>
          </cell>
          <cell r="Y544" t="e">
            <v>#N/A</v>
          </cell>
          <cell r="Z544" t="e">
            <v>#N/A</v>
          </cell>
          <cell r="AA544" t="e">
            <v>#N/A</v>
          </cell>
          <cell r="AB544" t="e">
            <v>#N/A</v>
          </cell>
          <cell r="AC544" t="e">
            <v>#N/A</v>
          </cell>
        </row>
        <row r="545">
          <cell r="A545" t="str">
            <v>ACUGPBD01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32.32</v>
          </cell>
          <cell r="X545">
            <v>39.28</v>
          </cell>
          <cell r="Y545">
            <v>38.64</v>
          </cell>
          <cell r="Z545">
            <v>35.46</v>
          </cell>
          <cell r="AA545">
            <v>38.99</v>
          </cell>
          <cell r="AB545">
            <v>72.489999999999995</v>
          </cell>
          <cell r="AC545">
            <v>77.75</v>
          </cell>
        </row>
        <row r="546">
          <cell r="A546" t="str">
            <v>ACUGPBD02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56.54</v>
          </cell>
          <cell r="X546">
            <v>37.869999999999997</v>
          </cell>
          <cell r="Y546">
            <v>40.5</v>
          </cell>
          <cell r="Z546">
            <v>36.96</v>
          </cell>
          <cell r="AA546">
            <v>39.47</v>
          </cell>
          <cell r="AB546">
            <v>32.39</v>
          </cell>
          <cell r="AC546" t="e">
            <v>#N/A</v>
          </cell>
        </row>
        <row r="547">
          <cell r="A547" t="str">
            <v>ACUGPPR01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36.5</v>
          </cell>
          <cell r="X547">
            <v>41.71</v>
          </cell>
          <cell r="Y547">
            <v>42.01</v>
          </cell>
          <cell r="Z547">
            <v>39.06</v>
          </cell>
          <cell r="AA547">
            <v>41.53</v>
          </cell>
          <cell r="AB547">
            <v>62.76</v>
          </cell>
          <cell r="AC547">
            <v>43.02</v>
          </cell>
        </row>
        <row r="548">
          <cell r="A548" t="str">
            <v>ACUGPPR02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45.99</v>
          </cell>
          <cell r="X548">
            <v>37.979999999999997</v>
          </cell>
          <cell r="Y548">
            <v>40.4</v>
          </cell>
          <cell r="Z548">
            <v>36.58</v>
          </cell>
          <cell r="AA548">
            <v>39.880000000000003</v>
          </cell>
          <cell r="AB548">
            <v>39.78</v>
          </cell>
          <cell r="AC548" t="e">
            <v>#N/A</v>
          </cell>
        </row>
        <row r="549">
          <cell r="A549" t="str">
            <v>ACDASBD15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19.600000000000001</v>
          </cell>
          <cell r="Z549">
            <v>23.57</v>
          </cell>
          <cell r="AA549">
            <v>25.14</v>
          </cell>
          <cell r="AB549">
            <v>24.61</v>
          </cell>
          <cell r="AC549">
            <v>27.2</v>
          </cell>
        </row>
        <row r="550">
          <cell r="A550" t="str">
            <v>ACDASPR15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60.71</v>
          </cell>
          <cell r="Z550">
            <v>72.55</v>
          </cell>
          <cell r="AA550">
            <v>77.66</v>
          </cell>
          <cell r="AB550">
            <v>77.34</v>
          </cell>
          <cell r="AC550">
            <v>74.489999999999995</v>
          </cell>
        </row>
        <row r="551">
          <cell r="A551" t="str">
            <v>ACMDPBD14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466.65</v>
          </cell>
          <cell r="Z551">
            <v>502.49</v>
          </cell>
          <cell r="AA551">
            <v>500.8</v>
          </cell>
          <cell r="AB551">
            <v>495.7</v>
          </cell>
          <cell r="AC551">
            <v>503.19</v>
          </cell>
        </row>
        <row r="552">
          <cell r="A552" t="str">
            <v>ACMDPPR14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241.03</v>
          </cell>
          <cell r="Z552">
            <v>302.14999999999998</v>
          </cell>
          <cell r="AA552">
            <v>303.69</v>
          </cell>
          <cell r="AB552">
            <v>304.01</v>
          </cell>
          <cell r="AC552">
            <v>304.51</v>
          </cell>
        </row>
        <row r="553">
          <cell r="A553" t="str">
            <v>ACADCPR70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19.100000000000001</v>
          </cell>
          <cell r="AA553" t="e">
            <v>#N/A</v>
          </cell>
          <cell r="AB553" t="e">
            <v>#N/A</v>
          </cell>
          <cell r="AC553" t="e">
            <v>#N/A</v>
          </cell>
        </row>
        <row r="554">
          <cell r="A554" t="str">
            <v>ACADCAP04_X64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67.7</v>
          </cell>
          <cell r="AA554" t="e">
            <v>#N/A</v>
          </cell>
          <cell r="AB554" t="e">
            <v>#N/A</v>
          </cell>
          <cell r="AC554" t="e">
            <v>#N/A</v>
          </cell>
        </row>
        <row r="555">
          <cell r="A555" t="str">
            <v>ACADCAP55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54.7</v>
          </cell>
          <cell r="AA555">
            <v>59.46</v>
          </cell>
          <cell r="AB555">
            <v>59.48</v>
          </cell>
          <cell r="AC555">
            <v>59.57</v>
          </cell>
        </row>
        <row r="556">
          <cell r="A556" t="str">
            <v>ACADCAP56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49.73</v>
          </cell>
          <cell r="AA556">
            <v>56.37</v>
          </cell>
          <cell r="AB556">
            <v>59.35</v>
          </cell>
          <cell r="AC556">
            <v>59.45</v>
          </cell>
        </row>
        <row r="557">
          <cell r="A557" t="str">
            <v>ACADCAP70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27.37</v>
          </cell>
          <cell r="AA557" t="e">
            <v>#N/A</v>
          </cell>
          <cell r="AB557" t="e">
            <v>#N/A</v>
          </cell>
          <cell r="AC557" t="e">
            <v>#N/A</v>
          </cell>
        </row>
        <row r="558">
          <cell r="A558" t="str">
            <v>ACADCBD55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109.55</v>
          </cell>
          <cell r="AA558">
            <v>122.79</v>
          </cell>
          <cell r="AB558">
            <v>124.17</v>
          </cell>
          <cell r="AC558">
            <v>125.79</v>
          </cell>
        </row>
        <row r="559">
          <cell r="A559" t="str">
            <v>ACADCBD70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18.600000000000001</v>
          </cell>
          <cell r="AA559" t="e">
            <v>#N/A</v>
          </cell>
          <cell r="AB559" t="e">
            <v>#N/A</v>
          </cell>
          <cell r="AC559" t="e">
            <v>#N/A</v>
          </cell>
        </row>
        <row r="560">
          <cell r="A560" t="str">
            <v>ACADCPR17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19.38</v>
          </cell>
          <cell r="AA560" t="e">
            <v>#N/A</v>
          </cell>
          <cell r="AB560" t="e">
            <v>#N/A</v>
          </cell>
          <cell r="AC560" t="e">
            <v>#N/A</v>
          </cell>
        </row>
        <row r="561">
          <cell r="A561" t="str">
            <v>ACADCPR55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49.62</v>
          </cell>
          <cell r="AA561">
            <v>56.76</v>
          </cell>
          <cell r="AB561">
            <v>60.6</v>
          </cell>
          <cell r="AC561">
            <v>60.54</v>
          </cell>
        </row>
        <row r="562">
          <cell r="A562" t="str">
            <v>ACADCPR56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49.46</v>
          </cell>
          <cell r="AA562">
            <v>56.52</v>
          </cell>
          <cell r="AB562">
            <v>59.74</v>
          </cell>
          <cell r="AC562">
            <v>60.65</v>
          </cell>
        </row>
        <row r="563">
          <cell r="A563" t="str">
            <v>ACADCPR28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Z563" t="e">
            <v>#N/A</v>
          </cell>
          <cell r="AA563">
            <v>41.96</v>
          </cell>
          <cell r="AB563">
            <v>62.66</v>
          </cell>
          <cell r="AC563">
            <v>64.67</v>
          </cell>
        </row>
        <row r="564">
          <cell r="A564" t="str">
            <v>ACADCBD28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Z564" t="e">
            <v>#N/A</v>
          </cell>
          <cell r="AA564">
            <v>54.58</v>
          </cell>
          <cell r="AB564">
            <v>103.77</v>
          </cell>
          <cell r="AC564">
            <v>102.78</v>
          </cell>
        </row>
        <row r="565">
          <cell r="A565" t="str">
            <v>ACADCBD55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Z565">
            <v>109.55</v>
          </cell>
          <cell r="AA565">
            <v>122.79</v>
          </cell>
          <cell r="AB565">
            <v>124.17</v>
          </cell>
          <cell r="AC565">
            <v>125.79</v>
          </cell>
        </row>
        <row r="566">
          <cell r="A566" t="str">
            <v>ACADCAP55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Z566">
            <v>54.7</v>
          </cell>
          <cell r="AA566">
            <v>59.46</v>
          </cell>
          <cell r="AB566">
            <v>59.48</v>
          </cell>
          <cell r="AC566">
            <v>59.57</v>
          </cell>
        </row>
        <row r="567">
          <cell r="A567" t="str">
            <v>ACADCAP56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Z567">
            <v>49.73</v>
          </cell>
          <cell r="AA567">
            <v>56.37</v>
          </cell>
          <cell r="AB567">
            <v>59.35</v>
          </cell>
          <cell r="AC567">
            <v>59.45</v>
          </cell>
        </row>
        <row r="568">
          <cell r="A568" t="str">
            <v>ACADCPR55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Z568">
            <v>49.62</v>
          </cell>
          <cell r="AA568">
            <v>56.76</v>
          </cell>
          <cell r="AB568">
            <v>60.6</v>
          </cell>
          <cell r="AC568">
            <v>60.54</v>
          </cell>
        </row>
        <row r="569">
          <cell r="A569" t="str">
            <v>ACADCPR56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Z569">
            <v>49.46</v>
          </cell>
          <cell r="AA569">
            <v>56.52</v>
          </cell>
          <cell r="AB569">
            <v>59.74</v>
          </cell>
          <cell r="AC569">
            <v>60.65</v>
          </cell>
        </row>
        <row r="570">
          <cell r="A570" t="str">
            <v>ACDASBD15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AA570">
            <v>25.14</v>
          </cell>
          <cell r="AB570">
            <v>24.61</v>
          </cell>
          <cell r="AC570">
            <v>27.2</v>
          </cell>
        </row>
        <row r="571">
          <cell r="A571" t="str">
            <v>ACDASPR15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AA571">
            <v>77.66</v>
          </cell>
          <cell r="AB571">
            <v>77.34</v>
          </cell>
          <cell r="AC571">
            <v>74.489999999999995</v>
          </cell>
        </row>
        <row r="572">
          <cell r="A572" t="str">
            <v>ACADCBD44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AB572">
            <v>62.72</v>
          </cell>
          <cell r="AC572">
            <v>121.26</v>
          </cell>
        </row>
        <row r="573">
          <cell r="A573" t="str">
            <v>ACADCPR57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AB573" t="e">
            <v>#N/A</v>
          </cell>
          <cell r="AC573">
            <v>77.89</v>
          </cell>
        </row>
        <row r="574">
          <cell r="A574" t="str">
            <v>ACADCPR74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AB574">
            <v>27.98</v>
          </cell>
          <cell r="AC574">
            <v>50.56</v>
          </cell>
        </row>
        <row r="575">
          <cell r="A575" t="str">
            <v>ACKACBD02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AB575">
            <v>156.58000000000001</v>
          </cell>
          <cell r="AC575">
            <v>161.66</v>
          </cell>
        </row>
        <row r="576">
          <cell r="A576" t="str">
            <v>ACKACPR02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AB576">
            <v>153.87</v>
          </cell>
          <cell r="AC576">
            <v>150.43</v>
          </cell>
        </row>
        <row r="577">
          <cell r="A577" t="str">
            <v>ACTICBD05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AB577" t="e">
            <v>#N/A</v>
          </cell>
          <cell r="AC577">
            <v>33.21</v>
          </cell>
        </row>
        <row r="578">
          <cell r="A578" t="str">
            <v>ACTICPR05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AB578" t="e">
            <v>#N/A</v>
          </cell>
          <cell r="AC578">
            <v>30.2</v>
          </cell>
        </row>
        <row r="579">
          <cell r="A579" t="str">
            <v>ACUGPBD03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AB579">
            <v>50.5</v>
          </cell>
          <cell r="AC579">
            <v>59.96</v>
          </cell>
        </row>
        <row r="580">
          <cell r="A580" t="str">
            <v>ACUGPBD04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AB580" t="e">
            <v>#N/A</v>
          </cell>
          <cell r="AC580">
            <v>154.31</v>
          </cell>
        </row>
        <row r="581">
          <cell r="A581" t="str">
            <v>ACUGPBD05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AB581" t="e">
            <v>#N/A</v>
          </cell>
          <cell r="AC581">
            <v>152.44</v>
          </cell>
        </row>
        <row r="582">
          <cell r="A582" t="str">
            <v>ACUGPBD08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AB582" t="e">
            <v>#N/A</v>
          </cell>
          <cell r="AC582">
            <v>47.15</v>
          </cell>
        </row>
        <row r="583">
          <cell r="A583" t="str">
            <v>ACUGPPR03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AB583" t="e">
            <v>#N/A</v>
          </cell>
          <cell r="AC583">
            <v>60.77</v>
          </cell>
        </row>
        <row r="584">
          <cell r="A584" t="str">
            <v>ACUGPPR04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AB584" t="e">
            <v>#N/A</v>
          </cell>
          <cell r="AC584">
            <v>151.29</v>
          </cell>
        </row>
        <row r="585">
          <cell r="A585" t="str">
            <v>ACUGPPR05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AB585" t="e">
            <v>#N/A</v>
          </cell>
          <cell r="AC585">
            <v>150.99</v>
          </cell>
        </row>
        <row r="586">
          <cell r="A586" t="str">
            <v>ACUGPPR06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AB586" t="e">
            <v>#N/A</v>
          </cell>
          <cell r="AC586">
            <v>149.6</v>
          </cell>
        </row>
        <row r="587">
          <cell r="A587" t="str">
            <v>ACUGPPR07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AB587" t="e">
            <v>#N/A</v>
          </cell>
          <cell r="AC587">
            <v>77.09</v>
          </cell>
        </row>
        <row r="588">
          <cell r="A588" t="str">
            <v>ACUGPPR08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AB588" t="e">
            <v>#N/A</v>
          </cell>
          <cell r="AC588">
            <v>47.56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querimientos Facturar"/>
      <sheetName val="GARANTIAS"/>
      <sheetName val="Resumen"/>
      <sheetName val="Gráfica ANS Tiempo"/>
      <sheetName val="Gráficas ANS Calidad"/>
      <sheetName val="Facturación"/>
      <sheetName val="Tipos"/>
      <sheetName val="DOCUMENTADOR"/>
    </sheetNames>
    <sheetDataSet>
      <sheetData sheetId="0">
        <row r="2">
          <cell r="B2" t="str">
            <v>SWEG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SUIT</v>
          </cell>
          <cell r="C2" t="str">
            <v>Crítico (10%)</v>
          </cell>
        </row>
        <row r="3">
          <cell r="C3" t="str">
            <v>Mayor (7%)</v>
          </cell>
        </row>
        <row r="4">
          <cell r="C4" t="str">
            <v>Menor (5%)</v>
          </cell>
        </row>
        <row r="5">
          <cell r="C5" t="str">
            <v>Cosmético (3%)</v>
          </cell>
        </row>
      </sheetData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de versiones"/>
      <sheetName val="Procedimiento de gestión"/>
      <sheetName val="Seguimiento de consumo de horas"/>
      <sheetName val="Hoja1"/>
      <sheetName val="Hoja3"/>
      <sheetName val="Hoja2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querimientos Facturar"/>
      <sheetName val="Resumen"/>
      <sheetName val="Requerimientos Vínculos"/>
      <sheetName val="Cumplimiento ANS"/>
      <sheetName val="Gráfica ANS Tiempo"/>
      <sheetName val="Gráficas ANS Calidad"/>
      <sheetName val="Diseñador&amp;Documentador"/>
      <sheetName val="Facturación"/>
      <sheetName val="Tipos"/>
      <sheetName val="DOCUMENTADOR"/>
    </sheetNames>
    <sheetDataSet>
      <sheetData sheetId="0">
        <row r="2">
          <cell r="B2" t="str">
            <v>DIRECTORIO DE SERVICIOS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A2" t="str">
            <v>SUIT</v>
          </cell>
        </row>
      </sheetData>
      <sheetData sheetId="7"/>
      <sheetData sheetId="8">
        <row r="2">
          <cell r="A2" t="str">
            <v>SUIT</v>
          </cell>
          <cell r="E2" t="str">
            <v>DESARROLLADOR</v>
          </cell>
        </row>
        <row r="3">
          <cell r="A3" t="str">
            <v>DIRECTORIO DE SERVICIOS</v>
          </cell>
          <cell r="E3" t="str">
            <v>DESARROLLADOR JR</v>
          </cell>
        </row>
        <row r="4">
          <cell r="A4" t="str">
            <v>SIGEL</v>
          </cell>
          <cell r="E4" t="str">
            <v>DISEÑADOR 1</v>
          </cell>
        </row>
        <row r="5">
          <cell r="A5" t="str">
            <v>GEL XML</v>
          </cell>
          <cell r="E5" t="str">
            <v>DISEÑADOR 2</v>
          </cell>
        </row>
        <row r="6">
          <cell r="A6" t="str">
            <v>GELT INFORMATIVO</v>
          </cell>
          <cell r="E6" t="str">
            <v>DISEÑADOR 3</v>
          </cell>
        </row>
        <row r="7">
          <cell r="A7" t="str">
            <v>SWEG</v>
          </cell>
          <cell r="E7" t="str">
            <v>DOCUMENTADOR 1</v>
          </cell>
        </row>
        <row r="8">
          <cell r="A8" t="str">
            <v>GELT TRANSACCIONAL</v>
          </cell>
        </row>
        <row r="9">
          <cell r="A9" t="str">
            <v>NOTIFICACIÓN ELECTRÓNICA</v>
          </cell>
        </row>
        <row r="10">
          <cell r="A10" t="str">
            <v>PEC</v>
          </cell>
        </row>
        <row r="11">
          <cell r="A11" t="str">
            <v>SIRVO A MI PAÍS</v>
          </cell>
        </row>
        <row r="12">
          <cell r="A12" t="str">
            <v>SICOM</v>
          </cell>
        </row>
      </sheetData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querimientos"/>
      <sheetName val="Verificar CMMI &amp; CMDB"/>
      <sheetName val="Tipos"/>
    </sheetNames>
    <sheetDataSet>
      <sheetData sheetId="0" refreshError="1"/>
      <sheetData sheetId="1" refreshError="1"/>
      <sheetData sheetId="2" refreshError="1">
        <row r="2">
          <cell r="A2" t="str">
            <v>SUIT</v>
          </cell>
          <cell r="C2" t="str">
            <v>SENIOR</v>
          </cell>
        </row>
        <row r="3">
          <cell r="C3" t="str">
            <v>JUNIOR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querimientos Facturar"/>
      <sheetName val="Resumen"/>
      <sheetName val="Requerimientos Vínculos"/>
      <sheetName val="Cumplimiento ANS"/>
      <sheetName val="Gráfica ANS Tiempo"/>
      <sheetName val="Gráficas ANS Calidad"/>
      <sheetName val="Diseñador&amp;Documentador"/>
      <sheetName val="Facturación"/>
      <sheetName val="Tipos"/>
      <sheetName val="DOCUMENTADO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>
        <row r="2">
          <cell r="A2" t="str">
            <v>SUIT</v>
          </cell>
          <cell r="E2" t="str">
            <v>DESARROLLADOR</v>
          </cell>
        </row>
        <row r="3">
          <cell r="A3" t="str">
            <v>DIRECTORIO DE SERVICIOS</v>
          </cell>
          <cell r="E3" t="str">
            <v>DESARROLLADOR JR</v>
          </cell>
        </row>
        <row r="4">
          <cell r="A4" t="str">
            <v>SIGEL</v>
          </cell>
          <cell r="E4" t="str">
            <v>DISEÑADOR 1</v>
          </cell>
        </row>
        <row r="5">
          <cell r="A5" t="str">
            <v>GEL XML</v>
          </cell>
          <cell r="E5" t="str">
            <v>DISEÑADOR 2</v>
          </cell>
        </row>
        <row r="6">
          <cell r="A6" t="str">
            <v>GELT INFORMATIVO</v>
          </cell>
          <cell r="E6" t="str">
            <v>DISEÑADOR 3</v>
          </cell>
        </row>
        <row r="7">
          <cell r="A7" t="str">
            <v>SWEG</v>
          </cell>
          <cell r="E7" t="str">
            <v>DOCUMENTADOR 1</v>
          </cell>
        </row>
        <row r="8">
          <cell r="A8" t="str">
            <v>GELT TRANSACCIONAL</v>
          </cell>
        </row>
        <row r="9">
          <cell r="A9" t="str">
            <v>NOTIFICACIÓN ELECTRÓNICA</v>
          </cell>
        </row>
        <row r="10">
          <cell r="A10" t="str">
            <v>PEC</v>
          </cell>
        </row>
        <row r="11">
          <cell r="A11" t="str">
            <v>SIRVO A MI PAÍS</v>
          </cell>
        </row>
      </sheetData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DACION"/>
      <sheetName val="HONORARIOS"/>
      <sheetName val="VIATICOS"/>
      <sheetName val="PROVEEDORES"/>
      <sheetName val="BASEDATOSCONTRATISTAS"/>
      <sheetName val="Vr Letras"/>
      <sheetName val="CONSOLIDADOVIATICOS"/>
      <sheetName val="CONSOLIDADO HONORARIOS"/>
      <sheetName val="relacion"/>
      <sheetName val="INT CREDI VIVI"/>
      <sheetName val="MEDPREP"/>
    </sheetNames>
    <sheetDataSet>
      <sheetData sheetId="0" refreshError="1"/>
      <sheetData sheetId="1" refreshError="1"/>
      <sheetData sheetId="2" refreshError="1"/>
      <sheetData sheetId="3" refreshError="1">
        <row r="10">
          <cell r="B10">
            <v>1</v>
          </cell>
          <cell r="C10">
            <v>41457</v>
          </cell>
          <cell r="D10">
            <v>41457</v>
          </cell>
          <cell r="E10" t="str">
            <v>VER ANEXO</v>
          </cell>
          <cell r="F10" t="str">
            <v>CONTRATISTAS</v>
          </cell>
          <cell r="G10" t="str">
            <v>VER ANEXO</v>
          </cell>
          <cell r="K10" t="str">
            <v>VIATICOS CONTRATISTAS JULIO DE 2013</v>
          </cell>
          <cell r="L10" t="str">
            <v>VER ANEXO</v>
          </cell>
          <cell r="M10">
            <v>33240600</v>
          </cell>
          <cell r="N10" t="str">
            <v>VER ANEXO</v>
          </cell>
          <cell r="O10" t="str">
            <v>-</v>
          </cell>
          <cell r="P10" t="str">
            <v>-</v>
          </cell>
          <cell r="Q10" t="str">
            <v>-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VER ANEXO</v>
          </cell>
          <cell r="AH10" t="str">
            <v>VIATICOS CONTRATISTAS JULIO DE 2013</v>
          </cell>
          <cell r="AI10">
            <v>29995000</v>
          </cell>
          <cell r="AJ10">
            <v>3005600</v>
          </cell>
          <cell r="AM10">
            <v>33000600</v>
          </cell>
          <cell r="AO10">
            <v>29995000</v>
          </cell>
          <cell r="AW10">
            <v>240000</v>
          </cell>
          <cell r="AX10">
            <v>0</v>
          </cell>
          <cell r="AZ10">
            <v>240000</v>
          </cell>
          <cell r="BA10">
            <v>33240600</v>
          </cell>
          <cell r="BF10" t="str">
            <v>VER ANEXO</v>
          </cell>
          <cell r="BH10" t="str">
            <v>RETENCION CATEGORIA EMPLEADOS ART 383 E.T.</v>
          </cell>
          <cell r="BI10" t="str">
            <v>ART 383 ET</v>
          </cell>
          <cell r="BJ10" t="str">
            <v>REEMBOLSO GASTOS DE VIAJE</v>
          </cell>
          <cell r="BK10">
            <v>0</v>
          </cell>
          <cell r="BN10" t="str">
            <v>RETEIVA REGIMEN COMUN</v>
          </cell>
          <cell r="BO10">
            <v>0.15</v>
          </cell>
          <cell r="BT10" t="str">
            <v>RETENCION DE ICA SERVICIOS</v>
          </cell>
          <cell r="BU10" t="str">
            <v>VER ANEXO</v>
          </cell>
          <cell r="BV10" t="str">
            <v>VER  ANEXO</v>
          </cell>
          <cell r="CE10" t="str">
            <v xml:space="preserve">SOBRETASA BOMBERIL </v>
          </cell>
          <cell r="CF10" t="str">
            <v>IBAGUE</v>
          </cell>
          <cell r="CG10">
            <v>0.06</v>
          </cell>
          <cell r="CH10" t="str">
            <v>NO APLICA</v>
          </cell>
          <cell r="CK10">
            <v>0</v>
          </cell>
          <cell r="CL10">
            <v>0</v>
          </cell>
          <cell r="CN10">
            <v>36000</v>
          </cell>
          <cell r="CO10">
            <v>0</v>
          </cell>
          <cell r="CQ10">
            <v>106172</v>
          </cell>
          <cell r="CR10">
            <v>0</v>
          </cell>
          <cell r="CT10">
            <v>0</v>
          </cell>
          <cell r="CU10">
            <v>147</v>
          </cell>
          <cell r="CV10">
            <v>0</v>
          </cell>
          <cell r="CW10">
            <v>142319</v>
          </cell>
          <cell r="CX10">
            <v>33098281</v>
          </cell>
          <cell r="CY10" t="str">
            <v>VER ANEXO</v>
          </cell>
          <cell r="CZ10" t="str">
            <v>LAS RETENCIONES EN LA FUENTE A TITULO DE RENTA SE APLICAN EN EL PAGO DE HONORARIOS</v>
          </cell>
        </row>
        <row r="11">
          <cell r="B11">
            <v>2</v>
          </cell>
          <cell r="C11">
            <v>41458</v>
          </cell>
          <cell r="D11">
            <v>41458</v>
          </cell>
          <cell r="E11" t="str">
            <v>353/2013</v>
          </cell>
          <cell r="F11" t="str">
            <v>FONDO DE POBLACION DE LAS NACIONES UNIDAS - UNFPA</v>
          </cell>
          <cell r="G11">
            <v>900160892</v>
          </cell>
          <cell r="H11" t="str">
            <v>BOGOTA</v>
          </cell>
          <cell r="I11" t="str">
            <v>AV 82 10 62 P 3</v>
          </cell>
          <cell r="J11">
            <v>4889010</v>
          </cell>
          <cell r="K11" t="str">
            <v xml:space="preserve">PRIMER Y UNICO DEEMBOLSO ACUERDO DE CONTRIBUCION - PROYECTO DE "FORTALECIMIENTO DE LA RED UNIDOS PARA PROMOVER LA SALUD Y LOS DERECHOS SEXUALES Y REPRODUCTIVOS (SDSR) DE ADOLESCENTES Y JOVENES" </v>
          </cell>
          <cell r="L11">
            <v>208813</v>
          </cell>
          <cell r="M11">
            <v>54840000</v>
          </cell>
          <cell r="N11" t="str">
            <v>C-320-15-07-2</v>
          </cell>
          <cell r="O11" t="str">
            <v>-</v>
          </cell>
          <cell r="P11">
            <v>0</v>
          </cell>
          <cell r="Q11" t="str">
            <v>-</v>
          </cell>
          <cell r="R11" t="str">
            <v>-</v>
          </cell>
          <cell r="S11">
            <v>0</v>
          </cell>
          <cell r="T11" t="str">
            <v>-</v>
          </cell>
          <cell r="U11" t="str">
            <v>-</v>
          </cell>
          <cell r="V11">
            <v>0</v>
          </cell>
          <cell r="W11" t="str">
            <v>-</v>
          </cell>
          <cell r="X11" t="str">
            <v>-</v>
          </cell>
          <cell r="Y11">
            <v>0</v>
          </cell>
          <cell r="Z11" t="str">
            <v>-</v>
          </cell>
          <cell r="AA11" t="str">
            <v>-</v>
          </cell>
          <cell r="AB11">
            <v>0</v>
          </cell>
          <cell r="AC11" t="str">
            <v>-</v>
          </cell>
          <cell r="AD11" t="str">
            <v>-</v>
          </cell>
          <cell r="AE11">
            <v>0</v>
          </cell>
          <cell r="AF11" t="str">
            <v>-</v>
          </cell>
          <cell r="AG11" t="str">
            <v>-</v>
          </cell>
          <cell r="AH11" t="str">
            <v xml:space="preserve">PRIMER Y UNICO DEEMBOLSO ACUERDO DE CONTRIBUCION - PROYECTO DE "FORTALECIMIENTO DE LA RED UNIDOS PARA PROMOVER LA SALUD Y LOS DERECHOS SEXUALES Y REPRODUCTIVOS (SDSR) DE ADOLESCENTES Y JOVENES" </v>
          </cell>
          <cell r="AI11">
            <v>54840000</v>
          </cell>
          <cell r="AJ11">
            <v>0</v>
          </cell>
          <cell r="AK11">
            <v>0</v>
          </cell>
          <cell r="AL11">
            <v>0</v>
          </cell>
          <cell r="AM11">
            <v>54840000</v>
          </cell>
          <cell r="AN11">
            <v>54840000</v>
          </cell>
          <cell r="AO11">
            <v>54840000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54840000</v>
          </cell>
          <cell r="BB11" t="str">
            <v>NO</v>
          </cell>
          <cell r="BC11" t="str">
            <v>SI</v>
          </cell>
          <cell r="BD11" t="str">
            <v>SI</v>
          </cell>
          <cell r="BE11" t="str">
            <v>SI</v>
          </cell>
          <cell r="BF11" t="str">
            <v>NINGUNO</v>
          </cell>
          <cell r="BG11" t="str">
            <v>NO</v>
          </cell>
          <cell r="BH11" t="str">
            <v>ACUERDO DE CONTRIBUCION</v>
          </cell>
          <cell r="BI11">
            <v>0</v>
          </cell>
          <cell r="BT11" t="str">
            <v>ACUERDO DE CONTRIBUCION</v>
          </cell>
          <cell r="BU11" t="str">
            <v>-</v>
          </cell>
          <cell r="BV11">
            <v>0</v>
          </cell>
          <cell r="BX11" t="str">
            <v>-</v>
          </cell>
          <cell r="CA11" t="str">
            <v>-</v>
          </cell>
          <cell r="CC11" t="str">
            <v>ACUERDO DE CONTRIBUCION</v>
          </cell>
          <cell r="CD11">
            <v>0</v>
          </cell>
          <cell r="CF11" t="str">
            <v>-</v>
          </cell>
          <cell r="CH11" t="str">
            <v>-</v>
          </cell>
          <cell r="CI11" t="str">
            <v>-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54840000</v>
          </cell>
          <cell r="CY11" t="str">
            <v>INVERSION SOCIAL PRIVADA</v>
          </cell>
          <cell r="CZ11" t="str">
            <v>-</v>
          </cell>
        </row>
        <row r="12">
          <cell r="B12">
            <v>3</v>
          </cell>
          <cell r="C12">
            <v>41458</v>
          </cell>
          <cell r="D12">
            <v>41458</v>
          </cell>
          <cell r="E12" t="str">
            <v>445/2012</v>
          </cell>
          <cell r="F12" t="str">
            <v>SITUANDO LTDA</v>
          </cell>
          <cell r="G12">
            <v>900051050</v>
          </cell>
          <cell r="H12" t="str">
            <v>BOGOTA</v>
          </cell>
          <cell r="I12" t="str">
            <v>CR 13 93 67 OF 306</v>
          </cell>
          <cell r="J12">
            <v>6183291</v>
          </cell>
          <cell r="K12" t="str">
            <v>CANON DE ARRENDAMIENTO OFICINAS UBICADAS EN LA CARRERA 13 NO. 60 -  61 Y/O CR 13 A NO. 60 - 48/68 DEL 01 DE JULIO AL 31 DE JULIO</v>
          </cell>
          <cell r="L12">
            <v>24913</v>
          </cell>
          <cell r="M12">
            <v>127592636.42</v>
          </cell>
          <cell r="N12" t="str">
            <v>A-2-0-4-10-2</v>
          </cell>
          <cell r="O12" t="str">
            <v>-</v>
          </cell>
          <cell r="P12">
            <v>0</v>
          </cell>
          <cell r="Q12" t="str">
            <v>-</v>
          </cell>
          <cell r="R12" t="str">
            <v>-</v>
          </cell>
          <cell r="S12">
            <v>0</v>
          </cell>
          <cell r="T12" t="str">
            <v>-</v>
          </cell>
          <cell r="U12" t="str">
            <v>-</v>
          </cell>
          <cell r="V12">
            <v>0</v>
          </cell>
          <cell r="W12" t="str">
            <v>-</v>
          </cell>
          <cell r="X12" t="str">
            <v>-</v>
          </cell>
          <cell r="Y12">
            <v>0</v>
          </cell>
          <cell r="Z12" t="str">
            <v>-</v>
          </cell>
          <cell r="AA12" t="str">
            <v>-</v>
          </cell>
          <cell r="AB12">
            <v>0</v>
          </cell>
          <cell r="AC12" t="str">
            <v>-</v>
          </cell>
          <cell r="AD12" t="str">
            <v>-</v>
          </cell>
          <cell r="AE12">
            <v>0</v>
          </cell>
          <cell r="AF12" t="str">
            <v>-</v>
          </cell>
          <cell r="AG12" t="str">
            <v>A 0843</v>
          </cell>
          <cell r="AH12" t="str">
            <v>CANON DE ARRENDAMIENTO OFICINAS UBICADAS EN LA CARRERA 13 NO. 60 -  61 Y/O CR 13 A NO. 60 - 48/68 DEL 01 DE JULIO AL 31 DE JULIO</v>
          </cell>
          <cell r="AI12">
            <v>109993652.09</v>
          </cell>
          <cell r="AJ12">
            <v>0</v>
          </cell>
          <cell r="AK12">
            <v>0</v>
          </cell>
          <cell r="AL12">
            <v>0</v>
          </cell>
          <cell r="AM12">
            <v>109993652.09</v>
          </cell>
          <cell r="AN12">
            <v>109993652.09</v>
          </cell>
          <cell r="AO12">
            <v>109993652.09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0.16</v>
          </cell>
          <cell r="AW12">
            <v>17598984.329999998</v>
          </cell>
          <cell r="AX12">
            <v>0</v>
          </cell>
          <cell r="AY12">
            <v>0</v>
          </cell>
          <cell r="AZ12">
            <v>17598984.329999998</v>
          </cell>
          <cell r="BA12">
            <v>127592636.42</v>
          </cell>
          <cell r="BB12" t="str">
            <v>NO</v>
          </cell>
          <cell r="BC12" t="str">
            <v>NO</v>
          </cell>
          <cell r="BD12" t="str">
            <v>NO</v>
          </cell>
          <cell r="BE12" t="str">
            <v>NO</v>
          </cell>
          <cell r="BF12" t="str">
            <v>COMUN</v>
          </cell>
          <cell r="BG12" t="str">
            <v>NO</v>
          </cell>
          <cell r="BH12" t="str">
            <v>ARRENDAMIENTO INMUEBLES</v>
          </cell>
          <cell r="BI12">
            <v>3.5000000000000003E-2</v>
          </cell>
          <cell r="BN12" t="str">
            <v>RETEIVA REGIMEN COMUN</v>
          </cell>
          <cell r="BO12">
            <v>0.15</v>
          </cell>
          <cell r="BT12" t="str">
            <v>ACTIVIDADES INMOBILIARIAS</v>
          </cell>
          <cell r="BU12" t="str">
            <v>BOGOTA</v>
          </cell>
          <cell r="BV12">
            <v>9.6600000000000002E-3</v>
          </cell>
          <cell r="BX12" t="str">
            <v>-</v>
          </cell>
          <cell r="CA12" t="str">
            <v>-</v>
          </cell>
          <cell r="CC12" t="str">
            <v xml:space="preserve">RETENCION CREE </v>
          </cell>
          <cell r="CD12">
            <v>6.0000000000000001E-3</v>
          </cell>
          <cell r="CF12" t="str">
            <v>-</v>
          </cell>
          <cell r="CH12" t="str">
            <v>-</v>
          </cell>
          <cell r="CI12" t="str">
            <v>-</v>
          </cell>
          <cell r="CJ12">
            <v>0</v>
          </cell>
          <cell r="CK12">
            <v>3849778</v>
          </cell>
          <cell r="CL12">
            <v>0</v>
          </cell>
          <cell r="CM12">
            <v>0</v>
          </cell>
          <cell r="CN12">
            <v>2639848</v>
          </cell>
          <cell r="CO12">
            <v>0</v>
          </cell>
          <cell r="CP12">
            <v>0</v>
          </cell>
          <cell r="CQ12">
            <v>1062539</v>
          </cell>
          <cell r="CR12">
            <v>0</v>
          </cell>
          <cell r="CS12">
            <v>0</v>
          </cell>
          <cell r="CT12">
            <v>659962</v>
          </cell>
          <cell r="CU12">
            <v>0</v>
          </cell>
          <cell r="CV12">
            <v>0</v>
          </cell>
          <cell r="CW12">
            <v>8212127</v>
          </cell>
          <cell r="CX12">
            <v>119380509.42</v>
          </cell>
          <cell r="CY12" t="str">
            <v>ADMINISTRATIVA</v>
          </cell>
          <cell r="CZ12" t="str">
            <v>-</v>
          </cell>
        </row>
        <row r="13">
          <cell r="B13">
            <v>4</v>
          </cell>
          <cell r="C13">
            <v>41459</v>
          </cell>
          <cell r="D13">
            <v>41459</v>
          </cell>
          <cell r="E13" t="str">
            <v>VER ANEXO</v>
          </cell>
          <cell r="F13" t="str">
            <v>CONTRATISTAS</v>
          </cell>
          <cell r="G13" t="str">
            <v>VER ANEXO</v>
          </cell>
          <cell r="K13" t="str">
            <v>HONORARIOS CONTRATISTAS JULIO DE 2013</v>
          </cell>
          <cell r="L13" t="str">
            <v>VER ANEXO</v>
          </cell>
          <cell r="M13">
            <v>457058840</v>
          </cell>
          <cell r="N13" t="str">
            <v>VER ANEXO</v>
          </cell>
          <cell r="O13" t="str">
            <v>-</v>
          </cell>
          <cell r="P13" t="str">
            <v>-</v>
          </cell>
          <cell r="Q13" t="str">
            <v>-</v>
          </cell>
          <cell r="R13" t="str">
            <v>-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VER ANEXO</v>
          </cell>
          <cell r="AH13" t="str">
            <v>HONORARIOS CONTRATISTAS JULIO DE 2013</v>
          </cell>
          <cell r="AI13">
            <v>456176082</v>
          </cell>
          <cell r="AJ13">
            <v>25995000</v>
          </cell>
          <cell r="AL13">
            <v>-25995000</v>
          </cell>
          <cell r="AM13">
            <v>456176082</v>
          </cell>
          <cell r="AO13">
            <v>456176082</v>
          </cell>
          <cell r="AS13">
            <v>500000</v>
          </cell>
          <cell r="AT13">
            <v>0.16</v>
          </cell>
          <cell r="AW13">
            <v>882758</v>
          </cell>
          <cell r="AX13">
            <v>0</v>
          </cell>
          <cell r="AY13">
            <v>0</v>
          </cell>
          <cell r="AZ13">
            <v>882758</v>
          </cell>
          <cell r="BA13">
            <v>457058840</v>
          </cell>
          <cell r="BF13" t="str">
            <v>VER ANEXO</v>
          </cell>
          <cell r="BH13" t="str">
            <v>RETENCION CATEGORIA EMPLEADOS ART 383 E.T.</v>
          </cell>
          <cell r="BI13" t="str">
            <v>ART 383 ET</v>
          </cell>
          <cell r="BJ13" t="str">
            <v>AJUSTE RETENCION VIATICOS</v>
          </cell>
          <cell r="BK13" t="str">
            <v>ART 383 ET</v>
          </cell>
          <cell r="BN13" t="str">
            <v>RETEIVA REGIMEN COMUN</v>
          </cell>
          <cell r="BO13">
            <v>0.15</v>
          </cell>
          <cell r="BT13" t="str">
            <v>RETENCION DE ICA SERVICIOS</v>
          </cell>
          <cell r="BU13" t="str">
            <v>VER ANEXO</v>
          </cell>
          <cell r="BV13" t="str">
            <v>VER  ANEXO</v>
          </cell>
          <cell r="CE13" t="str">
            <v xml:space="preserve">SOBRETASA BOMBERIL </v>
          </cell>
          <cell r="CF13" t="str">
            <v>IBAGUE</v>
          </cell>
          <cell r="CG13">
            <v>0.06</v>
          </cell>
          <cell r="CH13" t="str">
            <v>AFP - AFC</v>
          </cell>
          <cell r="CI13" t="str">
            <v>VER ANEXO</v>
          </cell>
          <cell r="CK13">
            <v>4400712</v>
          </cell>
          <cell r="CL13">
            <v>3300978</v>
          </cell>
          <cell r="CN13">
            <v>132414</v>
          </cell>
          <cell r="CQ13">
            <v>2271682</v>
          </cell>
          <cell r="CU13">
            <v>1594</v>
          </cell>
          <cell r="CV13">
            <v>500000</v>
          </cell>
          <cell r="CW13">
            <v>10607380</v>
          </cell>
          <cell r="CX13">
            <v>446451460</v>
          </cell>
          <cell r="CY13" t="str">
            <v>VER ANEXO</v>
          </cell>
          <cell r="CZ13" t="str">
            <v>-</v>
          </cell>
        </row>
        <row r="14">
          <cell r="AM14">
            <v>0</v>
          </cell>
          <cell r="AZ14">
            <v>0</v>
          </cell>
        </row>
        <row r="15">
          <cell r="AZ15">
            <v>0</v>
          </cell>
        </row>
        <row r="16">
          <cell r="AZ16">
            <v>0</v>
          </cell>
        </row>
        <row r="17">
          <cell r="AZ17">
            <v>0</v>
          </cell>
        </row>
        <row r="18">
          <cell r="AZ18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22">
          <cell r="AZ22">
            <v>0</v>
          </cell>
        </row>
        <row r="23">
          <cell r="AZ23">
            <v>0</v>
          </cell>
        </row>
        <row r="24">
          <cell r="O24">
            <v>0</v>
          </cell>
          <cell r="AZ24">
            <v>0</v>
          </cell>
        </row>
        <row r="25">
          <cell r="AZ25">
            <v>0</v>
          </cell>
        </row>
        <row r="26">
          <cell r="AZ26">
            <v>0</v>
          </cell>
        </row>
        <row r="27">
          <cell r="AZ27">
            <v>0</v>
          </cell>
        </row>
        <row r="28">
          <cell r="AZ28">
            <v>0</v>
          </cell>
        </row>
        <row r="29">
          <cell r="AZ29">
            <v>0</v>
          </cell>
        </row>
        <row r="30">
          <cell r="AZ30">
            <v>0</v>
          </cell>
        </row>
        <row r="31">
          <cell r="AZ31">
            <v>0</v>
          </cell>
        </row>
        <row r="32">
          <cell r="AZ32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7">
          <cell r="AZ37">
            <v>0</v>
          </cell>
        </row>
        <row r="38">
          <cell r="AZ38">
            <v>0</v>
          </cell>
        </row>
        <row r="39">
          <cell r="AZ39">
            <v>0</v>
          </cell>
        </row>
        <row r="40">
          <cell r="AZ40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58">
          <cell r="AZ58">
            <v>0</v>
          </cell>
        </row>
        <row r="59">
          <cell r="AZ59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3">
          <cell r="AZ63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68">
          <cell r="AZ68">
            <v>0</v>
          </cell>
        </row>
        <row r="69">
          <cell r="AZ69">
            <v>0</v>
          </cell>
        </row>
        <row r="70">
          <cell r="AZ70">
            <v>0</v>
          </cell>
        </row>
        <row r="71">
          <cell r="AZ71">
            <v>0</v>
          </cell>
        </row>
        <row r="72">
          <cell r="AZ72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78">
          <cell r="AZ78">
            <v>0</v>
          </cell>
        </row>
        <row r="79">
          <cell r="AZ79">
            <v>0</v>
          </cell>
        </row>
        <row r="80">
          <cell r="AZ80">
            <v>0</v>
          </cell>
        </row>
        <row r="81">
          <cell r="AZ81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  <row r="98">
          <cell r="AZ98">
            <v>0</v>
          </cell>
        </row>
        <row r="99">
          <cell r="AZ99">
            <v>0</v>
          </cell>
        </row>
        <row r="100">
          <cell r="AZ100">
            <v>0</v>
          </cell>
        </row>
        <row r="101">
          <cell r="AZ101">
            <v>0</v>
          </cell>
        </row>
        <row r="102">
          <cell r="AZ102">
            <v>0</v>
          </cell>
        </row>
        <row r="103">
          <cell r="AZ103">
            <v>0</v>
          </cell>
        </row>
        <row r="104">
          <cell r="AZ104">
            <v>0</v>
          </cell>
        </row>
        <row r="105">
          <cell r="AZ105">
            <v>0</v>
          </cell>
        </row>
        <row r="106">
          <cell r="AZ106">
            <v>0</v>
          </cell>
        </row>
        <row r="107">
          <cell r="AZ107">
            <v>0</v>
          </cell>
        </row>
        <row r="108">
          <cell r="AZ108">
            <v>0</v>
          </cell>
        </row>
        <row r="109">
          <cell r="AZ109">
            <v>0</v>
          </cell>
        </row>
        <row r="110">
          <cell r="AZ110">
            <v>0</v>
          </cell>
        </row>
        <row r="111">
          <cell r="AZ111">
            <v>0</v>
          </cell>
        </row>
        <row r="112">
          <cell r="AZ112">
            <v>0</v>
          </cell>
        </row>
        <row r="113">
          <cell r="AZ113">
            <v>0</v>
          </cell>
        </row>
        <row r="114">
          <cell r="AZ114">
            <v>0</v>
          </cell>
        </row>
        <row r="115">
          <cell r="AZ115">
            <v>0</v>
          </cell>
        </row>
        <row r="116">
          <cell r="AZ116">
            <v>0</v>
          </cell>
        </row>
        <row r="117">
          <cell r="AZ117">
            <v>0</v>
          </cell>
        </row>
        <row r="118">
          <cell r="AZ118">
            <v>0</v>
          </cell>
        </row>
        <row r="119">
          <cell r="AZ119">
            <v>0</v>
          </cell>
        </row>
        <row r="120">
          <cell r="AZ120">
            <v>0</v>
          </cell>
        </row>
        <row r="121">
          <cell r="AZ121">
            <v>0</v>
          </cell>
        </row>
        <row r="122">
          <cell r="AZ122">
            <v>0</v>
          </cell>
        </row>
        <row r="123">
          <cell r="AZ123">
            <v>0</v>
          </cell>
        </row>
        <row r="124">
          <cell r="AZ124">
            <v>0</v>
          </cell>
        </row>
        <row r="125">
          <cell r="AZ125">
            <v>0</v>
          </cell>
        </row>
        <row r="126">
          <cell r="AZ126">
            <v>0</v>
          </cell>
        </row>
        <row r="127">
          <cell r="AZ127">
            <v>0</v>
          </cell>
        </row>
        <row r="128">
          <cell r="AZ128">
            <v>0</v>
          </cell>
        </row>
        <row r="129">
          <cell r="AZ129">
            <v>0</v>
          </cell>
        </row>
        <row r="130">
          <cell r="AZ130">
            <v>0</v>
          </cell>
        </row>
        <row r="131">
          <cell r="AZ131">
            <v>0</v>
          </cell>
        </row>
        <row r="132">
          <cell r="AZ132">
            <v>0</v>
          </cell>
        </row>
        <row r="133">
          <cell r="AZ133">
            <v>0</v>
          </cell>
        </row>
        <row r="134">
          <cell r="AZ134">
            <v>0</v>
          </cell>
        </row>
        <row r="135">
          <cell r="AZ135">
            <v>0</v>
          </cell>
        </row>
        <row r="136">
          <cell r="AZ136">
            <v>0</v>
          </cell>
        </row>
        <row r="137">
          <cell r="AZ137">
            <v>0</v>
          </cell>
        </row>
        <row r="138">
          <cell r="AZ138">
            <v>0</v>
          </cell>
        </row>
        <row r="139">
          <cell r="AZ139">
            <v>0</v>
          </cell>
        </row>
        <row r="140">
          <cell r="AZ140">
            <v>0</v>
          </cell>
        </row>
        <row r="141">
          <cell r="AZ141">
            <v>0</v>
          </cell>
        </row>
        <row r="142">
          <cell r="AZ142">
            <v>0</v>
          </cell>
        </row>
        <row r="143">
          <cell r="AZ143">
            <v>0</v>
          </cell>
        </row>
        <row r="144">
          <cell r="AZ144">
            <v>0</v>
          </cell>
        </row>
        <row r="145">
          <cell r="AZ145">
            <v>0</v>
          </cell>
        </row>
        <row r="146">
          <cell r="AZ146">
            <v>0</v>
          </cell>
        </row>
        <row r="147">
          <cell r="AZ147">
            <v>0</v>
          </cell>
        </row>
        <row r="148">
          <cell r="AZ148">
            <v>0</v>
          </cell>
        </row>
        <row r="149">
          <cell r="AZ149">
            <v>0</v>
          </cell>
        </row>
        <row r="150">
          <cell r="AZ150">
            <v>0</v>
          </cell>
        </row>
        <row r="151">
          <cell r="AZ151">
            <v>0</v>
          </cell>
        </row>
        <row r="152">
          <cell r="AZ152">
            <v>0</v>
          </cell>
        </row>
        <row r="153">
          <cell r="AZ153">
            <v>0</v>
          </cell>
        </row>
        <row r="154">
          <cell r="AZ154">
            <v>0</v>
          </cell>
        </row>
        <row r="155">
          <cell r="AZ155">
            <v>0</v>
          </cell>
        </row>
        <row r="156">
          <cell r="AZ156">
            <v>0</v>
          </cell>
        </row>
        <row r="157">
          <cell r="AZ157">
            <v>0</v>
          </cell>
        </row>
        <row r="158">
          <cell r="AZ158">
            <v>0</v>
          </cell>
        </row>
        <row r="159">
          <cell r="AZ159">
            <v>0</v>
          </cell>
        </row>
        <row r="160">
          <cell r="AZ160">
            <v>0</v>
          </cell>
        </row>
        <row r="161">
          <cell r="AZ161">
            <v>0</v>
          </cell>
        </row>
        <row r="162">
          <cell r="AZ162">
            <v>0</v>
          </cell>
        </row>
        <row r="163">
          <cell r="AZ163">
            <v>0</v>
          </cell>
        </row>
        <row r="164">
          <cell r="AZ164">
            <v>0</v>
          </cell>
        </row>
        <row r="165">
          <cell r="AZ165">
            <v>0</v>
          </cell>
        </row>
        <row r="166">
          <cell r="AZ166">
            <v>0</v>
          </cell>
        </row>
        <row r="167">
          <cell r="AZ167">
            <v>0</v>
          </cell>
        </row>
        <row r="168">
          <cell r="AZ168">
            <v>0</v>
          </cell>
        </row>
        <row r="169">
          <cell r="AZ169">
            <v>0</v>
          </cell>
        </row>
        <row r="170">
          <cell r="AZ170">
            <v>0</v>
          </cell>
        </row>
        <row r="171">
          <cell r="AZ171">
            <v>0</v>
          </cell>
        </row>
        <row r="172">
          <cell r="AZ172">
            <v>0</v>
          </cell>
        </row>
        <row r="173">
          <cell r="AZ173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nny Yasmin Pinzón Perilla" id="{6DA9717E-D27D-4C8E-8F68-070BB157F737}" userId="S::jenny.pinzon@defensajuridica.gov.co::41291341-22da-42b2-b8aa-9b746842d234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y Yasmin Pinzón Perilla" refreshedDate="43642.691893518517" createdVersion="6" refreshedVersion="6" minRefreshableVersion="3" recordCount="47" xr:uid="{ECA04F40-6E77-4690-AFAC-C2050173EC59}">
  <cacheSource type="worksheet">
    <worksheetSource ref="F7:AO50" sheet="Contratos 2024"/>
  </cacheSource>
  <cacheFields count="31">
    <cacheField name="Grupo" numFmtId="0">
      <sharedItems count="4">
        <s v="Contratistas"/>
        <s v="Aplicaciones"/>
        <s v="Servicios Tecnológicos"/>
        <s v="Servicio de atención"/>
      </sharedItems>
    </cacheField>
    <cacheField name="Subgrupo" numFmtId="0">
      <sharedItems count="16">
        <s v="Gestión de Aplicaciones"/>
        <s v="Apoyo Servicios Tecnológicos"/>
        <s v="Gestión de Operaciones"/>
        <s v="Seguridad de la Información"/>
        <s v="Planeación TI"/>
        <s v="Jota"/>
        <s v="TVEC"/>
        <s v="Gestión Documental"/>
        <s v="SECOP I"/>
        <s v="Software"/>
        <s v="Mantenimiento preventivo y correctivo"/>
        <s v="SECOP II"/>
        <s v="Conectividad"/>
        <s v="Mesa de servicio CCE"/>
        <s v="Soporte sobre servicios"/>
        <s v="Adquisición de hardware"/>
      </sharedItems>
    </cacheField>
    <cacheField name="Función" numFmtId="0">
      <sharedItems/>
    </cacheField>
    <cacheField name="Nombre del Contratista" numFmtId="0">
      <sharedItems/>
    </cacheField>
    <cacheField name="Supervisor del contrato" numFmtId="0">
      <sharedItems containsBlank="1"/>
    </cacheField>
    <cacheField name="Aval del Líder" numFmtId="0">
      <sharedItems/>
    </cacheField>
    <cacheField name="Sistema de Información" numFmtId="0">
      <sharedItems containsBlank="1"/>
    </cacheField>
    <cacheField name="Numero del_x000a_ contrato" numFmtId="0">
      <sharedItems containsBlank="1" containsMixedTypes="1" containsNumber="1" containsInteger="1" minValue="11805" maxValue="36736"/>
    </cacheField>
    <cacheField name="Fuente vigencia 2019" numFmtId="0">
      <sharedItems/>
    </cacheField>
    <cacheField name="Tipo de proceso" numFmtId="0">
      <sharedItems/>
    </cacheField>
    <cacheField name="Fuente  1" numFmtId="4">
      <sharedItems/>
    </cacheField>
    <cacheField name="Valor asignado para Fuente 1" numFmtId="0">
      <sharedItems containsString="0" containsBlank="1" containsNumber="1" minValue="1207942.8799999999" maxValue="1976469600"/>
    </cacheField>
    <cacheField name="No. CDP" numFmtId="167">
      <sharedItems containsString="0" containsBlank="1" containsNumber="1" containsInteger="1" minValue="319" maxValue="14219"/>
    </cacheField>
    <cacheField name="No. Registro Presupuestal" numFmtId="167">
      <sharedItems containsBlank="1" containsMixedTypes="1" containsNumber="1" containsInteger="1" minValue="319" maxValue="50818"/>
    </cacheField>
    <cacheField name="Fuente  2" numFmtId="0">
      <sharedItems containsMixedTypes="1" containsNumber="1" containsInteger="1" minValue="2018" maxValue="2018"/>
    </cacheField>
    <cacheField name="Valor asignado para Fuente 2" numFmtId="0">
      <sharedItems containsSemiMixedTypes="0" containsString="0" containsNumber="1" minValue="0" maxValue="1383810000"/>
    </cacheField>
    <cacheField name="No. CDP2" numFmtId="0">
      <sharedItems containsBlank="1" containsMixedTypes="1" containsNumber="1" containsInteger="1" minValue="2619" maxValue="13219"/>
    </cacheField>
    <cacheField name="No. Registro Presupuestal2" numFmtId="0">
      <sharedItems containsBlank="1" containsMixedTypes="1" containsNumber="1" containsInteger="1" minValue="2619" maxValue="23019"/>
    </cacheField>
    <cacheField name="Fuente  3" numFmtId="4">
      <sharedItems/>
    </cacheField>
    <cacheField name="Valor asignado para Fuente 3" numFmtId="0">
      <sharedItems containsString="0" containsBlank="1" containsNumber="1" minValue="0" maxValue="623490020.66999996"/>
    </cacheField>
    <cacheField name="Valor Total asignado Fuentes" numFmtId="165">
      <sharedItems containsSemiMixedTypes="0" containsString="0" containsNumber="1" minValue="0" maxValue="2096469600"/>
    </cacheField>
    <cacheField name="Fecha Inicio_x000a_o_x000a_Fecha de la OC" numFmtId="14">
      <sharedItems containsNonDate="0" containsDate="1" containsString="0" containsBlank="1" minDate="2016-11-11T00:00:00" maxDate="2019-05-11T00:00:00"/>
    </cacheField>
    <cacheField name="Fecha Final" numFmtId="14">
      <sharedItems containsNonDate="0" containsDate="1" containsString="0" containsBlank="1" minDate="2019-03-31T00:00:00" maxDate="2020-08-01T00:00:00"/>
    </cacheField>
    <cacheField name="Estado del contrato" numFmtId="4">
      <sharedItems/>
    </cacheField>
    <cacheField name="Valor Total del Contrato" numFmtId="0">
      <sharedItems containsString="0" containsBlank="1" containsNumber="1" minValue="4800000" maxValue="2096469600"/>
    </cacheField>
    <cacheField name="%Ejecución Total del contrato" numFmtId="9">
      <sharedItems containsSemiMixedTypes="0" containsString="0" containsNumber="1" minValue="0" maxValue="1"/>
    </cacheField>
    <cacheField name="Valor asignado para el 2019" numFmtId="0">
      <sharedItems containsSemiMixedTypes="0" containsString="0" containsNumber="1" minValue="4800000" maxValue="2096469600"/>
    </cacheField>
    <cacheField name="Valor ejecutado para el 2019_x000a_Corte Junio" numFmtId="166">
      <sharedItems containsSemiMixedTypes="0" containsString="0" containsNumber="1" minValue="0" maxValue="2057716125"/>
    </cacheField>
    <cacheField name="Valor por ejecutar con corte a junio de 2019" numFmtId="166">
      <sharedItems containsSemiMixedTypes="0" containsString="0" containsNumber="1" minValue="0" maxValue="1432013657.9300001"/>
    </cacheField>
    <cacheField name="%Ejecución 2019" numFmtId="9">
      <sharedItems containsSemiMixedTypes="0" containsString="0" containsNumber="1" minValue="0" maxValue="1"/>
    </cacheField>
    <cacheField name="Saldo del Contrato" numFmtId="166">
      <sharedItems containsString="0" containsBlank="1" containsNumber="1" minValue="0" maxValue="1432013657.93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55.576628356481" createdVersion="8" refreshedVersion="8" minRefreshableVersion="3" recordCount="22" xr:uid="{8A0E40D0-786A-46B1-83CD-0BB6C039EE65}">
  <cacheSource type="worksheet">
    <worksheetSource ref="A1:AS23" sheet="Tempo-falta"/>
  </cacheSource>
  <cacheFields count="45">
    <cacheField name="num" numFmtId="1">
      <sharedItems containsSemiMixedTypes="0" containsString="0" containsNumber="1" containsInteger="1" minValue="25" maxValue="46"/>
    </cacheField>
    <cacheField name="Código UNSPSC" numFmtId="0">
      <sharedItems containsBlank="1" containsMixedTypes="1" containsNumber="1" containsInteger="1" minValue="80111614" maxValue="81112501"/>
    </cacheField>
    <cacheField name="Rubro" numFmtId="2">
      <sharedItems containsBlank="1"/>
    </cacheField>
    <cacheField name="Grupo" numFmtId="2">
      <sharedItems/>
    </cacheField>
    <cacheField name="Subgrupo" numFmtId="2">
      <sharedItems/>
    </cacheField>
    <cacheField name="Detalle" numFmtId="2">
      <sharedItems/>
    </cacheField>
    <cacheField name="Pertenece a la OASTI" numFmtId="1">
      <sharedItems/>
    </cacheField>
    <cacheField name="Area a la que pertenece" numFmtId="1">
      <sharedItems/>
    </cacheField>
    <cacheField name="Año PAA" numFmtId="1">
      <sharedItems containsSemiMixedTypes="0" containsString="0" containsNumber="1" containsInteger="1" minValue="2024" maxValue="2024"/>
    </cacheField>
    <cacheField name="Línea PAA" numFmtId="1">
      <sharedItems containsSemiMixedTypes="0" containsString="0" containsNumber="1" containsInteger="1" minValue="76" maxValue="155"/>
    </cacheField>
    <cacheField name="Contratado 2024" numFmtId="2">
      <sharedItems/>
    </cacheField>
    <cacheField name="Adjudicado ?" numFmtId="2">
      <sharedItems/>
    </cacheField>
    <cacheField name="Supervisor del contrato" numFmtId="2">
      <sharedItems/>
    </cacheField>
    <cacheField name="Apoyo de la supervisión" numFmtId="2">
      <sharedItems/>
    </cacheField>
    <cacheField name="Fecha de designacion de supervisión" numFmtId="2">
      <sharedItems containsNonDate="0" containsString="0" containsBlank="1"/>
    </cacheField>
    <cacheField name="Sistema de Información donde esta publicado el proceso" numFmtId="2">
      <sharedItems/>
    </cacheField>
    <cacheField name="Nombre del Contratista" numFmtId="2">
      <sharedItems containsBlank="1"/>
    </cacheField>
    <cacheField name="Objeto" numFmtId="2">
      <sharedItems longText="1"/>
    </cacheField>
    <cacheField name="Numero de proceso o de evento de cotización" numFmtId="0">
      <sharedItems containsNonDate="0" containsString="0" containsBlank="1"/>
    </cacheField>
    <cacheField name="Numero del_x000a_ contrato" numFmtId="2">
      <sharedItems containsNonDate="0" containsString="0" containsBlank="1"/>
    </cacheField>
    <cacheField name="Numero de Orden de compra" numFmtId="0">
      <sharedItems containsNonDate="0" containsString="0" containsBlank="1"/>
    </cacheField>
    <cacheField name="Cantidad de pagos vigencia 2024 con corte al 29 de febrero " numFmtId="0">
      <sharedItems containsString="0" containsBlank="1" containsNumber="1" containsInteger="1" minValue="0" maxValue="0"/>
    </cacheField>
    <cacheField name="Fecha de suscripción de contrato" numFmtId="14">
      <sharedItems containsNonDate="0" containsString="0" containsBlank="1"/>
    </cacheField>
    <cacheField name="Fecha aprobación póliza" numFmtId="14">
      <sharedItems containsNonDate="0" containsString="0" containsBlank="1"/>
    </cacheField>
    <cacheField name="Fecha de inicio de ejecución (acta de inicio)" numFmtId="14">
      <sharedItems containsNonDate="0" containsString="0" containsBlank="1"/>
    </cacheField>
    <cacheField name="Fecha Final" numFmtId="14">
      <sharedItems containsNonDate="0" containsString="0" containsBlank="1"/>
    </cacheField>
    <cacheField name="Fecha de inicio de servicio" numFmtId="14">
      <sharedItems containsNonDate="0" containsString="0" containsBlank="1"/>
    </cacheField>
    <cacheField name="Fecha Final del servicio" numFmtId="14">
      <sharedItems containsNonDate="0" containsString="0" containsBlank="1"/>
    </cacheField>
    <cacheField name="Fuente vigencia " numFmtId="2">
      <sharedItems count="2">
        <s v="Funcionamiento"/>
        <s v="Inversión BID"/>
      </sharedItems>
    </cacheField>
    <cacheField name="Tipo de proceso" numFmtId="2">
      <sharedItems count="8">
        <s v="Mínima cuantía"/>
        <s v="Contratación régimen especial - Comparación de hojas de vida (3CV)"/>
        <s v="Selección abreviada subasta inversa"/>
        <s v="Selección abreviada - acuerdo marco"/>
        <s v="Contratación régimen especial - Selección basada en calidad y costo"/>
        <s v="Contratación régimen especial - Selección Basada en las calificaciones de los consultores"/>
        <s v="Contratación régimen especial - Contratación directa" u="1"/>
        <s v="Comparación de HV" u="1"/>
      </sharedItems>
    </cacheField>
    <cacheField name="Valor total incial del contrato" numFmtId="168">
      <sharedItems containsNonDate="0" containsString="0" containsBlank="1"/>
    </cacheField>
    <cacheField name="Valor adiciones/reducciones" numFmtId="168">
      <sharedItems containsSemiMixedTypes="0" containsString="0" containsNumber="1" containsInteger="1" minValue="0" maxValue="0"/>
    </cacheField>
    <cacheField name="Valor total final del contrato" numFmtId="168">
      <sharedItems containsSemiMixedTypes="0" containsString="0" containsNumber="1" containsInteger="1" minValue="0" maxValue="0"/>
    </cacheField>
    <cacheField name="Valor antes del 2024" numFmtId="168">
      <sharedItems containsNonDate="0" containsString="0" containsBlank="1"/>
    </cacheField>
    <cacheField name="Valor asignado al 2024" numFmtId="168">
      <sharedItems containsNonDate="0" containsString="0" containsBlank="1"/>
    </cacheField>
    <cacheField name="Valor despues del 2024" numFmtId="168">
      <sharedItems containsNonDate="0" containsString="0" containsBlank="1"/>
    </cacheField>
    <cacheField name="Valor total asignado al PAA 2024" numFmtId="168">
      <sharedItems containsSemiMixedTypes="0" containsString="0" containsNumber="1" containsInteger="1" minValue="2550000" maxValue="2245889285"/>
    </cacheField>
    <cacheField name="Diferencia con lo contratado respecto al PAA" numFmtId="168">
      <sharedItems containsSemiMixedTypes="0" containsString="0" containsNumber="1" containsInteger="1" minValue="2550000" maxValue="2245889285"/>
    </cacheField>
    <cacheField name="Valor ejecutado vigencia 2024_x000a_Corte 29 de febrero_x000a_presupuesto 2024" numFmtId="168">
      <sharedItems containsNonDate="0" containsString="0" containsBlank="1"/>
    </cacheField>
    <cacheField name="Pago Mensual_x000a_Aproximado" numFmtId="168">
      <sharedItems containsNonDate="0" containsString="0" containsBlank="1"/>
    </cacheField>
    <cacheField name="Porcentaje de ejecución presupuestal 2024" numFmtId="10">
      <sharedItems containsSemiMixedTypes="0" containsString="0" containsNumber="1" containsInteger="1" minValue="0" maxValue="0"/>
    </cacheField>
    <cacheField name="Presupuesto pendiente de ejecutar o  liberar en el 2024" numFmtId="168">
      <sharedItems containsSemiMixedTypes="0" containsString="0" containsNumber="1" containsInteger="1" minValue="0" maxValue="0"/>
    </cacheField>
    <cacheField name="Expediente Orfeo" numFmtId="2">
      <sharedItems containsBlank="1"/>
    </cacheField>
    <cacheField name="URL SECOP II/TVEC" numFmtId="2">
      <sharedItems containsNonDate="0" containsString="0" containsBlank="1"/>
    </cacheField>
    <cacheField name="Observaciones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55.66955486111" createdVersion="8" refreshedVersion="8" minRefreshableVersion="3" recordCount="45" xr:uid="{39C8F2F4-DEB0-4947-8A1A-AAF41989DA7D}">
  <cacheSource type="worksheet">
    <worksheetSource ref="B7:AX53" sheet="Contratos 2024"/>
  </cacheSource>
  <cacheFields count="45">
    <cacheField name="num" numFmtId="1">
      <sharedItems containsSemiMixedTypes="0" containsString="0" containsNumber="1" containsInteger="1" minValue="1" maxValue="46"/>
    </cacheField>
    <cacheField name="Código UNSPSC" numFmtId="0">
      <sharedItems containsBlank="1" containsMixedTypes="1" containsNumber="1" containsInteger="1" minValue="80111614" maxValue="81112501"/>
    </cacheField>
    <cacheField name="Rubro" numFmtId="0">
      <sharedItems containsBlank="1"/>
    </cacheField>
    <cacheField name="Grupo" numFmtId="2">
      <sharedItems/>
    </cacheField>
    <cacheField name="Subgrupo" numFmtId="2">
      <sharedItems/>
    </cacheField>
    <cacheField name="Detalle" numFmtId="2">
      <sharedItems/>
    </cacheField>
    <cacheField name="Pertenece a la OASTI" numFmtId="1">
      <sharedItems/>
    </cacheField>
    <cacheField name="Area a la que pertenece" numFmtId="1">
      <sharedItems/>
    </cacheField>
    <cacheField name="Año PAA" numFmtId="1">
      <sharedItems containsSemiMixedTypes="0" containsString="0" containsNumber="1" containsInteger="1" minValue="2023" maxValue="2024"/>
    </cacheField>
    <cacheField name="Línea PAA" numFmtId="1">
      <sharedItems containsSemiMixedTypes="0" containsString="0" containsNumber="1" containsInteger="1" minValue="38" maxValue="246"/>
    </cacheField>
    <cacheField name="Contratado 2024" numFmtId="2">
      <sharedItems/>
    </cacheField>
    <cacheField name="Adjudicado ?" numFmtId="2">
      <sharedItems/>
    </cacheField>
    <cacheField name="Supervisor del contrato" numFmtId="2">
      <sharedItems/>
    </cacheField>
    <cacheField name="Apoyo de la supervisión" numFmtId="2">
      <sharedItems/>
    </cacheField>
    <cacheField name="Fecha de designacion de supervisión" numFmtId="2">
      <sharedItems containsBlank="1"/>
    </cacheField>
    <cacheField name="Sistema de Información donde esta publicado el proceso" numFmtId="2">
      <sharedItems/>
    </cacheField>
    <cacheField name="Nombre del Contratista" numFmtId="2">
      <sharedItems containsBlank="1"/>
    </cacheField>
    <cacheField name="Objeto" numFmtId="0">
      <sharedItems longText="1"/>
    </cacheField>
    <cacheField name="Numero de proceso o de evento de cotización" numFmtId="0">
      <sharedItems containsBlank="1" containsMixedTypes="1" containsNumber="1" containsInteger="1" minValue="162171" maxValue="206721"/>
    </cacheField>
    <cacheField name="Numero del_x000a_ contrato" numFmtId="2">
      <sharedItems containsBlank="1"/>
    </cacheField>
    <cacheField name="Numero de Orden de compra" numFmtId="0">
      <sharedItems containsBlank="1" containsMixedTypes="1" containsNumber="1" containsInteger="1" minValue="120075" maxValue="122184"/>
    </cacheField>
    <cacheField name="Cantidad de pagos vigencia 2024 con corte al 29 de febrero " numFmtId="0">
      <sharedItems containsString="0" containsBlank="1" containsNumber="1" containsInteger="1" minValue="0" maxValue="1"/>
    </cacheField>
    <cacheField name="Fecha de suscripción de contrato" numFmtId="14">
      <sharedItems containsNonDate="0" containsDate="1" containsString="0" containsBlank="1" minDate="2023-08-03T00:00:00" maxDate="2024-02-14T00:00:00"/>
    </cacheField>
    <cacheField name="Fecha aprobación póliza" numFmtId="14">
      <sharedItems containsNonDate="0" containsDate="1" containsString="0" containsBlank="1" minDate="2023-02-02T00:00:00" maxDate="2024-02-17T00:00:00"/>
    </cacheField>
    <cacheField name="Fecha de inicio de ejecución (acta de inicio)" numFmtId="14">
      <sharedItems containsDate="1" containsBlank="1" containsMixedTypes="1" minDate="2023-08-10T00:00:00" maxDate="2024-02-10T00:00:00"/>
    </cacheField>
    <cacheField name="Fecha Final" numFmtId="14">
      <sharedItems containsNonDate="0" containsDate="1" containsString="0" containsBlank="1" minDate="2024-03-08T00:00:00" maxDate="2025-12-23T00:00:00"/>
    </cacheField>
    <cacheField name="Fecha de inicio de servicio" numFmtId="14">
      <sharedItems containsBlank="1"/>
    </cacheField>
    <cacheField name="Fecha Final del servicio" numFmtId="14">
      <sharedItems containsBlank="1"/>
    </cacheField>
    <cacheField name="Fuente vigencia " numFmtId="2">
      <sharedItems count="2">
        <s v="Funcionamiento"/>
        <s v="Inversión BID"/>
      </sharedItems>
    </cacheField>
    <cacheField name="Tipo de proceso" numFmtId="2">
      <sharedItems count="11">
        <s v="Acuerdo Marco de Precios "/>
        <s v="Servicio de consultoría"/>
        <s v="Persona Natural (Contratista)"/>
        <s v="Selección abreviada subasta inversa"/>
        <s v="Mínima cuantía"/>
        <s v="Comparación de HV"/>
        <s v="Contratación régimen especial - Contratación directa"/>
        <s v="Contratación régimen especial - Comparación de hojas de vida (3CV)"/>
        <s v="Selección abreviada - acuerdo marco"/>
        <s v="Contratación régimen especial - Selección basada en calidad y costo"/>
        <s v="Contratación régimen especial - Selección Basada en las calificaciones de los consultores"/>
      </sharedItems>
    </cacheField>
    <cacheField name="Valor total incial del contrato" numFmtId="168">
      <sharedItems containsString="0" containsBlank="1" containsNumber="1" minValue="37300074" maxValue="1272271483"/>
    </cacheField>
    <cacheField name="Valor adiciones/reducciones" numFmtId="168">
      <sharedItems containsSemiMixedTypes="0" containsString="0" containsNumber="1" minValue="-47500000" maxValue="52042085.560000002"/>
    </cacheField>
    <cacheField name="Valor total final del contrato" numFmtId="168">
      <sharedItems containsSemiMixedTypes="0" containsString="0" containsNumber="1" minValue="0" maxValue="1272271483"/>
    </cacheField>
    <cacheField name="Valor antes del 2024" numFmtId="168">
      <sharedItems containsString="0" containsBlank="1" containsNumber="1" minValue="0" maxValue="868916461"/>
    </cacheField>
    <cacheField name="Valor asignado al 2024" numFmtId="168">
      <sharedItems containsString="0" containsBlank="1" containsNumber="1" minValue="0" maxValue="944981058"/>
    </cacheField>
    <cacheField name="Valor despues del 2024" numFmtId="168">
      <sharedItems containsString="0" containsBlank="1" containsNumber="1" minValue="0" maxValue="53912288.987899996"/>
    </cacheField>
    <cacheField name="Valor total asignado al PAA 2024" numFmtId="168">
      <sharedItems containsSemiMixedTypes="0" containsString="0" containsNumber="1" minValue="0" maxValue="2245889285"/>
    </cacheField>
    <cacheField name="Diferencia con lo contratado respecto al PAA" numFmtId="168">
      <sharedItems containsSemiMixedTypes="0" containsString="0" containsNumber="1" minValue="0" maxValue="2245889285"/>
    </cacheField>
    <cacheField name="Valor ejecutado vigencia 2024_x000a_Corte 29 de febrero_x000a_presupuesto 2024" numFmtId="168">
      <sharedItems containsString="0" containsBlank="1" containsNumber="1" minValue="0" maxValue="40165517.859999999"/>
    </cacheField>
    <cacheField name="Pago Mensual_x000a_Aproximado" numFmtId="168">
      <sharedItems containsBlank="1" containsMixedTypes="1" containsNumber="1" minValue="2194122" maxValue="51140690.039999999"/>
    </cacheField>
    <cacheField name="Porcentaje de ejecución presupuestal 2024" numFmtId="10">
      <sharedItems containsSemiMixedTypes="0" containsString="0" containsNumber="1" minValue="0" maxValue="0.1"/>
    </cacheField>
    <cacheField name="Presupuesto pendiente de ejecutar o  liberar en el 2024" numFmtId="168">
      <sharedItems containsSemiMixedTypes="0" containsString="0" containsNumber="1" minValue="0" maxValue="944981058"/>
    </cacheField>
    <cacheField name="Expediente Orfeo" numFmtId="2">
      <sharedItems containsBlank="1"/>
    </cacheField>
    <cacheField name="URL SECOP II/TVEC" numFmtId="2">
      <sharedItems containsBlank="1" longText="1"/>
    </cacheField>
    <cacheField name="Observaciones" numFmtId="2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55.673791319445" createdVersion="8" refreshedVersion="8" minRefreshableVersion="3" recordCount="38" xr:uid="{67B7B24E-A5B5-4979-9FFC-D88E36EA4427}">
  <cacheSource type="worksheet">
    <worksheetSource ref="A1:AS39" sheet="segun PAA"/>
  </cacheSource>
  <cacheFields count="45">
    <cacheField name="num" numFmtId="1">
      <sharedItems containsSemiMixedTypes="0" containsString="0" containsNumber="1" containsInteger="1" minValue="8" maxValue="46"/>
    </cacheField>
    <cacheField name="Código UNSPSC" numFmtId="0">
      <sharedItems containsBlank="1" containsMixedTypes="1" containsNumber="1" containsInteger="1" minValue="80111614" maxValue="81112501"/>
    </cacheField>
    <cacheField name="Rubro" numFmtId="0">
      <sharedItems containsBlank="1"/>
    </cacheField>
    <cacheField name="Grupo" numFmtId="2">
      <sharedItems/>
    </cacheField>
    <cacheField name="Subgrupo" numFmtId="2">
      <sharedItems/>
    </cacheField>
    <cacheField name="Detalle" numFmtId="2">
      <sharedItems/>
    </cacheField>
    <cacheField name="Pertenece a la OASTI" numFmtId="1">
      <sharedItems/>
    </cacheField>
    <cacheField name="Area a la que pertenece" numFmtId="1">
      <sharedItems/>
    </cacheField>
    <cacheField name="Año PAA" numFmtId="1">
      <sharedItems containsSemiMixedTypes="0" containsString="0" containsNumber="1" containsInteger="1" minValue="2024" maxValue="2024"/>
    </cacheField>
    <cacheField name="Línea PAA" numFmtId="1">
      <sharedItems containsSemiMixedTypes="0" containsString="0" containsNumber="1" containsInteger="1" minValue="38" maxValue="155"/>
    </cacheField>
    <cacheField name="Contratado 2024" numFmtId="2">
      <sharedItems/>
    </cacheField>
    <cacheField name="Adjudicado ?" numFmtId="2">
      <sharedItems/>
    </cacheField>
    <cacheField name="Supervisor del contrato" numFmtId="2">
      <sharedItems/>
    </cacheField>
    <cacheField name="Apoyo de la supervisión" numFmtId="2">
      <sharedItems/>
    </cacheField>
    <cacheField name="Fecha de designacion de supervisión" numFmtId="2">
      <sharedItems containsBlank="1"/>
    </cacheField>
    <cacheField name="Sistema de Información donde esta publicado el proceso" numFmtId="2">
      <sharedItems count="2">
        <s v="SECOP II"/>
        <s v="TVEC"/>
      </sharedItems>
    </cacheField>
    <cacheField name="Nombre del Contratista" numFmtId="2">
      <sharedItems containsBlank="1"/>
    </cacheField>
    <cacheField name="Objeto" numFmtId="0">
      <sharedItems longText="1"/>
    </cacheField>
    <cacheField name="Numero de proceso o de evento de cotización" numFmtId="0">
      <sharedItems containsBlank="1"/>
    </cacheField>
    <cacheField name="Numero del_x000a_ contrato" numFmtId="2">
      <sharedItems containsBlank="1"/>
    </cacheField>
    <cacheField name="Numero de Orden de compra" numFmtId="0">
      <sharedItems containsBlank="1"/>
    </cacheField>
    <cacheField name="Cantidad de pagos vigencia 2024 con corte al 29 de febrero " numFmtId="0">
      <sharedItems containsString="0" containsBlank="1" containsNumber="1" containsInteger="1" minValue="0" maxValue="1"/>
    </cacheField>
    <cacheField name="Fecha de suscripción de contrato" numFmtId="14">
      <sharedItems containsNonDate="0" containsDate="1" containsString="0" containsBlank="1" minDate="2024-01-17T00:00:00" maxDate="2024-02-14T00:00:00"/>
    </cacheField>
    <cacheField name="Fecha aprobación póliza" numFmtId="14">
      <sharedItems containsNonDate="0" containsDate="1" containsString="0" containsBlank="1" minDate="2023-02-02T00:00:00" maxDate="2024-02-17T00:00:00"/>
    </cacheField>
    <cacheField name="Fecha de inicio de ejecución (acta de inicio)" numFmtId="14">
      <sharedItems containsDate="1" containsBlank="1" containsMixedTypes="1" minDate="2024-01-22T00:00:00" maxDate="2024-02-10T00:00:00"/>
    </cacheField>
    <cacheField name="Fecha Final" numFmtId="14">
      <sharedItems containsNonDate="0" containsDate="1" containsString="0" containsBlank="1" minDate="2024-03-08T00:00:00" maxDate="2024-12-21T00:00:00"/>
    </cacheField>
    <cacheField name="Fecha de inicio de servicio" numFmtId="14">
      <sharedItems containsBlank="1"/>
    </cacheField>
    <cacheField name="Fecha Final del servicio" numFmtId="14">
      <sharedItems containsBlank="1"/>
    </cacheField>
    <cacheField name="Fuente vigencia " numFmtId="2">
      <sharedItems count="2">
        <s v="Funcionamiento"/>
        <s v="Inversión BID"/>
      </sharedItems>
    </cacheField>
    <cacheField name="Tipo de proceso" numFmtId="2">
      <sharedItems/>
    </cacheField>
    <cacheField name="Valor total incial del contrato" numFmtId="168">
      <sharedItems containsString="0" containsBlank="1" containsNumber="1" minValue="47500000" maxValue="194118482.31999999"/>
    </cacheField>
    <cacheField name="Valor adiciones/reducciones" numFmtId="168">
      <sharedItems containsSemiMixedTypes="0" containsString="0" containsNumber="1" containsInteger="1" minValue="-47500000" maxValue="0"/>
    </cacheField>
    <cacheField name="Valor total final del contrato" numFmtId="168">
      <sharedItems containsSemiMixedTypes="0" containsString="0" containsNumber="1" minValue="0" maxValue="194118482.31999999"/>
    </cacheField>
    <cacheField name="Valor antes del 2024" numFmtId="168">
      <sharedItems containsString="0" containsBlank="1" containsNumber="1" containsInteger="1" minValue="0" maxValue="0"/>
    </cacheField>
    <cacheField name="Valor asignado al 2024" numFmtId="168">
      <sharedItems containsString="0" containsBlank="1" containsNumber="1" minValue="0" maxValue="194118482.31999999"/>
    </cacheField>
    <cacheField name="Valor despues del 2024" numFmtId="168">
      <sharedItems containsString="0" containsBlank="1" containsNumber="1" containsInteger="1" minValue="0" maxValue="0"/>
    </cacheField>
    <cacheField name="Valor total asignado al PAA 2024" numFmtId="168">
      <sharedItems containsSemiMixedTypes="0" containsString="0" containsNumber="1" minValue="0" maxValue="2245889285"/>
    </cacheField>
    <cacheField name="Diferencia con lo contratado respecto al PAA" numFmtId="168">
      <sharedItems containsSemiMixedTypes="0" containsString="0" containsNumber="1" minValue="0" maxValue="2245889285"/>
    </cacheField>
    <cacheField name="Valor ejecutado vigencia 2024_x000a_Corte 29 de febrero_x000a_presupuesto 2024" numFmtId="168">
      <sharedItems containsString="0" containsBlank="1" containsNumber="1" minValue="0" maxValue="5100000"/>
    </cacheField>
    <cacheField name="Pago Mensual_x000a_Aproximado" numFmtId="168">
      <sharedItems containsBlank="1" containsMixedTypes="1" containsNumber="1" containsInteger="1" minValue="9253669" maxValue="17912250"/>
    </cacheField>
    <cacheField name="Porcentaje de ejecución presupuestal 2024" numFmtId="10">
      <sharedItems containsSemiMixedTypes="0" containsString="0" containsNumber="1" minValue="0" maxValue="0.03"/>
    </cacheField>
    <cacheField name="Presupuesto pendiente de ejecutar o  liberar en el 2024" numFmtId="168">
      <sharedItems containsSemiMixedTypes="0" containsString="0" containsNumber="1" minValue="0" maxValue="194118482.31999999"/>
    </cacheField>
    <cacheField name="Expediente Orfeo" numFmtId="2">
      <sharedItems containsBlank="1"/>
    </cacheField>
    <cacheField name="URL SECOP II/TVEC" numFmtId="2">
      <sharedItems containsBlank="1" longText="1"/>
    </cacheField>
    <cacheField name="Observaciones" numFmtId="2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y Yasmin Pinzón Perilla" refreshedDate="45357.736451273151" createdVersion="8" refreshedVersion="8" minRefreshableVersion="3" recordCount="23" xr:uid="{31F835CA-4AC6-4E45-BBDC-A8E5709C8A77}">
  <cacheSource type="worksheet">
    <worksheetSource ref="B7:AX61" sheet="Contratos 2024"/>
  </cacheSource>
  <cacheFields count="45">
    <cacheField name="num" numFmtId="1">
      <sharedItems containsSemiMixedTypes="0" containsString="0" containsNumber="1" containsInteger="1" minValue="1" maxValue="24"/>
    </cacheField>
    <cacheField name="Código UNSPSC" numFmtId="0">
      <sharedItems containsString="0" containsBlank="1" containsNumber="1" containsInteger="1" minValue="80111614" maxValue="80111614"/>
    </cacheField>
    <cacheField name="Rubro" numFmtId="0">
      <sharedItems containsBlank="1"/>
    </cacheField>
    <cacheField name="Grupo" numFmtId="2">
      <sharedItems/>
    </cacheField>
    <cacheField name="Subgrupo" numFmtId="2">
      <sharedItems/>
    </cacheField>
    <cacheField name="Detalle" numFmtId="2">
      <sharedItems/>
    </cacheField>
    <cacheField name="Pertenece a la OASTI" numFmtId="1">
      <sharedItems/>
    </cacheField>
    <cacheField name="Area a la que pertenece" numFmtId="1">
      <sharedItems/>
    </cacheField>
    <cacheField name="Año PAA" numFmtId="1">
      <sharedItems containsSemiMixedTypes="0" containsString="0" containsNumber="1" containsInteger="1" minValue="2023" maxValue="2024"/>
    </cacheField>
    <cacheField name="Línea PAA" numFmtId="1">
      <sharedItems containsSemiMixedTypes="0" containsString="0" containsNumber="1" containsInteger="1" minValue="38" maxValue="246"/>
    </cacheField>
    <cacheField name="Contratado 2024" numFmtId="2">
      <sharedItems/>
    </cacheField>
    <cacheField name="Adjudicado ?" numFmtId="2">
      <sharedItems/>
    </cacheField>
    <cacheField name="Supervisor del contrato" numFmtId="2">
      <sharedItems/>
    </cacheField>
    <cacheField name="Apoyo de la supervisión" numFmtId="2">
      <sharedItems/>
    </cacheField>
    <cacheField name="Fecha de designacion de supervisión" numFmtId="2">
      <sharedItems containsBlank="1"/>
    </cacheField>
    <cacheField name="Sistema de Información donde esta publicado el proceso" numFmtId="2">
      <sharedItems/>
    </cacheField>
    <cacheField name="Nombre del Contratista" numFmtId="2">
      <sharedItems/>
    </cacheField>
    <cacheField name="Objeto" numFmtId="0">
      <sharedItems longText="1"/>
    </cacheField>
    <cacheField name="Numero de proceso o de evento de cotización" numFmtId="0">
      <sharedItems containsMixedTypes="1" containsNumber="1" containsInteger="1" minValue="162171" maxValue="206721"/>
    </cacheField>
    <cacheField name="Numero del_x000a_ contrato" numFmtId="2">
      <sharedItems/>
    </cacheField>
    <cacheField name="Numero de Orden de compra" numFmtId="0">
      <sharedItems containsMixedTypes="1" containsNumber="1" containsInteger="1" minValue="120075" maxValue="122184"/>
    </cacheField>
    <cacheField name="Cantidad de pagos vigencia 2024 con corte al 29 de febrero " numFmtId="0">
      <sharedItems containsSemiMixedTypes="0" containsString="0" containsNumber="1" containsInteger="1" minValue="0" maxValue="1"/>
    </cacheField>
    <cacheField name="Fecha de suscripción de contrato" numFmtId="14">
      <sharedItems containsSemiMixedTypes="0" containsNonDate="0" containsDate="1" containsString="0" minDate="2023-08-03T00:00:00" maxDate="2024-02-14T00:00:00"/>
    </cacheField>
    <cacheField name="Fecha aprobación póliza" numFmtId="14">
      <sharedItems containsSemiMixedTypes="0" containsNonDate="0" containsDate="1" containsString="0" minDate="2023-02-02T00:00:00" maxDate="2024-02-17T00:00:00"/>
    </cacheField>
    <cacheField name="Fecha de inicio de ejecución (acta de inicio)" numFmtId="14">
      <sharedItems containsDate="1" containsMixedTypes="1" minDate="2023-08-10T00:00:00" maxDate="2024-02-10T00:00:00"/>
    </cacheField>
    <cacheField name="Fecha Final" numFmtId="14">
      <sharedItems containsSemiMixedTypes="0" containsNonDate="0" containsDate="1" containsString="0" minDate="2024-03-08T00:00:00" maxDate="2025-12-23T00:00:00"/>
    </cacheField>
    <cacheField name="Fecha de inicio de servicio" numFmtId="14">
      <sharedItems/>
    </cacheField>
    <cacheField name="Fecha Final del servicio" numFmtId="14">
      <sharedItems/>
    </cacheField>
    <cacheField name="Fuente vigencia " numFmtId="2">
      <sharedItems count="2">
        <s v="Funcionamiento"/>
        <s v="Inversión BID"/>
      </sharedItems>
    </cacheField>
    <cacheField name="Tipo de proceso" numFmtId="2">
      <sharedItems count="4">
        <s v="Acuerdo Marco de Precios "/>
        <s v="Servicio de consultoría"/>
        <s v="Persona Natural (Contratista)"/>
        <s v="Selección abreviada subasta inversa"/>
      </sharedItems>
    </cacheField>
    <cacheField name="Valor total incial del contrato" numFmtId="168">
      <sharedItems containsSemiMixedTypes="0" containsString="0" containsNumber="1" minValue="37300074" maxValue="1272271483"/>
    </cacheField>
    <cacheField name="Valor adiciones/reducciones" numFmtId="168">
      <sharedItems containsSemiMixedTypes="0" containsString="0" containsNumber="1" minValue="-47500000" maxValue="52042085.560000002"/>
    </cacheField>
    <cacheField name="Valor total final del contrato" numFmtId="168">
      <sharedItems containsSemiMixedTypes="0" containsString="0" containsNumber="1" minValue="0" maxValue="1272271483"/>
    </cacheField>
    <cacheField name="Valor antes del 2024" numFmtId="168">
      <sharedItems containsSemiMixedTypes="0" containsString="0" containsNumber="1" minValue="0" maxValue="868916461"/>
    </cacheField>
    <cacheField name="Valor asignado al 2024" numFmtId="168">
      <sharedItems containsSemiMixedTypes="0" containsString="0" containsNumber="1" minValue="0" maxValue="944981058"/>
    </cacheField>
    <cacheField name="Valor despues del 2024" numFmtId="168">
      <sharedItems containsSemiMixedTypes="0" containsString="0" containsNumber="1" minValue="0" maxValue="53912288.987899996"/>
    </cacheField>
    <cacheField name="Valor total asignado al PAA 2024" numFmtId="168">
      <sharedItems containsSemiMixedTypes="0" containsString="0" containsNumber="1" minValue="0" maxValue="250000000"/>
    </cacheField>
    <cacheField name="Diferencia con lo contratado respecto al PAA" numFmtId="168">
      <sharedItems containsSemiMixedTypes="0" containsString="0" containsNumber="1" minValue="0" maxValue="55881517.680000007"/>
    </cacheField>
    <cacheField name="Valor ejecutado vigencia 2024_x000a_Corte 29 de febrero_x000a_presupuesto 2024" numFmtId="168">
      <sharedItems containsSemiMixedTypes="0" containsString="0" containsNumber="1" minValue="0" maxValue="40165517.859999999"/>
    </cacheField>
    <cacheField name="Pago Mensual_x000a_Aproximado" numFmtId="168">
      <sharedItems containsMixedTypes="1" containsNumber="1" minValue="2194122" maxValue="51140690.039999999"/>
    </cacheField>
    <cacheField name="Porcentaje de ejecución presupuestal 2024" numFmtId="10">
      <sharedItems containsSemiMixedTypes="0" containsString="0" containsNumber="1" minValue="0" maxValue="0.1"/>
    </cacheField>
    <cacheField name="Presupuesto pendiente de ejecutar o  liberar en el 2024" numFmtId="168">
      <sharedItems containsSemiMixedTypes="0" containsString="0" containsNumber="1" minValue="0" maxValue="944981058"/>
    </cacheField>
    <cacheField name="Expediente Orfeo" numFmtId="2">
      <sharedItems/>
    </cacheField>
    <cacheField name="URL SECOP II/TVEC" numFmtId="2">
      <sharedItems longText="1"/>
    </cacheField>
    <cacheField name="Observaciones" numFmtId="2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y Yasmin Pinzón Perilla" refreshedDate="45440.453643749999" createdVersion="8" refreshedVersion="8" minRefreshableVersion="3" recordCount="43" xr:uid="{7F66CB55-43BD-42EA-8917-6923D7505A9F}">
  <cacheSource type="worksheet">
    <worksheetSource ref="A1:AT44" sheet="Tempo"/>
  </cacheSource>
  <cacheFields count="46">
    <cacheField name="num" numFmtId="1">
      <sharedItems containsSemiMixedTypes="0" containsString="0" containsNumber="1" containsInteger="1" minValue="1" maxValue="24"/>
    </cacheField>
    <cacheField name="Código UNSPSC" numFmtId="0">
      <sharedItems containsBlank="1" containsMixedTypes="1" containsNumber="1" containsInteger="1" minValue="80111614" maxValue="81112501"/>
    </cacheField>
    <cacheField name="Rubro" numFmtId="0">
      <sharedItems containsBlank="1"/>
    </cacheField>
    <cacheField name="Grupo" numFmtId="2">
      <sharedItems/>
    </cacheField>
    <cacheField name="Subgrupo" numFmtId="2">
      <sharedItems/>
    </cacheField>
    <cacheField name="Detalle" numFmtId="2">
      <sharedItems/>
    </cacheField>
    <cacheField name="Pertenece a la OASTI" numFmtId="1">
      <sharedItems/>
    </cacheField>
    <cacheField name="Area a la que pertenece" numFmtId="1">
      <sharedItems/>
    </cacheField>
    <cacheField name="Año PAA" numFmtId="1">
      <sharedItems containsSemiMixedTypes="0" containsString="0" containsNumber="1" containsInteger="1" minValue="2023" maxValue="2024"/>
    </cacheField>
    <cacheField name="Línea PAA" numFmtId="1">
      <sharedItems containsSemiMixedTypes="0" containsString="0" containsNumber="1" containsInteger="1" minValue="41" maxValue="246"/>
    </cacheField>
    <cacheField name="Contratado 2024" numFmtId="2">
      <sharedItems/>
    </cacheField>
    <cacheField name="Adjudicado ?" numFmtId="2">
      <sharedItems count="3">
        <s v="Adjudicado 2024"/>
        <s v="Adjudicado 2023"/>
        <s v="Proceso pendiente 2024"/>
      </sharedItems>
    </cacheField>
    <cacheField name="Supervisor del contrato" numFmtId="2">
      <sharedItems/>
    </cacheField>
    <cacheField name="Apoyo de la supervisión" numFmtId="2">
      <sharedItems containsBlank="1"/>
    </cacheField>
    <cacheField name="Fecha de designacion de supervisión" numFmtId="0">
      <sharedItems containsDate="1" containsBlank="1" containsMixedTypes="1" minDate="2024-03-19T00:00:00" maxDate="2024-03-20T00:00:00"/>
    </cacheField>
    <cacheField name="Sistema de Información donde esta publicado el proceso" numFmtId="2">
      <sharedItems/>
    </cacheField>
    <cacheField name="Nombre del Contratista" numFmtId="2">
      <sharedItems containsBlank="1"/>
    </cacheField>
    <cacheField name="Objeto" numFmtId="2">
      <sharedItems longText="1"/>
    </cacheField>
    <cacheField name="Numero de proceso o de evento de cotización" numFmtId="0">
      <sharedItems containsBlank="1" containsMixedTypes="1" containsNumber="1" containsInteger="1" minValue="162171" maxValue="206721"/>
    </cacheField>
    <cacheField name="Numero del_x000a_ contrato" numFmtId="0">
      <sharedItems containsBlank="1"/>
    </cacheField>
    <cacheField name="Numero de Orden de compra" numFmtId="0">
      <sharedItems containsBlank="1" containsMixedTypes="1" containsNumber="1" containsInteger="1" minValue="120075" maxValue="127948"/>
    </cacheField>
    <cacheField name="Cantidad de pagos vigencia 2024 con corte al 29 de febrero " numFmtId="0">
      <sharedItems containsString="0" containsBlank="1" containsNumber="1" containsInteger="1" minValue="0" maxValue="4"/>
    </cacheField>
    <cacheField name="Fecha de suscripción de contrato" numFmtId="14">
      <sharedItems containsNonDate="0" containsDate="1" containsString="0" containsBlank="1" minDate="2023-08-03T00:00:00" maxDate="2024-05-16T00:00:00"/>
    </cacheField>
    <cacheField name="Fecha aprobación póliza" numFmtId="14">
      <sharedItems containsNonDate="0" containsDate="1" containsString="0" containsBlank="1" minDate="2023-02-02T00:00:00" maxDate="2024-05-17T00:00:00"/>
    </cacheField>
    <cacheField name="Fecha de inicio de ejecución (acta de inicio)" numFmtId="14">
      <sharedItems containsDate="1" containsBlank="1" containsMixedTypes="1" minDate="2023-08-10T00:00:00" maxDate="2024-05-17T00:00:00"/>
    </cacheField>
    <cacheField name="Fecha Final" numFmtId="14">
      <sharedItems containsNonDate="0" containsDate="1" containsString="0" containsBlank="1" minDate="2024-03-08T00:00:00" maxDate="2025-12-23T00:00:00"/>
    </cacheField>
    <cacheField name="Fecha de inicio de servicio" numFmtId="14">
      <sharedItems containsDate="1" containsBlank="1" containsMixedTypes="1" minDate="2024-03-22T00:00:00" maxDate="2024-03-23T00:00:00"/>
    </cacheField>
    <cacheField name="Fecha Final del servicio" numFmtId="14">
      <sharedItems containsDate="1" containsBlank="1" containsMixedTypes="1" minDate="2025-03-22T00:00:00" maxDate="2026-12-01T00:00:00"/>
    </cacheField>
    <cacheField name="Fuente vigencia " numFmtId="2">
      <sharedItems/>
    </cacheField>
    <cacheField name="Tipo de proceso" numFmtId="2">
      <sharedItems/>
    </cacheField>
    <cacheField name="Valor total incial del contrato" numFmtId="168">
      <sharedItems containsString="0" containsBlank="1" containsNumber="1" minValue="2125000" maxValue="1272271483"/>
    </cacheField>
    <cacheField name="Valor adiciones/reducciones" numFmtId="168">
      <sharedItems containsSemiMixedTypes="0" containsString="0" containsNumber="1" minValue="0" maxValue="52042085.560000002"/>
    </cacheField>
    <cacheField name="Valor total final del contrato" numFmtId="168">
      <sharedItems containsSemiMixedTypes="0" containsString="0" containsNumber="1" minValue="0" maxValue="1272271483"/>
    </cacheField>
    <cacheField name="Valor antes del 2024" numFmtId="168">
      <sharedItems containsString="0" containsBlank="1" containsNumber="1" minValue="0" maxValue="868916461"/>
    </cacheField>
    <cacheField name="Valor asignado al 2024" numFmtId="168">
      <sharedItems containsString="0" containsBlank="1" containsNumber="1" minValue="2125000" maxValue="944981058"/>
    </cacheField>
    <cacheField name="Valor despues del 2024" numFmtId="168">
      <sharedItems containsString="0" containsBlank="1" containsNumber="1" minValue="0" maxValue="53912288.987899996"/>
    </cacheField>
    <cacheField name="Valor total asignado al PAA 2024" numFmtId="168">
      <sharedItems containsSemiMixedTypes="0" containsString="0" containsNumber="1" minValue="0" maxValue="2245889285"/>
    </cacheField>
    <cacheField name="Diferencia con lo contratado respecto al PAA" numFmtId="168">
      <sharedItems containsSemiMixedTypes="0" containsString="0" containsNumber="1" minValue="0" maxValue="2245889285"/>
    </cacheField>
    <cacheField name="Liberaciones de CDP" numFmtId="168">
      <sharedItems containsBlank="1"/>
    </cacheField>
    <cacheField name="Valor ejecutado vigencia 2024_x000a_Corte 29 de febrero_x000a_presupuesto 2024" numFmtId="168">
      <sharedItems containsString="0" containsBlank="1" containsNumber="1" minValue="0" maxValue="40165517.859999999"/>
    </cacheField>
    <cacheField name="Pago Mensual_x000a_Aproximado" numFmtId="168">
      <sharedItems containsBlank="1" containsMixedTypes="1" containsNumber="1" minValue="2194122" maxValue="51140690.039999999"/>
    </cacheField>
    <cacheField name="Porcentaje de ejecución presupuestal 2024" numFmtId="10">
      <sharedItems containsSemiMixedTypes="0" containsString="0" containsNumber="1" minValue="0" maxValue="0.1"/>
    </cacheField>
    <cacheField name="Presupuesto pendiente de ejecutar o  liberar en el 2024" numFmtId="168">
      <sharedItems containsSemiMixedTypes="0" containsString="0" containsNumber="1" minValue="0" maxValue="944981058"/>
    </cacheField>
    <cacheField name="Expediente Orfeo" numFmtId="2">
      <sharedItems containsBlank="1"/>
    </cacheField>
    <cacheField name="URL SECOP II/TVEC" numFmtId="2">
      <sharedItems containsBlank="1" longText="1"/>
    </cacheField>
    <cacheField name="Observaciones" numFmtId="2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y Yasmin Pinzón Perilla" refreshedDate="45513.338447337963" createdVersion="8" refreshedVersion="8" minRefreshableVersion="3" recordCount="13" xr:uid="{0B3AAA66-8900-4A1C-8218-0654279B7850}">
  <cacheSource type="worksheet">
    <worksheetSource ref="A52:AX54" sheet="Contratos 2024"/>
  </cacheSource>
  <cacheFields count="49">
    <cacheField name="num_x000a_Total" numFmtId="1">
      <sharedItems containsSemiMixedTypes="0" containsString="0" containsNumber="1" containsInteger="1" minValue="36" maxValue="48"/>
    </cacheField>
    <cacheField name="num" numFmtId="1">
      <sharedItems containsSemiMixedTypes="0" containsString="0" containsNumber="1" containsInteger="1" minValue="1" maxValue="13"/>
    </cacheField>
    <cacheField name="Código UNSPSC" numFmtId="0">
      <sharedItems containsBlank="1" containsMixedTypes="1" containsNumber="1" containsInteger="1" minValue="80111614" maxValue="81112501"/>
    </cacheField>
    <cacheField name="Rubro" numFmtId="0">
      <sharedItems containsBlank="1" containsMixedTypes="1" containsNumber="1" containsInteger="1" minValue="80111614" maxValue="81112501"/>
    </cacheField>
    <cacheField name="Grupo" numFmtId="2">
      <sharedItems/>
    </cacheField>
    <cacheField name="Subgrupo" numFmtId="2">
      <sharedItems/>
    </cacheField>
    <cacheField name="Detalle" numFmtId="2">
      <sharedItems/>
    </cacheField>
    <cacheField name="Pertenece a la OASTI" numFmtId="1">
      <sharedItems/>
    </cacheField>
    <cacheField name="Area a la que pertenece" numFmtId="1">
      <sharedItems/>
    </cacheField>
    <cacheField name="Año PAA" numFmtId="1">
      <sharedItems containsSemiMixedTypes="0" containsString="0" containsNumber="1" containsInteger="1" minValue="2024" maxValue="2024"/>
    </cacheField>
    <cacheField name="Línea PAA" numFmtId="1">
      <sharedItems containsSemiMixedTypes="0" containsString="0" containsNumber="1" containsInteger="1" minValue="84" maxValue="203"/>
    </cacheField>
    <cacheField name="Contratado 2024" numFmtId="2">
      <sharedItems/>
    </cacheField>
    <cacheField name="Adjudicado ?" numFmtId="2">
      <sharedItems/>
    </cacheField>
    <cacheField name="Supervisor del contrato" numFmtId="2">
      <sharedItems/>
    </cacheField>
    <cacheField name="Apoyo de la supervisión" numFmtId="2">
      <sharedItems/>
    </cacheField>
    <cacheField name="Fecha de designacion de supervisión" numFmtId="2">
      <sharedItems/>
    </cacheField>
    <cacheField name="Impacto" numFmtId="2">
      <sharedItems containsBlank="1"/>
    </cacheField>
    <cacheField name="Sistema de Información donde esta publicado el proceso" numFmtId="2">
      <sharedItems/>
    </cacheField>
    <cacheField name="Nombre del Contratista" numFmtId="2">
      <sharedItems containsBlank="1"/>
    </cacheField>
    <cacheField name="Objeto" numFmtId="2">
      <sharedItems longText="1"/>
    </cacheField>
    <cacheField name="Numero de proceso o de evento de cotización" numFmtId="0">
      <sharedItems containsBlank="1"/>
    </cacheField>
    <cacheField name="Numero del_x000a_ contrato" numFmtId="2">
      <sharedItems containsNonDate="0" containsString="0" containsBlank="1"/>
    </cacheField>
    <cacheField name="Numero de Orden de compra" numFmtId="0">
      <sharedItems containsNonDate="0" containsString="0" containsBlank="1"/>
    </cacheField>
    <cacheField name="Fecha de suscripción de contrato" numFmtId="14">
      <sharedItems containsNonDate="0" containsString="0" containsBlank="1"/>
    </cacheField>
    <cacheField name="Fecha aprobación póliza" numFmtId="14">
      <sharedItems containsNonDate="0" containsString="0" containsBlank="1"/>
    </cacheField>
    <cacheField name="Fecha de inicio de ejecución (acta de inicio)" numFmtId="14">
      <sharedItems containsNonDate="0" containsString="0" containsBlank="1"/>
    </cacheField>
    <cacheField name="Fecha Final" numFmtId="14">
      <sharedItems containsNonDate="0" containsString="0" containsBlank="1"/>
    </cacheField>
    <cacheField name="Fecha de inicio de servicio" numFmtId="14">
      <sharedItems containsNonDate="0" containsString="0" containsBlank="1"/>
    </cacheField>
    <cacheField name="Fecha Final del servicio" numFmtId="14">
      <sharedItems containsNonDate="0" containsString="0" containsBlank="1"/>
    </cacheField>
    <cacheField name="Fuente vigencia " numFmtId="2">
      <sharedItems count="2">
        <s v="Inversión BID"/>
        <s v="Funcionamiento"/>
      </sharedItems>
    </cacheField>
    <cacheField name="Modalida presentación General Cuadro" numFmtId="2">
      <sharedItems count="5">
        <s v="Servicio de consultoría"/>
        <s v="Mínima cuantía"/>
        <s v="Selección abreviada subasta inversa"/>
        <s v="Persona Natural (Contratista)"/>
        <s v="Selección abreviada - acuerdo marco"/>
      </sharedItems>
    </cacheField>
    <cacheField name="Tipo de proceso" numFmtId="2">
      <sharedItems/>
    </cacheField>
    <cacheField name="Valor total incial del contrato" numFmtId="168">
      <sharedItems containsNonDate="0" containsString="0" containsBlank="1"/>
    </cacheField>
    <cacheField name="Valor adiciones/reducciones" numFmtId="168">
      <sharedItems containsSemiMixedTypes="0" containsString="0" containsNumber="1" containsInteger="1" minValue="0" maxValue="0"/>
    </cacheField>
    <cacheField name="Valor total final del contrato" numFmtId="168">
      <sharedItems containsSemiMixedTypes="0" containsString="0" containsNumber="1" containsInteger="1" minValue="0" maxValue="0"/>
    </cacheField>
    <cacheField name="Valor antes del 2024" numFmtId="168">
      <sharedItems containsString="0" containsBlank="1" containsNumber="1" containsInteger="1" minValue="0" maxValue="0"/>
    </cacheField>
    <cacheField name="Valor asignado al 2024" numFmtId="168">
      <sharedItems containsNonDate="0" containsString="0" containsBlank="1"/>
    </cacheField>
    <cacheField name="Valor despues del 2024" numFmtId="168">
      <sharedItems containsString="0" containsBlank="1" containsNumber="1" containsInteger="1" minValue="0" maxValue="0"/>
    </cacheField>
    <cacheField name="Valor total asignado al PAA 2024" numFmtId="168">
      <sharedItems containsSemiMixedTypes="0" containsString="0" containsNumber="1" containsInteger="1" minValue="4500000" maxValue="2245889285"/>
    </cacheField>
    <cacheField name="Diferencia con lo contratado respecto al PAA" numFmtId="168">
      <sharedItems containsSemiMixedTypes="0" containsString="0" containsNumber="1" containsInteger="1" minValue="4500000" maxValue="2245889285"/>
    </cacheField>
    <cacheField name="Liberaciones de CDP" numFmtId="168">
      <sharedItems containsNonDate="0" containsString="0" containsBlank="1"/>
    </cacheField>
    <cacheField name="Cantidad de pagos vigencia 2024 con corte al 29 de febrero " numFmtId="0">
      <sharedItems containsSemiMixedTypes="0" containsString="0" containsNumber="1" containsInteger="1" minValue="0" maxValue="0"/>
    </cacheField>
    <cacheField name="Valor ejecutado vigencia 2024_x000a_Corte 29 de febrero_x000a_presupuesto 2024" numFmtId="168">
      <sharedItems containsString="0" containsBlank="1" containsNumber="1" containsInteger="1" minValue="0" maxValue="0"/>
    </cacheField>
    <cacheField name="Pago Mensual_x000a_Aproximado" numFmtId="168">
      <sharedItems containsNonDate="0" containsString="0" containsBlank="1"/>
    </cacheField>
    <cacheField name="Porcentaje de ejecución presupuestal 2024" numFmtId="10">
      <sharedItems containsSemiMixedTypes="0" containsString="0" containsNumber="1" containsInteger="1" minValue="0" maxValue="0"/>
    </cacheField>
    <cacheField name="Presupuesto pendiente de ejecutar o  liberar en el 2024" numFmtId="168">
      <sharedItems containsSemiMixedTypes="0" containsString="0" containsNumber="1" containsInteger="1" minValue="0" maxValue="0"/>
    </cacheField>
    <cacheField name="Expediente Orfeo" numFmtId="2">
      <sharedItems containsBlank="1"/>
    </cacheField>
    <cacheField name="URL SECOP II/TVEC" numFmtId="2">
      <sharedItems containsNonDate="0" containsString="0" containsBlank="1"/>
    </cacheField>
    <cacheField name="Observaciones" numFmtId="2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y Yasmin Pinzón Perilla" refreshedDate="45513.338531134257" createdVersion="8" refreshedVersion="8" minRefreshableVersion="3" recordCount="35" xr:uid="{78768291-DF7B-4E21-8E4F-E2BBD0FB3B8C}">
  <cacheSource type="worksheet">
    <worksheetSource ref="A7:AX51" sheet="Contratos 2024"/>
  </cacheSource>
  <cacheFields count="49">
    <cacheField name="num_x000a_Total" numFmtId="1">
      <sharedItems containsSemiMixedTypes="0" containsString="0" containsNumber="1" containsInteger="1" minValue="1" maxValue="35"/>
    </cacheField>
    <cacheField name="num" numFmtId="1">
      <sharedItems containsSemiMixedTypes="0" containsString="0" containsNumber="1" containsInteger="1" minValue="1" maxValue="35"/>
    </cacheField>
    <cacheField name="Código UNSPSC" numFmtId="0">
      <sharedItems containsBlank="1" containsMixedTypes="1" containsNumber="1" containsInteger="1" minValue="80111614" maxValue="81112501"/>
    </cacheField>
    <cacheField name="Rubro" numFmtId="0">
      <sharedItems containsBlank="1"/>
    </cacheField>
    <cacheField name="Grupo" numFmtId="2">
      <sharedItems count="13">
        <s v="Contratista Persona Natural"/>
        <s v="Renovaciones, suscripciones, licencias"/>
        <s v="Servicios Tecnológicos"/>
        <s v="Conciliaciones extrajudiciales"/>
        <s v="Gestión Documental"/>
        <s v="Seguridad"/>
        <s v="CRM"/>
        <s v="Fichas de conciliación"/>
        <s v="Sistemas de Información" u="1"/>
        <s v="Fábrica de software" u="1"/>
        <s v="Consultoría" u="1"/>
        <s v="Aplicaciones" u="1"/>
        <s v="Servicios de Atención" u="1"/>
      </sharedItems>
    </cacheField>
    <cacheField name="Subgrupo" numFmtId="2">
      <sharedItems/>
    </cacheField>
    <cacheField name="Detalle" numFmtId="2">
      <sharedItems/>
    </cacheField>
    <cacheField name="Pertenece a la OASTI" numFmtId="1">
      <sharedItems/>
    </cacheField>
    <cacheField name="Area a la que pertenece" numFmtId="1">
      <sharedItems/>
    </cacheField>
    <cacheField name="Año PAA" numFmtId="1">
      <sharedItems containsSemiMixedTypes="0" containsString="0" containsNumber="1" containsInteger="1" minValue="2023" maxValue="2024"/>
    </cacheField>
    <cacheField name="Línea PAA" numFmtId="1">
      <sharedItems containsSemiMixedTypes="0" containsString="0" containsNumber="1" containsInteger="1" minValue="38" maxValue="246"/>
    </cacheField>
    <cacheField name="Contratado 2024" numFmtId="2">
      <sharedItems/>
    </cacheField>
    <cacheField name="Adjudicado ?" numFmtId="2">
      <sharedItems/>
    </cacheField>
    <cacheField name="Supervisor del contrato" numFmtId="2">
      <sharedItems/>
    </cacheField>
    <cacheField name="Apoyo de la supervisión" numFmtId="2">
      <sharedItems/>
    </cacheField>
    <cacheField name="Fecha de designacion de supervisión" numFmtId="0">
      <sharedItems containsDate="1" containsBlank="1" containsMixedTypes="1" minDate="2024-03-19T00:00:00" maxDate="2024-03-20T00:00:00"/>
    </cacheField>
    <cacheField name="Impacto" numFmtId="0">
      <sharedItems containsNonDate="0" containsString="0" containsBlank="1"/>
    </cacheField>
    <cacheField name="Sistema de Información donde esta publicado el proceso" numFmtId="2">
      <sharedItems/>
    </cacheField>
    <cacheField name="Nombre del Contratista" numFmtId="2">
      <sharedItems/>
    </cacheField>
    <cacheField name="Objeto" numFmtId="2">
      <sharedItems longText="1"/>
    </cacheField>
    <cacheField name="Numero de proceso o de evento de cotización" numFmtId="0">
      <sharedItems containsMixedTypes="1" containsNumber="1" containsInteger="1" minValue="162171" maxValue="206721"/>
    </cacheField>
    <cacheField name="Numero del_x000a_ contrato" numFmtId="0">
      <sharedItems/>
    </cacheField>
    <cacheField name="Numero de Orden de compra" numFmtId="0">
      <sharedItems containsMixedTypes="1" containsNumber="1" containsInteger="1" minValue="120075" maxValue="131057"/>
    </cacheField>
    <cacheField name="Fecha de suscripción de contrato" numFmtId="14">
      <sharedItems containsSemiMixedTypes="0" containsNonDate="0" containsDate="1" containsString="0" minDate="2023-08-03T00:00:00" maxDate="2024-07-20T00:00:00"/>
    </cacheField>
    <cacheField name="Fecha aprobación póliza" numFmtId="14">
      <sharedItems containsSemiMixedTypes="0" containsNonDate="0" containsDate="1" containsString="0" minDate="2023-02-02T00:00:00" maxDate="2024-07-24T00:00:00"/>
    </cacheField>
    <cacheField name="Fecha de inicio de ejecución (acta de inicio)" numFmtId="14">
      <sharedItems containsDate="1" containsMixedTypes="1" minDate="2023-08-10T00:00:00" maxDate="2024-07-26T00:00:00"/>
    </cacheField>
    <cacheField name="Fecha Final" numFmtId="14">
      <sharedItems containsSemiMixedTypes="0" containsNonDate="0" containsDate="1" containsString="0" minDate="2024-03-08T00:00:00" maxDate="2025-12-23T00:00:00"/>
    </cacheField>
    <cacheField name="Fecha de inicio de servicio" numFmtId="14">
      <sharedItems containsDate="1" containsMixedTypes="1" minDate="2024-03-22T00:00:00" maxDate="2024-06-22T00:00:00"/>
    </cacheField>
    <cacheField name="Fecha Final del servicio" numFmtId="14">
      <sharedItems containsDate="1" containsMixedTypes="1" minDate="2025-03-22T00:00:00" maxDate="2026-12-01T00:00:00"/>
    </cacheField>
    <cacheField name="Fuente vigencia " numFmtId="2">
      <sharedItems count="2">
        <s v="Inversión BID"/>
        <s v="Funcionamiento"/>
      </sharedItems>
    </cacheField>
    <cacheField name="Modalida presentación General Cuadro" numFmtId="2">
      <sharedItems count="6">
        <s v="Persona Natural (Contratista)"/>
        <s v="Selección abreviada subasta inversa"/>
        <s v="Acuerdo Marco de Precios "/>
        <s v="Servicio de consultoría"/>
        <s v="Mínima cuantía"/>
        <s v="Selección abreviada - acuerdo marco"/>
      </sharedItems>
    </cacheField>
    <cacheField name="Tipo de proceso" numFmtId="2">
      <sharedItems/>
    </cacheField>
    <cacheField name="Valor total incial del contrato" numFmtId="168">
      <sharedItems containsSemiMixedTypes="0" containsString="0" containsNumber="1" minValue="2125000" maxValue="1272271483"/>
    </cacheField>
    <cacheField name="Valor adiciones/reducciones" numFmtId="168">
      <sharedItems containsSemiMixedTypes="0" containsString="0" containsNumber="1" minValue="-47500000" maxValue="52042085.560000002"/>
    </cacheField>
    <cacheField name="Valor total final del contrato" numFmtId="168">
      <sharedItems containsSemiMixedTypes="0" containsString="0" containsNumber="1" minValue="0" maxValue="1272271483"/>
    </cacheField>
    <cacheField name="Valor antes del 2024" numFmtId="168">
      <sharedItems containsSemiMixedTypes="0" containsString="0" containsNumber="1" minValue="0" maxValue="868916461"/>
    </cacheField>
    <cacheField name="Valor asignado al 2024" numFmtId="168">
      <sharedItems containsSemiMixedTypes="0" containsString="0" containsNumber="1" minValue="0" maxValue="997302719.26999998"/>
    </cacheField>
    <cacheField name="Valor despues del 2024" numFmtId="168">
      <sharedItems containsSemiMixedTypes="0" containsString="0" containsNumber="1" minValue="0" maxValue="53912288.987899996"/>
    </cacheField>
    <cacheField name="Valor total asignado al PAA 2024" numFmtId="168">
      <sharedItems containsSemiMixedTypes="0" containsString="0" containsNumber="1" minValue="0" maxValue="1398000000"/>
    </cacheField>
    <cacheField name="Diferencia con lo contratado respecto al PAA" numFmtId="168">
      <sharedItems containsSemiMixedTypes="0" containsString="0" containsNumber="1" minValue="0" maxValue="400697280.73000002"/>
    </cacheField>
    <cacheField name="Liberaciones de CDP" numFmtId="168">
      <sharedItems containsBlank="1"/>
    </cacheField>
    <cacheField name="Cantidad de pagos vigencia 2024 con corte al 31 de julio de 2024 " numFmtId="0">
      <sharedItems containsSemiMixedTypes="0" containsString="0" containsNumber="1" containsInteger="1" minValue="0" maxValue="7"/>
    </cacheField>
    <cacheField name="Valor ejecutado vigencia 2024_x000a_Corte 31 de Julio_x000a_presupuesto 2024" numFmtId="168">
      <sharedItems containsSemiMixedTypes="0" containsString="0" containsNumber="1" minValue="0" maxValue="471095732.95999998"/>
    </cacheField>
    <cacheField name="Pago Mensual_x000a_Aproximado" numFmtId="168">
      <sharedItems containsMixedTypes="1" containsNumber="1" minValue="2194122" maxValue="51140690.039999999"/>
    </cacheField>
    <cacheField name="Porcentaje de ejecución presupuestal 2024" numFmtId="10">
      <sharedItems containsSemiMixedTypes="0" containsString="0" containsNumber="1" minValue="0" maxValue="1"/>
    </cacheField>
    <cacheField name="Presupuesto pendiente de ejecutar o  liberar en el 2024" numFmtId="168">
      <sharedItems containsSemiMixedTypes="0" containsString="0" containsNumber="1" minValue="0" maxValue="997302719.26999998"/>
    </cacheField>
    <cacheField name="Expediente Orfeo" numFmtId="2">
      <sharedItems/>
    </cacheField>
    <cacheField name="URL SECOP II/TVEC" numFmtId="2">
      <sharedItems longText="1"/>
    </cacheField>
    <cacheField name="Observaciones" numFmtId="2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s v="Aplicaciones"/>
    <s v="Andrea Lisette Silva Beltrán"/>
    <s v="Jenny Pinzón"/>
    <s v="Marcela Cortes"/>
    <s v="SECOP II"/>
    <s v="CCE-802-4H-2019"/>
    <s v="Nación-Inversión"/>
    <s v="Contratación Directa"/>
    <s v="Nación-Inversión"/>
    <n v="107223000"/>
    <n v="5319"/>
    <n v="6319"/>
    <s v="N/A"/>
    <n v="0"/>
    <s v="N/A"/>
    <s v="N/A"/>
    <s v="N/A"/>
    <n v="0"/>
    <n v="107223000"/>
    <d v="2019-01-14T00:00:00"/>
    <d v="2019-12-31T00:00:00"/>
    <s v="Vigente"/>
    <n v="107223000"/>
    <n v="0.30835734870317005"/>
    <n v="107223000"/>
    <n v="42333000"/>
    <n v="64890000"/>
    <n v="0.30835734870317005"/>
    <n v="0"/>
  </r>
  <r>
    <x v="0"/>
    <x v="1"/>
    <s v="Infraestructura"/>
    <s v="Andrea Marcela Sierra Acevedo"/>
    <s v="Jenny Pinzón"/>
    <s v="Diego Rodriguez"/>
    <s v="SECOP II"/>
    <s v="CCE-821-4H-2019"/>
    <s v="Nación-Funcionamiento-Gastos Generales"/>
    <s v="Contratación Directa"/>
    <s v="Nación-Funcionamiento-Gastos Generales"/>
    <n v="28024962"/>
    <n v="8319"/>
    <n v="7719"/>
    <s v="N/A"/>
    <n v="0"/>
    <s v="N/A"/>
    <s v="N/A"/>
    <s v="N/A"/>
    <n v="0"/>
    <n v="28024962"/>
    <d v="2019-01-15T00:00:00"/>
    <d v="2019-12-31T00:00:00"/>
    <s v="Vigente"/>
    <n v="28024962"/>
    <n v="0.30635838150289019"/>
    <n v="28024962"/>
    <n v="11015592"/>
    <n v="17009370"/>
    <n v="0.30635838150289019"/>
    <n v="0"/>
  </r>
  <r>
    <x v="0"/>
    <x v="0"/>
    <s v="Aplicaciones"/>
    <s v="Claudia Evelia López Hernández"/>
    <s v="Dana Pineda"/>
    <s v="Marcela Cortes"/>
    <s v="SECOP II"/>
    <s v="CCE-834-4H-2019"/>
    <s v="Nación-Inversión"/>
    <s v="Contratación Directa"/>
    <s v="Nación-Inversión"/>
    <n v="119840000"/>
    <n v="8819"/>
    <n v="10919"/>
    <s v="N/A"/>
    <n v="0"/>
    <s v="N/A"/>
    <s v="N/A"/>
    <s v="N/A"/>
    <n v="0"/>
    <n v="119840000"/>
    <d v="2019-01-22T00:00:00"/>
    <d v="2019-12-31T00:00:00"/>
    <s v="Vigente"/>
    <n v="119840000"/>
    <n v="0.30841121495327101"/>
    <n v="119840000"/>
    <n v="48160000"/>
    <n v="71680000"/>
    <n v="0.30841121495327101"/>
    <n v="0"/>
  </r>
  <r>
    <x v="0"/>
    <x v="0"/>
    <s v="Desarrollo"/>
    <s v="Cristian Martinez Bedoya"/>
    <s v="Luis Reyes"/>
    <s v="No Aplica"/>
    <s v="SECOP II"/>
    <s v="CCE-765-4H-2019"/>
    <s v="Nación-Inversión"/>
    <s v="Contratación Directa"/>
    <s v="Nación-Inversión"/>
    <n v="62400000"/>
    <n v="2319"/>
    <n v="2119"/>
    <s v="N/A"/>
    <n v="0"/>
    <s v="N/A"/>
    <s v="N/A"/>
    <s v="N/A"/>
    <n v="0"/>
    <n v="62400000"/>
    <d v="2019-01-02T00:00:00"/>
    <d v="2019-12-31T00:00:00"/>
    <s v="Vigente"/>
    <n v="62400000"/>
    <n v="0.33333333333333331"/>
    <n v="62400000"/>
    <n v="26000000"/>
    <n v="36400000"/>
    <n v="0.33333333333333331"/>
    <n v="0"/>
  </r>
  <r>
    <x v="0"/>
    <x v="2"/>
    <s v="Infraestructura"/>
    <s v="Diego Andrés Rodriguez Vargas"/>
    <s v="Dana Pineda"/>
    <s v="No Aplica"/>
    <s v="SECOP II"/>
    <s v="CCE-767-4H-2019"/>
    <s v="Nación-Inversión"/>
    <s v="Contratación Directa"/>
    <s v="Nación-Inversión"/>
    <n v="166822668"/>
    <n v="2519"/>
    <n v="2219"/>
    <s v="N/A"/>
    <n v="0"/>
    <s v="N/A"/>
    <s v="N/A"/>
    <s v="N/A"/>
    <n v="0"/>
    <n v="166822668"/>
    <d v="2019-01-02T00:00:00"/>
    <d v="2019-12-31T00:00:00"/>
    <s v="Vigente"/>
    <n v="166822668"/>
    <n v="0.33333333333333331"/>
    <n v="166822668"/>
    <n v="69509445"/>
    <n v="97313223"/>
    <n v="0.33333333333333331"/>
    <n v="0"/>
  </r>
  <r>
    <x v="0"/>
    <x v="3"/>
    <s v="Seguridad"/>
    <s v="Frederick Nicolai Ferro Mojica"/>
    <s v="Dana Pineda"/>
    <s v="No Aplica"/>
    <s v="SECOP II"/>
    <s v="CCE-795-4H-2019"/>
    <s v="Nación-Inversión"/>
    <s v="Contratación Directa"/>
    <s v="Nación-Inversión"/>
    <n v="70457493"/>
    <n v="5219"/>
    <n v="4919"/>
    <s v="N/A"/>
    <n v="0"/>
    <s v="N/A"/>
    <s v="N/A"/>
    <s v="N/A"/>
    <n v="0"/>
    <n v="70457493"/>
    <d v="2019-01-08T00:00:00"/>
    <d v="2019-12-31T00:00:00"/>
    <s v="Vigente"/>
    <n v="70457493"/>
    <n v="0.34090909252192664"/>
    <n v="70457493"/>
    <n v="30024500"/>
    <n v="40432993"/>
    <n v="0.34090909252192664"/>
    <n v="0"/>
  </r>
  <r>
    <x v="0"/>
    <x v="2"/>
    <s v="Operación"/>
    <s v="Jose Orlando Nuñez Córdoba"/>
    <s v="Adriana Montoya"/>
    <s v="Marilen Villalba"/>
    <s v="SECOP I  "/>
    <s v="CCE-858-4H-2019"/>
    <s v="Nación-Inversión"/>
    <s v="Contratación Directa"/>
    <s v="Nación-Inversión"/>
    <n v="21869190"/>
    <n v="12819"/>
    <n v="21419"/>
    <s v="N/A"/>
    <n v="0"/>
    <s v="N/A"/>
    <s v="N/A"/>
    <s v="N/A"/>
    <n v="0"/>
    <n v="21869190"/>
    <d v="2019-04-01T00:00:00"/>
    <d v="2019-12-31T00:00:00"/>
    <s v="Vigente"/>
    <n v="21869190"/>
    <n v="0.1111111111111111"/>
    <n v="21869190"/>
    <n v="4859820"/>
    <n v="17009370"/>
    <n v="0.1111111111111111"/>
    <n v="0"/>
  </r>
  <r>
    <x v="0"/>
    <x v="0"/>
    <s v="Desarrollo"/>
    <s v="Juan Camilo Cárdenas Caicedo"/>
    <s v="Luis Reyes"/>
    <s v="No Aplica"/>
    <s v="SECOP II"/>
    <s v="CCE-850-4H-2019"/>
    <s v="Nación-Inversión"/>
    <s v="Contratación Directa"/>
    <s v="Nación-Inversión"/>
    <n v="42248950"/>
    <n v="11719"/>
    <m/>
    <s v="N/A"/>
    <n v="0"/>
    <s v="N/A"/>
    <s v="N/A"/>
    <s v="N/A"/>
    <n v="0"/>
    <n v="42248950"/>
    <d v="2019-03-04T00:00:00"/>
    <d v="2019-12-31T00:00:00"/>
    <s v="Vigente"/>
    <n v="42248950"/>
    <n v="0.19463087248322147"/>
    <n v="42248950"/>
    <n v="12476200"/>
    <n v="29772750"/>
    <n v="0.19463087248322147"/>
    <n v="0"/>
  </r>
  <r>
    <x v="0"/>
    <x v="2"/>
    <s v="Operación"/>
    <s v="Juan de Jesus Ardila Ballesteros"/>
    <s v="Jenny Pinzón"/>
    <s v="Marilen Villalba"/>
    <s v="SECOP II"/>
    <s v="CCE-766-4H-2019"/>
    <s v="Nación-Inversión"/>
    <s v="Contratación Directa"/>
    <s v="Nación-Inversión"/>
    <n v="30960000"/>
    <n v="2419"/>
    <n v="1319"/>
    <s v="N/A"/>
    <n v="0"/>
    <s v="N/A"/>
    <s v="N/A"/>
    <s v="N/A"/>
    <n v="0"/>
    <n v="30960000"/>
    <d v="2019-01-02T00:00:00"/>
    <d v="2019-12-31T00:00:00"/>
    <s v="Vigente"/>
    <n v="30960000"/>
    <n v="0.33333333333333331"/>
    <n v="30960000"/>
    <n v="12900000"/>
    <n v="18060000"/>
    <n v="0.33333333333333331"/>
    <n v="0"/>
  </r>
  <r>
    <x v="0"/>
    <x v="3"/>
    <s v="Seguridad"/>
    <s v="Luis Alejandro Ruiz Alonso"/>
    <s v="Dana Pineda"/>
    <s v="No Aplica"/>
    <s v="SECOP II"/>
    <s v="CCE-796-4H-2019"/>
    <s v="Nación-Inversión"/>
    <s v="Contratación Directa"/>
    <s v="Nación-Inversión"/>
    <n v="64533333"/>
    <n v="4919"/>
    <n v="4819"/>
    <s v="N/A"/>
    <n v="0"/>
    <s v="N/A"/>
    <s v="N/A"/>
    <s v="N/A"/>
    <n v="0"/>
    <n v="64533333"/>
    <d v="2019-01-08T00:00:00"/>
    <d v="2019-12-31T00:00:00"/>
    <s v="Vigente"/>
    <n v="64533333"/>
    <n v="0.31818181466003004"/>
    <n v="64533333"/>
    <n v="26033333"/>
    <n v="38500000"/>
    <n v="0.31818181466003004"/>
    <n v="0"/>
  </r>
  <r>
    <x v="0"/>
    <x v="2"/>
    <s v="Operación"/>
    <s v="Luis Eduardo Barriga Calderón"/>
    <s v="Jenny Pinzón"/>
    <s v="Marilen Villalba"/>
    <s v="SECOP II"/>
    <s v="CCE-803-4H-2019"/>
    <s v="Nación-Inversión"/>
    <s v="Contratación Directa"/>
    <s v="Nación-Inversión"/>
    <n v="42158939"/>
    <n v="5119"/>
    <n v="6219"/>
    <s v="N/A"/>
    <n v="0"/>
    <s v="N/A"/>
    <s v="N/A"/>
    <s v="N/A"/>
    <n v="0"/>
    <n v="42158939"/>
    <d v="2019-01-14T00:00:00"/>
    <d v="2019-12-31T00:00:00"/>
    <s v="Vigente"/>
    <n v="42158939"/>
    <n v="0.30835735690596955"/>
    <n v="42158939"/>
    <n v="16644884"/>
    <n v="25514055"/>
    <n v="0.30835735690596955"/>
    <n v="0"/>
  </r>
  <r>
    <x v="0"/>
    <x v="4"/>
    <s v="Planeación"/>
    <s v="Luisa Fernanda Bernal Berrio"/>
    <s v="Jenny Pinzón"/>
    <s v="No Aplica"/>
    <s v="SECOP II"/>
    <s v="CCE-847-4H-2019"/>
    <s v="Nación-Inversión"/>
    <s v="Contratación Directa"/>
    <s v="Nación-Inversión"/>
    <n v="41466667"/>
    <n v="10819"/>
    <n v="12819"/>
    <s v="N/A"/>
    <n v="0"/>
    <s v="N/A"/>
    <s v="N/A"/>
    <s v="N/A"/>
    <n v="0"/>
    <n v="41466667"/>
    <d v="2019-02-18T00:00:00"/>
    <d v="2019-12-31T00:00:00"/>
    <s v="Vigente"/>
    <n v="41466667"/>
    <n v="0.22829582613910107"/>
    <n v="41466667"/>
    <n v="13466667"/>
    <n v="28000000"/>
    <n v="0.22829582613910107"/>
    <n v="0"/>
  </r>
  <r>
    <x v="0"/>
    <x v="0"/>
    <s v="Aplicaciones"/>
    <s v="Marcela Adriana Cortes Soto"/>
    <s v="Dana Pineda"/>
    <s v="No Aplica"/>
    <s v="SECOP II"/>
    <s v="CCE-807-4H-2019"/>
    <s v="Nación-Inversión"/>
    <s v="Contratación Directa"/>
    <s v="Nación-Inversión"/>
    <n v="160798516"/>
    <n v="6719"/>
    <n v="7019"/>
    <s v="N/A"/>
    <n v="0"/>
    <s v="N/A"/>
    <s v="N/A"/>
    <s v="N/A"/>
    <n v="0"/>
    <n v="160798516"/>
    <d v="2019-01-14T00:00:00"/>
    <d v="2019-12-31T00:00:00"/>
    <s v="Vigente"/>
    <n v="160798516"/>
    <n v="0.30835734827304001"/>
    <n v="160798516"/>
    <n v="63485293"/>
    <n v="97313223"/>
    <n v="0.30835734827304001"/>
    <n v="0"/>
  </r>
  <r>
    <x v="0"/>
    <x v="2"/>
    <s v="Operación"/>
    <s v="Marco Tovar Barragán"/>
    <s v="Jenny Pinzón"/>
    <s v="Marilen Villalba"/>
    <s v="SECOP II"/>
    <s v="CCE-804-4H-2019"/>
    <s v="Nación-Inversión"/>
    <s v="Contratación Directa"/>
    <s v="Nación-Inversión"/>
    <n v="28105959"/>
    <n v="5019"/>
    <n v="6119"/>
    <s v="N/A"/>
    <n v="0"/>
    <s v="N/A"/>
    <s v="N/A"/>
    <s v="N/A"/>
    <n v="0"/>
    <n v="28105959"/>
    <d v="2019-01-14T00:00:00"/>
    <d v="2019-12-31T00:00:00"/>
    <s v="Vigente"/>
    <n v="28105959"/>
    <n v="0.30835734870317005"/>
    <n v="28105959"/>
    <n v="11096589"/>
    <n v="17009370"/>
    <n v="0.30835734870317005"/>
    <n v="0"/>
  </r>
  <r>
    <x v="0"/>
    <x v="2"/>
    <s v="Operación"/>
    <s v="Maria Ximena Parra Cardenas"/>
    <s v="Adriana Montoya"/>
    <s v="Marilen Villalba"/>
    <s v="SECOP I"/>
    <s v="CCE-852-4H-2019"/>
    <s v="Nación-Inversión"/>
    <s v="Contratación Directa"/>
    <s v="Nación-Inversión"/>
    <n v="50015333"/>
    <n v="12119"/>
    <n v="15919"/>
    <s v="N/A"/>
    <n v="0"/>
    <s v="N/A"/>
    <s v="N/A"/>
    <s v="N/A"/>
    <n v="0"/>
    <n v="50015333"/>
    <d v="2019-03-11T00:00:00"/>
    <d v="2019-12-31T00:00:00"/>
    <s v="Vigente"/>
    <n v="50015333"/>
    <n v="0.1724137875878983"/>
    <n v="50015333"/>
    <n v="13797333"/>
    <n v="36218000"/>
    <n v="0.1724137875878983"/>
    <n v="0"/>
  </r>
  <r>
    <x v="0"/>
    <x v="2"/>
    <s v="Operación"/>
    <s v="Marilen  Villalba Mayorga"/>
    <s v="Dana Pineda"/>
    <s v="No Aplica"/>
    <s v="SECOP II"/>
    <s v="CCE-808-4H-2019"/>
    <s v="Nación-Inversión"/>
    <s v="Contratación Directa"/>
    <s v="Nación-Inversión"/>
    <n v="160798516"/>
    <n v="6819"/>
    <s v="_x0009_6419"/>
    <s v="N/A"/>
    <n v="0"/>
    <s v="N/A"/>
    <s v="N/A"/>
    <s v="N/A"/>
    <n v="0"/>
    <n v="160798516"/>
    <d v="2019-01-14T00:00:00"/>
    <d v="2019-12-31T00:00:00"/>
    <s v="Vigente"/>
    <n v="160798516"/>
    <n v="0.30835734827304001"/>
    <n v="160798516"/>
    <n v="63485293"/>
    <n v="97313223"/>
    <n v="0.30835734827304001"/>
    <n v="0"/>
  </r>
  <r>
    <x v="0"/>
    <x v="0"/>
    <s v="Desarrollo"/>
    <s v="Michel Leonardo Lopez Avendaño"/>
    <s v="Luis Reyes"/>
    <s v="No Aplica"/>
    <s v="SECOP II"/>
    <s v="CCE-764-4H-2019"/>
    <s v="Nación-Inversión"/>
    <s v="Contratación Directa"/>
    <s v="Nación-Inversión"/>
    <n v="62400000"/>
    <n v="2219"/>
    <n v="1219"/>
    <s v="N/A"/>
    <n v="0"/>
    <s v="N/A"/>
    <s v="N/A"/>
    <s v="N/A"/>
    <n v="0"/>
    <n v="62400000"/>
    <d v="2019-01-02T00:00:00"/>
    <d v="2019-12-31T00:00:00"/>
    <s v="Vigente"/>
    <n v="62400000"/>
    <n v="0.33333333333333331"/>
    <n v="62400000"/>
    <n v="26000000"/>
    <n v="36400000"/>
    <n v="0.33333333333333331"/>
    <n v="0"/>
  </r>
  <r>
    <x v="0"/>
    <x v="2"/>
    <s v="Operación"/>
    <s v="Sandra Catalina Garcia Mesa"/>
    <s v="Adriana Montoya"/>
    <s v="Marilen Villalba"/>
    <s v="SECOP II"/>
    <s v="CCE-842-4H-2019  "/>
    <s v="Nación-Inversión"/>
    <s v="Contratación Directa"/>
    <s v="Nación-Inversión"/>
    <n v="16960000"/>
    <n v="10319"/>
    <n v="12419"/>
    <s v="N/A"/>
    <n v="0"/>
    <s v="N/A"/>
    <s v="N/A"/>
    <s v="N/A"/>
    <n v="0"/>
    <n v="16960000"/>
    <d v="2019-02-11T00:00:00"/>
    <d v="2019-12-31T00:00:00"/>
    <s v="Vigente"/>
    <n v="16960000"/>
    <n v="0.24528301886792453"/>
    <n v="16960000"/>
    <n v="5760000"/>
    <n v="11200000"/>
    <n v="0.24528301886792453"/>
    <n v="0"/>
  </r>
  <r>
    <x v="0"/>
    <x v="2"/>
    <s v="Infraestructura"/>
    <s v="Wilman Esney Rodríguez Gómez"/>
    <s v="Dana Pineda"/>
    <s v="Diego Rodriguez"/>
    <s v="SECOP II"/>
    <s v="CCE-849-4H-2019"/>
    <s v="Nación-Inversión"/>
    <s v="Contratación Directa"/>
    <s v="Nación-Inversión"/>
    <n v="81066667"/>
    <n v="11319"/>
    <n v="15219"/>
    <s v="N/A"/>
    <n v="0"/>
    <s v="N/A"/>
    <s v="N/A"/>
    <s v="N/A"/>
    <n v="0"/>
    <n v="81066667"/>
    <d v="2018-02-25T00:00:00"/>
    <d v="2019-12-31T00:00:00"/>
    <s v="Vigente"/>
    <n v="81066667"/>
    <n v="0.21052631903566479"/>
    <n v="81066667"/>
    <n v="25066667"/>
    <n v="56000000"/>
    <n v="0.21052631903566479"/>
    <n v="0"/>
  </r>
  <r>
    <x v="1"/>
    <x v="5"/>
    <s v="-Derecho de uso ó Mantenimiento Correctivo y Mantenimiento Evolutivo"/>
    <s v="Cintel-CCE-859-4C-2019-Jota"/>
    <s v="Dana Pineda"/>
    <s v="No Aplica"/>
    <s v="SECOP I"/>
    <s v="CCE-859-4C-2019"/>
    <s v="Nación-Inversión"/>
    <s v="Contratación Directa"/>
    <s v="Nación-Inversión"/>
    <n v="128500000"/>
    <n v="12719"/>
    <n v="21519"/>
    <s v="N/A"/>
    <n v="0"/>
    <s v="N/A"/>
    <s v="N/A"/>
    <s v="N/A"/>
    <n v="0"/>
    <n v="128500000"/>
    <d v="2019-04-01T00:00:00"/>
    <d v="2019-12-31T00:00:00"/>
    <s v="Vigente"/>
    <n v="128500000"/>
    <n v="0"/>
    <n v="128500000"/>
    <n v="128500000"/>
    <n v="0"/>
    <n v="0"/>
    <m/>
  </r>
  <r>
    <x v="1"/>
    <x v="6"/>
    <s v="-Derecho de uso ó Mantenimiento Correctivo y Mantenimiento Evolutivo"/>
    <s v="Coupa-Usuarios TVEC"/>
    <s v="Dana Pineda"/>
    <s v="No Aplica"/>
    <s v="SECOP II"/>
    <s v="CCE-829-BID-2019"/>
    <s v="Inversión BID"/>
    <s v="Contratación Directa"/>
    <s v="Inversión BID"/>
    <n v="1976469600"/>
    <n v="319"/>
    <n v="319"/>
    <s v="Inversión Nación"/>
    <n v="120000000"/>
    <n v="13219"/>
    <n v="23019"/>
    <s v="N/A"/>
    <n v="0"/>
    <n v="2096469600"/>
    <d v="2019-01-21T00:00:00"/>
    <d v="2019-04-30T00:00:00"/>
    <s v="Proceso en estado de liquidación (Secretaria General esta gestionando proceso de liquidación)"/>
    <n v="2096469600"/>
    <n v="0.98151488817200117"/>
    <n v="2096469600"/>
    <n v="2057716125"/>
    <n v="38753475"/>
    <n v="0.98151488817200117"/>
    <n v="38753475"/>
  </r>
  <r>
    <x v="1"/>
    <x v="7"/>
    <s v="-Derecho de uso ó Mantenimiento Correctivo y Mantenimiento Evolutivo"/>
    <s v="Innovation Place - Soporte Poxta"/>
    <s v="Jenny Pinzón"/>
    <s v="No Aplica"/>
    <s v="SECOP II"/>
    <s v="CCE-837-4G-2019"/>
    <s v="Nación-Funcionamiento-Gastos Generales"/>
    <s v="Contratación Directa"/>
    <s v="Nación-Funcionamiento-Gastos Generales"/>
    <n v="60249353"/>
    <n v="9819"/>
    <m/>
    <s v="N/A"/>
    <n v="0"/>
    <m/>
    <m/>
    <s v="N/A"/>
    <n v="0"/>
    <n v="60249353"/>
    <d v="2019-02-01T00:00:00"/>
    <d v="2019-12-31T00:00:00"/>
    <s v="Vigente"/>
    <n v="60249353"/>
    <n v="0.27721288558899543"/>
    <n v="60249353"/>
    <n v="20906659"/>
    <n v="39342694"/>
    <n v="0.27721288558899543"/>
    <n v="39342694"/>
  </r>
  <r>
    <x v="1"/>
    <x v="8"/>
    <s v="Servicio de nube (infraestructura)"/>
    <s v="PointMind-CCE-SA-SI-851-2019-NubeP-SECOPI"/>
    <s v="Dana Pineda"/>
    <s v="No Aplica"/>
    <s v="SECOP II"/>
    <s v="CCE-SA-SI-851-2019"/>
    <s v="Nación-Inversión"/>
    <s v="Selección abreviada por subasta inversa"/>
    <s v="Nación-Inversión"/>
    <n v="285265000"/>
    <n v="11519"/>
    <m/>
    <s v="N/A"/>
    <n v="0"/>
    <m/>
    <m/>
    <s v="N/A"/>
    <n v="0"/>
    <n v="285265000"/>
    <d v="2019-04-12T00:00:00"/>
    <d v="2019-11-30T00:00:00"/>
    <s v="Vigente"/>
    <n v="285265000"/>
    <n v="0"/>
    <n v="285265000"/>
    <n v="0"/>
    <n v="285265000"/>
    <n v="0"/>
    <n v="285265000"/>
  </r>
  <r>
    <x v="2"/>
    <x v="9"/>
    <s v="Creative Cloud"/>
    <s v="Portatil_CCE-860-5-2019_CreativeCloud"/>
    <s v="Jenny Pinzón"/>
    <s v="No Aplica"/>
    <s v="SECOP II"/>
    <s v="CCE-860-5-2019"/>
    <s v="Nación-Funcionamiento-Gastos Generales"/>
    <s v="Mínima cuantía"/>
    <s v="Nación-Funcionamiento-Gastos Generales"/>
    <n v="6856207"/>
    <n v="12519"/>
    <m/>
    <s v="N/A"/>
    <n v="0"/>
    <m/>
    <m/>
    <s v="N/A"/>
    <n v="0"/>
    <n v="6856207"/>
    <d v="2019-04-24T00:00:00"/>
    <d v="2019-06-30T00:00:00"/>
    <s v="Vigente"/>
    <n v="6856207"/>
    <n v="1"/>
    <n v="6856207"/>
    <n v="6856207"/>
    <n v="0"/>
    <n v="1"/>
    <n v="0"/>
  </r>
  <r>
    <x v="2"/>
    <x v="10"/>
    <s v="N/A"/>
    <s v="SeguridadPercol_CCE-867-5-2019_Biométrico"/>
    <s v="Jenny Pinzón"/>
    <s v="No Aplica"/>
    <s v="SECOP II"/>
    <s v="_x0009_CCE-867-5-2019"/>
    <s v="Nación-Funcionamiento-Gastos Generales"/>
    <s v="Mínima cuantía"/>
    <s v="Nación-Funcionamiento-Gastos Generales"/>
    <n v="10758790"/>
    <n v="14219"/>
    <n v="29619"/>
    <s v="N/A"/>
    <n v="0"/>
    <m/>
    <m/>
    <s v="N/A"/>
    <n v="0"/>
    <n v="10758790"/>
    <d v="2019-02-27T00:00:00"/>
    <d v="2019-12-31T00:00:00"/>
    <s v="Vigente"/>
    <n v="10758790"/>
    <n v="0"/>
    <n v="10758790"/>
    <n v="0"/>
    <n v="10758790"/>
    <n v="0"/>
    <n v="10758790"/>
  </r>
  <r>
    <x v="2"/>
    <x v="9"/>
    <s v="E-Mail Marketing"/>
    <s v="SoftwareColombia_CCE-862-5-2019_E-MailMarketing"/>
    <s v="Jenny Pinzón"/>
    <s v="No Aplica"/>
    <s v="SECOP II"/>
    <s v="CCE-862-5-2019"/>
    <s v="Nación-Funcionamiento-Gastos Generales"/>
    <s v="Mínima cuantía"/>
    <s v="Nación-Funcionamiento-Gastos Generales"/>
    <n v="4800000"/>
    <n v="13419"/>
    <n v="25319"/>
    <s v="N/A"/>
    <n v="0"/>
    <m/>
    <m/>
    <s v="N/A"/>
    <n v="0"/>
    <n v="4800000"/>
    <d v="2019-05-03T00:00:00"/>
    <d v="2019-05-31T00:00:00"/>
    <s v="Proceso en estado de liquidación  (No se ha hecho nada)"/>
    <n v="4800000"/>
    <n v="1"/>
    <n v="4800000"/>
    <n v="4800000"/>
    <n v="0"/>
    <n v="1"/>
    <n v="0"/>
  </r>
  <r>
    <x v="2"/>
    <x v="9"/>
    <s v="WorkShare Jira Bitbucket"/>
    <s v="VectorIT_CCE-863-5-2019_WorkShareJiraBitBucket"/>
    <s v="Jenny Pinzón"/>
    <s v="No Aplica"/>
    <s v="SECOP II"/>
    <s v="CCE-863-5-2019"/>
    <s v="Nación-Funcionamiento-Gastos Generales"/>
    <s v="Mínima cuantía"/>
    <s v="Nación-Funcionamiento-Gastos Generales"/>
    <n v="9769305"/>
    <n v="13619"/>
    <n v="25619"/>
    <s v="N/A"/>
    <n v="0"/>
    <m/>
    <m/>
    <s v="N/A"/>
    <n v="0"/>
    <n v="9769305"/>
    <d v="2019-05-10T00:00:00"/>
    <d v="2019-10-31T00:00:00"/>
    <s v="Vigente"/>
    <n v="9769305"/>
    <n v="0.91357573542846704"/>
    <n v="9769305"/>
    <n v="8925000"/>
    <n v="844305"/>
    <n v="0.91357573542846704"/>
    <n v="844305"/>
  </r>
  <r>
    <x v="1"/>
    <x v="11"/>
    <s v="-Derecho de uso ó Mantenimiento Correctivo y Mantenimiento Evolutivo"/>
    <s v="Vortal - Soporte y Mantenimiento de SECOP II"/>
    <s v="Dana Pineda"/>
    <s v="No Aplica"/>
    <s v="SECOP II"/>
    <s v="CCE-830-BID-2019"/>
    <s v="Inversión BID - Nación Inversión"/>
    <s v="Contratación Directa"/>
    <s v="Inversión BID"/>
    <n v="570350000"/>
    <n v="419"/>
    <n v="419"/>
    <s v="Nación-Inversión"/>
    <n v="1383810000"/>
    <n v="9419"/>
    <n v="10519"/>
    <s v="N/A"/>
    <n v="0"/>
    <n v="1954160000"/>
    <d v="2019-01-21T00:00:00"/>
    <d v="2019-12-31T00:00:00"/>
    <s v="Vigente"/>
    <n v="1954160000"/>
    <n v="0.42835694108977773"/>
    <n v="1954160000"/>
    <n v="837078000"/>
    <n v="1117082000"/>
    <n v="0.42835694108977773"/>
    <n v="1117082000"/>
  </r>
  <r>
    <x v="2"/>
    <x v="12"/>
    <s v="N/A"/>
    <s v="TVEC_UT-Claro_OC33837_ConectividadCCE"/>
    <s v="Jenny Pinzón"/>
    <s v="No Aplica"/>
    <s v="TVEC"/>
    <n v="33837"/>
    <s v="Nación-Funcionamiento-Gastos Generales"/>
    <s v="Acuerdo Marco de Precio Conectivida II"/>
    <s v="Nación-Funcionamiento-Gastos Generales"/>
    <n v="1207942.8799999999"/>
    <n v="13318"/>
    <n v="50818"/>
    <s v="Nación-Inversión"/>
    <n v="14495314.540000001"/>
    <n v="2619"/>
    <n v="2619"/>
    <s v="N/A"/>
    <m/>
    <n v="15703257.420000002"/>
    <d v="2018-11-30T00:00:00"/>
    <d v="2020-07-31T00:00:00"/>
    <s v="Vigente"/>
    <n v="24158857"/>
    <n v="0.25000003518378378"/>
    <n v="14495314.540000001"/>
    <n v="6039715.1000000006"/>
    <n v="8455599.4400000013"/>
    <n v="0.33333338622398739"/>
    <n v="8455599.4400000013"/>
  </r>
  <r>
    <x v="1"/>
    <x v="11"/>
    <s v="-Licencias de SQL Server"/>
    <s v="TVEC_ControlesE_OC35377_AssuranceSQL-Server"/>
    <s v="Jenny Pinzón"/>
    <s v="No Aplica"/>
    <s v="TVEC"/>
    <n v="35377"/>
    <s v="Inversión BID"/>
    <s v="Instrumento de agregación de demanda Microsoft II"/>
    <s v="Inversión BID"/>
    <n v="354275963.86000001"/>
    <n v="519"/>
    <n v="519"/>
    <s v="N/A"/>
    <n v="0"/>
    <m/>
    <m/>
    <s v="N/A"/>
    <n v="0"/>
    <n v="354275963.86000001"/>
    <d v="2019-01-30T00:00:00"/>
    <d v="2019-03-31T00:00:00"/>
    <s v="Proceso en estado de liquidación (No se ha hecho nada)"/>
    <n v="354275963.86000001"/>
    <n v="1"/>
    <n v="354275963.86000001"/>
    <n v="354275963.86000001"/>
    <n v="0"/>
    <n v="1"/>
    <n v="0"/>
  </r>
  <r>
    <x v="2"/>
    <x v="9"/>
    <s v="N/A"/>
    <s v="TVEC_Dell_OC36736_Office365"/>
    <s v="Dana Pineda"/>
    <s v="No Aplica"/>
    <s v="TVEC"/>
    <n v="36736"/>
    <s v="Nación-Funcionamiento-Gastos Generales"/>
    <s v="Orden de Compra"/>
    <s v="Nación-Funcionamiento-Gastos Generales"/>
    <n v="135770583.09999999"/>
    <n v="12619"/>
    <n v="21319"/>
    <s v="N/A"/>
    <n v="0"/>
    <m/>
    <m/>
    <s v="N/A"/>
    <n v="0"/>
    <n v="135770583.09999999"/>
    <d v="2019-03-27T00:00:00"/>
    <d v="2019-09-30T00:00:00"/>
    <s v="Vigente"/>
    <n v="135770583.09999999"/>
    <n v="1"/>
    <n v="135770583.09999999"/>
    <n v="135770583.09999999"/>
    <n v="0"/>
    <n v="1"/>
    <m/>
  </r>
  <r>
    <x v="1"/>
    <x v="11"/>
    <s v="Servicio de nube (infraestructura)"/>
    <s v="TVEC_UT-IFX_OC35378_NubePublica_SECOPII"/>
    <s v="Dana Pineda"/>
    <s v="No Aplica"/>
    <s v="TVEC"/>
    <n v="35378"/>
    <s v="Nación-Inversión"/>
    <s v="Acuerdo Marco de Precio Nube Privada II"/>
    <s v="Nación-Inversión"/>
    <n v="746560168.91999996"/>
    <n v="9619"/>
    <n v="11219"/>
    <s v="N/A"/>
    <n v="0"/>
    <s v="N/A"/>
    <s v="N/A"/>
    <s v="N/A"/>
    <n v="0"/>
    <n v="746560168.91999996"/>
    <d v="2019-01-30T00:00:00"/>
    <d v="2019-12-31T00:00:00"/>
    <s v="Vigente"/>
    <n v="746560168.91999996"/>
    <n v="0.10272589028014174"/>
    <n v="746560168.91999996"/>
    <n v="76691058"/>
    <n v="669869110.91999996"/>
    <n v="0.10272589028014174"/>
    <n v="669869110.91999996"/>
  </r>
  <r>
    <x v="3"/>
    <x v="13"/>
    <s v="N/A"/>
    <s v="TVEC-Outsourcing-OC25472_Mesa de Servicio"/>
    <s v="Dana Pineda"/>
    <s v="No Aplica"/>
    <s v="TVEC"/>
    <n v="25472"/>
    <s v="Nación-Inversión"/>
    <s v="Acuerdo Marco de servicio de BPO"/>
    <s v="Inversión BID"/>
    <n v="1211839708"/>
    <n v="2918"/>
    <n v="2818"/>
    <s v="Nación-Funcionamiento-Gastos Generales"/>
    <n v="26359568.899999999"/>
    <m/>
    <m/>
    <s v="Inversión - Nación"/>
    <n v="623490020.66999996"/>
    <n v="1861689297.5700002"/>
    <d v="2018-02-12T00:00:00"/>
    <d v="2019-04-23T00:00:00"/>
    <s v="Proceso en estado de liquidación (No se ha hecho nada)"/>
    <n v="1861689297.5700002"/>
    <n v="0.94325738150405403"/>
    <n v="623490020.66999996"/>
    <n v="517852894"/>
    <n v="105637126.66999996"/>
    <n v="0.83057126310300411"/>
    <n v="105637126.66999996"/>
  </r>
  <r>
    <x v="3"/>
    <x v="13"/>
    <s v="N/A"/>
    <s v="TVEC-Outsourcing-OC36564_Mesa de Servicio"/>
    <s v="Dana Pineda"/>
    <s v="No Aplica"/>
    <s v="TVEC"/>
    <n v="36564"/>
    <s v="Nación-Inversión"/>
    <s v="Acuerdo Marco de servicio de BPO"/>
    <s v="Nación-Inversión"/>
    <n v="1432013657.9300001"/>
    <n v="12419"/>
    <m/>
    <s v="N/A"/>
    <n v="0"/>
    <m/>
    <m/>
    <s v="N/A"/>
    <n v="0"/>
    <n v="1432013657.9300001"/>
    <d v="2019-03-20T00:00:00"/>
    <d v="2019-12-31T00:00:00"/>
    <s v="Vigente"/>
    <n v="1432013657.9300001"/>
    <n v="0"/>
    <n v="1432013657.9300001"/>
    <n v="0"/>
    <n v="1432013657.9300001"/>
    <n v="0"/>
    <n v="1432013657.9300001"/>
  </r>
  <r>
    <x v="1"/>
    <x v="11"/>
    <s v="Servicio de nube (infraestructura)"/>
    <s v="TVEC_UT-UNE_OC11805_NubePrivada_SECOPII"/>
    <s v="Dana Pineda"/>
    <s v="No Aplica"/>
    <s v="TVEC"/>
    <n v="11805"/>
    <s v="Nación-Inversión"/>
    <s v="Acuerdo Marco de Precio Nube Privada II"/>
    <s v="2016 y 2017"/>
    <n v="626685455.48319995"/>
    <m/>
    <m/>
    <n v="2018"/>
    <n v="500735498.00159997"/>
    <m/>
    <m/>
    <s v="Inversión - Nación (2019)"/>
    <n v="195289494.49000001"/>
    <n v="1322710447.9747999"/>
    <d v="2016-11-11T00:00:00"/>
    <d v="2019-04-22T00:00:00"/>
    <s v="Proceso en estado de liquidación (No se ha hecho nada. Revisar porque falta pagar una factura)"/>
    <n v="1322710447.9747999"/>
    <n v="0.947675074071753"/>
    <n v="195289494.49000001"/>
    <n v="156354305"/>
    <n v="38935189.49000001"/>
    <n v="0.80062834618073264"/>
    <n v="38935189.49000001"/>
  </r>
  <r>
    <x v="1"/>
    <x v="8"/>
    <s v="Consultoria"/>
    <s v="Prestar los servicios profesionales de soporte y actualización  para disponibilidad y funcionamiento del SECOP I - Consulting Expertise"/>
    <m/>
    <s v="Prioridad 1"/>
    <m/>
    <m/>
    <s v="Nación-Funcionamiento-Gastos Generales"/>
    <s v="Contratación Directa"/>
    <s v="Nación-Funcionamiento-Gastos Generales"/>
    <m/>
    <m/>
    <m/>
    <s v="N/A"/>
    <n v="0"/>
    <m/>
    <m/>
    <s v="N/A"/>
    <n v="0"/>
    <n v="0"/>
    <m/>
    <m/>
    <s v="Vigente"/>
    <m/>
    <n v="0"/>
    <n v="18725000"/>
    <n v="0"/>
    <n v="18725000"/>
    <n v="0"/>
    <n v="18725000"/>
  </r>
  <r>
    <x v="1"/>
    <x v="11"/>
    <s v="Consultoria"/>
    <s v="Prestar los servicios profesionales de soporte y actualización  para disponibilidad y funcionamiento del SECOP II  - Sinergy"/>
    <m/>
    <s v="Prioridad 1"/>
    <m/>
    <m/>
    <s v="Nación-Funcionamiento-Gastos Generales"/>
    <s v="Contratación Directa"/>
    <s v="Nación-Funcionamiento-Gastos Generales"/>
    <m/>
    <m/>
    <m/>
    <s v="N/A"/>
    <n v="0"/>
    <m/>
    <m/>
    <s v="N/A"/>
    <n v="0"/>
    <n v="0"/>
    <m/>
    <m/>
    <s v="Vigente"/>
    <m/>
    <n v="0"/>
    <n v="22015000"/>
    <n v="0"/>
    <n v="22015000"/>
    <n v="0"/>
    <n v="22015000"/>
  </r>
  <r>
    <x v="2"/>
    <x v="10"/>
    <s v="N/A"/>
    <s v="Ampliar las capacidades y mantenimiento preventivo de tres (3) UPS con capacidad de 20 KVA, 15 KVA y 6 KVA, respectivamente."/>
    <m/>
    <s v="Prioridad 1"/>
    <m/>
    <m/>
    <s v="Nación-Funcionamiento-Gastos Generales"/>
    <s v="Mínima cuantía"/>
    <s v="Nación-Funcionamiento-Gastos Generales"/>
    <m/>
    <m/>
    <m/>
    <s v="N/A"/>
    <n v="0"/>
    <m/>
    <m/>
    <s v="N/A"/>
    <n v="0"/>
    <n v="0"/>
    <m/>
    <m/>
    <s v="Vigente"/>
    <m/>
    <n v="0"/>
    <n v="23000000"/>
    <n v="0"/>
    <n v="23000000"/>
    <n v="0"/>
    <n v="23000000"/>
  </r>
  <r>
    <x v="2"/>
    <x v="10"/>
    <s v="N/A"/>
    <s v="Suministrar el servicio de mantenimiento para los cuartos técnicos de Colombia Compra Eficiente"/>
    <m/>
    <s v="Prioridad 1"/>
    <m/>
    <m/>
    <s v="Nación-Funcionamiento-Gastos Generales"/>
    <s v="Mínima cuantía"/>
    <s v="Nación-Funcionamiento-Gastos Generales"/>
    <m/>
    <m/>
    <m/>
    <s v="N/A"/>
    <n v="0"/>
    <m/>
    <m/>
    <s v="N/A"/>
    <n v="0"/>
    <n v="0"/>
    <m/>
    <m/>
    <s v="Vigente"/>
    <m/>
    <n v="0"/>
    <n v="5350000"/>
    <n v="0"/>
    <n v="5350000"/>
    <n v="0"/>
    <n v="5350000"/>
  </r>
  <r>
    <x v="2"/>
    <x v="14"/>
    <s v="N/A"/>
    <s v="Servicio de soporte técnico para la solución de comunicaciones unificadas de Colombia Compra Eficiente"/>
    <m/>
    <s v="Prioridad 2"/>
    <m/>
    <m/>
    <s v="Nación-Funcionamiento-Gastos Generales"/>
    <s v="Mínima cuantía"/>
    <s v="Nación-Funcionamiento-Gastos Generales"/>
    <m/>
    <m/>
    <m/>
    <s v="N/A"/>
    <n v="0"/>
    <m/>
    <m/>
    <s v="N/A"/>
    <n v="0"/>
    <n v="0"/>
    <m/>
    <m/>
    <s v="Vigente"/>
    <m/>
    <n v="0"/>
    <n v="16000000"/>
    <n v="0"/>
    <n v="16000000"/>
    <n v="0"/>
    <n v="16000000"/>
  </r>
  <r>
    <x v="2"/>
    <x v="9"/>
    <s v="N/A"/>
    <s v="Suministrar a Colombia Compra Eficiente una suscripción por tres años a una solución de antimalware, anti-spam y firewall, así como el servicio de instalación y soporte sobre la misma."/>
    <m/>
    <s v="Prioridad 2"/>
    <m/>
    <m/>
    <s v="Nación-Funcionamiento-Gastos Generales"/>
    <s v="Selección abreviada"/>
    <s v="Nación-Funcionamiento-Gastos Generales"/>
    <m/>
    <m/>
    <m/>
    <s v="N/A"/>
    <n v="0"/>
    <m/>
    <m/>
    <s v="N/A"/>
    <n v="0"/>
    <n v="0"/>
    <m/>
    <m/>
    <s v="Vigente"/>
    <m/>
    <n v="0"/>
    <n v="78000000"/>
    <n v="0"/>
    <n v="78000000"/>
    <n v="0"/>
    <n v="78000000"/>
  </r>
  <r>
    <x v="2"/>
    <x v="10"/>
    <s v="N/A"/>
    <s v="Suministrar a Colombia Compra Eficiente el mantenimiento preventivo y correctivo para los equipos de aire acondicionado ubicados en los pisos 8, 10 y 17 del Edificio Tequendama"/>
    <m/>
    <s v="Prioridad 2"/>
    <m/>
    <m/>
    <s v="Nación-Funcionamiento-Gastos Generales"/>
    <s v="Mínima cuantía"/>
    <s v="Nación-Funcionamiento-Gastos Generales"/>
    <m/>
    <m/>
    <m/>
    <s v="N/A"/>
    <n v="0"/>
    <m/>
    <m/>
    <s v="N/A"/>
    <n v="0"/>
    <n v="0"/>
    <m/>
    <m/>
    <s v="Vigente"/>
    <m/>
    <n v="0"/>
    <n v="10000000"/>
    <n v="0"/>
    <n v="10000000"/>
    <n v="0"/>
    <n v="10000000"/>
  </r>
  <r>
    <x v="2"/>
    <x v="10"/>
    <s v="N/A"/>
    <s v="Suministrar a Colombia Compra Eficiente  el mantenimiento preventivo y correctivo de equipos de computo, servidores, NAS y switches"/>
    <m/>
    <s v="Prioridad 2"/>
    <m/>
    <m/>
    <s v="Nación-Funcionamiento-Gastos Generales"/>
    <s v="Mínima cuantía"/>
    <s v="Nación-Funcionamiento-Gastos Generales"/>
    <m/>
    <m/>
    <m/>
    <s v="N/A"/>
    <n v="0"/>
    <m/>
    <m/>
    <s v="N/A"/>
    <n v="0"/>
    <n v="0"/>
    <m/>
    <m/>
    <s v="Vigente"/>
    <m/>
    <n v="0"/>
    <n v="23000000"/>
    <n v="0"/>
    <n v="23000000"/>
    <n v="0"/>
    <n v="23000000"/>
  </r>
  <r>
    <x v="2"/>
    <x v="15"/>
    <s v="N/A"/>
    <s v="Equipos de cómputo e impresoras para Colombia Compra Eficiente y/o suministro a Colombia Compra Eficiente de  elementos hardware, la instalación y soporte para todos los equipos tecnológicos. "/>
    <m/>
    <s v="Prioridad 2"/>
    <m/>
    <m/>
    <s v="Nación-Funcionamiento-Gastos Generales"/>
    <s v="Selección abreviada"/>
    <s v="Nación-Funcionamiento-Gastos Generales"/>
    <m/>
    <m/>
    <m/>
    <s v="N/A"/>
    <n v="0"/>
    <m/>
    <m/>
    <s v="N/A"/>
    <n v="0"/>
    <n v="0"/>
    <m/>
    <m/>
    <s v="Vigente"/>
    <m/>
    <n v="0"/>
    <n v="145000000"/>
    <n v="0"/>
    <n v="145000000"/>
    <n v="0"/>
    <n v="145000000"/>
  </r>
  <r>
    <x v="2"/>
    <x v="10"/>
    <s v="N/A"/>
    <s v="Suministrar a Colombia Compra Eficiente  el mantenimiento preventivo y correctivo y/o suministros de cámaras de videovigilancia, DVR. "/>
    <m/>
    <s v="Prioridad 2"/>
    <m/>
    <m/>
    <s v="Nación-Funcionamiento-Gastos Generales"/>
    <s v="Mínima cuantía"/>
    <s v="Nación-Funcionamiento-Gastos Generales"/>
    <m/>
    <m/>
    <m/>
    <s v="N/A"/>
    <n v="0"/>
    <m/>
    <m/>
    <s v="N/A"/>
    <n v="0"/>
    <n v="0"/>
    <m/>
    <m/>
    <s v="Vigente"/>
    <m/>
    <n v="0"/>
    <n v="23000000"/>
    <n v="0"/>
    <n v="23000000"/>
    <n v="0"/>
    <n v="23000000"/>
  </r>
  <r>
    <x v="2"/>
    <x v="14"/>
    <s v="N/A"/>
    <s v="Servicios de  traducción del catálogo de bienes y servicios de la UNSPSC"/>
    <m/>
    <s v="Prioridad 3"/>
    <m/>
    <m/>
    <s v="Nación-Funcionamiento-Gastos Generales"/>
    <s v="Mínima cuantía"/>
    <s v="Nación-Funcionamiento-Gastos Generales"/>
    <m/>
    <m/>
    <m/>
    <s v="N/A"/>
    <n v="0"/>
    <m/>
    <m/>
    <s v="N/A"/>
    <n v="0"/>
    <n v="0"/>
    <m/>
    <m/>
    <s v="Vigente"/>
    <m/>
    <n v="0"/>
    <n v="7000000"/>
    <n v="0"/>
    <n v="7000000"/>
    <n v="0"/>
    <n v="7000000"/>
  </r>
  <r>
    <x v="2"/>
    <x v="9"/>
    <s v="N/A"/>
    <s v="Suministrar la suscripción a un año para la licencia de uso del clasificador de bienes y servicios  (Códigos UNSPSC)"/>
    <m/>
    <s v="Prioridad 3"/>
    <m/>
    <m/>
    <s v="Nación-Funcionamiento-Gastos Generales"/>
    <s v="Contratación Directa con ofertas"/>
    <s v="Nación-Funcionamiento-Gastos Generales"/>
    <m/>
    <m/>
    <m/>
    <s v="N/A"/>
    <n v="0"/>
    <m/>
    <m/>
    <s v="N/A"/>
    <n v="0"/>
    <n v="0"/>
    <m/>
    <m/>
    <s v="Vigente"/>
    <m/>
    <n v="0"/>
    <n v="21500000"/>
    <n v="0"/>
    <n v="21500000"/>
    <n v="0"/>
    <n v="215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28"/>
    <n v="81112501"/>
    <s v="A-02-02-02-008-004"/>
    <s v="Servicios Tecnológicos"/>
    <s v="Certificados Digitales"/>
    <s v="Certificados digitales: persona jurídica, función pública y wildcard"/>
    <s v="Si"/>
    <s v="OASTI"/>
    <n v="2024"/>
    <n v="86"/>
    <s v="Si"/>
    <s v="Proceso pendiente 2024"/>
    <s v="Oswaldo Useche Acevedo"/>
    <s v="Jefferson"/>
    <m/>
    <s v="SECOP II"/>
    <s v="Certificados digitales"/>
    <s v="Renovación y compra de certificados digitales de la Agencia Nacional de Defensa Juridica."/>
    <m/>
    <m/>
    <m/>
    <n v="0"/>
    <m/>
    <m/>
    <m/>
    <m/>
    <m/>
    <m/>
    <x v="0"/>
    <x v="0"/>
    <m/>
    <n v="0"/>
    <n v="0"/>
    <m/>
    <m/>
    <m/>
    <n v="18371251"/>
    <n v="18371251"/>
    <m/>
    <m/>
    <n v="0"/>
    <n v="0"/>
    <m/>
    <m/>
    <m/>
  </r>
  <r>
    <n v="25"/>
    <m/>
    <m/>
    <s v="Contratista Persona Natural"/>
    <s v="eKOGUI"/>
    <s v="Devops"/>
    <s v="Si"/>
    <s v="OASTI"/>
    <n v="2024"/>
    <n v="105"/>
    <s v="Si"/>
    <s v="Proceso pendiente 2024"/>
    <s v="Oswaldo Useche Acevedo"/>
    <s v="Compartida OASTI (Giovanna)"/>
    <m/>
    <s v="SECOP II"/>
    <s v="Devops"/>
    <s v="Consultoría para apoyar a la Oficina Asesora de Tecnologías de Ia Información en los despliegues en ambiente de produccion, tanto de funcionalidades como de herramientas y gestión de infraestructura  en el marco de la evolución y transformación del eKOGUI."/>
    <m/>
    <m/>
    <m/>
    <n v="0"/>
    <m/>
    <m/>
    <m/>
    <m/>
    <m/>
    <m/>
    <x v="1"/>
    <x v="1"/>
    <m/>
    <n v="0"/>
    <n v="0"/>
    <m/>
    <m/>
    <m/>
    <n v="92400000"/>
    <n v="92400000"/>
    <m/>
    <m/>
    <n v="0"/>
    <n v="0"/>
    <m/>
    <m/>
    <m/>
  </r>
  <r>
    <n v="26"/>
    <n v="80111614"/>
    <m/>
    <s v="Contratista Persona Natural"/>
    <s v="eKOGUI"/>
    <s v="Gobierno de Datos"/>
    <s v="Si"/>
    <s v="OASTI"/>
    <n v="2024"/>
    <n v="106"/>
    <s v="Si"/>
    <s v="Proceso pendiente 2024"/>
    <s v="Oswaldo Useche Acevedo"/>
    <s v="Liliana Barbosa - Augusto"/>
    <m/>
    <s v="SECOP II"/>
    <s v="Gob datos"/>
    <s v="Consultor individual que elabore la política, lineamientos e instrumentos propios para la adopción y apropiación de los casos de usos seleccionados en el Modelo de gobierno de datos y la adopción de la infraestructura de datos para la Agencia Nacional de Defensa Jurídica del Estado."/>
    <m/>
    <m/>
    <m/>
    <n v="0"/>
    <m/>
    <m/>
    <m/>
    <m/>
    <m/>
    <m/>
    <x v="1"/>
    <x v="1"/>
    <m/>
    <n v="0"/>
    <n v="0"/>
    <m/>
    <m/>
    <m/>
    <n v="197034750"/>
    <n v="197034750"/>
    <m/>
    <m/>
    <n v="0"/>
    <n v="0"/>
    <m/>
    <m/>
    <m/>
  </r>
  <r>
    <n v="27"/>
    <s v="43233502;_x000a_81112501"/>
    <m/>
    <s v="Servicios Tecnológicos"/>
    <s v="Suscripción Software"/>
    <s v="Stream Yard Pro. Renovar la suscripcón y esto pertenece a Dirección de política y estratégias."/>
    <s v="No"/>
    <s v="DPE"/>
    <n v="2024"/>
    <n v="76"/>
    <s v="Si"/>
    <s v="Proceso pendiente 2024"/>
    <s v="Oswaldo Useche Acevedo"/>
    <s v="Sandra"/>
    <m/>
    <s v="SECOP II"/>
    <s v="Stream Yard Pro"/>
    <s v="Renovación del licenciamiento Stream Yard Pro para la Agencia Nacional de Defensa Jurídica del Estado."/>
    <m/>
    <m/>
    <m/>
    <n v="0"/>
    <m/>
    <m/>
    <m/>
    <m/>
    <m/>
    <m/>
    <x v="0"/>
    <x v="0"/>
    <m/>
    <n v="0"/>
    <n v="0"/>
    <m/>
    <m/>
    <m/>
    <n v="2550000"/>
    <n v="2550000"/>
    <m/>
    <m/>
    <n v="0"/>
    <n v="0"/>
    <m/>
    <m/>
    <m/>
  </r>
  <r>
    <n v="43"/>
    <n v="80111614"/>
    <s v="C-1205-0800-3-20110E-1205008-0202"/>
    <s v="Contratista Persona Natural"/>
    <s v="eKOGUI"/>
    <s v="Servicios de requerimientos y calidad"/>
    <s v="Si"/>
    <s v="OASTI"/>
    <n v="2024"/>
    <n v="152"/>
    <s v="Si"/>
    <s v="Proceso pendiente 2025"/>
    <s v="Oswaldo Useche Acevedo"/>
    <s v="Diana Giovanna Rivera Pineda "/>
    <m/>
    <s v="SECOP II"/>
    <s v="Requerimientos y calidad"/>
    <s v="Consultor individual como analista de levantamiento de requisitos y/o aseguramiento de calidad de software sobre   controles de cambio y/o nuevas  funcionalidades para el sistema e-KOGUI."/>
    <m/>
    <m/>
    <m/>
    <n v="0"/>
    <m/>
    <m/>
    <m/>
    <m/>
    <m/>
    <m/>
    <x v="1"/>
    <x v="1"/>
    <m/>
    <n v="0"/>
    <n v="0"/>
    <m/>
    <m/>
    <m/>
    <n v="51000000"/>
    <n v="51000000"/>
    <m/>
    <m/>
    <n v="0"/>
    <n v="0"/>
    <m/>
    <m/>
    <m/>
  </r>
  <r>
    <n v="44"/>
    <n v="80111614"/>
    <s v="C-1205-0800-3-20110E-1205008-0202"/>
    <s v="Contratista Persona Natural"/>
    <s v="eKOGUI"/>
    <s v="Servicios de requerimientos y calidad"/>
    <s v="Si"/>
    <s v="OASTI"/>
    <n v="2024"/>
    <n v="153"/>
    <s v="Si"/>
    <s v="Proceso pendiente 2026"/>
    <s v="Oswaldo Useche Acevedo"/>
    <s v="Diana Giovanna Rivera Pineda "/>
    <m/>
    <s v="SECOP II"/>
    <s v="Requerimientos y calidad"/>
    <s v="Consultor individual como analista de levantamiento de requisitos y/o aseguramiento de calidad de software   sobre   controles de cambio y/o nuevas funcionalidades para el sistema e-KOGUI."/>
    <m/>
    <m/>
    <m/>
    <n v="0"/>
    <m/>
    <m/>
    <m/>
    <m/>
    <m/>
    <m/>
    <x v="1"/>
    <x v="1"/>
    <m/>
    <n v="0"/>
    <n v="0"/>
    <m/>
    <m/>
    <m/>
    <n v="51000000"/>
    <n v="51000000"/>
    <m/>
    <m/>
    <n v="0"/>
    <n v="0"/>
    <m/>
    <m/>
    <m/>
  </r>
  <r>
    <n v="45"/>
    <n v="80111614"/>
    <s v="C-1205-0800-3-20110E-1205008-0202"/>
    <s v="Contratista Persona Natural"/>
    <s v="eKOGUI"/>
    <s v="Servicios de calidad"/>
    <s v="Si"/>
    <s v="OASTI"/>
    <n v="2024"/>
    <n v="154"/>
    <s v="Si"/>
    <s v="Proceso pendiente 2027"/>
    <s v="Oswaldo Useche Acevedo"/>
    <s v="Diana Giovanna Rivera Pineda "/>
    <m/>
    <s v="SECOP II"/>
    <s v="Calidad"/>
    <s v="Consultoría individual como Analista de Flujos de Procesos y Requisitos funcionales para el mejoramiento de funcionalidades y evolución del sistema e-KOGUI."/>
    <m/>
    <m/>
    <m/>
    <n v="0"/>
    <m/>
    <m/>
    <m/>
    <m/>
    <m/>
    <m/>
    <x v="1"/>
    <x v="1"/>
    <m/>
    <n v="0"/>
    <n v="0"/>
    <m/>
    <m/>
    <m/>
    <n v="76000000"/>
    <n v="76000000"/>
    <m/>
    <m/>
    <n v="0"/>
    <n v="0"/>
    <m/>
    <m/>
    <m/>
  </r>
  <r>
    <n v="46"/>
    <n v="80111614"/>
    <s v="C-1205-0800-3-20110E-1205008-0202"/>
    <s v="Contratista Persona Natural"/>
    <s v="eKOGUI"/>
    <s v="Servicios de calidad"/>
    <s v="Si"/>
    <s v="OASTI"/>
    <n v="2024"/>
    <n v="155"/>
    <s v="Si"/>
    <s v="Proceso pendiente 2028"/>
    <s v="Oswaldo Useche Acevedo"/>
    <s v="Diana Giovanna Rivera Pineda "/>
    <m/>
    <s v="SECOP II"/>
    <s v="Calidad"/>
    <s v="Consultoría individual como Analista de Flujos de Procesos y Requisitos funcionales para el mejoramiento de funcionalidades y evolución del sistema e-KOGUI."/>
    <m/>
    <m/>
    <m/>
    <n v="0"/>
    <m/>
    <m/>
    <m/>
    <m/>
    <m/>
    <m/>
    <x v="1"/>
    <x v="1"/>
    <m/>
    <n v="0"/>
    <n v="0"/>
    <m/>
    <m/>
    <m/>
    <n v="76000000"/>
    <n v="76000000"/>
    <m/>
    <m/>
    <n v="0"/>
    <n v="0"/>
    <m/>
    <m/>
    <m/>
  </r>
  <r>
    <n v="29"/>
    <s v="81111820;43222641"/>
    <s v="A-02-02-01-004-007"/>
    <s v="Servicios Tecnológicos"/>
    <s v="Seguridad"/>
    <s v="IPV6 renovación por un año"/>
    <s v="Si"/>
    <s v="OASTI"/>
    <n v="2024"/>
    <n v="84"/>
    <s v="Si"/>
    <s v="Proceso pendiente 2024"/>
    <s v="Oswaldo Useche Acevedo"/>
    <s v="Daniel"/>
    <m/>
    <s v="SECOP II"/>
    <m/>
    <s v="Renovar la membresía del protocolo IPv6 implementada en la infraestructura tecnológica de la Agencia Nacional de Defensa Jurídica del Estado."/>
    <m/>
    <m/>
    <m/>
    <n v="0"/>
    <m/>
    <m/>
    <m/>
    <m/>
    <m/>
    <m/>
    <x v="0"/>
    <x v="0"/>
    <m/>
    <n v="0"/>
    <n v="0"/>
    <m/>
    <m/>
    <m/>
    <n v="4500000"/>
    <n v="4500000"/>
    <m/>
    <m/>
    <n v="0"/>
    <n v="0"/>
    <m/>
    <m/>
    <m/>
  </r>
  <r>
    <n v="30"/>
    <m/>
    <m/>
    <s v="Servicios Tecnológicos"/>
    <s v="Suscripción Software"/>
    <s v="Scripcase"/>
    <s v="Si"/>
    <s v="OASTI"/>
    <n v="2024"/>
    <n v="85"/>
    <s v="Si"/>
    <s v="Proceso pendiente 2024"/>
    <s v="Oswaldo Useche Acevedo"/>
    <s v="Jefferson"/>
    <m/>
    <s v="SECOP II"/>
    <s v="Scriptcase"/>
    <s v="Renovación y soporte herramientas de  scripcase."/>
    <m/>
    <m/>
    <m/>
    <m/>
    <m/>
    <m/>
    <m/>
    <m/>
    <m/>
    <m/>
    <x v="0"/>
    <x v="0"/>
    <m/>
    <n v="0"/>
    <n v="0"/>
    <m/>
    <m/>
    <m/>
    <n v="20000000"/>
    <n v="20000000"/>
    <m/>
    <m/>
    <n v="0"/>
    <n v="0"/>
    <m/>
    <m/>
    <m/>
  </r>
  <r>
    <n v="31"/>
    <m/>
    <m/>
    <s v="Servicios Tecnológicos"/>
    <s v="Suscripción Software"/>
    <s v="Antivirus y DLP"/>
    <s v="Si"/>
    <s v="OASTI"/>
    <n v="2024"/>
    <n v="87"/>
    <s v="Si"/>
    <s v="Proceso pendiente 2024"/>
    <s v="Oswaldo Useche Acevedo"/>
    <s v="Daniel"/>
    <m/>
    <s v="SECOP II"/>
    <m/>
    <s v="Renovación Antivirus y DLP."/>
    <m/>
    <m/>
    <m/>
    <n v="0"/>
    <m/>
    <m/>
    <m/>
    <m/>
    <m/>
    <m/>
    <x v="0"/>
    <x v="2"/>
    <m/>
    <n v="0"/>
    <n v="0"/>
    <m/>
    <m/>
    <m/>
    <n v="270000000"/>
    <n v="270000000"/>
    <m/>
    <m/>
    <n v="0"/>
    <n v="0"/>
    <m/>
    <m/>
    <m/>
  </r>
  <r>
    <n v="32"/>
    <n v="81112501"/>
    <s v="A-02-02-01-004-007"/>
    <s v="Servicios Tecnológicos"/>
    <s v="Suscripción Software"/>
    <s v="Adobe"/>
    <s v="Si"/>
    <s v="OASTI"/>
    <n v="2024"/>
    <n v="88"/>
    <s v="Si"/>
    <s v="Proceso pendiente 2024"/>
    <s v="Oswaldo Useche Acevedo"/>
    <s v="Sandra"/>
    <m/>
    <s v="SECOP II"/>
    <m/>
    <s v="Renovación de las licencias Adobe Creative Cloud y  Adobe Pro Cloud para la Agencia Nacional de Defensa Jurídica del Estado."/>
    <m/>
    <m/>
    <m/>
    <n v="0"/>
    <m/>
    <m/>
    <m/>
    <m/>
    <m/>
    <m/>
    <x v="0"/>
    <x v="0"/>
    <m/>
    <n v="0"/>
    <n v="0"/>
    <m/>
    <m/>
    <m/>
    <n v="18000000"/>
    <n v="18000000"/>
    <m/>
    <m/>
    <n v="0"/>
    <n v="0"/>
    <m/>
    <m/>
    <m/>
  </r>
  <r>
    <n v="33"/>
    <m/>
    <m/>
    <s v="Servicios Tecnológicos"/>
    <s v="Conectividad"/>
    <s v="Iniciar el nuevo cntrato de conectividad a finales de noviembre."/>
    <s v="Si"/>
    <s v="OASTI"/>
    <n v="2024"/>
    <n v="89"/>
    <s v="Si"/>
    <s v="Proceso pendiente 2024"/>
    <s v="Oswaldo Useche Acevedo"/>
    <s v="Daniel"/>
    <m/>
    <s v="TVEC"/>
    <m/>
    <s v="Prestación de servicios de conectividad para la Agencia Nacional de Defensa Jurídica del Estado."/>
    <m/>
    <m/>
    <m/>
    <n v="0"/>
    <m/>
    <m/>
    <m/>
    <m/>
    <m/>
    <m/>
    <x v="0"/>
    <x v="3"/>
    <m/>
    <n v="0"/>
    <n v="0"/>
    <m/>
    <m/>
    <m/>
    <n v="15000000"/>
    <n v="15000000"/>
    <m/>
    <m/>
    <n v="0"/>
    <n v="0"/>
    <m/>
    <m/>
    <m/>
  </r>
  <r>
    <n v="34"/>
    <m/>
    <m/>
    <s v="Servicio de atención"/>
    <s v="Mesa de Servicio"/>
    <s v="Continuar el servicio de mesa a inicios de diciembre"/>
    <s v="Si"/>
    <s v="OASTI"/>
    <n v="2024"/>
    <n v="93"/>
    <s v="Si"/>
    <s v="Proceso pendiente 2024"/>
    <s v="Oswaldo Useche Acevedo"/>
    <s v="Jefferson"/>
    <m/>
    <s v="SECOP II"/>
    <m/>
    <s v="Adquirir Servicios BPO y/o Mesa de ayuda de tecnología  que permita garantizar la operación de los sistemas misionales y de apoyo de la Agencia Nacional de Defensa Jurídica del estado."/>
    <m/>
    <m/>
    <m/>
    <n v="0"/>
    <m/>
    <m/>
    <m/>
    <m/>
    <m/>
    <m/>
    <x v="0"/>
    <x v="3"/>
    <m/>
    <n v="0"/>
    <n v="0"/>
    <m/>
    <m/>
    <m/>
    <n v="38023681"/>
    <n v="38023681"/>
    <m/>
    <m/>
    <n v="0"/>
    <n v="0"/>
    <m/>
    <m/>
    <m/>
  </r>
  <r>
    <n v="35"/>
    <m/>
    <m/>
    <s v="Servicios Tecnológicos"/>
    <s v="Adquisición de hardware, periféricos y comunicaciones"/>
    <s v="Videoconferencia"/>
    <s v="Si"/>
    <s v="OASTI"/>
    <n v="2024"/>
    <n v="96"/>
    <s v="Si"/>
    <s v="Proceso pendiente 2024"/>
    <s v="Oswaldo Useche Acevedo"/>
    <s v="Freddy"/>
    <m/>
    <s v="SECOP II"/>
    <s v="Videoconferencia"/>
    <s v="Adquisición, configuración, instalación, soporte y garantía de equipos de videoconferencia."/>
    <m/>
    <m/>
    <m/>
    <n v="0"/>
    <m/>
    <m/>
    <m/>
    <m/>
    <m/>
    <m/>
    <x v="0"/>
    <x v="2"/>
    <m/>
    <n v="0"/>
    <n v="0"/>
    <m/>
    <m/>
    <m/>
    <n v="60000000"/>
    <n v="60000000"/>
    <m/>
    <m/>
    <n v="0"/>
    <n v="0"/>
    <m/>
    <m/>
    <m/>
  </r>
  <r>
    <n v="36"/>
    <m/>
    <m/>
    <s v="Servicios Tecnológicos"/>
    <s v="Consultoría"/>
    <s v="Consultoría en Gobierno de Datos"/>
    <s v="Si"/>
    <s v="OASTI"/>
    <n v="2024"/>
    <n v="97"/>
    <s v="Si"/>
    <s v="Proceso pendiente 2024"/>
    <s v="Oswaldo Useche Acevedo"/>
    <s v="Liliana"/>
    <m/>
    <s v="SECOP II"/>
    <s v="Empresa Gobierno de Datos"/>
    <s v="Consultoría para la Implementación del modelo de gobierno de datos en la Agencia Nacional de Defensa Jurídica del Estado - Fase II."/>
    <m/>
    <m/>
    <m/>
    <n v="0"/>
    <m/>
    <m/>
    <m/>
    <m/>
    <m/>
    <m/>
    <x v="1"/>
    <x v="4"/>
    <m/>
    <n v="0"/>
    <n v="0"/>
    <m/>
    <m/>
    <m/>
    <n v="350000000"/>
    <n v="350000000"/>
    <m/>
    <m/>
    <n v="0"/>
    <n v="0"/>
    <m/>
    <m/>
    <m/>
  </r>
  <r>
    <n v="37"/>
    <m/>
    <m/>
    <s v="Servicios Tecnológicos"/>
    <s v="Fábrica de software"/>
    <s v="Fabríca para Ekogui"/>
    <s v="Si"/>
    <s v="OASTI"/>
    <n v="2024"/>
    <n v="99"/>
    <s v="Si"/>
    <s v="Proceso pendiente 2024"/>
    <s v="Oswaldo Useche Acevedo"/>
    <s v="Compartida OASTI- DGI (Giovanna)"/>
    <m/>
    <s v="SECOP II"/>
    <s v="Fábrica"/>
    <s v="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."/>
    <m/>
    <m/>
    <m/>
    <n v="0"/>
    <m/>
    <m/>
    <m/>
    <m/>
    <m/>
    <m/>
    <x v="1"/>
    <x v="4"/>
    <m/>
    <n v="0"/>
    <n v="0"/>
    <m/>
    <m/>
    <m/>
    <n v="2245889285"/>
    <n v="2245889285"/>
    <m/>
    <m/>
    <n v="0"/>
    <n v="0"/>
    <s v="20241044501000013E"/>
    <m/>
    <m/>
  </r>
  <r>
    <n v="38"/>
    <m/>
    <m/>
    <s v="Servicios Tecnológicos"/>
    <s v="Interventoría"/>
    <s v="Interventoría para Ekogui"/>
    <s v="Si"/>
    <s v="OASTI"/>
    <n v="2024"/>
    <n v="100"/>
    <s v="Si"/>
    <s v="Proceso pendiente 2024"/>
    <s v="Oswaldo Useche Acevedo"/>
    <s v="Compartida OASTI- DGI (Giovanna)"/>
    <m/>
    <s v="SECOP II"/>
    <s v="Interventoría"/>
    <s v="Prestar los servicios de interventoría técnica, jurídica, financiera, administrativa y pruebas de aceptación funcional, al contrato que tiene por objeto &quot;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&quot;."/>
    <m/>
    <m/>
    <m/>
    <n v="0"/>
    <m/>
    <m/>
    <m/>
    <m/>
    <m/>
    <m/>
    <x v="1"/>
    <x v="4"/>
    <m/>
    <n v="0"/>
    <n v="0"/>
    <m/>
    <m/>
    <m/>
    <n v="696150000"/>
    <n v="696150000"/>
    <m/>
    <m/>
    <n v="0"/>
    <n v="0"/>
    <s v="20241044501000019E"/>
    <m/>
    <m/>
  </r>
  <r>
    <n v="39"/>
    <m/>
    <m/>
    <s v="Servicios Tecnológicos"/>
    <s v="Seguridad"/>
    <s v="Ciberseguridad"/>
    <s v="Si"/>
    <s v="OASTI"/>
    <n v="2024"/>
    <n v="101"/>
    <s v="Si"/>
    <s v="Proceso pendiente 2024"/>
    <s v="Oswaldo Useche Acevedo"/>
    <s v="Freddy"/>
    <m/>
    <s v="SECOP II"/>
    <s v="Ciberseguridad"/>
    <s v="Servicio ciberseguridad para monitoreo de seguridad, monitoreo de red, análisis de vulnerabilidades y plan de recuperación de desastres."/>
    <m/>
    <m/>
    <m/>
    <n v="0"/>
    <m/>
    <m/>
    <m/>
    <m/>
    <m/>
    <m/>
    <x v="1"/>
    <x v="3"/>
    <m/>
    <n v="0"/>
    <n v="0"/>
    <m/>
    <m/>
    <m/>
    <n v="700000000"/>
    <n v="700000000"/>
    <m/>
    <m/>
    <n v="0"/>
    <n v="0"/>
    <m/>
    <m/>
    <m/>
  </r>
  <r>
    <n v="40"/>
    <m/>
    <m/>
    <s v="Servicios Tecnológicos"/>
    <s v="Consultoría"/>
    <s v="CRM enfocado en evolutivo"/>
    <s v="Si"/>
    <s v="OASTI"/>
    <n v="2024"/>
    <n v="102"/>
    <s v="Si"/>
    <s v="Proceso pendiente 2024"/>
    <s v="Oswaldo Useche Acevedo"/>
    <s v="Diego"/>
    <m/>
    <s v="SECOP II"/>
    <s v="CRM"/>
    <s v="Mantenimiento de optimización de flujos de los procesos y/o flujos implementados con el producto Dynamics 365 en el marco del programa de fortalecimiento de la Agencia Nacional de Defensa Jurídica del Estado"/>
    <m/>
    <m/>
    <m/>
    <n v="0"/>
    <m/>
    <m/>
    <m/>
    <m/>
    <m/>
    <m/>
    <x v="1"/>
    <x v="3"/>
    <m/>
    <n v="0"/>
    <n v="0"/>
    <m/>
    <m/>
    <m/>
    <n v="100000000"/>
    <n v="100000000"/>
    <m/>
    <m/>
    <n v="0"/>
    <n v="0"/>
    <m/>
    <m/>
    <m/>
  </r>
  <r>
    <n v="41"/>
    <s v="81111800;81112000"/>
    <s v="A-02-02-01-004-007"/>
    <s v="Servicios Tecnológicos"/>
    <s v="Centro de datos"/>
    <s v="Nube pública de Ekogui"/>
    <s v="Si"/>
    <s v="OASTI"/>
    <n v="2024"/>
    <n v="103"/>
    <s v="Si"/>
    <s v="Proceso pendiente 2024"/>
    <s v="Oswaldo Useche Acevedo"/>
    <s v="Diego Gamba"/>
    <m/>
    <s v="SECOP II"/>
    <s v="Nube pública Ekogui"/>
    <s v="Adquirir capacidades de nube pública de Microsoft AZURE para mantener las necesidades computacionales y de aseguramiento de la seguridad del Sistema de Información Misional Ekogui."/>
    <m/>
    <m/>
    <m/>
    <n v="0"/>
    <m/>
    <m/>
    <m/>
    <m/>
    <m/>
    <m/>
    <x v="0"/>
    <x v="3"/>
    <m/>
    <n v="0"/>
    <n v="0"/>
    <m/>
    <m/>
    <m/>
    <n v="2200000000"/>
    <n v="2200000000"/>
    <m/>
    <m/>
    <n v="0"/>
    <n v="0"/>
    <m/>
    <m/>
    <m/>
  </r>
  <r>
    <n v="42"/>
    <m/>
    <m/>
    <s v="Servicios Tecnológicos"/>
    <s v="Consultoría"/>
    <s v="Extrajudiciales enfocado en evolutivo"/>
    <s v="Si"/>
    <s v="OASTI"/>
    <n v="2024"/>
    <n v="116"/>
    <s v="Si"/>
    <s v="Proceso pendiente 2024"/>
    <s v="Oswaldo Useche Acevedo"/>
    <s v="Compartida OASTI- DGI (Giovanna)"/>
    <m/>
    <s v="SECOP II"/>
    <s v="Horas de Fabrica para nuevas funcionalidades en el módulo de extrajudiciales"/>
    <s v="Prestar bajo la modalidad de fábrica de software el desarrollo de software e implementación de los controles de cambio del módulo de conciliaciones extrajudiciales que hace parte de eKOGUI"/>
    <m/>
    <m/>
    <m/>
    <n v="0"/>
    <m/>
    <m/>
    <m/>
    <m/>
    <m/>
    <m/>
    <x v="1"/>
    <x v="5"/>
    <m/>
    <n v="0"/>
    <n v="0"/>
    <m/>
    <m/>
    <m/>
    <n v="180177900"/>
    <n v="180177900"/>
    <m/>
    <m/>
    <n v="0"/>
    <n v="0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n v="1"/>
    <m/>
    <m/>
    <s v="Servicios Tecnológicos"/>
    <s v="Centro de datos"/>
    <s v="servicios de centro de datos, Nube Privada IV"/>
    <s v="Si"/>
    <s v="OASTI"/>
    <n v="2023"/>
    <n v="100"/>
    <s v="No"/>
    <s v="Adjudicado 2023"/>
    <s v="Oswaldo Useche Acevedo"/>
    <s v="Daniel Rojas Rubio"/>
    <s v="Se envía por orfeo a Daniel el 14 de diciembre de 2023"/>
    <s v="TVEC"/>
    <s v="Comunicación Celular S.A Comcel S.A"/>
    <s v="Orden de compra para la prestación de servicios de centro de datos para los sistemas misionales de la Agencia Nacional de Defensa Jurídica del Estado."/>
    <n v="162174"/>
    <s v="157-2023"/>
    <n v="121005"/>
    <n v="1"/>
    <d v="2023-11-28T00:00:00"/>
    <d v="2023-12-06T00:00:00"/>
    <d v="2023-12-14T00:00:00"/>
    <d v="2025-12-22T00:00:00"/>
    <s v="No Aplica"/>
    <s v="No aplica"/>
    <x v="0"/>
    <x v="0"/>
    <n v="120586666.84999999"/>
    <n v="0"/>
    <n v="120586666.84999999"/>
    <n v="6381044.4221000075"/>
    <n v="60293333.439999998"/>
    <n v="53912288.987899996"/>
    <n v="0"/>
    <n v="0"/>
    <n v="4222222"/>
    <n v="5024444.4099999992"/>
    <n v="7.0000000000000007E-2"/>
    <n v="56071111.439999998"/>
    <s v="2023110080700005E"/>
    <s v="https://www.colombiacompra.gov.co/tienda-virtual-del-estado-colombiano/ordenes-compra/121005_x000a_"/>
    <m/>
  </r>
  <r>
    <n v="2"/>
    <m/>
    <m/>
    <s v="Servicios Tecnológicos"/>
    <s v="Conectividad"/>
    <s v="Internet Agencia y canal entre sistemas de información"/>
    <s v="Si"/>
    <s v="OASTI"/>
    <n v="2023"/>
    <n v="98"/>
    <s v="No"/>
    <s v="Adjudicado 2023"/>
    <s v="Oswaldo Useche Acevedo"/>
    <s v="Daniel Rojas Rubio"/>
    <s v="Se envía por orfeo a Daniel el 29 de noviembre de 2023"/>
    <s v="TVEC"/>
    <s v="Comunicación Celular S.A Comcel S.A"/>
    <s v="Prestación de servicios de conectividad para la Agencia Nacional de Defensa_x000a_Jurídica del Estado."/>
    <n v="162171"/>
    <s v="150-2023"/>
    <n v="120075"/>
    <n v="1"/>
    <d v="2023-11-17T00:00:00"/>
    <d v="2023-11-27T00:00:00"/>
    <d v="2023-12-23T00:00:00"/>
    <d v="2024-11-07T00:00:00"/>
    <s v="No Aplica"/>
    <s v="No aplica"/>
    <x v="0"/>
    <x v="0"/>
    <n v="52210518.659999996"/>
    <n v="0"/>
    <n v="52210518.659999996"/>
    <n v="5750723.7799999937"/>
    <n v="46459794.880000003"/>
    <n v="0"/>
    <n v="0"/>
    <n v="0"/>
    <n v="4540045"/>
    <n v="4540045.0999999996"/>
    <n v="0.1"/>
    <n v="41919749.880000003"/>
    <s v="2023110080700004E"/>
    <s v="https://www.colombiacompra.gov.co/tienda-virtual-del-estado-colombiano/ordenes-compra/120075"/>
    <m/>
  </r>
  <r>
    <n v="3"/>
    <m/>
    <m/>
    <s v="Servicios Tecnológicos"/>
    <s v="Alquiler"/>
    <s v="Impresora"/>
    <s v="Si"/>
    <s v="OASTI"/>
    <n v="2023"/>
    <n v="226"/>
    <s v="No"/>
    <s v="Adjudicado 2023"/>
    <s v="Oswaldo Useche Acevedo"/>
    <s v="Jefferson Giraldo Muñoz"/>
    <s v="Se envía por orfeo a Jefferson el 6 de diciembre de 2023"/>
    <s v="TVEC"/>
    <s v="Gran Imagen S.A."/>
    <s v="Prestación de servicios de alquiler de impresoras para la Agencia Nacional de Defensa Jurídica del Estado"/>
    <n v="205529"/>
    <s v="162-2023"/>
    <n v="121233"/>
    <n v="1"/>
    <d v="2023-11-29T00:00:00"/>
    <d v="2023-12-05T00:00:00"/>
    <d v="2023-12-05T00:00:00"/>
    <d v="2025-04-30T00:00:00"/>
    <s v="No Aplica"/>
    <s v="No aplica"/>
    <x v="0"/>
    <x v="0"/>
    <n v="37300074"/>
    <n v="0"/>
    <n v="37300074"/>
    <n v="2194122"/>
    <n v="26329464"/>
    <n v="8776488"/>
    <n v="0"/>
    <n v="0"/>
    <n v="1314970.23"/>
    <n v="2194122"/>
    <n v="0.05"/>
    <n v="25014493.77"/>
    <s v="2023110080700006E "/>
    <s v="https://www.colombiacompra.gov.co/tienda-virtual-del-estado-colombiano/ordenes-compra/121233"/>
    <m/>
  </r>
  <r>
    <n v="4"/>
    <m/>
    <m/>
    <s v="Servicios de Atención"/>
    <s v="Mesa de Servicio"/>
    <s v="AMP Mesa de Servicio II. 3 profesionales y 3 técnicos"/>
    <s v="Si"/>
    <s v="OASTI"/>
    <n v="2023"/>
    <n v="95"/>
    <s v="No"/>
    <s v="Adjudicado 2023"/>
    <s v="Oswaldo Useche Acevedo"/>
    <s v="Jefferson Giraldo Muñoz"/>
    <s v="Se envía por orfeo a Jefferson el 19 de diciembre de 2023"/>
    <s v="TVEC"/>
    <s v="Unión Temporal Sinergy - Hi Ware"/>
    <s v="Orden de copra para adquirir servicios BPO y/o Mesa de ayuda de tecnologia que permita garantizar la operación de los sistemas misionales y de apoyo de la Agencia Nacional de Defensa Jurídica del Estado."/>
    <n v="163259"/>
    <s v="164-2023"/>
    <n v="121992"/>
    <n v="1"/>
    <d v="2023-12-07T00:00:00"/>
    <d v="2023-12-13T00:00:00"/>
    <d v="2023-12-13T00:00:00"/>
    <d v="2024-12-13T00:00:00"/>
    <s v="No Aplica"/>
    <s v="No aplica"/>
    <x v="0"/>
    <x v="0"/>
    <n v="547593718.28999996"/>
    <n v="52042085.560000002"/>
    <n v="599635803.8499999"/>
    <n v="15609124.010000002"/>
    <n v="584026679.84000003"/>
    <n v="0"/>
    <n v="0"/>
    <n v="0"/>
    <n v="40165517.859999999"/>
    <n v="51140690.039999999"/>
    <n v="7.0000000000000007E-2"/>
    <n v="543861161.98000002"/>
    <s v="2023110080700003E"/>
    <s v="https://www.colombiacompra.gov.co/tienda-virtual-del-estado-colombiano/ordenes-compra/?number_order=121992&amp;state=&amp;entity=&amp;tool=&amp;date_to&amp;date_from"/>
    <m/>
  </r>
  <r>
    <n v="5"/>
    <m/>
    <m/>
    <s v="Servicios Tecnológicos"/>
    <s v="Fábrica de software"/>
    <s v="Servicios de desarrollo de software para la funcionalidad de Extrajudiciales"/>
    <s v="No"/>
    <s v="OASTI-DGI"/>
    <n v="2023"/>
    <n v="120"/>
    <s v="No"/>
    <s v="Adjudicado 2023"/>
    <s v="Oswaldo Useche Acevedo"/>
    <s v="Diana Giovanna Rivera Pineda "/>
    <s v="Se envía por orfeo a Giovanna el 27 de agosto de 2023"/>
    <s v="SECOP II"/>
    <s v="LinkTIC S.A.S."/>
    <s v="Contratar la prestación de servicios de desarrollo de software e implementación del módulo de conciliaciones extrajudiciales que hace parte del eKOGUI."/>
    <s v="AEI desarrollo de software e implementación"/>
    <s v="BID-049-2023"/>
    <s v="N/A"/>
    <n v="0"/>
    <d v="2023-08-03T00:00:00"/>
    <d v="2023-08-10T00:00:00"/>
    <d v="2023-08-10T00:00:00"/>
    <d v="2024-03-29T00:00:00"/>
    <s v="No Aplica"/>
    <s v="No aplica"/>
    <x v="1"/>
    <x v="1"/>
    <n v="1038872287"/>
    <n v="0"/>
    <n v="1038872287"/>
    <n v="93891229"/>
    <n v="944981058"/>
    <n v="0"/>
    <n v="0"/>
    <n v="0"/>
    <n v="0"/>
    <s v="N/A"/>
    <n v="0"/>
    <n v="944981058"/>
    <s v="2023104450100002E"/>
    <s v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/>
    <m/>
  </r>
  <r>
    <n v="6"/>
    <m/>
    <m/>
    <s v="Aplicaciones"/>
    <s v="Gestión Documental"/>
    <s v="Licenciamiento de gestor documental orfeo"/>
    <s v="Si"/>
    <s v="OASTI"/>
    <n v="2023"/>
    <n v="246"/>
    <s v="No"/>
    <s v="Adjudicado 2023"/>
    <s v="Oswaldo Useche Acevedo - Carlos Andrés Higuera Velez"/>
    <s v="Jefferson Giraldo Muñoz"/>
    <s v="Se envía por orfeo a Jefferson el 7 de diciembre de 2023"/>
    <s v="SECOP II"/>
    <s v="Servisoft S.A. "/>
    <s v="Adquirir licenciamiento de un sistema de gestión documental electrónico de archivo – SGDEA- que incluya implementación, capacitación, soporte y mantenimiento en el marco del Programa de Fortalecimiento de la Agencia Nacional de Defensa Jurídica del Estado”"/>
    <s v="CO-L1251-P173216"/>
    <s v="BID-055-2023"/>
    <s v="N/A"/>
    <n v="0"/>
    <d v="2023-11-30T00:00:00"/>
    <d v="2023-11-30T00:00:00"/>
    <d v="2023-11-30T00:00:00"/>
    <d v="2024-06-30T00:00:00"/>
    <s v="No Aplica"/>
    <s v="No aplica"/>
    <x v="1"/>
    <x v="1"/>
    <n v="1272271483"/>
    <n v="0"/>
    <n v="1272271483"/>
    <n v="868916461"/>
    <n v="403355022"/>
    <n v="0"/>
    <n v="0"/>
    <n v="0"/>
    <n v="0"/>
    <s v="N/A"/>
    <n v="0"/>
    <n v="403355022"/>
    <s v="20231044501000064E"/>
    <s v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/>
    <m/>
  </r>
  <r>
    <n v="7"/>
    <m/>
    <m/>
    <s v="Servicios Tecnológicos"/>
    <s v="Alquiler"/>
    <s v="VideoProyectores"/>
    <s v="Si"/>
    <s v="OASTI"/>
    <n v="2023"/>
    <n v="245"/>
    <s v="No"/>
    <s v="Adjudicado 2023"/>
    <s v="Oswaldo Useche Acevedo"/>
    <s v="Jefferson Giraldo Muñoz"/>
    <s v="Se envía por orfeo a Jefferson el 28 de diciembre de 2023"/>
    <s v="TVEC"/>
    <s v="Colsof SAS"/>
    <s v="Prestación de servicios de alquiler de video proyectores para la Agencia Nacional de Defensa Jurídica del Estado. "/>
    <n v="206721"/>
    <s v="165-2023"/>
    <n v="122184"/>
    <n v="1"/>
    <d v="2023-12-11T00:00:00"/>
    <d v="2023-12-15T00:00:00"/>
    <d v="2023-12-15T00:00:00"/>
    <d v="2025-11-22T00:00:00"/>
    <s v="No Aplica"/>
    <s v="No aplica"/>
    <x v="0"/>
    <x v="0"/>
    <n v="120685506.48"/>
    <n v="0"/>
    <n v="120685506.48"/>
    <n v="2742852.42"/>
    <n v="65828458.079999998"/>
    <n v="52114195.980000004"/>
    <n v="0"/>
    <n v="0"/>
    <n v="5485704.8399999999"/>
    <n v="5485704.8399999999"/>
    <n v="0.08"/>
    <n v="60342753.239999995"/>
    <s v="2023110080700009E"/>
    <s v="https://www.colombiacompra.gov.co/tienda-virtual-del-estado-colombiano/ordenes-compra/122184"/>
    <m/>
  </r>
  <r>
    <n v="8"/>
    <n v="80111614"/>
    <s v="A-02-02-02-008-003"/>
    <s v="Contratista Persona Natural"/>
    <s v="Desarrollo"/>
    <s v="Desarrollador (Hardy) para temas de gestión documental"/>
    <s v="Si"/>
    <s v="OASTI"/>
    <n v="2024"/>
    <n v="83"/>
    <s v="Si"/>
    <s v="Adjudicado 2024"/>
    <s v="Oswaldo Useche Acevedo"/>
    <s v="Jefferson Giraldo Muñoz"/>
    <s v="Se envía a Liliana por Orfeo el 29 de enero de 2024._x000a_Se envía a Jfferson el 19 de febrero y se le quita la actividad a Liliana"/>
    <s v="SECOP II"/>
    <s v="Hardy Deimont Niño Velasquez"/>
    <s v="Prestación de servicios profesionales para acompañar a la Oficina Asesora de Tecnologías de la Información en  el desarrollo de las nuevas funcionalidades en los portales o cualquier otra aplicación que permita tener contacto con los grupos de interés de la Agencia Nacional de Defensa Jurídica del Estado."/>
    <s v="CD-024-2024"/>
    <s v="024-2024"/>
    <s v="N/A"/>
    <n v="1"/>
    <d v="2024-01-23T00:00:00"/>
    <d v="2024-01-24T00:00:00"/>
    <d v="2024-01-24T00:00:00"/>
    <d v="2024-12-20T00:00:00"/>
    <s v="No Aplica"/>
    <s v="No aplica"/>
    <x v="0"/>
    <x v="2"/>
    <n v="101790360"/>
    <n v="0"/>
    <n v="101790360"/>
    <n v="0"/>
    <n v="101790360"/>
    <n v="0"/>
    <n v="101790360.76000001"/>
    <n v="0.76000000536441803"/>
    <n v="2159189.4300000002"/>
    <n v="9253669"/>
    <n v="0.02"/>
    <n v="99631170.569999993"/>
    <s v="20241100801000001E"/>
    <s v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/>
    <m/>
  </r>
  <r>
    <n v="9"/>
    <n v="80111614"/>
    <s v="A-02-02-02-008-003"/>
    <s v="Contratista Persona Natural"/>
    <s v="eKOGUI"/>
    <s v="Pruebas Operación"/>
    <s v="Si"/>
    <s v="OASTI"/>
    <n v="2024"/>
    <n v="111"/>
    <s v="Si"/>
    <s v="Adjudicado 2024"/>
    <s v="Oswaldo Useche Acevedo"/>
    <s v="Diana Giovanna Rivera Pineda "/>
    <s v="Se envía a Giovana por Orfeo el 23 de enero de 2024"/>
    <s v="SECOP II"/>
    <s v="Solanyel Guerrero Fúneme"/>
    <s v="Prestación de servicios profesionales para revisión de flujos de procesos y pruebas para la operación del eKOGUI."/>
    <s v="CD-018-2024"/>
    <s v="18-2024"/>
    <s v="N/A"/>
    <n v="1"/>
    <d v="2024-01-19T00:00:00"/>
    <d v="2024-01-22T00:00:00"/>
    <d v="2024-01-23T00:00:00"/>
    <d v="2024-12-20T00:00:00"/>
    <s v="No Aplica"/>
    <s v="No aplica"/>
    <x v="0"/>
    <x v="2"/>
    <n v="104183350"/>
    <n v="0"/>
    <n v="104183350"/>
    <n v="0"/>
    <n v="104183350"/>
    <n v="0"/>
    <n v="104500000"/>
    <n v="316650"/>
    <n v="2533333"/>
    <n v="9500000"/>
    <n v="0.02"/>
    <n v="101650017"/>
    <s v="20241100801000004E"/>
    <s v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/>
    <m/>
  </r>
  <r>
    <n v="10"/>
    <n v="80111614"/>
    <s v="A-02-02-02-008-003"/>
    <s v="Contratista Persona Natural"/>
    <s v="eKOGUI"/>
    <s v="Pruebas Operación"/>
    <s v="Si"/>
    <s v="OASTI"/>
    <n v="2024"/>
    <n v="110"/>
    <s v="Si"/>
    <s v="Adjudicado 2024"/>
    <s v="Oswaldo Useche Acevedo"/>
    <s v="Diana Giovanna Rivera Pineda "/>
    <s v="Se envía a Giovana por Orfeo el 23 de enero de 2024"/>
    <s v="SECOP II"/>
    <s v="Liliana Maritza Urueña Rodriguez"/>
    <s v="Prestación de servicios profesionales para revisión de flujos de procesos y pruebas para la operación del eKOGUI."/>
    <s v="CD-020-2024"/>
    <s v="020-2024"/>
    <s v="N/A"/>
    <n v="1"/>
    <d v="2024-01-19T00:00:00"/>
    <d v="2024-01-22T00:00:00"/>
    <d v="2024-01-23T00:00:00"/>
    <d v="2024-12-20T00:00:00"/>
    <s v="No Aplica"/>
    <s v="No aplica"/>
    <x v="0"/>
    <x v="2"/>
    <n v="104183350"/>
    <n v="0"/>
    <n v="104183350"/>
    <n v="0"/>
    <n v="104183350"/>
    <n v="0"/>
    <n v="104500000"/>
    <n v="316650"/>
    <n v="2533333"/>
    <n v="9500000"/>
    <n v="0.02"/>
    <n v="101650017"/>
    <s v="20241100801000003E"/>
    <s v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/>
    <m/>
  </r>
  <r>
    <n v="11"/>
    <n v="80111614"/>
    <s v="A-02-02-02-008-003"/>
    <s v="Contratista Persona Natural"/>
    <s v="eKOGUI"/>
    <s v="Migración y Calidad de Datos"/>
    <s v="Si"/>
    <s v="OASTI"/>
    <n v="2024"/>
    <n v="113"/>
    <s v="Si"/>
    <s v="Adjudicado 2024"/>
    <s v="Oswaldo Useche Acevedo"/>
    <s v="Diana Giovanna Rivera Pineda "/>
    <s v="Se envía a Giovana por Orfeo el 23 de enero de 2024"/>
    <s v="SECOP II"/>
    <s v="Claudia Marcela Peña Hernandez"/>
    <s v="Prestación de servicios profesionales para la migración y calidad de datos de eKOGUI."/>
    <s v="CD-014-2024"/>
    <s v="014-2024"/>
    <s v="N/A"/>
    <n v="1"/>
    <d v="2024-01-17T00:00:00"/>
    <d v="2024-01-19T00:00:00"/>
    <d v="2024-01-22T00:00:00"/>
    <d v="2024-12-20T00:00:00"/>
    <s v="No Aplica"/>
    <s v="No aplica"/>
    <x v="0"/>
    <x v="2"/>
    <n v="187000000"/>
    <n v="0"/>
    <n v="187000000"/>
    <n v="0"/>
    <n v="187000000"/>
    <n v="0"/>
    <n v="187000000"/>
    <n v="0"/>
    <n v="5100000"/>
    <n v="17000000"/>
    <n v="0.03"/>
    <n v="181900000"/>
    <s v="20241100801000002E"/>
    <s v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/>
    <m/>
  </r>
  <r>
    <n v="12"/>
    <n v="80111614"/>
    <s v="A-02-02-02-008-003"/>
    <s v="Contratista Persona Natural"/>
    <s v="eKOGUI"/>
    <s v="Pruebas transformación "/>
    <s v="Si"/>
    <s v="OASTI"/>
    <n v="2024"/>
    <n v="114"/>
    <s v="Si"/>
    <s v="Adjudicado 2024"/>
    <s v="Oswaldo Useche Acevedo"/>
    <s v="Diana Giovanna Rivera Pineda "/>
    <s v="Se envía a Giovana por Orfeo el 29 de enero de 2024"/>
    <s v="SECOP II"/>
    <s v="Gigliola Esmeralda Montañez Murillo"/>
    <s v="Prestación de servicios profesionales para apoyar la articulación de los roles de pruebas funcionales para la evolución y transformación del eKOGUI."/>
    <s v="CD-022-2024"/>
    <s v="022-2024"/>
    <s v="N/A"/>
    <n v="1"/>
    <d v="2024-01-23T00:00:00"/>
    <d v="2024-01-24T00:00:00"/>
    <d v="2024-01-25T00:00:00"/>
    <d v="2024-12-20T00:00:00"/>
    <s v="No Aplica"/>
    <s v="No aplica"/>
    <x v="0"/>
    <x v="2"/>
    <n v="187000000"/>
    <n v="0"/>
    <n v="187000000"/>
    <n v="0"/>
    <n v="187000000"/>
    <n v="0"/>
    <n v="187000000"/>
    <n v="0"/>
    <n v="3400000"/>
    <n v="17000000"/>
    <n v="0.02"/>
    <n v="183600000"/>
    <s v="20241100801000006E"/>
    <s v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/>
    <m/>
  </r>
  <r>
    <n v="13"/>
    <m/>
    <m/>
    <s v="Contratista Persona Natural"/>
    <s v="eKOGUI"/>
    <s v="Desarrollador"/>
    <s v="Si"/>
    <s v="OASTI"/>
    <n v="2024"/>
    <n v="108"/>
    <s v="Si"/>
    <s v="Adjudicado 2024"/>
    <s v="Oswaldo Useche Acevedo"/>
    <s v="Diana Giovanna Rivera Pineda "/>
    <s v="Se envía a Giovana por Orfeo el 12 de febrero de 2024"/>
    <s v="SECOP II"/>
    <s v="Michael Andres Salgado Salazar"/>
    <s v="Consultoría  como  desarrollador de software senior en el marco de la operación y evolución del eKOGUI"/>
    <s v="CO-L1251-P187516_x0009_"/>
    <s v="BID 006 2024"/>
    <s v="N/A"/>
    <n v="0"/>
    <d v="2024-02-01T00:00:00"/>
    <d v="2024-02-02T00:00:00"/>
    <s v="No Aplica"/>
    <d v="2024-12-20T00:00:00"/>
    <s v="No Aplica"/>
    <s v="No aplica"/>
    <x v="1"/>
    <x v="2"/>
    <n v="148500000"/>
    <n v="0"/>
    <n v="148500000"/>
    <n v="0"/>
    <n v="148500000"/>
    <n v="0"/>
    <n v="148500000"/>
    <n v="0"/>
    <n v="0"/>
    <n v="13500000"/>
    <n v="0"/>
    <n v="148500000"/>
    <s v="20241044501000010E"/>
    <s v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/>
    <m/>
  </r>
  <r>
    <n v="14"/>
    <m/>
    <m/>
    <s v="Contratista Persona Natural"/>
    <s v="eKOGUI"/>
    <s v="Desarrollador  "/>
    <s v="Si"/>
    <s v="OASTI"/>
    <n v="2024"/>
    <n v="107"/>
    <s v="Si"/>
    <s v="Adjudicado 2024"/>
    <s v="Oswaldo Useche Acevedo"/>
    <s v="Diana Giovanna Rivera Pineda "/>
    <s v="Se envía a Giovana por Orfeo el 12 de febrero de 2024"/>
    <s v="SECOP II"/>
    <s v="Carlos Andres Gómez Durán"/>
    <s v="Consultoría para acompañar a la Oficina Asesora de Tecnologías de la información  como desarrollador de software senior en el marco de la operación y evolución del eKOGUI."/>
    <s v="CO-L1251- P187515"/>
    <s v="BID 007 2024"/>
    <s v="N/A"/>
    <n v="0"/>
    <d v="2024-02-01T00:00:00"/>
    <d v="2023-02-05T00:00:00"/>
    <s v="No Aplica"/>
    <d v="2024-12-20T00:00:00"/>
    <s v="No Aplica"/>
    <s v="No aplica"/>
    <x v="1"/>
    <x v="2"/>
    <n v="148500000"/>
    <n v="0"/>
    <n v="148500000"/>
    <n v="0"/>
    <n v="148500000"/>
    <n v="0"/>
    <n v="148500000"/>
    <n v="0"/>
    <n v="0"/>
    <n v="13500000"/>
    <n v="0"/>
    <n v="148500000"/>
    <s v="20241044501000011E"/>
    <s v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/>
    <m/>
  </r>
  <r>
    <n v="15"/>
    <m/>
    <m/>
    <s v="Contratista Persona Natural"/>
    <s v="eKOGUI"/>
    <s v="Requerimientos Líder"/>
    <s v="Si"/>
    <s v="OASTI"/>
    <n v="2024"/>
    <n v="115"/>
    <s v="Si"/>
    <s v="Adjudicado 2024"/>
    <s v="Oswaldo Useche Acevedo"/>
    <s v="Diana Giovanna Rivera Pineda "/>
    <s v="Se envía a Giovana por Orfeo el 12 de febrero de 2024"/>
    <s v="SECOP II"/>
    <s v="Julia Alejandra Leal López"/>
    <s v="Consultoría individual como lider del equipo de levantamiento de flujos de procesos y requisitos funcionales para el mejoramiento y evolución del Sistema eKOGUI."/>
    <s v="CO-L1251- P187518"/>
    <s v="BID 008 2024"/>
    <s v="N/A"/>
    <n v="0"/>
    <d v="2024-02-01T00:00:00"/>
    <d v="2023-02-05T00:00:00"/>
    <s v="No Aplica"/>
    <d v="2024-12-20T00:00:00"/>
    <s v="No Aplica"/>
    <s v="No aplica"/>
    <x v="1"/>
    <x v="2"/>
    <n v="132000000"/>
    <n v="0"/>
    <n v="132000000"/>
    <n v="0"/>
    <n v="132000000"/>
    <n v="0"/>
    <n v="132000000"/>
    <n v="0"/>
    <n v="0"/>
    <n v="12000000"/>
    <n v="0"/>
    <n v="132000000"/>
    <s v="20241044501000012E"/>
    <s v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/>
    <m/>
  </r>
  <r>
    <n v="16"/>
    <m/>
    <m/>
    <s v="Contratista Persona Natural"/>
    <s v="eKOGUI"/>
    <s v="Arquitecto de Software"/>
    <s v="Si"/>
    <s v="OASTI"/>
    <n v="2024"/>
    <n v="109"/>
    <s v="Si"/>
    <s v="Adjudicado 2024"/>
    <s v="Oswaldo Useche Acevedo"/>
    <s v="Diana Giovanna Rivera Pineda "/>
    <s v="Se envía a Giovana por Orfeo el 12 de febrero de 2024"/>
    <s v="SECOP II"/>
    <s v="Carlos Alberto López Narváez"/>
    <s v="Consultoría para acompañar a la Oficina Asesora de Tecnologías de la información  como Arquitecto de Software en el marco de la evolución y transformación del eKOGUI"/>
    <s v="CO-L1241-P187517"/>
    <s v="BID 009 2024"/>
    <s v="N/A"/>
    <n v="0"/>
    <d v="2024-02-01T00:00:00"/>
    <d v="2023-02-02T00:00:00"/>
    <s v="No Aplica"/>
    <d v="2024-12-20T00:00:00"/>
    <s v="No Aplica"/>
    <s v="No aplica"/>
    <x v="1"/>
    <x v="2"/>
    <n v="121000000"/>
    <n v="0"/>
    <n v="121000000"/>
    <n v="0"/>
    <n v="121000000"/>
    <n v="0"/>
    <n v="121000000"/>
    <n v="0"/>
    <n v="0"/>
    <n v="11000000"/>
    <n v="0"/>
    <n v="121000000"/>
    <s v="20241044501000014E"/>
    <s v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/>
    <m/>
  </r>
  <r>
    <n v="17"/>
    <m/>
    <m/>
    <s v="Contratista Persona Natural"/>
    <s v="Especialista TI"/>
    <s v="Especialista Operativo en Gestión de TI"/>
    <s v="No"/>
    <s v="Unidad Ejecutora BID"/>
    <n v="2024"/>
    <n v="141"/>
    <s v="Si"/>
    <s v="Adjudicado 2024"/>
    <s v="Oswaldo Useche Acevedo"/>
    <s v="Liliana Barbosa"/>
    <s v="Se envía a Giovana por Orfeo el 15 de febrero de 2024"/>
    <s v="SECOP II"/>
    <s v="Augusto Rafael Gutierrez Rivera"/>
    <s v="Consultoría individual como Especialista Operativo en Gestión de Información y Tecnologías de la Información para el Programa Fortalecimiento de la Agencia Nacional de Defensa Jurídica del Estado."/>
    <s v="CO-L1251-187520"/>
    <s v="BID 014 2024"/>
    <s v="N/A"/>
    <n v="0"/>
    <d v="2024-02-07T00:00:00"/>
    <d v="2024-02-09T00:00:00"/>
    <d v="2024-02-09T00:00:00"/>
    <d v="2024-12-20T00:00:00"/>
    <s v="No Aplica"/>
    <s v="No aplica"/>
    <x v="1"/>
    <x v="2"/>
    <n v="191064000"/>
    <n v="0"/>
    <n v="191064000"/>
    <n v="0"/>
    <n v="191064000"/>
    <n v="0"/>
    <n v="197034750"/>
    <n v="5970750"/>
    <n v="0"/>
    <n v="17912250"/>
    <n v="0"/>
    <n v="191064000"/>
    <s v="20241044501000001E"/>
    <s v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/>
    <m/>
  </r>
  <r>
    <n v="18"/>
    <n v="80111614"/>
    <s v="A-02-02-02-008-003"/>
    <s v="Contratista Persona Natural"/>
    <s v="eKOGUI"/>
    <s v="Análista de Bodega de Datos"/>
    <s v="Si"/>
    <s v="OASTI"/>
    <n v="2024"/>
    <n v="112"/>
    <s v="Si"/>
    <s v="Adjudicado 2024"/>
    <s v="Oswaldo Useche Acevedo"/>
    <s v="Compartida OASTI- DGI (Giovanna)"/>
    <s v="Se envía a Giovana por Orfeo el 29 de enero de 2024"/>
    <s v="SECOP II"/>
    <s v="Angela María Franco Perez"/>
    <s v="Prestación de servicios profesionales como análista de bodega de datos del Sistema eKOGUI."/>
    <s v="CD-026-2024"/>
    <s v="026-2024"/>
    <s v="N/A"/>
    <n v="0"/>
    <d v="2024-01-24T00:00:00"/>
    <d v="2024-01-24T00:00:00"/>
    <d v="2024-01-25T00:00:00"/>
    <d v="2024-12-20T00:00:00"/>
    <s v="No Aplica"/>
    <s v="No aplica"/>
    <x v="0"/>
    <x v="2"/>
    <n v="93500000"/>
    <n v="0"/>
    <n v="93500000"/>
    <n v="0"/>
    <n v="93500000"/>
    <n v="0"/>
    <n v="93500000"/>
    <n v="0"/>
    <n v="0"/>
    <n v="9350000"/>
    <n v="0"/>
    <n v="93500000"/>
    <s v="20241100801000005E"/>
    <s v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/>
    <m/>
  </r>
  <r>
    <n v="21"/>
    <m/>
    <m/>
    <s v="Contratista Persona Natural"/>
    <s v="eKOGUI"/>
    <s v="Requerimientos"/>
    <s v="Si"/>
    <s v="OASTI"/>
    <n v="2024"/>
    <n v="46"/>
    <s v="Si"/>
    <s v="Adjudicado 2024"/>
    <s v="Oswaldo Useche Acevedo"/>
    <s v="Compartida DGI-OASTI (Giovanna)"/>
    <s v="Se envía a Giovana por Orfeo el 12 de febrero de 2024"/>
    <s v="SECOP II"/>
    <s v="Edna Viviana Katherine Peña Rivera"/>
    <s v="Consultoría  Individual  como  Analista de Flujos de Procesos  y  Requisitos  funcionales para  el mejoramiento de funcionalidades y evolución del sistema eKOGUI."/>
    <s v="CO-L1251-P187498"/>
    <s v="BID 012 2024"/>
    <s v="N/A"/>
    <n v="0"/>
    <d v="2024-02-07T00:00:00"/>
    <d v="2024-02-09T00:00:00"/>
    <s v="No Aplica"/>
    <d v="2024-06-30T00:00:00"/>
    <s v="No Aplica"/>
    <s v="No aplica"/>
    <x v="1"/>
    <x v="2"/>
    <n v="47500000"/>
    <n v="0"/>
    <n v="47500000"/>
    <n v="0"/>
    <n v="47500000"/>
    <n v="0"/>
    <n v="47500000"/>
    <n v="0"/>
    <n v="0"/>
    <n v="11875000"/>
    <n v="0"/>
    <n v="47500000"/>
    <s v="20241044501000017E"/>
    <s v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/>
    <m/>
  </r>
  <r>
    <n v="23"/>
    <m/>
    <m/>
    <s v="Servicios Tecnológicos"/>
    <s v="Suscripción Garantías"/>
    <s v="Renovación de garantía para equipos de infraestructura."/>
    <s v="Si"/>
    <s v="OASTI"/>
    <n v="2024"/>
    <n v="94"/>
    <s v="Si"/>
    <s v="Adjudicado 2024"/>
    <s v="Oswaldo Useche Acevedo"/>
    <s v="Daniel"/>
    <s v="Se envía a Daniel por Orfeo el 15 de febrero de 2024"/>
    <s v="SECOP II"/>
    <s v="Computel System S.A.S."/>
    <s v="Renovación de soporte y garantía de equipo de infraestructura "/>
    <s v="SASIE-001-2024"/>
    <s v="048-2024"/>
    <s v="N/A"/>
    <n v="0"/>
    <d v="2024-02-09T00:00:00"/>
    <d v="2024-02-09T00:00:00"/>
    <d v="2024-02-09T00:00:00"/>
    <d v="2024-03-08T00:00:00"/>
    <s v="- Dos Switches: 14/02/2024_x000a_-Cinco servidores _x000a_12/02/2024"/>
    <s v="- Dos Switches: 12/11/2026_x000a_-Cinco servidores: 11/02/2027 "/>
    <x v="0"/>
    <x v="3"/>
    <n v="194118482.31999999"/>
    <n v="0"/>
    <n v="194118482.31999999"/>
    <n v="0"/>
    <n v="194118482.31999999"/>
    <n v="0"/>
    <n v="250000000"/>
    <n v="55881517.680000007"/>
    <n v="0"/>
    <s v="N/A"/>
    <n v="0"/>
    <n v="194118482.31999999"/>
    <s v="20241100803000001E"/>
    <s v="https://www.secop.gov.co/CO1ContractsManagement/Tendering/ProcurementContractEdit/View?docUniqueIdentifier=CO1.PCCNTR.5900803&amp;awardUniqueIdentifier=CO1.AWD.1844823&amp;buyerDossierUniqueIdentifier=CO1.BDOS.5392298&amp;id=3304019"/>
    <m/>
  </r>
  <r>
    <n v="24"/>
    <m/>
    <m/>
    <s v="Contratista Persona Natural"/>
    <s v="eKOGUI"/>
    <s v="Arquitecto de Soluciones"/>
    <s v="Si"/>
    <s v="OASTI"/>
    <n v="2024"/>
    <n v="104"/>
    <s v="Si"/>
    <s v="Adjudicado 2024"/>
    <s v="Oscar Javier Suarez Ramos"/>
    <s v="Diana Giovanna Rivera Pineda "/>
    <m/>
    <s v="SECOP II"/>
    <s v="Diego Gabriel Forero"/>
    <s v="Consultoría para acompañar a la Oficina Asesora de tecnologías de la información en la arquitectura de Soluciones de Negocio e Información en el marco de la evolución y transformación de los Sistemas de información misionales de la ANDJE."/>
    <s v="CO-L1251-P187512"/>
    <s v="BID 016 2024"/>
    <s v="N/A"/>
    <n v="0"/>
    <d v="2024-02-13T00:00:00"/>
    <d v="2024-02-16T00:00:00"/>
    <s v="No Aplica"/>
    <d v="2024-12-20T00:00:00"/>
    <s v="No Aplica"/>
    <s v="No aplica"/>
    <x v="1"/>
    <x v="2"/>
    <n v="165000000"/>
    <n v="0"/>
    <n v="165000000"/>
    <n v="0"/>
    <n v="165000000"/>
    <n v="0"/>
    <n v="165000000"/>
    <n v="0"/>
    <n v="0"/>
    <n v="15000000"/>
    <n v="0"/>
    <n v="165000000"/>
    <s v="20241044501000021E"/>
    <s v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/>
    <m/>
  </r>
  <r>
    <n v="19"/>
    <m/>
    <m/>
    <s v="Contratista Persona Natural"/>
    <s v="eKOGUI"/>
    <s v="Requerimientos"/>
    <s v="Si"/>
    <s v="OASTI"/>
    <n v="2024"/>
    <n v="38"/>
    <s v="Si"/>
    <s v="Adjudicado 2024"/>
    <s v="Oswaldo Useche Acevedo"/>
    <s v="Compartida DGI-OASTI (Giovanna)"/>
    <s v="Se envía a Giovana por Orfeo el 12 de febrero de 2024"/>
    <s v="SECOP II"/>
    <s v="Milena del Carmen Pulido Orellano"/>
    <s v="Consultoría  Individual  como  Analista de Flujos de Procesos  y  Requisitos  funcionales para  el mejoramiento de funcionalidades y evolución del sistema eKOGUI."/>
    <s v="CO-L1251-P187496"/>
    <s v="BID 010 2024"/>
    <s v="N/A"/>
    <n v="0"/>
    <d v="2024-02-07T00:00:00"/>
    <d v="2024-02-08T00:00:00"/>
    <s v="No Aplica"/>
    <d v="2024-06-30T00:00:00"/>
    <s v="No Aplica"/>
    <s v="No aplica"/>
    <x v="1"/>
    <x v="2"/>
    <n v="47500000"/>
    <n v="-47500000"/>
    <n v="0"/>
    <n v="0"/>
    <n v="0"/>
    <n v="0"/>
    <n v="0"/>
    <n v="0"/>
    <n v="0"/>
    <n v="11875000"/>
    <n v="0"/>
    <n v="0"/>
    <s v="20241044501000015E"/>
    <s v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/>
    <s v="El contrato termino de forma anticipada y no se ejecuto presupuesto dentro del mismo, por eso se dejo el valor 0 ya que esto paso a la línea 154 de PAA que fue actualizada el 28 de febrero de 2024 con un presupuesto mayor para tener mayor tiempo de ejecución."/>
  </r>
  <r>
    <n v="22"/>
    <m/>
    <m/>
    <s v="Contratista Persona Natural"/>
    <s v="eKOGUI"/>
    <s v="Requerimientos"/>
    <s v="Si"/>
    <s v="OASTI"/>
    <n v="2024"/>
    <n v="52"/>
    <s v="Si"/>
    <s v="Adjudicado 2024"/>
    <s v="Oswaldo Useche Acevedo"/>
    <s v="Compartida DGI-OASTI (Giovanna)"/>
    <s v="Se envía a Giovana por Orfeo el 12 de febrero de 2024"/>
    <s v="SECOP II"/>
    <s v="Marxy Alejandra Botía González"/>
    <s v="Consultoría  Individual  como  Analista de Flujos de Procesos  y  Requisitos  funcionales para  el mejoramiento de funcionalidades y evolución del sistema eKOGUI."/>
    <s v="CO-L1251-P187499"/>
    <s v="BID 013 2024"/>
    <s v="N/A"/>
    <n v="0"/>
    <d v="2024-02-07T00:00:00"/>
    <d v="2024-02-09T00:00:00"/>
    <s v="No Aplica"/>
    <d v="2024-06-30T00:00:00"/>
    <s v="No Aplica"/>
    <s v="No aplica"/>
    <x v="1"/>
    <x v="2"/>
    <n v="47500000"/>
    <n v="-47500000"/>
    <n v="0"/>
    <n v="0"/>
    <n v="0"/>
    <n v="0"/>
    <n v="0"/>
    <n v="0"/>
    <n v="0"/>
    <n v="11875000"/>
    <n v="0"/>
    <n v="0"/>
    <s v="20241044501000018E"/>
    <s v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/>
    <s v="El contrato termino de forma anticipada y no se ejecuto presupuesto dentro del mismo, por eso se dejo el valor 0 ya que esto paso a la línea 154 de PAA que fue actualizada el 28 de febrero de 2024 con un presupuesto mayor para tener mayor tiempo de ejecución."/>
  </r>
  <r>
    <n v="28"/>
    <n v="81112501"/>
    <s v="A-02-02-02-008-004"/>
    <s v="Servicios Tecnológicos"/>
    <s v="Certificados Digitales"/>
    <s v="Certificados digitales: persona jurídica, función pública y wildcard"/>
    <s v="Si"/>
    <s v="OASTI"/>
    <n v="2024"/>
    <n v="86"/>
    <s v="Si"/>
    <s v="Proceso pendiente 2024"/>
    <s v="Oswaldo Useche Acevedo"/>
    <s v="Jefferson"/>
    <m/>
    <s v="SECOP II"/>
    <s v="Certificados digitales"/>
    <s v="Renovación y compra de certificados digitales de la Agencia Nacional de Defensa Juridica."/>
    <m/>
    <m/>
    <m/>
    <n v="0"/>
    <m/>
    <m/>
    <m/>
    <m/>
    <m/>
    <m/>
    <x v="0"/>
    <x v="4"/>
    <m/>
    <n v="0"/>
    <n v="0"/>
    <m/>
    <m/>
    <m/>
    <n v="18371251"/>
    <n v="18371251"/>
    <m/>
    <m/>
    <n v="0"/>
    <n v="0"/>
    <m/>
    <m/>
    <m/>
  </r>
  <r>
    <n v="25"/>
    <m/>
    <m/>
    <s v="Contratista Persona Natural"/>
    <s v="eKOGUI"/>
    <s v="Devops"/>
    <s v="Si"/>
    <s v="OASTI"/>
    <n v="2024"/>
    <n v="105"/>
    <s v="Si"/>
    <s v="Proceso pendiente 2024"/>
    <s v="Oswaldo Useche Acevedo"/>
    <s v="Compartida OASTI (Giovanna)"/>
    <m/>
    <s v="SECOP II"/>
    <s v="Devops"/>
    <s v="Consultoría para apoyar a la Oficina Asesora de Tecnologías de Ia Información en los despliegues en ambiente de produccion, tanto de funcionalidades como de herramientas y gestión de infraestructura  en el marco de la evolución y transformación del eKOGUI."/>
    <m/>
    <m/>
    <m/>
    <n v="0"/>
    <m/>
    <m/>
    <m/>
    <m/>
    <m/>
    <m/>
    <x v="1"/>
    <x v="5"/>
    <m/>
    <n v="0"/>
    <n v="0"/>
    <m/>
    <m/>
    <m/>
    <n v="92400000"/>
    <n v="92400000"/>
    <m/>
    <m/>
    <n v="0"/>
    <n v="0"/>
    <m/>
    <m/>
    <m/>
  </r>
  <r>
    <n v="26"/>
    <n v="80111614"/>
    <m/>
    <s v="Contratista Persona Natural"/>
    <s v="eKOGUI"/>
    <s v="Gobierno de Datos"/>
    <s v="Si"/>
    <s v="OASTI"/>
    <n v="2024"/>
    <n v="106"/>
    <s v="Si"/>
    <s v="Proceso pendiente 2024"/>
    <s v="Oswaldo Useche Acevedo"/>
    <s v="Liliana Barbosa - Augusto"/>
    <m/>
    <s v="SECOP II"/>
    <s v="Gob datos"/>
    <s v="Consultor individual que elabore la política, lineamientos e instrumentos propios para la adopción y apropiación de los casos de usos seleccionados en el Modelo de gobierno de datos y la adopción de la infraestructura de datos para la Agencia Nacional de Defensa Jurídica del Estado."/>
    <m/>
    <m/>
    <m/>
    <n v="0"/>
    <m/>
    <m/>
    <m/>
    <m/>
    <m/>
    <m/>
    <x v="1"/>
    <x v="6"/>
    <m/>
    <n v="0"/>
    <n v="0"/>
    <m/>
    <m/>
    <m/>
    <n v="197034750"/>
    <n v="197034750"/>
    <m/>
    <m/>
    <n v="0"/>
    <n v="0"/>
    <m/>
    <m/>
    <m/>
  </r>
  <r>
    <n v="27"/>
    <s v="43233502;_x000a_81112501"/>
    <m/>
    <s v="Servicios Tecnológicos"/>
    <s v="Suscripción Software"/>
    <s v="Stream Yard Pro. Renovar la suscripcón y esto pertenece a Dirección de política y estratégias."/>
    <s v="No"/>
    <s v="DPE"/>
    <n v="2024"/>
    <n v="76"/>
    <s v="Si"/>
    <s v="Proceso pendiente 2024"/>
    <s v="Oswaldo Useche Acevedo"/>
    <s v="Sandra"/>
    <m/>
    <s v="SECOP II"/>
    <s v="Stream Yard Pro"/>
    <s v="Renovación del licenciamiento Stream Yard Pro para la Agencia Nacional de Defensa Jurídica del Estado."/>
    <m/>
    <m/>
    <m/>
    <n v="0"/>
    <m/>
    <m/>
    <m/>
    <m/>
    <m/>
    <m/>
    <x v="0"/>
    <x v="4"/>
    <m/>
    <n v="0"/>
    <n v="0"/>
    <m/>
    <m/>
    <m/>
    <n v="2550000"/>
    <n v="2550000"/>
    <m/>
    <m/>
    <n v="0"/>
    <n v="0"/>
    <m/>
    <m/>
    <m/>
  </r>
  <r>
    <n v="43"/>
    <n v="80111614"/>
    <s v="C-1205-0800-3-20110E-1205008-0202"/>
    <s v="Contratista Persona Natural"/>
    <s v="eKOGUI"/>
    <s v="Servicios de requerimientos y calidad"/>
    <s v="Si"/>
    <s v="OASTI"/>
    <n v="2024"/>
    <n v="152"/>
    <s v="Si"/>
    <s v="Proceso pendiente 2025"/>
    <s v="Oswaldo Useche Acevedo"/>
    <s v="Diana Giovanna Rivera Pineda "/>
    <m/>
    <s v="SECOP II"/>
    <s v="Requerimientos y calidad"/>
    <s v="Consultor individual como analista de levantamiento de requisitos y/o aseguramiento de calidad de software sobre   controles de cambio y/o nuevas  funcionalidades para el sistema e-KOGUI."/>
    <m/>
    <m/>
    <m/>
    <n v="0"/>
    <m/>
    <m/>
    <m/>
    <m/>
    <m/>
    <m/>
    <x v="1"/>
    <x v="6"/>
    <m/>
    <n v="0"/>
    <n v="0"/>
    <m/>
    <m/>
    <m/>
    <n v="51000000"/>
    <n v="51000000"/>
    <m/>
    <m/>
    <n v="0"/>
    <n v="0"/>
    <m/>
    <m/>
    <m/>
  </r>
  <r>
    <n v="44"/>
    <n v="80111614"/>
    <s v="C-1205-0800-3-20110E-1205008-0202"/>
    <s v="Contratista Persona Natural"/>
    <s v="eKOGUI"/>
    <s v="Servicios de requerimientos y calidad"/>
    <s v="Si"/>
    <s v="OASTI"/>
    <n v="2024"/>
    <n v="153"/>
    <s v="Si"/>
    <s v="Proceso pendiente 2026"/>
    <s v="Oswaldo Useche Acevedo"/>
    <s v="Diana Giovanna Rivera Pineda "/>
    <m/>
    <s v="SECOP II"/>
    <s v="Requerimientos y calidad"/>
    <s v="Consultor individual como analista de levantamiento de requisitos y/o aseguramiento de calidad de software   sobre   controles de cambio y/o nuevas funcionalidades para el sistema e-KOGUI."/>
    <m/>
    <m/>
    <m/>
    <n v="0"/>
    <m/>
    <m/>
    <m/>
    <m/>
    <m/>
    <m/>
    <x v="1"/>
    <x v="6"/>
    <m/>
    <n v="0"/>
    <n v="0"/>
    <m/>
    <m/>
    <m/>
    <n v="51000000"/>
    <n v="51000000"/>
    <m/>
    <m/>
    <n v="0"/>
    <n v="0"/>
    <m/>
    <m/>
    <m/>
  </r>
  <r>
    <n v="45"/>
    <n v="80111614"/>
    <s v="C-1205-0800-3-20110E-1205008-0202"/>
    <s v="Contratista Persona Natural"/>
    <s v="eKOGUI"/>
    <s v="Servicios de calidad"/>
    <s v="Si"/>
    <s v="OASTI"/>
    <n v="2024"/>
    <n v="154"/>
    <s v="Si"/>
    <s v="Proceso pendiente 2027"/>
    <s v="Oswaldo Useche Acevedo"/>
    <s v="Diana Giovanna Rivera Pineda "/>
    <m/>
    <s v="SECOP II"/>
    <s v="Calidad"/>
    <s v="Consultoría individual como Analista de Flujos de Procesos y Requisitos funcionales para el mejoramiento de funcionalidades y evolución del sistema e-KOGUI."/>
    <m/>
    <m/>
    <m/>
    <n v="0"/>
    <m/>
    <m/>
    <m/>
    <m/>
    <m/>
    <m/>
    <x v="1"/>
    <x v="7"/>
    <m/>
    <n v="0"/>
    <n v="0"/>
    <m/>
    <m/>
    <m/>
    <n v="76000000"/>
    <n v="76000000"/>
    <m/>
    <m/>
    <n v="0"/>
    <n v="0"/>
    <m/>
    <m/>
    <m/>
  </r>
  <r>
    <n v="46"/>
    <n v="80111614"/>
    <s v="C-1205-0800-3-20110E-1205008-0202"/>
    <s v="Contratista Persona Natural"/>
    <s v="eKOGUI"/>
    <s v="Servicios de calidad"/>
    <s v="Si"/>
    <s v="OASTI"/>
    <n v="2024"/>
    <n v="155"/>
    <s v="Si"/>
    <s v="Proceso pendiente 2028"/>
    <s v="Oswaldo Useche Acevedo"/>
    <s v="Diana Giovanna Rivera Pineda "/>
    <m/>
    <s v="SECOP II"/>
    <s v="Calidad"/>
    <s v="Consultoría individual como Analista de Flujos de Procesos y Requisitos funcionales para el mejoramiento de funcionalidades y evolución del sistema e-KOGUI."/>
    <m/>
    <m/>
    <m/>
    <n v="0"/>
    <m/>
    <m/>
    <m/>
    <m/>
    <m/>
    <m/>
    <x v="1"/>
    <x v="7"/>
    <m/>
    <n v="0"/>
    <n v="0"/>
    <m/>
    <m/>
    <m/>
    <n v="76000000"/>
    <n v="76000000"/>
    <m/>
    <m/>
    <n v="0"/>
    <n v="0"/>
    <m/>
    <m/>
    <m/>
  </r>
  <r>
    <n v="29"/>
    <s v="81111820;43222641"/>
    <s v="A-02-02-01-004-007"/>
    <s v="Servicios Tecnológicos"/>
    <s v="Seguridad"/>
    <s v="IPV6 renovación por un año"/>
    <s v="Si"/>
    <s v="OASTI"/>
    <n v="2024"/>
    <n v="84"/>
    <s v="Si"/>
    <s v="Proceso pendiente 2024"/>
    <s v="Oswaldo Useche Acevedo"/>
    <s v="Daniel"/>
    <m/>
    <s v="SECOP II"/>
    <m/>
    <s v="Renovar la membresía del protocolo IPv6 implementada en la infraestructura tecnológica de la Agencia Nacional de Defensa Jurídica del Estado."/>
    <m/>
    <m/>
    <m/>
    <n v="0"/>
    <m/>
    <m/>
    <m/>
    <m/>
    <m/>
    <m/>
    <x v="0"/>
    <x v="4"/>
    <m/>
    <n v="0"/>
    <n v="0"/>
    <m/>
    <m/>
    <m/>
    <n v="4500000"/>
    <n v="4500000"/>
    <m/>
    <m/>
    <n v="0"/>
    <n v="0"/>
    <m/>
    <m/>
    <m/>
  </r>
  <r>
    <n v="30"/>
    <m/>
    <m/>
    <s v="Servicios Tecnológicos"/>
    <s v="Suscripción Software"/>
    <s v="Scripcase"/>
    <s v="Si"/>
    <s v="OASTI"/>
    <n v="2024"/>
    <n v="85"/>
    <s v="Si"/>
    <s v="Proceso pendiente 2024"/>
    <s v="Oswaldo Useche Acevedo"/>
    <s v="Jefferson"/>
    <m/>
    <s v="SECOP II"/>
    <s v="Scriptcase"/>
    <s v="Renovación y soporte herramientas de  scripcase."/>
    <m/>
    <m/>
    <m/>
    <m/>
    <m/>
    <m/>
    <m/>
    <m/>
    <m/>
    <m/>
    <x v="0"/>
    <x v="4"/>
    <m/>
    <n v="0"/>
    <n v="0"/>
    <m/>
    <m/>
    <m/>
    <n v="20000000"/>
    <n v="20000000"/>
    <m/>
    <m/>
    <n v="0"/>
    <n v="0"/>
    <m/>
    <m/>
    <m/>
  </r>
  <r>
    <n v="31"/>
    <m/>
    <m/>
    <s v="Servicios Tecnológicos"/>
    <s v="Suscripción Software"/>
    <s v="Antivirus y DLP"/>
    <s v="Si"/>
    <s v="OASTI"/>
    <n v="2024"/>
    <n v="87"/>
    <s v="Si"/>
    <s v="Proceso pendiente 2024"/>
    <s v="Oswaldo Useche Acevedo"/>
    <s v="Daniel"/>
    <m/>
    <s v="SECOP II"/>
    <m/>
    <s v="Renovación Antivirus y DLP."/>
    <m/>
    <m/>
    <m/>
    <n v="0"/>
    <m/>
    <m/>
    <m/>
    <m/>
    <m/>
    <m/>
    <x v="0"/>
    <x v="3"/>
    <m/>
    <n v="0"/>
    <n v="0"/>
    <m/>
    <m/>
    <m/>
    <n v="270000000"/>
    <n v="270000000"/>
    <m/>
    <m/>
    <n v="0"/>
    <n v="0"/>
    <m/>
    <m/>
    <m/>
  </r>
  <r>
    <n v="32"/>
    <n v="81112501"/>
    <s v="A-02-02-01-004-007"/>
    <s v="Servicios Tecnológicos"/>
    <s v="Suscripción Software"/>
    <s v="Adobe"/>
    <s v="Si"/>
    <s v="OASTI"/>
    <n v="2024"/>
    <n v="88"/>
    <s v="Si"/>
    <s v="Proceso pendiente 2024"/>
    <s v="Oswaldo Useche Acevedo"/>
    <s v="Sandra"/>
    <m/>
    <s v="SECOP II"/>
    <m/>
    <s v="Renovación de las licencias Adobe Creative Cloud y  Adobe Pro Cloud para la Agencia Nacional de Defensa Jurídica del Estado."/>
    <m/>
    <m/>
    <m/>
    <n v="0"/>
    <m/>
    <m/>
    <m/>
    <m/>
    <m/>
    <m/>
    <x v="0"/>
    <x v="4"/>
    <m/>
    <n v="0"/>
    <n v="0"/>
    <m/>
    <m/>
    <m/>
    <n v="18000000"/>
    <n v="18000000"/>
    <m/>
    <m/>
    <n v="0"/>
    <n v="0"/>
    <m/>
    <m/>
    <m/>
  </r>
  <r>
    <n v="33"/>
    <m/>
    <m/>
    <s v="Servicios Tecnológicos"/>
    <s v="Conectividad"/>
    <s v="Iniciar el nuevo cntrato de conectividad a finales de noviembre."/>
    <s v="Si"/>
    <s v="OASTI"/>
    <n v="2024"/>
    <n v="89"/>
    <s v="Si"/>
    <s v="Proceso pendiente 2024"/>
    <s v="Oswaldo Useche Acevedo"/>
    <s v="Daniel"/>
    <m/>
    <s v="TVEC"/>
    <m/>
    <s v="Prestación de servicios de conectividad para la Agencia Nacional de Defensa Jurídica del Estado."/>
    <m/>
    <m/>
    <m/>
    <n v="0"/>
    <m/>
    <m/>
    <m/>
    <m/>
    <m/>
    <m/>
    <x v="0"/>
    <x v="8"/>
    <m/>
    <n v="0"/>
    <n v="0"/>
    <m/>
    <m/>
    <m/>
    <n v="15000000"/>
    <n v="15000000"/>
    <m/>
    <m/>
    <n v="0"/>
    <n v="0"/>
    <m/>
    <m/>
    <m/>
  </r>
  <r>
    <n v="34"/>
    <m/>
    <m/>
    <s v="Servicio de atención"/>
    <s v="Mesa de Servicio"/>
    <s v="Continuar el servicio de mesa a inicios de diciembre"/>
    <s v="Si"/>
    <s v="OASTI"/>
    <n v="2024"/>
    <n v="93"/>
    <s v="Si"/>
    <s v="Proceso pendiente 2024"/>
    <s v="Oswaldo Useche Acevedo"/>
    <s v="Jefferson"/>
    <m/>
    <s v="SECOP II"/>
    <m/>
    <s v="Adquirir Servicios BPO y/o Mesa de ayuda de tecnología  que permita garantizar la operación de los sistemas misionales y de apoyo de la Agencia Nacional de Defensa Jurídica del estado."/>
    <m/>
    <m/>
    <m/>
    <n v="0"/>
    <m/>
    <m/>
    <m/>
    <m/>
    <m/>
    <m/>
    <x v="0"/>
    <x v="8"/>
    <m/>
    <n v="0"/>
    <n v="0"/>
    <m/>
    <m/>
    <m/>
    <n v="38023681"/>
    <n v="38023681"/>
    <m/>
    <m/>
    <n v="0"/>
    <n v="0"/>
    <m/>
    <m/>
    <m/>
  </r>
  <r>
    <n v="35"/>
    <m/>
    <m/>
    <s v="Servicios Tecnológicos"/>
    <s v="Adquisición de hardware, periféricos y comunicaciones"/>
    <s v="Videoconferencia"/>
    <s v="Si"/>
    <s v="OASTI"/>
    <n v="2024"/>
    <n v="96"/>
    <s v="Si"/>
    <s v="Proceso pendiente 2024"/>
    <s v="Oswaldo Useche Acevedo"/>
    <s v="Freddy"/>
    <m/>
    <s v="SECOP II"/>
    <s v="Videoconferencia"/>
    <s v="Adquisición, configuración, instalación, soporte y garantía de equipos de videoconferencia."/>
    <m/>
    <m/>
    <m/>
    <n v="0"/>
    <m/>
    <m/>
    <m/>
    <m/>
    <m/>
    <m/>
    <x v="0"/>
    <x v="3"/>
    <m/>
    <n v="0"/>
    <n v="0"/>
    <m/>
    <m/>
    <m/>
    <n v="60000000"/>
    <n v="60000000"/>
    <m/>
    <m/>
    <n v="0"/>
    <n v="0"/>
    <m/>
    <m/>
    <m/>
  </r>
  <r>
    <n v="36"/>
    <m/>
    <m/>
    <s v="Servicios Tecnológicos"/>
    <s v="Consultoría"/>
    <s v="Consultoría en Gobierno de Datos"/>
    <s v="Si"/>
    <s v="OASTI"/>
    <n v="2024"/>
    <n v="97"/>
    <s v="Si"/>
    <s v="Proceso pendiente 2024"/>
    <s v="Oswaldo Useche Acevedo"/>
    <s v="Liliana"/>
    <m/>
    <s v="SECOP II"/>
    <s v="Empresa Gobierno de Datos"/>
    <s v="Consultoría para la Implementación del modelo de gobierno de datos en la Agencia Nacional de Defensa Jurídica del Estado - Fase II."/>
    <m/>
    <m/>
    <m/>
    <n v="0"/>
    <m/>
    <m/>
    <m/>
    <m/>
    <m/>
    <m/>
    <x v="1"/>
    <x v="9"/>
    <m/>
    <n v="0"/>
    <n v="0"/>
    <m/>
    <m/>
    <m/>
    <n v="350000000"/>
    <n v="350000000"/>
    <m/>
    <m/>
    <n v="0"/>
    <n v="0"/>
    <m/>
    <m/>
    <m/>
  </r>
  <r>
    <n v="37"/>
    <m/>
    <m/>
    <s v="Servicios Tecnológicos"/>
    <s v="Fábrica de software"/>
    <s v="Fabríca para Ekogui"/>
    <s v="Si"/>
    <s v="OASTI"/>
    <n v="2024"/>
    <n v="99"/>
    <s v="Si"/>
    <s v="Proceso pendiente 2024"/>
    <s v="Oswaldo Useche Acevedo"/>
    <s v="Compartida OASTI- DGI (Giovanna)"/>
    <m/>
    <s v="SECOP II"/>
    <s v="Fábrica"/>
    <s v="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."/>
    <m/>
    <m/>
    <m/>
    <n v="0"/>
    <m/>
    <m/>
    <m/>
    <m/>
    <m/>
    <m/>
    <x v="1"/>
    <x v="9"/>
    <m/>
    <n v="0"/>
    <n v="0"/>
    <m/>
    <m/>
    <m/>
    <n v="2245889285"/>
    <n v="2245889285"/>
    <m/>
    <m/>
    <n v="0"/>
    <n v="0"/>
    <s v="20241044501000013E"/>
    <m/>
    <m/>
  </r>
  <r>
    <n v="38"/>
    <m/>
    <m/>
    <s v="Servicios Tecnológicos"/>
    <s v="Interventoría"/>
    <s v="Interventoría para Ekogui"/>
    <s v="Si"/>
    <s v="OASTI"/>
    <n v="2024"/>
    <n v="100"/>
    <s v="Si"/>
    <s v="Proceso pendiente 2024"/>
    <s v="Oswaldo Useche Acevedo"/>
    <s v="Compartida OASTI- DGI (Giovanna)"/>
    <m/>
    <s v="SECOP II"/>
    <s v="Interventoría"/>
    <s v="Prestar los servicios de interventoría técnica, jurídica, financiera, administrativa y pruebas de aceptación funcional, al contrato que tiene por objeto &quot;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&quot;."/>
    <m/>
    <m/>
    <m/>
    <n v="0"/>
    <m/>
    <m/>
    <m/>
    <m/>
    <m/>
    <m/>
    <x v="1"/>
    <x v="9"/>
    <m/>
    <n v="0"/>
    <n v="0"/>
    <m/>
    <m/>
    <m/>
    <n v="696150000"/>
    <n v="696150000"/>
    <m/>
    <m/>
    <n v="0"/>
    <n v="0"/>
    <s v="20241044501000019E"/>
    <m/>
    <m/>
  </r>
  <r>
    <n v="39"/>
    <m/>
    <m/>
    <s v="Servicios Tecnológicos"/>
    <s v="Seguridad"/>
    <s v="Ciberseguridad"/>
    <s v="Si"/>
    <s v="OASTI"/>
    <n v="2024"/>
    <n v="101"/>
    <s v="Si"/>
    <s v="Proceso pendiente 2024"/>
    <s v="Oswaldo Useche Acevedo"/>
    <s v="Freddy"/>
    <m/>
    <s v="SECOP II"/>
    <s v="Ciberseguridad"/>
    <s v="Servicio ciberseguridad para monitoreo de seguridad, monitoreo de red, análisis de vulnerabilidades y plan de recuperación de desastres."/>
    <m/>
    <m/>
    <m/>
    <n v="0"/>
    <m/>
    <m/>
    <m/>
    <m/>
    <m/>
    <m/>
    <x v="1"/>
    <x v="8"/>
    <m/>
    <n v="0"/>
    <n v="0"/>
    <m/>
    <m/>
    <m/>
    <n v="700000000"/>
    <n v="700000000"/>
    <m/>
    <m/>
    <n v="0"/>
    <n v="0"/>
    <m/>
    <m/>
    <m/>
  </r>
  <r>
    <n v="40"/>
    <m/>
    <m/>
    <s v="Servicios Tecnológicos"/>
    <s v="Consultoría"/>
    <s v="CRM enfocado en evolutivo"/>
    <s v="Si"/>
    <s v="OASTI"/>
    <n v="2024"/>
    <n v="102"/>
    <s v="Si"/>
    <s v="Proceso pendiente 2024"/>
    <s v="Oswaldo Useche Acevedo"/>
    <s v="Diego"/>
    <m/>
    <s v="SECOP II"/>
    <s v="CRM"/>
    <s v="Mantenimiento de optimización de flujos de los procesos y/o flujos implementados con el producto Dynamics 365 en el marco del programa de fortalecimiento de la Agencia Nacional de Defensa Jurídica del Estado"/>
    <m/>
    <m/>
    <m/>
    <n v="0"/>
    <m/>
    <m/>
    <m/>
    <m/>
    <m/>
    <m/>
    <x v="1"/>
    <x v="8"/>
    <m/>
    <n v="0"/>
    <n v="0"/>
    <m/>
    <m/>
    <m/>
    <n v="100000000"/>
    <n v="100000000"/>
    <m/>
    <m/>
    <n v="0"/>
    <n v="0"/>
    <m/>
    <m/>
    <m/>
  </r>
  <r>
    <n v="41"/>
    <s v="81111800;81112000"/>
    <s v="A-02-02-01-004-007"/>
    <s v="Servicios Tecnológicos"/>
    <s v="Centro de datos"/>
    <s v="Nube pública de Ekogui"/>
    <s v="Si"/>
    <s v="OASTI"/>
    <n v="2024"/>
    <n v="103"/>
    <s v="Si"/>
    <s v="Proceso pendiente 2024"/>
    <s v="Oswaldo Useche Acevedo"/>
    <s v="Diego Gamba"/>
    <m/>
    <s v="SECOP II"/>
    <s v="Nube pública Ekogui"/>
    <s v="Adquirir capacidades de nube pública de Microsoft AZURE para mantener las necesidades computacionales y de aseguramiento de la seguridad del Sistema de Información Misional Ekogui."/>
    <m/>
    <m/>
    <m/>
    <n v="0"/>
    <m/>
    <m/>
    <m/>
    <m/>
    <m/>
    <m/>
    <x v="0"/>
    <x v="8"/>
    <m/>
    <n v="0"/>
    <n v="0"/>
    <m/>
    <m/>
    <m/>
    <n v="2200000000"/>
    <n v="2200000000"/>
    <m/>
    <m/>
    <n v="0"/>
    <n v="0"/>
    <m/>
    <m/>
    <m/>
  </r>
  <r>
    <n v="42"/>
    <m/>
    <m/>
    <s v="Servicios Tecnológicos"/>
    <s v="Consultoría"/>
    <s v="Extrajudiciales enfocado en evolutivo"/>
    <s v="Si"/>
    <s v="OASTI"/>
    <n v="2024"/>
    <n v="116"/>
    <s v="Si"/>
    <s v="Proceso pendiente 2024"/>
    <s v="Oswaldo Useche Acevedo"/>
    <s v="Compartida OASTI- DGI (Giovanna)"/>
    <m/>
    <s v="SECOP II"/>
    <s v="Horas de Fabrica para nuevas funcionalidades en el módulo de extrajudiciales"/>
    <s v="Prestar bajo la modalidad de fábrica de software el desarrollo de software e implementación de los controles de cambio del módulo de conciliaciones extrajudiciales que hace parte de eKOGUI"/>
    <m/>
    <m/>
    <m/>
    <n v="0"/>
    <m/>
    <m/>
    <m/>
    <m/>
    <m/>
    <m/>
    <x v="1"/>
    <x v="10"/>
    <m/>
    <n v="0"/>
    <n v="0"/>
    <m/>
    <m/>
    <m/>
    <n v="180177900"/>
    <n v="180177900"/>
    <m/>
    <m/>
    <n v="0"/>
    <n v="0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8"/>
    <n v="80111614"/>
    <s v="A-02-02-02-008-003"/>
    <s v="Contratista Persona Natural"/>
    <s v="Desarrollo"/>
    <s v="Desarrollador (Hardy) para temas de gestión documental"/>
    <s v="Si"/>
    <s v="OASTI"/>
    <n v="2024"/>
    <n v="83"/>
    <s v="Si"/>
    <s v="Adjudicado 2024"/>
    <s v="Oswaldo Useche Acevedo"/>
    <s v="Jefferson Giraldo Muñoz"/>
    <s v="Se envía a Liliana por Orfeo el 29 de enero de 2024._x000a_Se envía a Jfferson el 19 de febrero y se le quita la actividad a Liliana"/>
    <x v="0"/>
    <s v="Hardy Deimont Niño Velasquez"/>
    <s v="Prestación de servicios profesionales para acompañar a la Oficina Asesora de Tecnologías de la Información en  el desarrollo de las nuevas funcionalidades en los portales o cualquier otra aplicación que permita tener contacto con los grupos de interés de la Agencia Nacional de Defensa Jurídica del Estado."/>
    <s v="CD-024-2024"/>
    <s v="024-2024"/>
    <s v="N/A"/>
    <n v="1"/>
    <d v="2024-01-23T00:00:00"/>
    <d v="2024-01-24T00:00:00"/>
    <d v="2024-01-24T00:00:00"/>
    <d v="2024-12-20T00:00:00"/>
    <s v="No Aplica"/>
    <s v="No aplica"/>
    <x v="0"/>
    <s v="Persona Natural (Contratista)"/>
    <n v="101790360"/>
    <n v="0"/>
    <n v="101790360"/>
    <n v="0"/>
    <n v="101790360"/>
    <n v="0"/>
    <n v="101790360.76000001"/>
    <n v="0.76000000536441803"/>
    <n v="2159189.4300000002"/>
    <n v="9253669"/>
    <n v="0.02"/>
    <n v="99631170.569999993"/>
    <s v="20241100801000001E"/>
    <s v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/>
    <m/>
  </r>
  <r>
    <n v="9"/>
    <n v="80111614"/>
    <s v="A-02-02-02-008-003"/>
    <s v="Contratista Persona Natural"/>
    <s v="eKOGUI"/>
    <s v="Pruebas Operación"/>
    <s v="Si"/>
    <s v="OASTI"/>
    <n v="2024"/>
    <n v="111"/>
    <s v="Si"/>
    <s v="Adjudicado 2024"/>
    <s v="Oswaldo Useche Acevedo"/>
    <s v="Diana Giovanna Rivera Pineda "/>
    <s v="Se envía a Giovana por Orfeo el 23 de enero de 2024"/>
    <x v="0"/>
    <s v="Solanyel Guerrero Fúneme"/>
    <s v="Prestación de servicios profesionales para revisión de flujos de procesos y pruebas para la operación del eKOGUI."/>
    <s v="CD-018-2024"/>
    <s v="18-2024"/>
    <s v="N/A"/>
    <n v="1"/>
    <d v="2024-01-19T00:00:00"/>
    <d v="2024-01-22T00:00:00"/>
    <d v="2024-01-23T00:00:00"/>
    <d v="2024-12-20T00:00:00"/>
    <s v="No Aplica"/>
    <s v="No aplica"/>
    <x v="0"/>
    <s v="Persona Natural (Contratista)"/>
    <n v="104183350"/>
    <n v="0"/>
    <n v="104183350"/>
    <n v="0"/>
    <n v="104183350"/>
    <n v="0"/>
    <n v="104500000"/>
    <n v="316650"/>
    <n v="2533333"/>
    <n v="9500000"/>
    <n v="0.02"/>
    <n v="101650017"/>
    <s v="20241100801000004E"/>
    <s v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/>
    <m/>
  </r>
  <r>
    <n v="10"/>
    <n v="80111614"/>
    <s v="A-02-02-02-008-003"/>
    <s v="Contratista Persona Natural"/>
    <s v="eKOGUI"/>
    <s v="Pruebas Operación"/>
    <s v="Si"/>
    <s v="OASTI"/>
    <n v="2024"/>
    <n v="110"/>
    <s v="Si"/>
    <s v="Adjudicado 2024"/>
    <s v="Oswaldo Useche Acevedo"/>
    <s v="Diana Giovanna Rivera Pineda "/>
    <s v="Se envía a Giovana por Orfeo el 23 de enero de 2024"/>
    <x v="0"/>
    <s v="Liliana Maritza Urueña Rodriguez"/>
    <s v="Prestación de servicios profesionales para revisión de flujos de procesos y pruebas para la operación del eKOGUI."/>
    <s v="CD-020-2024"/>
    <s v="020-2024"/>
    <s v="N/A"/>
    <n v="1"/>
    <d v="2024-01-19T00:00:00"/>
    <d v="2024-01-22T00:00:00"/>
    <d v="2024-01-23T00:00:00"/>
    <d v="2024-12-20T00:00:00"/>
    <s v="No Aplica"/>
    <s v="No aplica"/>
    <x v="0"/>
    <s v="Persona Natural (Contratista)"/>
    <n v="104183350"/>
    <n v="0"/>
    <n v="104183350"/>
    <n v="0"/>
    <n v="104183350"/>
    <n v="0"/>
    <n v="104500000"/>
    <n v="316650"/>
    <n v="2533333"/>
    <n v="9500000"/>
    <n v="0.02"/>
    <n v="101650017"/>
    <s v="20241100801000003E"/>
    <s v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/>
    <m/>
  </r>
  <r>
    <n v="11"/>
    <n v="80111614"/>
    <s v="A-02-02-02-008-003"/>
    <s v="Contratista Persona Natural"/>
    <s v="eKOGUI"/>
    <s v="Migración y Calidad de Datos"/>
    <s v="Si"/>
    <s v="OASTI"/>
    <n v="2024"/>
    <n v="113"/>
    <s v="Si"/>
    <s v="Adjudicado 2024"/>
    <s v="Oswaldo Useche Acevedo"/>
    <s v="Diana Giovanna Rivera Pineda "/>
    <s v="Se envía a Giovana por Orfeo el 23 de enero de 2024"/>
    <x v="0"/>
    <s v="Claudia Marcela Peña Hernandez"/>
    <s v="Prestación de servicios profesionales para la migración y calidad de datos de eKOGUI."/>
    <s v="CD-014-2024"/>
    <s v="014-2024"/>
    <s v="N/A"/>
    <n v="1"/>
    <d v="2024-01-17T00:00:00"/>
    <d v="2024-01-19T00:00:00"/>
    <d v="2024-01-22T00:00:00"/>
    <d v="2024-12-20T00:00:00"/>
    <s v="No Aplica"/>
    <s v="No aplica"/>
    <x v="0"/>
    <s v="Persona Natural (Contratista)"/>
    <n v="187000000"/>
    <n v="0"/>
    <n v="187000000"/>
    <n v="0"/>
    <n v="187000000"/>
    <n v="0"/>
    <n v="187000000"/>
    <n v="0"/>
    <n v="5100000"/>
    <n v="17000000"/>
    <n v="0.03"/>
    <n v="181900000"/>
    <s v="20241100801000002E"/>
    <s v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/>
    <m/>
  </r>
  <r>
    <n v="12"/>
    <n v="80111614"/>
    <s v="A-02-02-02-008-003"/>
    <s v="Contratista Persona Natural"/>
    <s v="eKOGUI"/>
    <s v="Pruebas transformación "/>
    <s v="Si"/>
    <s v="OASTI"/>
    <n v="2024"/>
    <n v="114"/>
    <s v="Si"/>
    <s v="Adjudicado 2024"/>
    <s v="Oswaldo Useche Acevedo"/>
    <s v="Diana Giovanna Rivera Pineda "/>
    <s v="Se envía a Giovana por Orfeo el 29 de enero de 2024"/>
    <x v="0"/>
    <s v="Gigliola Esmeralda Montañez Murillo"/>
    <s v="Prestación de servicios profesionales para apoyar la articulación de los roles de pruebas funcionales para la evolución y transformación del eKOGUI."/>
    <s v="CD-022-2024"/>
    <s v="022-2024"/>
    <s v="N/A"/>
    <n v="1"/>
    <d v="2024-01-23T00:00:00"/>
    <d v="2024-01-24T00:00:00"/>
    <d v="2024-01-25T00:00:00"/>
    <d v="2024-12-20T00:00:00"/>
    <s v="No Aplica"/>
    <s v="No aplica"/>
    <x v="0"/>
    <s v="Persona Natural (Contratista)"/>
    <n v="187000000"/>
    <n v="0"/>
    <n v="187000000"/>
    <n v="0"/>
    <n v="187000000"/>
    <n v="0"/>
    <n v="187000000"/>
    <n v="0"/>
    <n v="3400000"/>
    <n v="17000000"/>
    <n v="0.02"/>
    <n v="183600000"/>
    <s v="20241100801000006E"/>
    <s v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/>
    <m/>
  </r>
  <r>
    <n v="13"/>
    <m/>
    <m/>
    <s v="Contratista Persona Natural"/>
    <s v="eKOGUI"/>
    <s v="Desarrollador"/>
    <s v="Si"/>
    <s v="OASTI"/>
    <n v="2024"/>
    <n v="108"/>
    <s v="Si"/>
    <s v="Adjudicado 2024"/>
    <s v="Oswaldo Useche Acevedo"/>
    <s v="Diana Giovanna Rivera Pineda "/>
    <s v="Se envía a Giovana por Orfeo el 12 de febrero de 2024"/>
    <x v="0"/>
    <s v="Michael Andres Salgado Salazar"/>
    <s v="Consultoría  como  desarrollador de software senior en el marco de la operación y evolución del eKOGUI"/>
    <s v="CO-L1251-P187516_x0009_"/>
    <s v="BID 006 2024"/>
    <s v="N/A"/>
    <n v="0"/>
    <d v="2024-02-01T00:00:00"/>
    <d v="2024-02-02T00:00:00"/>
    <s v="No Aplica"/>
    <d v="2024-12-20T00:00:00"/>
    <s v="No Aplica"/>
    <s v="No aplica"/>
    <x v="1"/>
    <s v="Persona Natural (Contratista)"/>
    <n v="148500000"/>
    <n v="0"/>
    <n v="148500000"/>
    <n v="0"/>
    <n v="148500000"/>
    <n v="0"/>
    <n v="148500000"/>
    <n v="0"/>
    <n v="0"/>
    <n v="13500000"/>
    <n v="0"/>
    <n v="148500000"/>
    <s v="20241044501000010E"/>
    <s v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/>
    <m/>
  </r>
  <r>
    <n v="14"/>
    <m/>
    <m/>
    <s v="Contratista Persona Natural"/>
    <s v="eKOGUI"/>
    <s v="Desarrollador  "/>
    <s v="Si"/>
    <s v="OASTI"/>
    <n v="2024"/>
    <n v="107"/>
    <s v="Si"/>
    <s v="Adjudicado 2024"/>
    <s v="Oswaldo Useche Acevedo"/>
    <s v="Diana Giovanna Rivera Pineda "/>
    <s v="Se envía a Giovana por Orfeo el 12 de febrero de 2024"/>
    <x v="0"/>
    <s v="Carlos Andres Gómez Durán"/>
    <s v="Consultoría para acompañar a la Oficina Asesora de Tecnologías de la información  como desarrollador de software senior en el marco de la operación y evolución del eKOGUI."/>
    <s v="CO-L1251- P187515"/>
    <s v="BID 007 2024"/>
    <s v="N/A"/>
    <n v="0"/>
    <d v="2024-02-01T00:00:00"/>
    <d v="2023-02-05T00:00:00"/>
    <s v="No Aplica"/>
    <d v="2024-12-20T00:00:00"/>
    <s v="No Aplica"/>
    <s v="No aplica"/>
    <x v="1"/>
    <s v="Persona Natural (Contratista)"/>
    <n v="148500000"/>
    <n v="0"/>
    <n v="148500000"/>
    <n v="0"/>
    <n v="148500000"/>
    <n v="0"/>
    <n v="148500000"/>
    <n v="0"/>
    <n v="0"/>
    <n v="13500000"/>
    <n v="0"/>
    <n v="148500000"/>
    <s v="20241044501000011E"/>
    <s v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/>
    <m/>
  </r>
  <r>
    <n v="15"/>
    <m/>
    <m/>
    <s v="Contratista Persona Natural"/>
    <s v="eKOGUI"/>
    <s v="Requerimientos Líder"/>
    <s v="Si"/>
    <s v="OASTI"/>
    <n v="2024"/>
    <n v="115"/>
    <s v="Si"/>
    <s v="Adjudicado 2024"/>
    <s v="Oswaldo Useche Acevedo"/>
    <s v="Diana Giovanna Rivera Pineda "/>
    <s v="Se envía a Giovana por Orfeo el 12 de febrero de 2024"/>
    <x v="0"/>
    <s v="Julia Alejandra Leal López"/>
    <s v="Consultoría individual como lider del equipo de levantamiento de flujos de procesos y requisitos funcionales para el mejoramiento y evolución del Sistema eKOGUI."/>
    <s v="CO-L1251- P187518"/>
    <s v="BID 008 2024"/>
    <s v="N/A"/>
    <n v="0"/>
    <d v="2024-02-01T00:00:00"/>
    <d v="2023-02-05T00:00:00"/>
    <s v="No Aplica"/>
    <d v="2024-12-20T00:00:00"/>
    <s v="No Aplica"/>
    <s v="No aplica"/>
    <x v="1"/>
    <s v="Persona Natural (Contratista)"/>
    <n v="132000000"/>
    <n v="0"/>
    <n v="132000000"/>
    <n v="0"/>
    <n v="132000000"/>
    <n v="0"/>
    <n v="132000000"/>
    <n v="0"/>
    <n v="0"/>
    <n v="12000000"/>
    <n v="0"/>
    <n v="132000000"/>
    <s v="20241044501000012E"/>
    <s v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/>
    <m/>
  </r>
  <r>
    <n v="16"/>
    <m/>
    <m/>
    <s v="Contratista Persona Natural"/>
    <s v="eKOGUI"/>
    <s v="Arquitecto de Software"/>
    <s v="Si"/>
    <s v="OASTI"/>
    <n v="2024"/>
    <n v="109"/>
    <s v="Si"/>
    <s v="Adjudicado 2024"/>
    <s v="Oswaldo Useche Acevedo"/>
    <s v="Diana Giovanna Rivera Pineda "/>
    <s v="Se envía a Giovana por Orfeo el 12 de febrero de 2024"/>
    <x v="0"/>
    <s v="Carlos Alberto López Narváez"/>
    <s v="Consultoría para acompañar a la Oficina Asesora de Tecnologías de la información  como Arquitecto de Software en el marco de la evolución y transformación del eKOGUI"/>
    <s v="CO-L1241-P187517"/>
    <s v="BID 009 2024"/>
    <s v="N/A"/>
    <n v="0"/>
    <d v="2024-02-01T00:00:00"/>
    <d v="2023-02-02T00:00:00"/>
    <s v="No Aplica"/>
    <d v="2024-12-20T00:00:00"/>
    <s v="No Aplica"/>
    <s v="No aplica"/>
    <x v="1"/>
    <s v="Persona Natural (Contratista)"/>
    <n v="121000000"/>
    <n v="0"/>
    <n v="121000000"/>
    <n v="0"/>
    <n v="121000000"/>
    <n v="0"/>
    <n v="121000000"/>
    <n v="0"/>
    <n v="0"/>
    <n v="11000000"/>
    <n v="0"/>
    <n v="121000000"/>
    <s v="20241044501000014E"/>
    <s v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/>
    <m/>
  </r>
  <r>
    <n v="17"/>
    <m/>
    <m/>
    <s v="Contratista Persona Natural"/>
    <s v="Especialista TI"/>
    <s v="Especialista Operativo en Gestión de TI"/>
    <s v="No"/>
    <s v="Unidad Ejecutora BID"/>
    <n v="2024"/>
    <n v="141"/>
    <s v="Si"/>
    <s v="Adjudicado 2024"/>
    <s v="Oswaldo Useche Acevedo"/>
    <s v="Liliana Barbosa"/>
    <s v="Se envía a Giovana por Orfeo el 15 de febrero de 2024"/>
    <x v="0"/>
    <s v="Augusto Rafael Gutierrez Rivera"/>
    <s v="Consultoría individual como Especialista Operativo en Gestión de Información y Tecnologías de la Información para el Programa Fortalecimiento de la Agencia Nacional de Defensa Jurídica del Estado."/>
    <s v="CO-L1251-187520"/>
    <s v="BID 014 2024"/>
    <s v="N/A"/>
    <n v="0"/>
    <d v="2024-02-07T00:00:00"/>
    <d v="2024-02-09T00:00:00"/>
    <d v="2024-02-09T00:00:00"/>
    <d v="2024-12-20T00:00:00"/>
    <s v="No Aplica"/>
    <s v="No aplica"/>
    <x v="1"/>
    <s v="Persona Natural (Contratista)"/>
    <n v="191064000"/>
    <n v="0"/>
    <n v="191064000"/>
    <n v="0"/>
    <n v="191064000"/>
    <n v="0"/>
    <n v="197034750"/>
    <n v="5970750"/>
    <n v="0"/>
    <n v="17912250"/>
    <n v="0"/>
    <n v="191064000"/>
    <s v="20241044501000001E"/>
    <s v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/>
    <m/>
  </r>
  <r>
    <n v="18"/>
    <n v="80111614"/>
    <s v="A-02-02-02-008-003"/>
    <s v="Contratista Persona Natural"/>
    <s v="eKOGUI"/>
    <s v="Análista de Bodega de Datos"/>
    <s v="Si"/>
    <s v="OASTI"/>
    <n v="2024"/>
    <n v="112"/>
    <s v="Si"/>
    <s v="Adjudicado 2024"/>
    <s v="Oswaldo Useche Acevedo"/>
    <s v="Compartida OASTI- DGI (Giovanna)"/>
    <s v="Se envía a Giovana por Orfeo el 29 de enero de 2024"/>
    <x v="0"/>
    <s v="Angela María Franco Perez"/>
    <s v="Prestación de servicios profesionales como análista de bodega de datos del Sistema eKOGUI."/>
    <s v="CD-026-2024"/>
    <s v="026-2024"/>
    <s v="N/A"/>
    <n v="0"/>
    <d v="2024-01-24T00:00:00"/>
    <d v="2024-01-24T00:00:00"/>
    <d v="2024-01-25T00:00:00"/>
    <d v="2024-12-20T00:00:00"/>
    <s v="No Aplica"/>
    <s v="No aplica"/>
    <x v="0"/>
    <s v="Persona Natural (Contratista)"/>
    <n v="93500000"/>
    <n v="0"/>
    <n v="93500000"/>
    <n v="0"/>
    <n v="93500000"/>
    <n v="0"/>
    <n v="93500000"/>
    <n v="0"/>
    <n v="0"/>
    <n v="9350000"/>
    <n v="0"/>
    <n v="93500000"/>
    <s v="20241100801000005E"/>
    <s v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/>
    <m/>
  </r>
  <r>
    <n v="21"/>
    <m/>
    <m/>
    <s v="Contratista Persona Natural"/>
    <s v="eKOGUI"/>
    <s v="Requerimientos"/>
    <s v="Si"/>
    <s v="OASTI"/>
    <n v="2024"/>
    <n v="46"/>
    <s v="Si"/>
    <s v="Adjudicado 2024"/>
    <s v="Oswaldo Useche Acevedo"/>
    <s v="Compartida DGI-OASTI (Giovanna)"/>
    <s v="Se envía a Giovana por Orfeo el 12 de febrero de 2024"/>
    <x v="0"/>
    <s v="Edna Viviana Katherine Peña Rivera"/>
    <s v="Consultoría  Individual  como  Analista de Flujos de Procesos  y  Requisitos  funcionales para  el mejoramiento de funcionalidades y evolución del sistema eKOGUI."/>
    <s v="CO-L1251-P187498"/>
    <s v="BID 012 2024"/>
    <s v="N/A"/>
    <n v="0"/>
    <d v="2024-02-07T00:00:00"/>
    <d v="2024-02-09T00:00:00"/>
    <s v="No Aplica"/>
    <d v="2024-06-30T00:00:00"/>
    <s v="No Aplica"/>
    <s v="No aplica"/>
    <x v="1"/>
    <s v="Persona Natural (Contratista)"/>
    <n v="47500000"/>
    <n v="0"/>
    <n v="47500000"/>
    <n v="0"/>
    <n v="47500000"/>
    <n v="0"/>
    <n v="47500000"/>
    <n v="0"/>
    <n v="0"/>
    <n v="11875000"/>
    <n v="0"/>
    <n v="47500000"/>
    <s v="20241044501000017E"/>
    <s v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/>
    <m/>
  </r>
  <r>
    <n v="23"/>
    <m/>
    <m/>
    <s v="Servicios Tecnológicos"/>
    <s v="Suscripción Garantías"/>
    <s v="Renovación de garantía para equipos de infraestructura."/>
    <s v="Si"/>
    <s v="OASTI"/>
    <n v="2024"/>
    <n v="94"/>
    <s v="Si"/>
    <s v="Adjudicado 2024"/>
    <s v="Oswaldo Useche Acevedo"/>
    <s v="Daniel"/>
    <s v="Se envía a Daniel por Orfeo el 15 de febrero de 2024"/>
    <x v="0"/>
    <s v="Computel System S.A.S."/>
    <s v="Renovación de soporte y garantía de equipo de infraestructura "/>
    <s v="SASIE-001-2024"/>
    <s v="048-2024"/>
    <s v="N/A"/>
    <n v="0"/>
    <d v="2024-02-09T00:00:00"/>
    <d v="2024-02-09T00:00:00"/>
    <d v="2024-02-09T00:00:00"/>
    <d v="2024-03-08T00:00:00"/>
    <s v="- Dos Switches: 14/02/2024_x000a_-Cinco servidores _x000a_12/02/2024"/>
    <s v="- Dos Switches: 12/11/2026_x000a_-Cinco servidores: 11/02/2027 "/>
    <x v="0"/>
    <s v="Selección abreviada subasta inversa"/>
    <n v="194118482.31999999"/>
    <n v="0"/>
    <n v="194118482.31999999"/>
    <n v="0"/>
    <n v="194118482.31999999"/>
    <n v="0"/>
    <n v="250000000"/>
    <n v="55881517.680000007"/>
    <n v="0"/>
    <s v="N/A"/>
    <n v="0"/>
    <n v="194118482.31999999"/>
    <s v="20241100803000001E"/>
    <s v="https://www.secop.gov.co/CO1ContractsManagement/Tendering/ProcurementContractEdit/View?docUniqueIdentifier=CO1.PCCNTR.5900803&amp;awardUniqueIdentifier=CO1.AWD.1844823&amp;buyerDossierUniqueIdentifier=CO1.BDOS.5392298&amp;id=3304019"/>
    <m/>
  </r>
  <r>
    <n v="24"/>
    <m/>
    <m/>
    <s v="Contratista Persona Natural"/>
    <s v="eKOGUI"/>
    <s v="Arquitecto de Soluciones"/>
    <s v="Si"/>
    <s v="OASTI"/>
    <n v="2024"/>
    <n v="104"/>
    <s v="Si"/>
    <s v="Adjudicado 2024"/>
    <s v="Oscar Javier Suarez Ramos"/>
    <s v="Diana Giovanna Rivera Pineda "/>
    <m/>
    <x v="0"/>
    <s v="Diego Gabriel Forero"/>
    <s v="Consultoría para acompañar a la Oficina Asesora de tecnologías de la información en la arquitectura de Soluciones de Negocio e Información en el marco de la evolución y transformación de los Sistemas de información misionales de la ANDJE."/>
    <s v="CO-L1251-P187512"/>
    <s v="BID 016 2024"/>
    <s v="N/A"/>
    <n v="0"/>
    <d v="2024-02-13T00:00:00"/>
    <d v="2024-02-16T00:00:00"/>
    <s v="No Aplica"/>
    <d v="2024-12-20T00:00:00"/>
    <s v="No Aplica"/>
    <s v="No aplica"/>
    <x v="1"/>
    <s v="Persona Natural (Contratista)"/>
    <n v="165000000"/>
    <n v="0"/>
    <n v="165000000"/>
    <n v="0"/>
    <n v="165000000"/>
    <n v="0"/>
    <n v="165000000"/>
    <n v="0"/>
    <n v="0"/>
    <n v="15000000"/>
    <n v="0"/>
    <n v="165000000"/>
    <s v="20241044501000021E"/>
    <s v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/>
    <m/>
  </r>
  <r>
    <n v="19"/>
    <m/>
    <m/>
    <s v="Contratista Persona Natural"/>
    <s v="eKOGUI"/>
    <s v="Requerimientos"/>
    <s v="Si"/>
    <s v="OASTI"/>
    <n v="2024"/>
    <n v="38"/>
    <s v="Si"/>
    <s v="Adjudicado 2024"/>
    <s v="Oswaldo Useche Acevedo"/>
    <s v="Compartida DGI-OASTI (Giovanna)"/>
    <s v="Se envía a Giovana por Orfeo el 12 de febrero de 2024"/>
    <x v="0"/>
    <s v="Milena del Carmen Pulido Orellano"/>
    <s v="Consultoría  Individual  como  Analista de Flujos de Procesos  y  Requisitos  funcionales para  el mejoramiento de funcionalidades y evolución del sistema eKOGUI."/>
    <s v="CO-L1251-P187496"/>
    <s v="BID 010 2024"/>
    <s v="N/A"/>
    <n v="0"/>
    <d v="2024-02-07T00:00:00"/>
    <d v="2024-02-08T00:00:00"/>
    <s v="No Aplica"/>
    <d v="2024-06-30T00:00:00"/>
    <s v="No Aplica"/>
    <s v="No aplica"/>
    <x v="1"/>
    <s v="Persona Natural (Contratista)"/>
    <n v="47500000"/>
    <n v="-47500000"/>
    <n v="0"/>
    <n v="0"/>
    <n v="0"/>
    <n v="0"/>
    <n v="0"/>
    <n v="0"/>
    <n v="0"/>
    <n v="11875000"/>
    <n v="0"/>
    <n v="0"/>
    <s v="20241044501000015E"/>
    <s v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/>
    <s v="El contrato termino de forma anticipada y no se ejecuto presupuesto dentro del mismo, por eso se dejo el valor 0 ya que esto paso a la línea 154 de PAA que fue actualizada el 28 de febrero de 2024 con un presupuesto mayor para tener mayor tiempo de ejecución."/>
  </r>
  <r>
    <n v="22"/>
    <m/>
    <m/>
    <s v="Contratista Persona Natural"/>
    <s v="eKOGUI"/>
    <s v="Requerimientos"/>
    <s v="Si"/>
    <s v="OASTI"/>
    <n v="2024"/>
    <n v="52"/>
    <s v="Si"/>
    <s v="Adjudicado 2024"/>
    <s v="Oswaldo Useche Acevedo"/>
    <s v="Compartida DGI-OASTI (Giovanna)"/>
    <s v="Se envía a Giovana por Orfeo el 12 de febrero de 2024"/>
    <x v="0"/>
    <s v="Marxy Alejandra Botía González"/>
    <s v="Consultoría  Individual  como  Analista de Flujos de Procesos  y  Requisitos  funcionales para  el mejoramiento de funcionalidades y evolución del sistema eKOGUI."/>
    <s v="CO-L1251-P187499"/>
    <s v="BID 013 2024"/>
    <s v="N/A"/>
    <n v="0"/>
    <d v="2024-02-07T00:00:00"/>
    <d v="2024-02-09T00:00:00"/>
    <s v="No Aplica"/>
    <d v="2024-06-30T00:00:00"/>
    <s v="No Aplica"/>
    <s v="No aplica"/>
    <x v="1"/>
    <s v="Persona Natural (Contratista)"/>
    <n v="47500000"/>
    <n v="-47500000"/>
    <n v="0"/>
    <n v="0"/>
    <n v="0"/>
    <n v="0"/>
    <n v="0"/>
    <n v="0"/>
    <n v="0"/>
    <n v="11875000"/>
    <n v="0"/>
    <n v="0"/>
    <s v="20241044501000018E"/>
    <s v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/>
    <s v="El contrato termino de forma anticipada y no se ejecuto presupuesto dentro del mismo, por eso se dejo el valor 0 ya que esto paso a la línea 154 de PAA que fue actualizada el 28 de febrero de 2024 con un presupuesto mayor para tener mayor tiempo de ejecución."/>
  </r>
  <r>
    <n v="28"/>
    <n v="81112501"/>
    <s v="A-02-02-02-008-004"/>
    <s v="Servicios Tecnológicos"/>
    <s v="Certificados Digitales"/>
    <s v="Certificados digitales: persona jurídica, función pública y wildcard"/>
    <s v="Si"/>
    <s v="OASTI"/>
    <n v="2024"/>
    <n v="86"/>
    <s v="Si"/>
    <s v="Proceso pendiente 2024"/>
    <s v="Oswaldo Useche Acevedo"/>
    <s v="Jefferson"/>
    <m/>
    <x v="0"/>
    <s v="Certificados digitales"/>
    <s v="Renovación y compra de certificados digitales de la Agencia Nacional de Defensa Juridica."/>
    <m/>
    <m/>
    <m/>
    <n v="0"/>
    <m/>
    <m/>
    <m/>
    <m/>
    <m/>
    <m/>
    <x v="0"/>
    <s v="Mínima cuantía"/>
    <m/>
    <n v="0"/>
    <n v="0"/>
    <m/>
    <m/>
    <m/>
    <n v="18371251"/>
    <n v="18371251"/>
    <m/>
    <m/>
    <n v="0"/>
    <n v="0"/>
    <m/>
    <m/>
    <m/>
  </r>
  <r>
    <n v="25"/>
    <m/>
    <m/>
    <s v="Contratista Persona Natural"/>
    <s v="eKOGUI"/>
    <s v="Devops"/>
    <s v="Si"/>
    <s v="OASTI"/>
    <n v="2024"/>
    <n v="105"/>
    <s v="Si"/>
    <s v="Proceso pendiente 2024"/>
    <s v="Oswaldo Useche Acevedo"/>
    <s v="Compartida OASTI (Giovanna)"/>
    <m/>
    <x v="0"/>
    <s v="Devops"/>
    <s v="Consultoría para apoyar a la Oficina Asesora de Tecnologías de Ia Información en los despliegues en ambiente de produccion, tanto de funcionalidades como de herramientas y gestión de infraestructura  en el marco de la evolución y transformación del eKOGUI."/>
    <m/>
    <m/>
    <m/>
    <n v="0"/>
    <m/>
    <m/>
    <m/>
    <m/>
    <m/>
    <m/>
    <x v="1"/>
    <s v="Comparación de HV"/>
    <m/>
    <n v="0"/>
    <n v="0"/>
    <m/>
    <m/>
    <m/>
    <n v="92400000"/>
    <n v="92400000"/>
    <m/>
    <m/>
    <n v="0"/>
    <n v="0"/>
    <m/>
    <m/>
    <m/>
  </r>
  <r>
    <n v="26"/>
    <n v="80111614"/>
    <m/>
    <s v="Contratista Persona Natural"/>
    <s v="eKOGUI"/>
    <s v="Gobierno de Datos"/>
    <s v="Si"/>
    <s v="OASTI"/>
    <n v="2024"/>
    <n v="106"/>
    <s v="Si"/>
    <s v="Proceso pendiente 2024"/>
    <s v="Oswaldo Useche Acevedo"/>
    <s v="Liliana Barbosa - Augusto"/>
    <m/>
    <x v="0"/>
    <s v="Gob datos"/>
    <s v="Consultor individual que elabore la política, lineamientos e instrumentos propios para la adopción y apropiación de los casos de usos seleccionados en el Modelo de gobierno de datos y la adopción de la infraestructura de datos para la Agencia Nacional de Defensa Jurídica del Estado."/>
    <m/>
    <m/>
    <m/>
    <n v="0"/>
    <m/>
    <m/>
    <m/>
    <m/>
    <m/>
    <m/>
    <x v="1"/>
    <s v="Contratación régimen especial - Contratación directa"/>
    <m/>
    <n v="0"/>
    <n v="0"/>
    <m/>
    <m/>
    <m/>
    <n v="197034750"/>
    <n v="197034750"/>
    <m/>
    <m/>
    <n v="0"/>
    <n v="0"/>
    <m/>
    <m/>
    <m/>
  </r>
  <r>
    <n v="27"/>
    <s v="43233502;_x000a_81112501"/>
    <m/>
    <s v="Servicios Tecnológicos"/>
    <s v="Suscripción Software"/>
    <s v="Stream Yard Pro. Renovar la suscripcón y esto pertenece a Dirección de política y estratégias."/>
    <s v="No"/>
    <s v="DPE"/>
    <n v="2024"/>
    <n v="76"/>
    <s v="Si"/>
    <s v="Proceso pendiente 2024"/>
    <s v="Oswaldo Useche Acevedo"/>
    <s v="Sandra"/>
    <m/>
    <x v="0"/>
    <s v="Stream Yard Pro"/>
    <s v="Renovación del licenciamiento Stream Yard Pro para la Agencia Nacional de Defensa Jurídica del Estado."/>
    <m/>
    <m/>
    <m/>
    <n v="0"/>
    <m/>
    <m/>
    <m/>
    <m/>
    <m/>
    <m/>
    <x v="0"/>
    <s v="Mínima cuantía"/>
    <m/>
    <n v="0"/>
    <n v="0"/>
    <m/>
    <m/>
    <m/>
    <n v="2550000"/>
    <n v="2550000"/>
    <m/>
    <m/>
    <n v="0"/>
    <n v="0"/>
    <m/>
    <m/>
    <m/>
  </r>
  <r>
    <n v="43"/>
    <n v="80111614"/>
    <s v="C-1205-0800-3-20110E-1205008-0202"/>
    <s v="Contratista Persona Natural"/>
    <s v="eKOGUI"/>
    <s v="Servicios de requerimientos y calidad"/>
    <s v="Si"/>
    <s v="OASTI"/>
    <n v="2024"/>
    <n v="152"/>
    <s v="Si"/>
    <s v="Proceso pendiente 2025"/>
    <s v="Oswaldo Useche Acevedo"/>
    <s v="Diana Giovanna Rivera Pineda "/>
    <m/>
    <x v="0"/>
    <s v="Requerimientos y calidad"/>
    <s v="Consultor individual como analista de levantamiento de requisitos y/o aseguramiento de calidad de software sobre   controles de cambio y/o nuevas  funcionalidades para el sistema e-KOGUI."/>
    <m/>
    <m/>
    <m/>
    <n v="0"/>
    <m/>
    <m/>
    <m/>
    <m/>
    <m/>
    <m/>
    <x v="1"/>
    <s v="Contratación régimen especial - Contratación directa"/>
    <m/>
    <n v="0"/>
    <n v="0"/>
    <m/>
    <m/>
    <m/>
    <n v="51000000"/>
    <n v="51000000"/>
    <m/>
    <m/>
    <n v="0"/>
    <n v="0"/>
    <m/>
    <m/>
    <m/>
  </r>
  <r>
    <n v="44"/>
    <n v="80111614"/>
    <s v="C-1205-0800-3-20110E-1205008-0202"/>
    <s v="Contratista Persona Natural"/>
    <s v="eKOGUI"/>
    <s v="Servicios de requerimientos y calidad"/>
    <s v="Si"/>
    <s v="OASTI"/>
    <n v="2024"/>
    <n v="153"/>
    <s v="Si"/>
    <s v="Proceso pendiente 2026"/>
    <s v="Oswaldo Useche Acevedo"/>
    <s v="Diana Giovanna Rivera Pineda "/>
    <m/>
    <x v="0"/>
    <s v="Requerimientos y calidad"/>
    <s v="Consultor individual como analista de levantamiento de requisitos y/o aseguramiento de calidad de software   sobre   controles de cambio y/o nuevas funcionalidades para el sistema e-KOGUI."/>
    <m/>
    <m/>
    <m/>
    <n v="0"/>
    <m/>
    <m/>
    <m/>
    <m/>
    <m/>
    <m/>
    <x v="1"/>
    <s v="Contratación régimen especial - Contratación directa"/>
    <m/>
    <n v="0"/>
    <n v="0"/>
    <m/>
    <m/>
    <m/>
    <n v="51000000"/>
    <n v="51000000"/>
    <m/>
    <m/>
    <n v="0"/>
    <n v="0"/>
    <m/>
    <m/>
    <m/>
  </r>
  <r>
    <n v="45"/>
    <n v="80111614"/>
    <s v="C-1205-0800-3-20110E-1205008-0202"/>
    <s v="Contratista Persona Natural"/>
    <s v="eKOGUI"/>
    <s v="Servicios de calidad"/>
    <s v="Si"/>
    <s v="OASTI"/>
    <n v="2024"/>
    <n v="154"/>
    <s v="Si"/>
    <s v="Proceso pendiente 2027"/>
    <s v="Oswaldo Useche Acevedo"/>
    <s v="Diana Giovanna Rivera Pineda "/>
    <m/>
    <x v="0"/>
    <s v="Calidad"/>
    <s v="Consultoría individual como Analista de Flujos de Procesos y Requisitos funcionales para el mejoramiento de funcionalidades y evolución del sistema e-KOGUI."/>
    <m/>
    <m/>
    <m/>
    <n v="0"/>
    <m/>
    <m/>
    <m/>
    <m/>
    <m/>
    <m/>
    <x v="1"/>
    <s v="Contratación régimen especial - Comparación de hojas de vida (3CV)"/>
    <m/>
    <n v="0"/>
    <n v="0"/>
    <m/>
    <m/>
    <m/>
    <n v="76000000"/>
    <n v="76000000"/>
    <m/>
    <m/>
    <n v="0"/>
    <n v="0"/>
    <m/>
    <m/>
    <m/>
  </r>
  <r>
    <n v="46"/>
    <n v="80111614"/>
    <s v="C-1205-0800-3-20110E-1205008-0202"/>
    <s v="Contratista Persona Natural"/>
    <s v="eKOGUI"/>
    <s v="Servicios de calidad"/>
    <s v="Si"/>
    <s v="OASTI"/>
    <n v="2024"/>
    <n v="155"/>
    <s v="Si"/>
    <s v="Proceso pendiente 2028"/>
    <s v="Oswaldo Useche Acevedo"/>
    <s v="Diana Giovanna Rivera Pineda "/>
    <m/>
    <x v="0"/>
    <s v="Calidad"/>
    <s v="Consultoría individual como Analista de Flujos de Procesos y Requisitos funcionales para el mejoramiento de funcionalidades y evolución del sistema e-KOGUI."/>
    <m/>
    <m/>
    <m/>
    <n v="0"/>
    <m/>
    <m/>
    <m/>
    <m/>
    <m/>
    <m/>
    <x v="1"/>
    <s v="Contratación régimen especial - Comparación de hojas de vida (3CV)"/>
    <m/>
    <n v="0"/>
    <n v="0"/>
    <m/>
    <m/>
    <m/>
    <n v="76000000"/>
    <n v="76000000"/>
    <m/>
    <m/>
    <n v="0"/>
    <n v="0"/>
    <m/>
    <m/>
    <m/>
  </r>
  <r>
    <n v="29"/>
    <s v="81111820;43222641"/>
    <s v="A-02-02-01-004-007"/>
    <s v="Servicios Tecnológicos"/>
    <s v="Seguridad"/>
    <s v="IPV6 renovación por un año"/>
    <s v="Si"/>
    <s v="OASTI"/>
    <n v="2024"/>
    <n v="84"/>
    <s v="Si"/>
    <s v="Proceso pendiente 2024"/>
    <s v="Oswaldo Useche Acevedo"/>
    <s v="Daniel"/>
    <m/>
    <x v="0"/>
    <m/>
    <s v="Renovar la membresía del protocolo IPv6 implementada en la infraestructura tecnológica de la Agencia Nacional de Defensa Jurídica del Estado."/>
    <m/>
    <m/>
    <m/>
    <n v="0"/>
    <m/>
    <m/>
    <m/>
    <m/>
    <m/>
    <m/>
    <x v="0"/>
    <s v="Mínima cuantía"/>
    <m/>
    <n v="0"/>
    <n v="0"/>
    <m/>
    <m/>
    <m/>
    <n v="4500000"/>
    <n v="4500000"/>
    <m/>
    <m/>
    <n v="0"/>
    <n v="0"/>
    <m/>
    <m/>
    <m/>
  </r>
  <r>
    <n v="30"/>
    <m/>
    <m/>
    <s v="Servicios Tecnológicos"/>
    <s v="Suscripción Software"/>
    <s v="Scripcase"/>
    <s v="Si"/>
    <s v="OASTI"/>
    <n v="2024"/>
    <n v="85"/>
    <s v="Si"/>
    <s v="Proceso pendiente 2024"/>
    <s v="Oswaldo Useche Acevedo"/>
    <s v="Jefferson"/>
    <m/>
    <x v="0"/>
    <s v="Scriptcase"/>
    <s v="Renovación y soporte herramientas de  scripcase."/>
    <m/>
    <m/>
    <m/>
    <m/>
    <m/>
    <m/>
    <m/>
    <m/>
    <m/>
    <m/>
    <x v="0"/>
    <s v="Mínima cuantía"/>
    <m/>
    <n v="0"/>
    <n v="0"/>
    <m/>
    <m/>
    <m/>
    <n v="20000000"/>
    <n v="20000000"/>
    <m/>
    <m/>
    <n v="0"/>
    <n v="0"/>
    <m/>
    <m/>
    <m/>
  </r>
  <r>
    <n v="31"/>
    <m/>
    <m/>
    <s v="Servicios Tecnológicos"/>
    <s v="Suscripción Software"/>
    <s v="Antivirus y DLP"/>
    <s v="Si"/>
    <s v="OASTI"/>
    <n v="2024"/>
    <n v="87"/>
    <s v="Si"/>
    <s v="Proceso pendiente 2024"/>
    <s v="Oswaldo Useche Acevedo"/>
    <s v="Daniel"/>
    <m/>
    <x v="0"/>
    <m/>
    <s v="Renovación Antivirus y DLP."/>
    <m/>
    <m/>
    <m/>
    <n v="0"/>
    <m/>
    <m/>
    <m/>
    <m/>
    <m/>
    <m/>
    <x v="0"/>
    <s v="Selección abreviada subasta inversa"/>
    <m/>
    <n v="0"/>
    <n v="0"/>
    <m/>
    <m/>
    <m/>
    <n v="270000000"/>
    <n v="270000000"/>
    <m/>
    <m/>
    <n v="0"/>
    <n v="0"/>
    <m/>
    <m/>
    <m/>
  </r>
  <r>
    <n v="32"/>
    <n v="81112501"/>
    <s v="A-02-02-01-004-007"/>
    <s v="Servicios Tecnológicos"/>
    <s v="Suscripción Software"/>
    <s v="Adobe"/>
    <s v="Si"/>
    <s v="OASTI"/>
    <n v="2024"/>
    <n v="88"/>
    <s v="Si"/>
    <s v="Proceso pendiente 2024"/>
    <s v="Oswaldo Useche Acevedo"/>
    <s v="Sandra"/>
    <m/>
    <x v="0"/>
    <m/>
    <s v="Renovación de las licencias Adobe Creative Cloud y  Adobe Pro Cloud para la Agencia Nacional de Defensa Jurídica del Estado."/>
    <m/>
    <m/>
    <m/>
    <n v="0"/>
    <m/>
    <m/>
    <m/>
    <m/>
    <m/>
    <m/>
    <x v="0"/>
    <s v="Mínima cuantía"/>
    <m/>
    <n v="0"/>
    <n v="0"/>
    <m/>
    <m/>
    <m/>
    <n v="18000000"/>
    <n v="18000000"/>
    <m/>
    <m/>
    <n v="0"/>
    <n v="0"/>
    <m/>
    <m/>
    <m/>
  </r>
  <r>
    <n v="33"/>
    <m/>
    <m/>
    <s v="Servicios Tecnológicos"/>
    <s v="Conectividad"/>
    <s v="Iniciar el nuevo cntrato de conectividad a finales de noviembre."/>
    <s v="Si"/>
    <s v="OASTI"/>
    <n v="2024"/>
    <n v="89"/>
    <s v="Si"/>
    <s v="Proceso pendiente 2024"/>
    <s v="Oswaldo Useche Acevedo"/>
    <s v="Daniel"/>
    <m/>
    <x v="1"/>
    <m/>
    <s v="Prestación de servicios de conectividad para la Agencia Nacional de Defensa Jurídica del Estado."/>
    <m/>
    <m/>
    <m/>
    <n v="0"/>
    <m/>
    <m/>
    <m/>
    <m/>
    <m/>
    <m/>
    <x v="0"/>
    <s v="Selección abreviada - acuerdo marco"/>
    <m/>
    <n v="0"/>
    <n v="0"/>
    <m/>
    <m/>
    <m/>
    <n v="15000000"/>
    <n v="15000000"/>
    <m/>
    <m/>
    <n v="0"/>
    <n v="0"/>
    <m/>
    <m/>
    <m/>
  </r>
  <r>
    <n v="34"/>
    <m/>
    <m/>
    <s v="Servicio de atención"/>
    <s v="Mesa de Servicio"/>
    <s v="Continuar el servicio de mesa a inicios de diciembre"/>
    <s v="Si"/>
    <s v="OASTI"/>
    <n v="2024"/>
    <n v="93"/>
    <s v="Si"/>
    <s v="Proceso pendiente 2024"/>
    <s v="Oswaldo Useche Acevedo"/>
    <s v="Jefferson"/>
    <m/>
    <x v="0"/>
    <m/>
    <s v="Adquirir Servicios BPO y/o Mesa de ayuda de tecnología  que permita garantizar la operación de los sistemas misionales y de apoyo de la Agencia Nacional de Defensa Jurídica del estado."/>
    <m/>
    <m/>
    <m/>
    <n v="0"/>
    <m/>
    <m/>
    <m/>
    <m/>
    <m/>
    <m/>
    <x v="0"/>
    <s v="Selección abreviada - acuerdo marco"/>
    <m/>
    <n v="0"/>
    <n v="0"/>
    <m/>
    <m/>
    <m/>
    <n v="38023681"/>
    <n v="38023681"/>
    <m/>
    <m/>
    <n v="0"/>
    <n v="0"/>
    <m/>
    <m/>
    <m/>
  </r>
  <r>
    <n v="35"/>
    <m/>
    <m/>
    <s v="Servicios Tecnológicos"/>
    <s v="Adquisición de hardware, periféricos y comunicaciones"/>
    <s v="Videoconferencia"/>
    <s v="Si"/>
    <s v="OASTI"/>
    <n v="2024"/>
    <n v="96"/>
    <s v="Si"/>
    <s v="Proceso pendiente 2024"/>
    <s v="Oswaldo Useche Acevedo"/>
    <s v="Freddy"/>
    <m/>
    <x v="0"/>
    <s v="Videoconferencia"/>
    <s v="Adquisición, configuración, instalación, soporte y garantía de equipos de videoconferencia."/>
    <m/>
    <m/>
    <m/>
    <n v="0"/>
    <m/>
    <m/>
    <m/>
    <m/>
    <m/>
    <m/>
    <x v="0"/>
    <s v="Selección abreviada subasta inversa"/>
    <m/>
    <n v="0"/>
    <n v="0"/>
    <m/>
    <m/>
    <m/>
    <n v="60000000"/>
    <n v="60000000"/>
    <m/>
    <m/>
    <n v="0"/>
    <n v="0"/>
    <m/>
    <m/>
    <m/>
  </r>
  <r>
    <n v="36"/>
    <m/>
    <m/>
    <s v="Servicios Tecnológicos"/>
    <s v="Consultoría"/>
    <s v="Consultoría en Gobierno de Datos"/>
    <s v="Si"/>
    <s v="OASTI"/>
    <n v="2024"/>
    <n v="97"/>
    <s v="Si"/>
    <s v="Proceso pendiente 2024"/>
    <s v="Oswaldo Useche Acevedo"/>
    <s v="Liliana"/>
    <m/>
    <x v="0"/>
    <s v="Empresa Gobierno de Datos"/>
    <s v="Consultoría para la Implementación del modelo de gobierno de datos en la Agencia Nacional de Defensa Jurídica del Estado - Fase II."/>
    <m/>
    <m/>
    <m/>
    <n v="0"/>
    <m/>
    <m/>
    <m/>
    <m/>
    <m/>
    <m/>
    <x v="1"/>
    <s v="Contratación régimen especial - Selección basada en calidad y costo"/>
    <m/>
    <n v="0"/>
    <n v="0"/>
    <m/>
    <m/>
    <m/>
    <n v="350000000"/>
    <n v="350000000"/>
    <m/>
    <m/>
    <n v="0"/>
    <n v="0"/>
    <m/>
    <m/>
    <m/>
  </r>
  <r>
    <n v="37"/>
    <m/>
    <m/>
    <s v="Servicios Tecnológicos"/>
    <s v="Fábrica de software"/>
    <s v="Fabríca para Ekogui"/>
    <s v="Si"/>
    <s v="OASTI"/>
    <n v="2024"/>
    <n v="99"/>
    <s v="Si"/>
    <s v="Proceso pendiente 2024"/>
    <s v="Oswaldo Useche Acevedo"/>
    <s v="Compartida OASTI- DGI (Giovanna)"/>
    <m/>
    <x v="0"/>
    <s v="Fábrica"/>
    <s v="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."/>
    <m/>
    <m/>
    <m/>
    <n v="0"/>
    <m/>
    <m/>
    <m/>
    <m/>
    <m/>
    <m/>
    <x v="1"/>
    <s v="Contratación régimen especial - Selección basada en calidad y costo"/>
    <m/>
    <n v="0"/>
    <n v="0"/>
    <m/>
    <m/>
    <m/>
    <n v="2245889285"/>
    <n v="2245889285"/>
    <m/>
    <m/>
    <n v="0"/>
    <n v="0"/>
    <s v="20241044501000013E"/>
    <m/>
    <m/>
  </r>
  <r>
    <n v="38"/>
    <m/>
    <m/>
    <s v="Servicios Tecnológicos"/>
    <s v="Interventoría"/>
    <s v="Interventoría para Ekogui"/>
    <s v="Si"/>
    <s v="OASTI"/>
    <n v="2024"/>
    <n v="100"/>
    <s v="Si"/>
    <s v="Proceso pendiente 2024"/>
    <s v="Oswaldo Useche Acevedo"/>
    <s v="Compartida OASTI- DGI (Giovanna)"/>
    <m/>
    <x v="0"/>
    <s v="Interventoría"/>
    <s v="Prestar los servicios de interventoría técnica, jurídica, financiera, administrativa y pruebas de aceptación funcional, al contrato que tiene por objeto &quot;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&quot;."/>
    <m/>
    <m/>
    <m/>
    <n v="0"/>
    <m/>
    <m/>
    <m/>
    <m/>
    <m/>
    <m/>
    <x v="1"/>
    <s v="Contratación régimen especial - Selección basada en calidad y costo"/>
    <m/>
    <n v="0"/>
    <n v="0"/>
    <m/>
    <m/>
    <m/>
    <n v="696150000"/>
    <n v="696150000"/>
    <m/>
    <m/>
    <n v="0"/>
    <n v="0"/>
    <s v="20241044501000019E"/>
    <m/>
    <m/>
  </r>
  <r>
    <n v="39"/>
    <m/>
    <m/>
    <s v="Servicios Tecnológicos"/>
    <s v="Seguridad"/>
    <s v="Ciberseguridad"/>
    <s v="Si"/>
    <s v="OASTI"/>
    <n v="2024"/>
    <n v="101"/>
    <s v="Si"/>
    <s v="Proceso pendiente 2024"/>
    <s v="Oswaldo Useche Acevedo"/>
    <s v="Freddy"/>
    <m/>
    <x v="0"/>
    <s v="Ciberseguridad"/>
    <s v="Servicio ciberseguridad para monitoreo de seguridad, monitoreo de red, análisis de vulnerabilidades y plan de recuperación de desastres."/>
    <m/>
    <m/>
    <m/>
    <n v="0"/>
    <m/>
    <m/>
    <m/>
    <m/>
    <m/>
    <m/>
    <x v="1"/>
    <s v="Selección abreviada - acuerdo marco"/>
    <m/>
    <n v="0"/>
    <n v="0"/>
    <m/>
    <m/>
    <m/>
    <n v="700000000"/>
    <n v="700000000"/>
    <m/>
    <m/>
    <n v="0"/>
    <n v="0"/>
    <m/>
    <m/>
    <m/>
  </r>
  <r>
    <n v="40"/>
    <m/>
    <m/>
    <s v="Servicios Tecnológicos"/>
    <s v="Consultoría"/>
    <s v="CRM enfocado en evolutivo"/>
    <s v="Si"/>
    <s v="OASTI"/>
    <n v="2024"/>
    <n v="102"/>
    <s v="Si"/>
    <s v="Proceso pendiente 2024"/>
    <s v="Oswaldo Useche Acevedo"/>
    <s v="Diego"/>
    <m/>
    <x v="0"/>
    <s v="CRM"/>
    <s v="Mantenimiento de optimización de flujos de los procesos y/o flujos implementados con el producto Dynamics 365 en el marco del programa de fortalecimiento de la Agencia Nacional de Defensa Jurídica del Estado"/>
    <m/>
    <m/>
    <m/>
    <n v="0"/>
    <m/>
    <m/>
    <m/>
    <m/>
    <m/>
    <m/>
    <x v="1"/>
    <s v="Selección abreviada - acuerdo marco"/>
    <m/>
    <n v="0"/>
    <n v="0"/>
    <m/>
    <m/>
    <m/>
    <n v="100000000"/>
    <n v="100000000"/>
    <m/>
    <m/>
    <n v="0"/>
    <n v="0"/>
    <m/>
    <m/>
    <m/>
  </r>
  <r>
    <n v="41"/>
    <s v="81111800;81112000"/>
    <s v="A-02-02-01-004-007"/>
    <s v="Servicios Tecnológicos"/>
    <s v="Centro de datos"/>
    <s v="Nube pública de Ekogui"/>
    <s v="Si"/>
    <s v="OASTI"/>
    <n v="2024"/>
    <n v="103"/>
    <s v="Si"/>
    <s v="Proceso pendiente 2024"/>
    <s v="Oswaldo Useche Acevedo"/>
    <s v="Diego Gamba"/>
    <m/>
    <x v="0"/>
    <s v="Nube pública Ekogui"/>
    <s v="Adquirir capacidades de nube pública de Microsoft AZURE para mantener las necesidades computacionales y de aseguramiento de la seguridad del Sistema de Información Misional Ekogui."/>
    <m/>
    <m/>
    <m/>
    <n v="0"/>
    <m/>
    <m/>
    <m/>
    <m/>
    <m/>
    <m/>
    <x v="0"/>
    <s v="Selección abreviada - acuerdo marco"/>
    <m/>
    <n v="0"/>
    <n v="0"/>
    <m/>
    <m/>
    <m/>
    <n v="2200000000"/>
    <n v="2200000000"/>
    <m/>
    <m/>
    <n v="0"/>
    <n v="0"/>
    <m/>
    <m/>
    <m/>
  </r>
  <r>
    <n v="42"/>
    <m/>
    <m/>
    <s v="Servicios Tecnológicos"/>
    <s v="Consultoría"/>
    <s v="Extrajudiciales enfocado en evolutivo"/>
    <s v="Si"/>
    <s v="OASTI"/>
    <n v="2024"/>
    <n v="116"/>
    <s v="Si"/>
    <s v="Proceso pendiente 2024"/>
    <s v="Oswaldo Useche Acevedo"/>
    <s v="Compartida OASTI- DGI (Giovanna)"/>
    <m/>
    <x v="0"/>
    <s v="Horas de Fabrica para nuevas funcionalidades en el módulo de extrajudiciales"/>
    <s v="Prestar bajo la modalidad de fábrica de software el desarrollo de software e implementación de los controles de cambio del módulo de conciliaciones extrajudiciales que hace parte de eKOGUI"/>
    <m/>
    <m/>
    <m/>
    <n v="0"/>
    <m/>
    <m/>
    <m/>
    <m/>
    <m/>
    <m/>
    <x v="1"/>
    <s v="Contratación régimen especial - Selección Basada en las calificaciones de los consultores"/>
    <m/>
    <n v="0"/>
    <n v="0"/>
    <m/>
    <m/>
    <m/>
    <n v="180177900"/>
    <n v="180177900"/>
    <m/>
    <m/>
    <n v="0"/>
    <n v="0"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n v="1"/>
    <m/>
    <m/>
    <s v="Servicios Tecnológicos"/>
    <s v="Centro de datos"/>
    <s v="servicios de centro de datos, Nube Privada IV"/>
    <s v="Si"/>
    <s v="OASTI"/>
    <n v="2023"/>
    <n v="100"/>
    <s v="No"/>
    <s v="Adjudicado 2023"/>
    <s v="Oswaldo Useche Acevedo"/>
    <s v="Daniel Rojas Rubio"/>
    <s v="Se envía por orfeo a Daniel el 14 de diciembre de 2023"/>
    <s v="TVEC"/>
    <s v="Comunicación Celular S.A Comcel S.A"/>
    <s v="Orden de compra para la prestación de servicios de centro de datos para los sistemas misionales de la Agencia Nacional de Defensa Jurídica del Estado."/>
    <n v="162174"/>
    <s v="157-2023"/>
    <n v="121005"/>
    <n v="1"/>
    <d v="2023-11-28T00:00:00"/>
    <d v="2023-12-06T00:00:00"/>
    <d v="2023-12-14T00:00:00"/>
    <d v="2025-12-22T00:00:00"/>
    <s v="No Aplica"/>
    <s v="No aplica"/>
    <x v="0"/>
    <x v="0"/>
    <n v="120586666.84999999"/>
    <n v="0"/>
    <n v="120586666.84999999"/>
    <n v="6381044.4221000075"/>
    <n v="60293333.439999998"/>
    <n v="53912288.987899996"/>
    <n v="0"/>
    <n v="0"/>
    <n v="4222222"/>
    <n v="5024444.4099999992"/>
    <n v="7.0000000000000007E-2"/>
    <n v="56071111.439999998"/>
    <s v="2023110080700005E"/>
    <s v="https://www.colombiacompra.gov.co/tienda-virtual-del-estado-colombiano/ordenes-compra/121005_x000a_"/>
    <m/>
  </r>
  <r>
    <n v="2"/>
    <m/>
    <m/>
    <s v="Servicios Tecnológicos"/>
    <s v="Conectividad"/>
    <s v="Internet Agencia y canal entre sistemas de información"/>
    <s v="Si"/>
    <s v="OASTI"/>
    <n v="2023"/>
    <n v="98"/>
    <s v="No"/>
    <s v="Adjudicado 2023"/>
    <s v="Oswaldo Useche Acevedo"/>
    <s v="Daniel Rojas Rubio"/>
    <s v="Se envía por orfeo a Daniel el 29 de noviembre de 2023"/>
    <s v="TVEC"/>
    <s v="Comunicación Celular S.A Comcel S.A"/>
    <s v="Prestación de servicios de conectividad para la Agencia Nacional de Defensa_x000a_Jurídica del Estado."/>
    <n v="162171"/>
    <s v="150-2023"/>
    <n v="120075"/>
    <n v="1"/>
    <d v="2023-11-17T00:00:00"/>
    <d v="2023-11-27T00:00:00"/>
    <d v="2023-12-23T00:00:00"/>
    <d v="2024-11-07T00:00:00"/>
    <s v="No Aplica"/>
    <s v="No aplica"/>
    <x v="0"/>
    <x v="0"/>
    <n v="52210518.659999996"/>
    <n v="0"/>
    <n v="52210518.659999996"/>
    <n v="5750723.7799999937"/>
    <n v="46459794.880000003"/>
    <n v="0"/>
    <n v="0"/>
    <n v="0"/>
    <n v="4540045"/>
    <n v="4540045.0999999996"/>
    <n v="0.1"/>
    <n v="41919749.880000003"/>
    <s v="2023110080700004E"/>
    <s v="https://www.colombiacompra.gov.co/tienda-virtual-del-estado-colombiano/ordenes-compra/120075"/>
    <m/>
  </r>
  <r>
    <n v="3"/>
    <m/>
    <m/>
    <s v="Servicios Tecnológicos"/>
    <s v="Alquiler"/>
    <s v="Impresora"/>
    <s v="Si"/>
    <s v="OASTI"/>
    <n v="2023"/>
    <n v="226"/>
    <s v="No"/>
    <s v="Adjudicado 2023"/>
    <s v="Oswaldo Useche Acevedo"/>
    <s v="Jefferson Giraldo Muñoz"/>
    <s v="Se envía por orfeo a Jefferson el 6 de diciembre de 2023"/>
    <s v="TVEC"/>
    <s v="Gran Imagen S.A."/>
    <s v="Prestación de servicios de alquiler de impresoras para la Agencia Nacional de Defensa Jurídica del Estado"/>
    <n v="205529"/>
    <s v="162-2023"/>
    <n v="121233"/>
    <n v="1"/>
    <d v="2023-11-29T00:00:00"/>
    <d v="2023-12-05T00:00:00"/>
    <d v="2023-12-05T00:00:00"/>
    <d v="2025-04-30T00:00:00"/>
    <s v="No Aplica"/>
    <s v="No aplica"/>
    <x v="0"/>
    <x v="0"/>
    <n v="37300074"/>
    <n v="0"/>
    <n v="37300074"/>
    <n v="2194122"/>
    <n v="26329464"/>
    <n v="8776488"/>
    <n v="0"/>
    <n v="0"/>
    <n v="1314970.23"/>
    <n v="2194122"/>
    <n v="0.05"/>
    <n v="25014493.77"/>
    <s v="2023110080700006E "/>
    <s v="https://www.colombiacompra.gov.co/tienda-virtual-del-estado-colombiano/ordenes-compra/121233"/>
    <m/>
  </r>
  <r>
    <n v="4"/>
    <m/>
    <m/>
    <s v="Servicios de Atención"/>
    <s v="Mesa de Servicio"/>
    <s v="AMP Mesa de Servicio II. 3 profesionales y 3 técnicos"/>
    <s v="Si"/>
    <s v="OASTI"/>
    <n v="2023"/>
    <n v="95"/>
    <s v="No"/>
    <s v="Adjudicado 2023"/>
    <s v="Oswaldo Useche Acevedo"/>
    <s v="Jefferson Giraldo Muñoz"/>
    <s v="Se envía por orfeo a Jefferson el 19 de diciembre de 2023"/>
    <s v="TVEC"/>
    <s v="Unión Temporal Sinergy - Hi Ware"/>
    <s v="Orden de copra para adquirir servicios BPO y/o Mesa de ayuda de tecnologia que permita garantizar la operación de los sistemas misionales y de apoyo de la Agencia Nacional de Defensa Jurídica del Estado."/>
    <n v="163259"/>
    <s v="164-2023"/>
    <n v="121992"/>
    <n v="1"/>
    <d v="2023-12-07T00:00:00"/>
    <d v="2023-12-13T00:00:00"/>
    <d v="2023-12-13T00:00:00"/>
    <d v="2024-12-13T00:00:00"/>
    <s v="No Aplica"/>
    <s v="No aplica"/>
    <x v="0"/>
    <x v="0"/>
    <n v="547593718.28999996"/>
    <n v="52042085.560000002"/>
    <n v="599635803.8499999"/>
    <n v="15609124.010000002"/>
    <n v="584026679.84000003"/>
    <n v="0"/>
    <n v="0"/>
    <n v="0"/>
    <n v="40165517.859999999"/>
    <n v="51140690.039999999"/>
    <n v="7.0000000000000007E-2"/>
    <n v="543861161.98000002"/>
    <s v="2023110080700003E"/>
    <s v="https://www.colombiacompra.gov.co/tienda-virtual-del-estado-colombiano/ordenes-compra/?number_order=121992&amp;state=&amp;entity=&amp;tool=&amp;date_to&amp;date_from"/>
    <m/>
  </r>
  <r>
    <n v="5"/>
    <m/>
    <m/>
    <s v="Servicios Tecnológicos"/>
    <s v="Fábrica de software"/>
    <s v="Servicios de desarrollo de software para la funcionalidad de Extrajudiciales"/>
    <s v="No"/>
    <s v="OASTI-DGI"/>
    <n v="2023"/>
    <n v="120"/>
    <s v="No"/>
    <s v="Adjudicado 2023"/>
    <s v="Oswaldo Useche Acevedo"/>
    <s v="Diana Giovanna Rivera Pineda "/>
    <s v="Se envía por orfeo a Giovanna el 27 de agosto de 2023"/>
    <s v="SECOP II"/>
    <s v="LinkTIC S.A.S."/>
    <s v="Contratar la prestación de servicios de desarrollo de software e implementación del módulo de conciliaciones extrajudiciales que hace parte del eKOGUI."/>
    <s v="AEI desarrollo de software e implementación"/>
    <s v="BID-049-2023"/>
    <s v="N/A"/>
    <n v="0"/>
    <d v="2023-08-03T00:00:00"/>
    <d v="2023-08-10T00:00:00"/>
    <d v="2023-08-10T00:00:00"/>
    <d v="2024-03-29T00:00:00"/>
    <s v="No Aplica"/>
    <s v="No aplica"/>
    <x v="1"/>
    <x v="1"/>
    <n v="1038872287"/>
    <n v="0"/>
    <n v="1038872287"/>
    <n v="93891229"/>
    <n v="944981058"/>
    <n v="0"/>
    <n v="0"/>
    <n v="0"/>
    <n v="0"/>
    <s v="N/A"/>
    <n v="0"/>
    <n v="944981058"/>
    <s v="2023104450100002E"/>
    <s v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/>
    <m/>
  </r>
  <r>
    <n v="6"/>
    <m/>
    <m/>
    <s v="Aplicaciones"/>
    <s v="Gestión Documental"/>
    <s v="Licenciamiento de gestor documental orfeo"/>
    <s v="Si"/>
    <s v="OASTI"/>
    <n v="2023"/>
    <n v="246"/>
    <s v="No"/>
    <s v="Adjudicado 2023"/>
    <s v="Oswaldo Useche Acevedo - Carlos Andrés Higuera Velez"/>
    <s v="Jefferson Giraldo Muñoz"/>
    <s v="Se envía por orfeo a Jefferson el 7 de diciembre de 2023"/>
    <s v="SECOP II"/>
    <s v="Servisoft S.A. "/>
    <s v="Adquirir licenciamiento de un sistema de gestión documental electrónico de archivo – SGDEA- que incluya implementación, capacitación, soporte y mantenimiento en el marco del Programa de Fortalecimiento de la Agencia Nacional de Defensa Jurídica del Estado”"/>
    <s v="CO-L1251-P173216"/>
    <s v="BID-055-2023"/>
    <s v="N/A"/>
    <n v="0"/>
    <d v="2023-11-30T00:00:00"/>
    <d v="2023-11-30T00:00:00"/>
    <d v="2023-11-30T00:00:00"/>
    <d v="2024-06-30T00:00:00"/>
    <s v="No Aplica"/>
    <s v="No aplica"/>
    <x v="1"/>
    <x v="1"/>
    <n v="1272271483"/>
    <n v="0"/>
    <n v="1272271483"/>
    <n v="868916461"/>
    <n v="403355022"/>
    <n v="0"/>
    <n v="0"/>
    <n v="0"/>
    <n v="0"/>
    <s v="N/A"/>
    <n v="0"/>
    <n v="403355022"/>
    <s v="20231044501000064E"/>
    <s v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/>
    <m/>
  </r>
  <r>
    <n v="7"/>
    <m/>
    <m/>
    <s v="Servicios Tecnológicos"/>
    <s v="Alquiler"/>
    <s v="VideoProyectores"/>
    <s v="Si"/>
    <s v="OASTI"/>
    <n v="2023"/>
    <n v="245"/>
    <s v="No"/>
    <s v="Adjudicado 2023"/>
    <s v="Oswaldo Useche Acevedo"/>
    <s v="Jefferson Giraldo Muñoz"/>
    <s v="Se envía por orfeo a Jefferson el 28 de diciembre de 2023"/>
    <s v="TVEC"/>
    <s v="Colsof SAS"/>
    <s v="Prestación de servicios de alquiler de video proyectores para la Agencia Nacional de Defensa Jurídica del Estado. "/>
    <n v="206721"/>
    <s v="165-2023"/>
    <n v="122184"/>
    <n v="1"/>
    <d v="2023-12-11T00:00:00"/>
    <d v="2023-12-15T00:00:00"/>
    <d v="2023-12-15T00:00:00"/>
    <d v="2025-11-22T00:00:00"/>
    <s v="No Aplica"/>
    <s v="No aplica"/>
    <x v="0"/>
    <x v="0"/>
    <n v="120685506.48"/>
    <n v="0"/>
    <n v="120685506.48"/>
    <n v="2742852.42"/>
    <n v="65828458.079999998"/>
    <n v="52114195.980000004"/>
    <n v="0"/>
    <n v="0"/>
    <n v="5485704.8399999999"/>
    <n v="5485704.8399999999"/>
    <n v="0.08"/>
    <n v="60342753.239999995"/>
    <s v="2023110080700009E"/>
    <s v="https://www.colombiacompra.gov.co/tienda-virtual-del-estado-colombiano/ordenes-compra/122184"/>
    <m/>
  </r>
  <r>
    <n v="8"/>
    <n v="80111614"/>
    <s v="A-02-02-02-008-003"/>
    <s v="Contratista Persona Natural"/>
    <s v="Desarrollo"/>
    <s v="Desarrollador (Hardy) para temas de gestión documental"/>
    <s v="Si"/>
    <s v="OASTI"/>
    <n v="2024"/>
    <n v="83"/>
    <s v="Si"/>
    <s v="Adjudicado 2024"/>
    <s v="Oswaldo Useche Acevedo"/>
    <s v="Jefferson Giraldo Muñoz"/>
    <s v="Se envía a Liliana por Orfeo el 29 de enero de 2024._x000a_Se envía a Jfferson el 19 de febrero y se le quita la actividad a Liliana"/>
    <s v="SECOP II"/>
    <s v="Hardy Deimont Niño Velasquez"/>
    <s v="Prestación de servicios profesionales para acompañar a la Oficina Asesora de Tecnologías de la Información en  el desarrollo de las nuevas funcionalidades en los portales o cualquier otra aplicación que permita tener contacto con los grupos de interés de la Agencia Nacional de Defensa Jurídica del Estado."/>
    <s v="CD-024-2024"/>
    <s v="024-2024"/>
    <s v="N/A"/>
    <n v="1"/>
    <d v="2024-01-23T00:00:00"/>
    <d v="2024-01-24T00:00:00"/>
    <d v="2024-01-24T00:00:00"/>
    <d v="2024-12-20T00:00:00"/>
    <s v="No Aplica"/>
    <s v="No aplica"/>
    <x v="0"/>
    <x v="2"/>
    <n v="101790360"/>
    <n v="0"/>
    <n v="101790360"/>
    <n v="0"/>
    <n v="101790360"/>
    <n v="0"/>
    <n v="101790360.76000001"/>
    <n v="0.76000000536441803"/>
    <n v="2159189.4300000002"/>
    <n v="9253669"/>
    <n v="0.02"/>
    <n v="99631170.569999993"/>
    <s v="20241100801000001E"/>
    <s v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/>
    <m/>
  </r>
  <r>
    <n v="9"/>
    <n v="80111614"/>
    <s v="A-02-02-02-008-003"/>
    <s v="Contratista Persona Natural"/>
    <s v="eKOGUI"/>
    <s v="Pruebas Operación"/>
    <s v="Si"/>
    <s v="OASTI"/>
    <n v="2024"/>
    <n v="111"/>
    <s v="Si"/>
    <s v="Adjudicado 2024"/>
    <s v="Oswaldo Useche Acevedo"/>
    <s v="Diana Giovanna Rivera Pineda "/>
    <s v="Se envía a Giovana por Orfeo el 23 de enero de 2024"/>
    <s v="SECOP II"/>
    <s v="Solanyel Guerrero Fúneme"/>
    <s v="Prestación de servicios profesionales para revisión de flujos de procesos y pruebas para la operación del eKOGUI."/>
    <s v="CD-018-2024"/>
    <s v="18-2024"/>
    <s v="N/A"/>
    <n v="1"/>
    <d v="2024-01-19T00:00:00"/>
    <d v="2024-01-22T00:00:00"/>
    <d v="2024-01-23T00:00:00"/>
    <d v="2024-12-20T00:00:00"/>
    <s v="No Aplica"/>
    <s v="No aplica"/>
    <x v="0"/>
    <x v="2"/>
    <n v="104183350"/>
    <n v="0"/>
    <n v="104183350"/>
    <n v="0"/>
    <n v="104183350"/>
    <n v="0"/>
    <n v="104500000"/>
    <n v="316650"/>
    <n v="2533333"/>
    <n v="9500000"/>
    <n v="0.02"/>
    <n v="101650017"/>
    <s v="20241100801000004E"/>
    <s v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/>
    <m/>
  </r>
  <r>
    <n v="10"/>
    <n v="80111614"/>
    <s v="A-02-02-02-008-003"/>
    <s v="Contratista Persona Natural"/>
    <s v="eKOGUI"/>
    <s v="Pruebas Operación"/>
    <s v="Si"/>
    <s v="OASTI"/>
    <n v="2024"/>
    <n v="110"/>
    <s v="Si"/>
    <s v="Adjudicado 2024"/>
    <s v="Oswaldo Useche Acevedo"/>
    <s v="Diana Giovanna Rivera Pineda "/>
    <s v="Se envía a Giovana por Orfeo el 23 de enero de 2024"/>
    <s v="SECOP II"/>
    <s v="Liliana Maritza Urueña Rodriguez"/>
    <s v="Prestación de servicios profesionales para revisión de flujos de procesos y pruebas para la operación del eKOGUI."/>
    <s v="CD-020-2024"/>
    <s v="020-2024"/>
    <s v="N/A"/>
    <n v="1"/>
    <d v="2024-01-19T00:00:00"/>
    <d v="2024-01-22T00:00:00"/>
    <d v="2024-01-23T00:00:00"/>
    <d v="2024-12-20T00:00:00"/>
    <s v="No Aplica"/>
    <s v="No aplica"/>
    <x v="0"/>
    <x v="2"/>
    <n v="104183350"/>
    <n v="0"/>
    <n v="104183350"/>
    <n v="0"/>
    <n v="104183350"/>
    <n v="0"/>
    <n v="104500000"/>
    <n v="316650"/>
    <n v="2533333"/>
    <n v="9500000"/>
    <n v="0.02"/>
    <n v="101650017"/>
    <s v="20241100801000003E"/>
    <s v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/>
    <m/>
  </r>
  <r>
    <n v="11"/>
    <n v="80111614"/>
    <s v="A-02-02-02-008-003"/>
    <s v="Contratista Persona Natural"/>
    <s v="eKOGUI"/>
    <s v="Migración y Calidad de Datos"/>
    <s v="Si"/>
    <s v="OASTI"/>
    <n v="2024"/>
    <n v="113"/>
    <s v="Si"/>
    <s v="Adjudicado 2024"/>
    <s v="Oswaldo Useche Acevedo"/>
    <s v="Diana Giovanna Rivera Pineda "/>
    <s v="Se envía a Giovana por Orfeo el 23 de enero de 2024"/>
    <s v="SECOP II"/>
    <s v="Claudia Marcela Peña Hernandez"/>
    <s v="Prestación de servicios profesionales para la migración y calidad de datos de eKOGUI."/>
    <s v="CD-014-2024"/>
    <s v="014-2024"/>
    <s v="N/A"/>
    <n v="1"/>
    <d v="2024-01-17T00:00:00"/>
    <d v="2024-01-19T00:00:00"/>
    <d v="2024-01-22T00:00:00"/>
    <d v="2024-12-20T00:00:00"/>
    <s v="No Aplica"/>
    <s v="No aplica"/>
    <x v="0"/>
    <x v="2"/>
    <n v="187000000"/>
    <n v="0"/>
    <n v="187000000"/>
    <n v="0"/>
    <n v="187000000"/>
    <n v="0"/>
    <n v="187000000"/>
    <n v="0"/>
    <n v="5100000"/>
    <n v="17000000"/>
    <n v="0.03"/>
    <n v="181900000"/>
    <s v="20241100801000002E"/>
    <s v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/>
    <m/>
  </r>
  <r>
    <n v="12"/>
    <n v="80111614"/>
    <s v="A-02-02-02-008-003"/>
    <s v="Contratista Persona Natural"/>
    <s v="eKOGUI"/>
    <s v="Pruebas transformación "/>
    <s v="Si"/>
    <s v="OASTI"/>
    <n v="2024"/>
    <n v="114"/>
    <s v="Si"/>
    <s v="Adjudicado 2024"/>
    <s v="Oswaldo Useche Acevedo"/>
    <s v="Diana Giovanna Rivera Pineda "/>
    <s v="Se envía a Giovana por Orfeo el 29 de enero de 2024"/>
    <s v="SECOP II"/>
    <s v="Gigliola Esmeralda Montañez Murillo"/>
    <s v="Prestación de servicios profesionales para apoyar la articulación de los roles de pruebas funcionales para la evolución y transformación del eKOGUI."/>
    <s v="CD-022-2024"/>
    <s v="022-2024"/>
    <s v="N/A"/>
    <n v="1"/>
    <d v="2024-01-23T00:00:00"/>
    <d v="2024-01-24T00:00:00"/>
    <d v="2024-01-25T00:00:00"/>
    <d v="2024-12-20T00:00:00"/>
    <s v="No Aplica"/>
    <s v="No aplica"/>
    <x v="0"/>
    <x v="2"/>
    <n v="187000000"/>
    <n v="0"/>
    <n v="187000000"/>
    <n v="0"/>
    <n v="187000000"/>
    <n v="0"/>
    <n v="187000000"/>
    <n v="0"/>
    <n v="3400000"/>
    <n v="17000000"/>
    <n v="0.02"/>
    <n v="183600000"/>
    <s v="20241100801000006E"/>
    <s v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/>
    <m/>
  </r>
  <r>
    <n v="13"/>
    <m/>
    <m/>
    <s v="Contratista Persona Natural"/>
    <s v="eKOGUI"/>
    <s v="Desarrollador"/>
    <s v="Si"/>
    <s v="OASTI"/>
    <n v="2024"/>
    <n v="108"/>
    <s v="Si"/>
    <s v="Adjudicado 2024"/>
    <s v="Oswaldo Useche Acevedo"/>
    <s v="Diana Giovanna Rivera Pineda "/>
    <s v="Se envía a Giovana por Orfeo el 12 de febrero de 2024"/>
    <s v="SECOP II"/>
    <s v="Michael Andres Salgado Salazar"/>
    <s v="Consultoría  como  desarrollador de software senior en el marco de la operación y evolución del eKOGUI"/>
    <s v="CO-L1251-P187516_x0009_"/>
    <s v="BID 006 2024"/>
    <s v="N/A"/>
    <n v="0"/>
    <d v="2024-02-01T00:00:00"/>
    <d v="2024-02-02T00:00:00"/>
    <s v="No Aplica"/>
    <d v="2024-12-20T00:00:00"/>
    <s v="No Aplica"/>
    <s v="No aplica"/>
    <x v="1"/>
    <x v="2"/>
    <n v="148500000"/>
    <n v="0"/>
    <n v="148500000"/>
    <n v="0"/>
    <n v="148500000"/>
    <n v="0"/>
    <n v="148500000"/>
    <n v="0"/>
    <n v="0"/>
    <n v="13500000"/>
    <n v="0"/>
    <n v="148500000"/>
    <s v="20241044501000010E"/>
    <s v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/>
    <m/>
  </r>
  <r>
    <n v="14"/>
    <m/>
    <m/>
    <s v="Contratista Persona Natural"/>
    <s v="eKOGUI"/>
    <s v="Desarrollador  "/>
    <s v="Si"/>
    <s v="OASTI"/>
    <n v="2024"/>
    <n v="107"/>
    <s v="Si"/>
    <s v="Adjudicado 2024"/>
    <s v="Oswaldo Useche Acevedo"/>
    <s v="Diana Giovanna Rivera Pineda "/>
    <s v="Se envía a Giovana por Orfeo el 12 de febrero de 2024"/>
    <s v="SECOP II"/>
    <s v="Carlos Andres Gómez Durán"/>
    <s v="Consultoría para acompañar a la Oficina Asesora de Tecnologías de la información  como desarrollador de software senior en el marco de la operación y evolución del eKOGUI."/>
    <s v="CO-L1251- P187515"/>
    <s v="BID 007 2024"/>
    <s v="N/A"/>
    <n v="0"/>
    <d v="2024-02-01T00:00:00"/>
    <d v="2023-02-05T00:00:00"/>
    <s v="No Aplica"/>
    <d v="2024-12-20T00:00:00"/>
    <s v="No Aplica"/>
    <s v="No aplica"/>
    <x v="1"/>
    <x v="2"/>
    <n v="148500000"/>
    <n v="0"/>
    <n v="148500000"/>
    <n v="0"/>
    <n v="148500000"/>
    <n v="0"/>
    <n v="148500000"/>
    <n v="0"/>
    <n v="0"/>
    <n v="13500000"/>
    <n v="0"/>
    <n v="148500000"/>
    <s v="20241044501000011E"/>
    <s v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/>
    <m/>
  </r>
  <r>
    <n v="15"/>
    <m/>
    <m/>
    <s v="Contratista Persona Natural"/>
    <s v="eKOGUI"/>
    <s v="Requerimientos Líder"/>
    <s v="Si"/>
    <s v="OASTI"/>
    <n v="2024"/>
    <n v="115"/>
    <s v="Si"/>
    <s v="Adjudicado 2024"/>
    <s v="Oswaldo Useche Acevedo"/>
    <s v="Diana Giovanna Rivera Pineda "/>
    <s v="Se envía a Giovana por Orfeo el 12 de febrero de 2024"/>
    <s v="SECOP II"/>
    <s v="Julia Alejandra Leal López"/>
    <s v="Consultoría individual como lider del equipo de levantamiento de flujos de procesos y requisitos funcionales para el mejoramiento y evolución del Sistema eKOGUI."/>
    <s v="CO-L1251- P187518"/>
    <s v="BID 008 2024"/>
    <s v="N/A"/>
    <n v="0"/>
    <d v="2024-02-01T00:00:00"/>
    <d v="2023-02-05T00:00:00"/>
    <s v="No Aplica"/>
    <d v="2024-12-20T00:00:00"/>
    <s v="No Aplica"/>
    <s v="No aplica"/>
    <x v="1"/>
    <x v="2"/>
    <n v="132000000"/>
    <n v="0"/>
    <n v="132000000"/>
    <n v="0"/>
    <n v="132000000"/>
    <n v="0"/>
    <n v="132000000"/>
    <n v="0"/>
    <n v="0"/>
    <n v="12000000"/>
    <n v="0"/>
    <n v="132000000"/>
    <s v="20241044501000012E"/>
    <s v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/>
    <m/>
  </r>
  <r>
    <n v="16"/>
    <m/>
    <m/>
    <s v="Contratista Persona Natural"/>
    <s v="eKOGUI"/>
    <s v="Arquitecto de Software"/>
    <s v="Si"/>
    <s v="OASTI"/>
    <n v="2024"/>
    <n v="109"/>
    <s v="Si"/>
    <s v="Adjudicado 2024"/>
    <s v="Oswaldo Useche Acevedo"/>
    <s v="Diana Giovanna Rivera Pineda "/>
    <s v="Se envía a Giovana por Orfeo el 12 de febrero de 2024"/>
    <s v="SECOP II"/>
    <s v="Carlos Alberto López Narváez"/>
    <s v="Consultoría para acompañar a la Oficina Asesora de Tecnologías de la información  como Arquitecto de Software en el marco de la evolución y transformación del eKOGUI"/>
    <s v="CO-L1241-P187517"/>
    <s v="BID 009 2024"/>
    <s v="N/A"/>
    <n v="0"/>
    <d v="2024-02-01T00:00:00"/>
    <d v="2023-02-02T00:00:00"/>
    <s v="No Aplica"/>
    <d v="2024-12-20T00:00:00"/>
    <s v="No Aplica"/>
    <s v="No aplica"/>
    <x v="1"/>
    <x v="2"/>
    <n v="121000000"/>
    <n v="0"/>
    <n v="121000000"/>
    <n v="0"/>
    <n v="121000000"/>
    <n v="0"/>
    <n v="121000000"/>
    <n v="0"/>
    <n v="0"/>
    <n v="11000000"/>
    <n v="0"/>
    <n v="121000000"/>
    <s v="20241044501000014E"/>
    <s v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/>
    <m/>
  </r>
  <r>
    <n v="17"/>
    <m/>
    <m/>
    <s v="Contratista Persona Natural"/>
    <s v="Especialista TI"/>
    <s v="Especialista Operativo en Gestión de TI"/>
    <s v="No"/>
    <s v="Unidad Ejecutora BID"/>
    <n v="2024"/>
    <n v="141"/>
    <s v="Si"/>
    <s v="Adjudicado 2024"/>
    <s v="Oswaldo Useche Acevedo"/>
    <s v="Liliana Barbosa"/>
    <s v="Se envía a Giovana por Orfeo el 15 de febrero de 2024"/>
    <s v="SECOP II"/>
    <s v="Augusto Rafael Gutierrez Rivera"/>
    <s v="Consultoría individual como Especialista Operativo en Gestión de Información y Tecnologías de la Información para el Programa Fortalecimiento de la Agencia Nacional de Defensa Jurídica del Estado."/>
    <s v="CO-L1251-187520"/>
    <s v="BID 014 2024"/>
    <s v="N/A"/>
    <n v="0"/>
    <d v="2024-02-07T00:00:00"/>
    <d v="2024-02-09T00:00:00"/>
    <d v="2024-02-09T00:00:00"/>
    <d v="2024-12-20T00:00:00"/>
    <s v="No Aplica"/>
    <s v="No aplica"/>
    <x v="1"/>
    <x v="2"/>
    <n v="191064000"/>
    <n v="0"/>
    <n v="191064000"/>
    <n v="0"/>
    <n v="191064000"/>
    <n v="0"/>
    <n v="197034750"/>
    <n v="5970750"/>
    <n v="0"/>
    <n v="17912250"/>
    <n v="0"/>
    <n v="191064000"/>
    <s v="20241044501000001E"/>
    <s v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/>
    <m/>
  </r>
  <r>
    <n v="18"/>
    <n v="80111614"/>
    <s v="A-02-02-02-008-003"/>
    <s v="Contratista Persona Natural"/>
    <s v="eKOGUI"/>
    <s v="Análista de Bodega de Datos"/>
    <s v="Si"/>
    <s v="OASTI"/>
    <n v="2024"/>
    <n v="112"/>
    <s v="Si"/>
    <s v="Adjudicado 2024"/>
    <s v="Oswaldo Useche Acevedo"/>
    <s v="Compartida OASTI- DGI (Giovanna)"/>
    <s v="Se envía a Giovana por Orfeo el 29 de enero de 2024"/>
    <s v="SECOP II"/>
    <s v="Angela María Franco Perez"/>
    <s v="Prestación de servicios profesionales como análista de bodega de datos del Sistema eKOGUI."/>
    <s v="CD-026-2024"/>
    <s v="026-2024"/>
    <s v="N/A"/>
    <n v="0"/>
    <d v="2024-01-24T00:00:00"/>
    <d v="2024-01-24T00:00:00"/>
    <d v="2024-01-25T00:00:00"/>
    <d v="2024-12-20T00:00:00"/>
    <s v="No Aplica"/>
    <s v="No aplica"/>
    <x v="0"/>
    <x v="2"/>
    <n v="93500000"/>
    <n v="0"/>
    <n v="93500000"/>
    <n v="0"/>
    <n v="93500000"/>
    <n v="0"/>
    <n v="93500000"/>
    <n v="0"/>
    <n v="0"/>
    <n v="9350000"/>
    <n v="0"/>
    <n v="93500000"/>
    <s v="20241100801000005E"/>
    <s v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/>
    <m/>
  </r>
  <r>
    <n v="21"/>
    <m/>
    <m/>
    <s v="Contratista Persona Natural"/>
    <s v="eKOGUI"/>
    <s v="Requerimientos"/>
    <s v="Si"/>
    <s v="OASTI"/>
    <n v="2024"/>
    <n v="46"/>
    <s v="Si"/>
    <s v="Adjudicado 2024"/>
    <s v="Oswaldo Useche Acevedo"/>
    <s v="Compartida DGI-OASTI (Giovanna)"/>
    <s v="Se envía a Giovana por Orfeo el 12 de febrero de 2024"/>
    <s v="SECOP II"/>
    <s v="Edna Viviana Katherine Peña Rivera"/>
    <s v="Consultoría  Individual  como  Analista de Flujos de Procesos  y  Requisitos  funcionales para  el mejoramiento de funcionalidades y evolución del sistema eKOGUI."/>
    <s v="CO-L1251-P187498"/>
    <s v="BID 012 2024"/>
    <s v="N/A"/>
    <n v="0"/>
    <d v="2024-02-07T00:00:00"/>
    <d v="2024-02-09T00:00:00"/>
    <s v="No Aplica"/>
    <d v="2024-06-30T00:00:00"/>
    <s v="No Aplica"/>
    <s v="No aplica"/>
    <x v="1"/>
    <x v="2"/>
    <n v="47500000"/>
    <n v="0"/>
    <n v="47500000"/>
    <n v="0"/>
    <n v="47500000"/>
    <n v="0"/>
    <n v="47500000"/>
    <n v="0"/>
    <n v="0"/>
    <n v="11875000"/>
    <n v="0"/>
    <n v="47500000"/>
    <s v="20241044501000017E"/>
    <s v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/>
    <m/>
  </r>
  <r>
    <n v="23"/>
    <m/>
    <m/>
    <s v="Servicios Tecnológicos"/>
    <s v="Suscripción Garantías"/>
    <s v="Renovación de garantía para equipos de infraestructura."/>
    <s v="Si"/>
    <s v="OASTI"/>
    <n v="2024"/>
    <n v="94"/>
    <s v="Si"/>
    <s v="Adjudicado 2024"/>
    <s v="Oswaldo Useche Acevedo"/>
    <s v="Daniel"/>
    <s v="Se envía a Daniel por Orfeo el 15 de febrero de 2024"/>
    <s v="SECOP II"/>
    <s v="Computel System S.A.S."/>
    <s v="Renovación de soporte y garantía de equipo de infraestructura "/>
    <s v="SASIE-001-2024"/>
    <s v="048-2024"/>
    <s v="N/A"/>
    <n v="0"/>
    <d v="2024-02-09T00:00:00"/>
    <d v="2024-02-09T00:00:00"/>
    <d v="2024-02-09T00:00:00"/>
    <d v="2024-03-08T00:00:00"/>
    <s v="- Dos Switches: 14/02/2024_x000a_-Cinco servidores _x000a_12/02/2024"/>
    <s v="- Dos Switches: 12/11/2026_x000a_-Cinco servidores: 11/02/2027 "/>
    <x v="0"/>
    <x v="3"/>
    <n v="194118482.31999999"/>
    <n v="0"/>
    <n v="194118482.31999999"/>
    <n v="0"/>
    <n v="194118482.31999999"/>
    <n v="0"/>
    <n v="250000000"/>
    <n v="55881517.680000007"/>
    <n v="0"/>
    <s v="N/A"/>
    <n v="0"/>
    <n v="194118482.31999999"/>
    <s v="20241100803000001E"/>
    <s v="https://www.secop.gov.co/CO1ContractsManagement/Tendering/ProcurementContractEdit/View?docUniqueIdentifier=CO1.PCCNTR.5900803&amp;awardUniqueIdentifier=CO1.AWD.1844823&amp;buyerDossierUniqueIdentifier=CO1.BDOS.5392298&amp;id=3304019"/>
    <m/>
  </r>
  <r>
    <n v="24"/>
    <m/>
    <m/>
    <s v="Contratista Persona Natural"/>
    <s v="eKOGUI"/>
    <s v="Arquitecto de Soluciones"/>
    <s v="Si"/>
    <s v="OASTI"/>
    <n v="2024"/>
    <n v="104"/>
    <s v="Si"/>
    <s v="Adjudicado 2024"/>
    <s v="Oscar Javier Suarez Ramos"/>
    <s v="Diana Giovanna Rivera Pineda "/>
    <m/>
    <s v="SECOP II"/>
    <s v="Diego Gabriel Forero"/>
    <s v="Consultoría para acompañar a la Oficina Asesora de tecnologías de la información en la arquitectura de Soluciones de Negocio e Información en el marco de la evolución y transformación de los Sistemas de información misionales de la ANDJE."/>
    <s v="CO-L1251-P187512"/>
    <s v="BID 016 2024"/>
    <s v="N/A"/>
    <n v="0"/>
    <d v="2024-02-13T00:00:00"/>
    <d v="2024-02-16T00:00:00"/>
    <s v="No Aplica"/>
    <d v="2024-12-20T00:00:00"/>
    <s v="No Aplica"/>
    <s v="No aplica"/>
    <x v="1"/>
    <x v="2"/>
    <n v="165000000"/>
    <n v="0"/>
    <n v="165000000"/>
    <n v="0"/>
    <n v="165000000"/>
    <n v="0"/>
    <n v="165000000"/>
    <n v="0"/>
    <n v="0"/>
    <n v="15000000"/>
    <n v="0"/>
    <n v="165000000"/>
    <s v="20241044501000021E"/>
    <s v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/>
    <m/>
  </r>
  <r>
    <n v="19"/>
    <m/>
    <m/>
    <s v="Contratista Persona Natural"/>
    <s v="eKOGUI"/>
    <s v="Requerimientos"/>
    <s v="Si"/>
    <s v="OASTI"/>
    <n v="2024"/>
    <n v="38"/>
    <s v="Si"/>
    <s v="Adjudicado 2024"/>
    <s v="Oswaldo Useche Acevedo"/>
    <s v="Compartida DGI-OASTI (Giovanna)"/>
    <s v="Se envía a Giovana por Orfeo el 12 de febrero de 2024"/>
    <s v="SECOP II"/>
    <s v="Milena del Carmen Pulido Orellano"/>
    <s v="Consultoría  Individual  como  Analista de Flujos de Procesos  y  Requisitos  funcionales para  el mejoramiento de funcionalidades y evolución del sistema eKOGUI."/>
    <s v="CO-L1251-P187496"/>
    <s v="BID 010 2024"/>
    <s v="N/A"/>
    <n v="0"/>
    <d v="2024-02-07T00:00:00"/>
    <d v="2024-02-08T00:00:00"/>
    <s v="No Aplica"/>
    <d v="2024-06-30T00:00:00"/>
    <s v="No Aplica"/>
    <s v="No aplica"/>
    <x v="1"/>
    <x v="2"/>
    <n v="47500000"/>
    <n v="-47500000"/>
    <n v="0"/>
    <n v="0"/>
    <n v="0"/>
    <n v="0"/>
    <n v="0"/>
    <n v="0"/>
    <n v="0"/>
    <n v="11875000"/>
    <n v="0"/>
    <n v="0"/>
    <s v="20241044501000015E"/>
    <s v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/>
    <s v="El contrato termino de forma anticipada y no se ejecuto presupuesto dentro del mismo, por eso se dejo el valor 0 ya que esto paso a la línea 154 de PAA que fue actualizada el 28 de febrero de 2024 con un presupuesto mayor para tener mayor tiempo de ejecución."/>
  </r>
  <r>
    <n v="22"/>
    <m/>
    <m/>
    <s v="Contratista Persona Natural"/>
    <s v="eKOGUI"/>
    <s v="Requerimientos"/>
    <s v="Si"/>
    <s v="OASTI"/>
    <n v="2024"/>
    <n v="52"/>
    <s v="Si"/>
    <s v="Adjudicado 2024"/>
    <s v="Oswaldo Useche Acevedo"/>
    <s v="Compartida DGI-OASTI (Giovanna)"/>
    <s v="Se envía a Giovana por Orfeo el 12 de febrero de 2024"/>
    <s v="SECOP II"/>
    <s v="Marxy Alejandra Botía González"/>
    <s v="Consultoría  Individual  como  Analista de Flujos de Procesos  y  Requisitos  funcionales para  el mejoramiento de funcionalidades y evolución del sistema eKOGUI."/>
    <s v="CO-L1251-P187499"/>
    <s v="BID 013 2024"/>
    <s v="N/A"/>
    <n v="0"/>
    <d v="2024-02-07T00:00:00"/>
    <d v="2024-02-09T00:00:00"/>
    <s v="No Aplica"/>
    <d v="2024-06-30T00:00:00"/>
    <s v="No Aplica"/>
    <s v="No aplica"/>
    <x v="1"/>
    <x v="2"/>
    <n v="47500000"/>
    <n v="-47500000"/>
    <n v="0"/>
    <n v="0"/>
    <n v="0"/>
    <n v="0"/>
    <n v="0"/>
    <n v="0"/>
    <n v="0"/>
    <n v="11875000"/>
    <n v="0"/>
    <n v="0"/>
    <s v="20241044501000018E"/>
    <s v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/>
    <s v="El contrato termino de forma anticipada y no se ejecuto presupuesto dentro del mismo, por eso se dejo el valor 0 ya que esto paso a la línea 154 de PAA que fue actualizada el 28 de febrero de 2024 con un presupuesto mayor para tener mayor tiempo de ejecución.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n v="19"/>
    <m/>
    <m/>
    <s v="Contratista Persona Natural"/>
    <s v="Ekogui"/>
    <s v="Requerimientos"/>
    <s v="Si"/>
    <s v="OASTI"/>
    <n v="2024"/>
    <n v="46"/>
    <s v="Si"/>
    <x v="0"/>
    <s v="Oswaldo Useche Acevedo"/>
    <s v="Compartida DGI-OASTI (Giovanna)"/>
    <s v="Se envía a Giovana por Orfeo el 12 de febrero de 2024"/>
    <s v="SECOP II"/>
    <s v="Edna Viviana Katherine Peña Rivera"/>
    <s v="Consultoría  Individual  como  Analista de Flujos de Procesos  y  Requisitos  funcionales para  el mejoramiento de funcionalidades y evolución del sistema eKOGUI."/>
    <s v="CO-L1251-P187498"/>
    <s v="BID 012 2024"/>
    <s v="N/A"/>
    <n v="0"/>
    <d v="2024-02-07T00:00:00"/>
    <d v="2024-02-09T00:00:00"/>
    <s v="No Aplica"/>
    <d v="2024-06-30T00:00:00"/>
    <s v="No Aplica"/>
    <s v="No aplica"/>
    <s v="Inversión BID"/>
    <s v="Persona Natural (Contratista)"/>
    <n v="47500000"/>
    <n v="0"/>
    <n v="47500000"/>
    <n v="0"/>
    <n v="47500000"/>
    <n v="0"/>
    <n v="47500000"/>
    <n v="0"/>
    <m/>
    <n v="0"/>
    <n v="11875000"/>
    <n v="0"/>
    <n v="47500000"/>
    <s v="20241044501000017E"/>
    <s v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/>
    <m/>
  </r>
  <r>
    <n v="24"/>
    <m/>
    <m/>
    <s v="Contratista Persona Natural"/>
    <s v="Ekogui"/>
    <s v="Requerimientos"/>
    <s v="Si"/>
    <s v="OASTI"/>
    <n v="2024"/>
    <n v="41"/>
    <s v="Si"/>
    <x v="0"/>
    <s v="Oswaldo Useche Acevedo"/>
    <s v="Compartida DGI-OASTI (Giovanna)"/>
    <s v="Se envía a Giovana por Orfeo el 12 de febrero de 2024"/>
    <s v="SECOP II"/>
    <s v="Clara Ines Perez Caceres"/>
    <s v="Consultoría  Individual  como  Analista de Flujos de Procesos  y  Requisitos  funcionales para  el mejoramiento de funcionalidades y evolución del sistema eKOGUI."/>
    <s v="CO-L1251-P187497"/>
    <s v="BID 011 2024"/>
    <s v="N/A"/>
    <n v="0"/>
    <d v="2024-02-07T00:00:00"/>
    <d v="2024-02-09T00:00:00"/>
    <s v="No Aplica"/>
    <d v="2024-06-30T00:00:00"/>
    <s v="No Aplica"/>
    <s v="No aplica"/>
    <s v="Inversión BID"/>
    <s v="Persona Natural (Contratista)"/>
    <n v="47500000"/>
    <n v="3450000"/>
    <n v="50950000"/>
    <n v="0"/>
    <n v="47500000"/>
    <n v="0"/>
    <n v="47500000"/>
    <n v="0"/>
    <m/>
    <n v="0"/>
    <n v="11875000"/>
    <n v="0"/>
    <n v="47500000"/>
    <s v="20241044501000016E"/>
    <s v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/>
    <m/>
  </r>
  <r>
    <n v="18"/>
    <n v="80111614"/>
    <s v="A-02-02-02-008-003"/>
    <s v="Contratista Persona Natural"/>
    <s v="Ekogui"/>
    <s v="Análista de Bodega de Datos"/>
    <s v="Si"/>
    <s v="OASTI"/>
    <n v="2024"/>
    <n v="112"/>
    <s v="Si"/>
    <x v="0"/>
    <s v="Oswaldo Useche Acevedo"/>
    <s v="Compartida OASTI- DGI (Giovanna)"/>
    <s v="Se envía a Giovana por Orfeo el 29 de enero de 2024"/>
    <s v="SECOP II"/>
    <s v="Angela María Franco Perez"/>
    <s v="Prestación de servicios profesionales como análista de bodega de datos del Sistema eKOGUI."/>
    <s v="CD-026-2024"/>
    <s v="026-2024"/>
    <s v="N/A"/>
    <n v="0"/>
    <d v="2024-01-24T00:00:00"/>
    <d v="2024-01-24T00:00:00"/>
    <d v="2024-01-25T00:00:00"/>
    <d v="2024-12-20T00:00:00"/>
    <s v="No Aplica"/>
    <s v="No aplica"/>
    <s v="Funcionamiento"/>
    <s v="Persona Natural (Contratista)"/>
    <n v="93500000"/>
    <n v="0"/>
    <n v="93500000"/>
    <n v="0"/>
    <n v="93500000"/>
    <n v="0"/>
    <n v="93500000"/>
    <n v="0"/>
    <m/>
    <n v="0"/>
    <n v="9350000"/>
    <n v="0"/>
    <n v="93500000"/>
    <s v="20241100801000005E"/>
    <s v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/>
    <m/>
  </r>
  <r>
    <n v="20"/>
    <m/>
    <m/>
    <s v="Servicios Tecnológicos"/>
    <s v="Suscripción Garantías"/>
    <s v="Renovación de garantía para equipos de infraestructura."/>
    <s v="Si"/>
    <s v="OASTI"/>
    <n v="2024"/>
    <n v="94"/>
    <s v="Si"/>
    <x v="0"/>
    <s v="Oswaldo Useche Acevedo"/>
    <s v="Daniel"/>
    <s v="Se envía a Daniel por Orfeo el 15 de febrero de 2024"/>
    <s v="SECOP II"/>
    <s v="Computel System S.A.S."/>
    <s v="Renovación de soporte y garantía de equipo de infraestructura "/>
    <s v="SASIE-001-2024"/>
    <s v="048-2024"/>
    <s v="N/A"/>
    <n v="0"/>
    <d v="2024-02-09T00:00:00"/>
    <d v="2024-02-09T00:00:00"/>
    <d v="2024-02-09T00:00:00"/>
    <d v="2024-03-08T00:00:00"/>
    <s v="- Dos Switches: 14/02/2024_x000a_-Cinco servidores _x000a_12/02/2024"/>
    <s v="- Dos Switches: 12/11/2026_x000a_-Cinco servidores: 11/02/2027 "/>
    <s v="Funcionamiento"/>
    <s v="Selección abreviada subasta inversa"/>
    <n v="194118482.31999999"/>
    <n v="0"/>
    <n v="194118482.31999999"/>
    <n v="0"/>
    <n v="194118482.31999999"/>
    <n v="0"/>
    <n v="250000000"/>
    <n v="55881517.680000007"/>
    <m/>
    <n v="0"/>
    <s v="N/A"/>
    <n v="0"/>
    <n v="194118482.31999999"/>
    <s v="20241100803000001E"/>
    <s v="https://www.secop.gov.co/CO1ContractsManagement/Tendering/ProcurementContractEdit/View?docUniqueIdentifier=CO1.PCCNTR.5900803&amp;awardUniqueIdentifier=CO1.AWD.1844823&amp;buyerDossierUniqueIdentifier=CO1.BDOS.5392298&amp;id=3304019"/>
    <m/>
  </r>
  <r>
    <n v="1"/>
    <m/>
    <m/>
    <s v="Servicios Tecnológicos"/>
    <s v="Centro de datos"/>
    <s v="servicios de centro de datos, Nube Privada IV"/>
    <s v="Si"/>
    <s v="OASTI"/>
    <n v="2023"/>
    <n v="100"/>
    <s v="No"/>
    <x v="1"/>
    <s v="Oswaldo Useche Acevedo"/>
    <s v="Daniel Rojas Rubio"/>
    <s v="Se envía por orfeo a Daniel el 14 de diciembre de 2023"/>
    <s v="TVEC"/>
    <s v="Comunicación Celular S.A Comcel S.A"/>
    <s v="Orden de compra para la prestación de servicios de centro de datos para los sistemas misionales de la Agencia Nacional de Defensa Jurídica del Estado."/>
    <n v="162174"/>
    <s v="157-2023"/>
    <n v="121005"/>
    <n v="1"/>
    <d v="2023-11-28T00:00:00"/>
    <d v="2023-12-06T00:00:00"/>
    <d v="2023-12-14T00:00:00"/>
    <d v="2025-12-22T00:00:00"/>
    <s v="No Aplica"/>
    <s v="No aplica"/>
    <s v="Funcionamiento"/>
    <s v="Acuerdo Marco de Precios "/>
    <n v="120586666.84999999"/>
    <n v="0"/>
    <n v="120586666.84999999"/>
    <n v="6381044.4221000075"/>
    <n v="60293333.439999998"/>
    <n v="53912288.987899996"/>
    <n v="0"/>
    <n v="0"/>
    <m/>
    <n v="4222222"/>
    <n v="5024444.4099999992"/>
    <n v="7.0000000000000007E-2"/>
    <n v="56071111.439999998"/>
    <s v="2023110080700005E"/>
    <s v="https://www.colombiacompra.gov.co/tienda-virtual-del-estado-colombiano/ordenes-compra/121005_x000a_"/>
    <m/>
  </r>
  <r>
    <n v="2"/>
    <m/>
    <m/>
    <s v="Servicios Tecnológicos"/>
    <s v="Conectividad"/>
    <s v="Internet Agencia y canal entre sistemas de información"/>
    <s v="Si"/>
    <s v="OASTI"/>
    <n v="2023"/>
    <n v="98"/>
    <s v="No"/>
    <x v="1"/>
    <s v="Oswaldo Useche Acevedo"/>
    <s v="Daniel Rojas Rubio"/>
    <s v="Se envía por orfeo a Daniel el 29 de noviembre de 2023"/>
    <s v="TVEC"/>
    <s v="Comunicación Celular S.A Comcel S.A"/>
    <s v="Prestación de servicios de conectividad para la Agencia Nacional de Defensa_x000a_Jurídica del Estado."/>
    <n v="162171"/>
    <s v="150-2023"/>
    <n v="120075"/>
    <n v="1"/>
    <d v="2023-11-17T00:00:00"/>
    <d v="2023-11-27T00:00:00"/>
    <d v="2023-12-23T00:00:00"/>
    <d v="2024-11-07T00:00:00"/>
    <s v="No Aplica"/>
    <s v="No aplica"/>
    <s v="Funcionamiento"/>
    <s v="Acuerdo Marco de Precios "/>
    <n v="52210518.659999996"/>
    <n v="0"/>
    <n v="52210518.659999996"/>
    <n v="5750723.7799999937"/>
    <n v="46459794.880000003"/>
    <n v="0"/>
    <n v="0"/>
    <n v="0"/>
    <m/>
    <n v="4540045"/>
    <n v="4540045.0999999996"/>
    <n v="0.1"/>
    <n v="41919749.880000003"/>
    <s v="2023110080700004E"/>
    <s v="https://www.colombiacompra.gov.co/tienda-virtual-del-estado-colombiano/ordenes-compra/120075"/>
    <m/>
  </r>
  <r>
    <n v="5"/>
    <m/>
    <m/>
    <s v="Servicios Tecnológicos"/>
    <s v="Fábrica de software"/>
    <s v="Servicios de desarrollo de software para la funcionalidad de Extrajudiciales"/>
    <s v="No"/>
    <s v="OASTI-DGI"/>
    <n v="2023"/>
    <n v="120"/>
    <s v="No"/>
    <x v="1"/>
    <s v="Oswaldo Useche Acevedo"/>
    <s v="Diana Giovanna Rivera Pineda "/>
    <s v="Se envía por orfeo a Giovanna el 27 de agosto de 2023"/>
    <s v="SECOP II"/>
    <s v="LinkTIC S.A.S."/>
    <s v="Contratar la prestación de servicios de desarrollo de software e implementación del módulo de conciliaciones extrajudiciales que hace parte del eKOGUI."/>
    <s v="AEI desarrollo de software e implementación"/>
    <s v="BID-049-2023"/>
    <s v="N/A"/>
    <n v="0"/>
    <d v="2023-08-03T00:00:00"/>
    <d v="2023-08-10T00:00:00"/>
    <d v="2023-08-10T00:00:00"/>
    <d v="2024-09-30T00:00:00"/>
    <s v="No Aplica"/>
    <s v="No aplica"/>
    <s v="Inversión BID"/>
    <s v="Servicio de consultoría"/>
    <n v="1038872287"/>
    <n v="0"/>
    <n v="1038872287"/>
    <n v="93891229"/>
    <n v="944981058"/>
    <n v="0"/>
    <n v="0"/>
    <n v="0"/>
    <m/>
    <n v="0"/>
    <s v="N/A"/>
    <n v="0"/>
    <n v="944981058"/>
    <s v="2023104450100002E"/>
    <s v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/>
    <s v="-El 26 de marzo se realiza el Otrosí No. 4 para el contrato, donde, el plazo de ejecución va hasta el 30 de septiembre de 2024 sin adición de recursos."/>
  </r>
  <r>
    <n v="9"/>
    <n v="80111614"/>
    <s v="A-02-02-02-008-003"/>
    <s v="Contratista Persona Natural"/>
    <s v="Ekogui"/>
    <s v="Pruebas Operación"/>
    <s v="Si"/>
    <s v="OASTI"/>
    <n v="2024"/>
    <n v="111"/>
    <s v="Si"/>
    <x v="0"/>
    <s v="Oswaldo Useche Acevedo"/>
    <s v="Diana Giovanna Rivera Pineda "/>
    <s v="Se envía a Giovana por Orfeo el 23 de enero de 2024"/>
    <s v="SECOP II"/>
    <s v="Solanyel Guerrero Fúneme"/>
    <s v="Prestación de servicios profesionales para revisión de flujos de procesos y pruebas para la operación del eKOGUI."/>
    <s v="CD-018-2024"/>
    <s v="18-2024"/>
    <s v="N/A"/>
    <n v="1"/>
    <d v="2024-01-19T00:00:00"/>
    <d v="2024-01-22T00:00:00"/>
    <d v="2024-01-23T00:00:00"/>
    <d v="2024-12-20T00:00:00"/>
    <s v="No Aplica"/>
    <s v="No aplica"/>
    <s v="Funcionamiento"/>
    <s v="Persona Natural (Contratista)"/>
    <n v="104183350"/>
    <n v="0"/>
    <n v="104183350"/>
    <n v="0"/>
    <n v="104183350"/>
    <n v="0"/>
    <n v="104500000"/>
    <n v="316650"/>
    <m/>
    <n v="2533333"/>
    <n v="9500000"/>
    <n v="0.02"/>
    <n v="101650017"/>
    <s v="20241100801000004E"/>
    <s v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/>
    <m/>
  </r>
  <r>
    <n v="10"/>
    <n v="80111614"/>
    <s v="A-02-02-02-008-003"/>
    <s v="Contratista Persona Natural"/>
    <s v="Ekogui"/>
    <s v="Pruebas Operación"/>
    <s v="Si"/>
    <s v="OASTI"/>
    <n v="2024"/>
    <n v="110"/>
    <s v="Si"/>
    <x v="0"/>
    <s v="Oswaldo Useche Acevedo"/>
    <s v="Diana Giovanna Rivera Pineda "/>
    <s v="Se envía a Giovana por Orfeo el 23 de enero de 2024"/>
    <s v="SECOP II"/>
    <s v="Liliana Maritza Urueña Rodriguez"/>
    <s v="Prestación de servicios profesionales para revisión de flujos de procesos y pruebas para la operación del eKOGUI."/>
    <s v="CD-020-2024"/>
    <s v="020-2024"/>
    <s v="N/A"/>
    <n v="1"/>
    <d v="2024-01-19T00:00:00"/>
    <d v="2024-01-22T00:00:00"/>
    <d v="2024-01-23T00:00:00"/>
    <d v="2024-12-20T00:00:00"/>
    <s v="No Aplica"/>
    <s v="No aplica"/>
    <s v="Funcionamiento"/>
    <s v="Persona Natural (Contratista)"/>
    <n v="104183350"/>
    <n v="0"/>
    <n v="104183350"/>
    <n v="0"/>
    <n v="104183350"/>
    <n v="0"/>
    <n v="104500000"/>
    <n v="316650"/>
    <m/>
    <n v="2533333"/>
    <n v="9500000"/>
    <n v="0.02"/>
    <n v="101650017"/>
    <s v="20241100801000003E"/>
    <s v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/>
    <m/>
  </r>
  <r>
    <n v="11"/>
    <n v="80111614"/>
    <s v="A-02-02-02-008-003"/>
    <s v="Contratista Persona Natural"/>
    <s v="Ekogui"/>
    <s v="Migración y Calidad de Datos"/>
    <s v="Si"/>
    <s v="OASTI"/>
    <n v="2024"/>
    <n v="113"/>
    <s v="Si"/>
    <x v="0"/>
    <s v="Oswaldo Useche Acevedo"/>
    <s v="Diana Giovanna Rivera Pineda "/>
    <s v="Se envía a Giovana por Orfeo el 23 de enero de 2024"/>
    <s v="SECOP II"/>
    <s v="Claudia Marcela Peña Hernandez"/>
    <s v="Prestación de servicios profesionales para la migración y calidad de datos de eKOGUI."/>
    <s v="CD-014-2024"/>
    <s v="014-2024"/>
    <s v="N/A"/>
    <n v="1"/>
    <d v="2024-01-17T00:00:00"/>
    <d v="2024-01-19T00:00:00"/>
    <d v="2024-01-22T00:00:00"/>
    <d v="2024-12-20T00:00:00"/>
    <s v="No Aplica"/>
    <s v="No aplica"/>
    <s v="Funcionamiento"/>
    <s v="Persona Natural (Contratista)"/>
    <n v="187000000"/>
    <n v="0"/>
    <n v="187000000"/>
    <n v="0"/>
    <n v="187000000"/>
    <n v="0"/>
    <n v="187000000"/>
    <n v="0"/>
    <m/>
    <n v="5100000"/>
    <n v="17000000"/>
    <n v="0.03"/>
    <n v="181900000"/>
    <s v="20241100801000002E"/>
    <s v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/>
    <m/>
  </r>
  <r>
    <n v="12"/>
    <n v="80111614"/>
    <s v="A-02-02-02-008-003"/>
    <s v="Contratista Persona Natural"/>
    <s v="Ekogui"/>
    <s v="Pruebas transformación "/>
    <s v="Si"/>
    <s v="OASTI"/>
    <n v="2024"/>
    <n v="114"/>
    <s v="Si"/>
    <x v="0"/>
    <s v="Oswaldo Useche Acevedo"/>
    <s v="Diana Giovanna Rivera Pineda "/>
    <s v="Se envía a Giovana por Orfeo el 29 de enero de 2024"/>
    <s v="SECOP II"/>
    <s v="Gigliola Esmeralda Montañez Murillo"/>
    <s v="Prestación de servicios profesionales para apoyar la articulación de los roles de pruebas funcionales para la evolución y transformación del eKOGUI."/>
    <s v="CD-022-2024"/>
    <s v="022-2024"/>
    <s v="N/A"/>
    <n v="1"/>
    <d v="2024-01-23T00:00:00"/>
    <d v="2024-01-24T00:00:00"/>
    <d v="2024-01-25T00:00:00"/>
    <d v="2024-12-20T00:00:00"/>
    <s v="No Aplica"/>
    <s v="No aplica"/>
    <s v="Funcionamiento"/>
    <s v="Persona Natural (Contratista)"/>
    <n v="187000000"/>
    <n v="0"/>
    <n v="187000000"/>
    <n v="0"/>
    <n v="187000000"/>
    <n v="0"/>
    <n v="187000000"/>
    <n v="0"/>
    <m/>
    <n v="3400000"/>
    <n v="17000000"/>
    <n v="0.02"/>
    <n v="183600000"/>
    <s v="20241100801000006E"/>
    <s v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/>
    <m/>
  </r>
  <r>
    <n v="13"/>
    <m/>
    <m/>
    <s v="Contratista Persona Natural"/>
    <s v="Ekogui"/>
    <s v="Desarrollador"/>
    <s v="Si"/>
    <s v="OASTI"/>
    <n v="2024"/>
    <n v="108"/>
    <s v="Si"/>
    <x v="0"/>
    <s v="Oswaldo Useche Acevedo"/>
    <s v="Diana Giovanna Rivera Pineda "/>
    <s v="Se envía a Giovana por Orfeo el 12 de febrero de 2024"/>
    <s v="SECOP II"/>
    <s v="Michael Andres Salgado Salazar"/>
    <s v="Consultoría  como  desarrollador de software senior en el marco de la operación y evolución del eKOGUI"/>
    <s v="CO-L1251-P187516_x0009_"/>
    <s v="BID 006 2024"/>
    <s v="N/A"/>
    <n v="0"/>
    <d v="2024-02-01T00:00:00"/>
    <d v="2024-02-02T00:00:00"/>
    <s v="No Aplica"/>
    <d v="2024-12-20T00:00:00"/>
    <s v="No Aplica"/>
    <s v="No aplica"/>
    <s v="Inversión BID"/>
    <s v="Persona Natural (Contratista)"/>
    <n v="148500000"/>
    <n v="0"/>
    <n v="148500000"/>
    <n v="0"/>
    <n v="148500000"/>
    <n v="0"/>
    <n v="148500000"/>
    <n v="0"/>
    <m/>
    <n v="0"/>
    <n v="13500000"/>
    <n v="0"/>
    <n v="148500000"/>
    <s v="20241044501000010E"/>
    <s v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/>
    <m/>
  </r>
  <r>
    <n v="14"/>
    <m/>
    <m/>
    <s v="Contratista Persona Natural"/>
    <s v="Ekogui"/>
    <s v="Desarrollador  "/>
    <s v="Si"/>
    <s v="OASTI"/>
    <n v="2024"/>
    <n v="107"/>
    <s v="Si"/>
    <x v="0"/>
    <s v="Oswaldo Useche Acevedo"/>
    <s v="Diana Giovanna Rivera Pineda "/>
    <s v="Se envía a Giovana por Orfeo el 12 de febrero de 2024"/>
    <s v="SECOP II"/>
    <s v="Carlos Andres Gómez Durán"/>
    <s v="Consultoría para acompañar a la Oficina Asesora de Tecnologías de la información  como desarrollador de software senior en el marco de la operación y evolución del eKOGUI."/>
    <s v="CO-L1251- P187515"/>
    <s v="BID 007 2024"/>
    <s v="N/A"/>
    <n v="0"/>
    <d v="2024-02-01T00:00:00"/>
    <d v="2023-02-05T00:00:00"/>
    <s v="No Aplica"/>
    <d v="2024-12-20T00:00:00"/>
    <s v="No Aplica"/>
    <s v="No aplica"/>
    <s v="Inversión BID"/>
    <s v="Persona Natural (Contratista)"/>
    <n v="148500000"/>
    <n v="0"/>
    <n v="148500000"/>
    <n v="0"/>
    <n v="148500000"/>
    <n v="0"/>
    <n v="148500000"/>
    <n v="0"/>
    <m/>
    <n v="0"/>
    <n v="13500000"/>
    <n v="0"/>
    <n v="148500000"/>
    <s v="20241044501000011E"/>
    <s v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/>
    <m/>
  </r>
  <r>
    <n v="15"/>
    <m/>
    <m/>
    <s v="Contratista Persona Natural"/>
    <s v="Ekogui"/>
    <s v="Requerimientos Líder"/>
    <s v="Si"/>
    <s v="OASTI"/>
    <n v="2024"/>
    <n v="115"/>
    <s v="Si"/>
    <x v="0"/>
    <s v="Oswaldo Useche Acevedo"/>
    <s v="Diana Giovanna Rivera Pineda "/>
    <s v="Se envía a Giovana por Orfeo el 12 de febrero de 2024"/>
    <s v="SECOP II"/>
    <s v="Julia Alejandra Leal López"/>
    <s v="Consultoría individual como lider del equipo de levantamiento de flujos de procesos y requisitos funcionales para el mejoramiento y evolución del Sistema eKOGUI."/>
    <s v="CO-L1251- P187518"/>
    <s v="BID 008 2024"/>
    <s v="N/A"/>
    <n v="0"/>
    <d v="2024-02-01T00:00:00"/>
    <d v="2023-02-05T00:00:00"/>
    <s v="No Aplica"/>
    <d v="2024-12-20T00:00:00"/>
    <s v="No Aplica"/>
    <s v="No aplica"/>
    <s v="Inversión BID"/>
    <s v="Persona Natural (Contratista)"/>
    <n v="132000000"/>
    <n v="0"/>
    <n v="132000000"/>
    <n v="0"/>
    <n v="132000000"/>
    <n v="0"/>
    <n v="132000000"/>
    <n v="0"/>
    <m/>
    <n v="0"/>
    <n v="12000000"/>
    <n v="0"/>
    <n v="132000000"/>
    <s v="20241044501000012E"/>
    <s v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/>
    <m/>
  </r>
  <r>
    <n v="16"/>
    <m/>
    <m/>
    <s v="Contratista Persona Natural"/>
    <s v="Ekogui"/>
    <s v="Arquitecto de Software"/>
    <s v="Si"/>
    <s v="OASTI"/>
    <n v="2024"/>
    <n v="109"/>
    <s v="Si"/>
    <x v="0"/>
    <s v="Oswaldo Useche Acevedo"/>
    <s v="Diana Giovanna Rivera Pineda "/>
    <s v="Se envía a Giovana por Orfeo el 12 de febrero de 2024"/>
    <s v="SECOP II"/>
    <s v="Carlos Alberto López Narváez"/>
    <s v="Consultoría para acompañar a la Oficina Asesora de Tecnologías de la información  como Arquitecto de Software en el marco de la evolución y transformación del eKOGUI"/>
    <s v="CO-L1241-P187517"/>
    <s v="BID 009 2024"/>
    <s v="N/A"/>
    <n v="0"/>
    <d v="2024-02-01T00:00:00"/>
    <d v="2023-02-02T00:00:00"/>
    <s v="No Aplica"/>
    <d v="2024-12-20T00:00:00"/>
    <s v="No Aplica"/>
    <s v="No aplica"/>
    <s v="Inversión BID"/>
    <s v="Persona Natural (Contratista)"/>
    <n v="121000000"/>
    <n v="0"/>
    <n v="121000000"/>
    <n v="0"/>
    <n v="121000000"/>
    <n v="0"/>
    <n v="121000000"/>
    <n v="0"/>
    <m/>
    <n v="0"/>
    <n v="11000000"/>
    <n v="0"/>
    <n v="121000000"/>
    <s v="20241044501000014E"/>
    <s v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/>
    <m/>
  </r>
  <r>
    <n v="21"/>
    <m/>
    <m/>
    <s v="Contratista Persona Natural"/>
    <s v="Ekogui"/>
    <s v="Arquitecto de Soluciones"/>
    <s v="Si"/>
    <s v="OASTI"/>
    <n v="2024"/>
    <n v="104"/>
    <s v="Si"/>
    <x v="0"/>
    <s v="Oscar Javier Suarez Ramos"/>
    <s v="Diana Giovanna Rivera Pineda "/>
    <m/>
    <s v="SECOP II"/>
    <s v="Diego Gabriel Forero"/>
    <s v="Consultoría para acompañar a la Oficina Asesora de tecnologías de la información en la arquitectura de Soluciones de Negocio e Información en el marco de la evolución y transformación de los Sistemas de información misionales de la ANDJE."/>
    <s v="CO-L1251-P187512"/>
    <s v="BID 016 2024"/>
    <s v="N/A"/>
    <n v="0"/>
    <d v="2024-02-13T00:00:00"/>
    <d v="2024-02-16T00:00:00"/>
    <s v="No Aplica"/>
    <d v="2024-12-20T00:00:00"/>
    <s v="No Aplica"/>
    <s v="No aplica"/>
    <s v="Inversión BID"/>
    <s v="Persona Natural (Contratista)"/>
    <n v="165000000"/>
    <n v="0"/>
    <n v="165000000"/>
    <n v="0"/>
    <n v="165000000"/>
    <n v="0"/>
    <n v="165000000"/>
    <n v="0"/>
    <m/>
    <n v="0"/>
    <n v="15000000"/>
    <n v="0"/>
    <n v="165000000"/>
    <s v="20241044501000021E"/>
    <s v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/>
    <m/>
  </r>
  <r>
    <n v="3"/>
    <m/>
    <m/>
    <s v="Servicios Tecnológicos"/>
    <s v="Alquiler"/>
    <s v="Impresora"/>
    <s v="Si"/>
    <s v="OASTI"/>
    <n v="2023"/>
    <n v="226"/>
    <s v="No"/>
    <x v="1"/>
    <s v="Oswaldo Useche Acevedo"/>
    <s v="Jefferson Giraldo Muñoz"/>
    <s v="Se envía por orfeo a Jefferson el 6 de diciembre de 2023"/>
    <s v="TVEC"/>
    <s v="Gran Imagen S.A."/>
    <s v="Prestación de servicios de alquiler de impresoras para la Agencia Nacional de Defensa Jurídica del Estado"/>
    <n v="205529"/>
    <s v="162-2023"/>
    <n v="121233"/>
    <n v="1"/>
    <d v="2023-11-29T00:00:00"/>
    <d v="2023-12-05T00:00:00"/>
    <d v="2023-12-05T00:00:00"/>
    <d v="2025-04-30T00:00:00"/>
    <s v="No Aplica"/>
    <s v="No aplica"/>
    <s v="Funcionamiento"/>
    <s v="Acuerdo Marco de Precios "/>
    <n v="37300074"/>
    <n v="0"/>
    <n v="37300074"/>
    <n v="2194122"/>
    <n v="26329464"/>
    <n v="8776488"/>
    <n v="0"/>
    <n v="0"/>
    <m/>
    <n v="1314970.23"/>
    <n v="2194122"/>
    <n v="0.05"/>
    <n v="25014493.77"/>
    <s v="2023110080700006E "/>
    <s v="https://www.colombiacompra.gov.co/tienda-virtual-del-estado-colombiano/ordenes-compra/121233"/>
    <m/>
  </r>
  <r>
    <n v="4"/>
    <m/>
    <m/>
    <s v="Servicios de Atención"/>
    <s v="Mesa de Servicio"/>
    <s v="AMP Mesa de Servicio II. 3 profesionales y 3 técnicos"/>
    <s v="Si"/>
    <s v="OASTI"/>
    <n v="2023"/>
    <n v="95"/>
    <s v="No"/>
    <x v="1"/>
    <s v="Oswaldo Useche Acevedo"/>
    <s v="Jefferson Giraldo Muñoz"/>
    <s v="Se envía por orfeo a Jefferson el 19 de diciembre de 2023"/>
    <s v="TVEC"/>
    <s v="Unión Temporal Sinergy - Hi Ware"/>
    <s v="Orden de copra para adquirir servicios BPO y/o Mesa de ayuda de tecnologia que permita garantizar la operación de los sistemas misionales y de apoyo de la Agencia Nacional de Defensa Jurídica del Estado."/>
    <n v="163259"/>
    <s v="164-2023"/>
    <n v="121992"/>
    <n v="1"/>
    <d v="2023-12-07T00:00:00"/>
    <d v="2023-12-13T00:00:00"/>
    <d v="2023-12-13T00:00:00"/>
    <d v="2024-12-13T00:00:00"/>
    <s v="No Aplica"/>
    <s v="No aplica"/>
    <s v="Funcionamiento"/>
    <s v="Acuerdo Marco de Precios "/>
    <n v="547593718.28999996"/>
    <n v="52042085.560000002"/>
    <n v="599635803.8499999"/>
    <n v="15609124.010000002"/>
    <n v="584026679.84000003"/>
    <n v="0"/>
    <n v="0"/>
    <n v="0"/>
    <m/>
    <n v="40165517.859999999"/>
    <n v="51140690.039999999"/>
    <n v="7.0000000000000007E-2"/>
    <n v="543861161.98000002"/>
    <s v="2023110080700003E"/>
    <s v="https://www.colombiacompra.gov.co/tienda-virtual-del-estado-colombiano/ordenes-compra/?number_order=121992&amp;state=&amp;entity=&amp;tool=&amp;date_to&amp;date_from"/>
    <m/>
  </r>
  <r>
    <n v="6"/>
    <m/>
    <m/>
    <s v="Aplicaciones"/>
    <s v="Gestión Documental"/>
    <s v="Licenciamiento de gestor documental orfeo"/>
    <s v="Si"/>
    <s v="OASTI"/>
    <n v="2023"/>
    <n v="246"/>
    <s v="No"/>
    <x v="1"/>
    <s v="Oswaldo Useche Acevedo - Carlos Andrés Higuera Velez"/>
    <s v="Jefferson Giraldo Muñoz"/>
    <s v="Se envía por orfeo a Jefferson el 7 de diciembre de 2023"/>
    <s v="SECOP II"/>
    <s v="Servisoft S.A. "/>
    <s v="Adquirir licenciamiento de un sistema de gestión documental electrónico de archivo – SGDEA- que incluya implementación, capacitación, soporte y mantenimiento en el marco del Programa de Fortalecimiento de la Agencia Nacional de Defensa Jurídica del Estado”"/>
    <s v="CO-L1251-P173216"/>
    <s v="BID-055-2023"/>
    <s v="N/A"/>
    <n v="0"/>
    <d v="2023-11-30T00:00:00"/>
    <d v="2023-11-30T00:00:00"/>
    <d v="2023-11-30T00:00:00"/>
    <d v="2024-06-30T00:00:00"/>
    <s v="No Aplica"/>
    <s v="No aplica"/>
    <s v="Inversión BID"/>
    <s v="Servicio de consultoría"/>
    <n v="1272271483"/>
    <n v="0"/>
    <n v="1272271483"/>
    <n v="868916461"/>
    <n v="403355022"/>
    <n v="0"/>
    <n v="0"/>
    <n v="0"/>
    <m/>
    <n v="0"/>
    <s v="N/A"/>
    <n v="0"/>
    <n v="403355022"/>
    <s v="20231044501000064E"/>
    <s v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/>
    <m/>
  </r>
  <r>
    <n v="7"/>
    <m/>
    <m/>
    <s v="Servicios Tecnológicos"/>
    <s v="Alquiler"/>
    <s v="VideoProyectores"/>
    <s v="Si"/>
    <s v="OASTI"/>
    <n v="2023"/>
    <n v="245"/>
    <s v="No"/>
    <x v="1"/>
    <s v="Oswaldo Useche Acevedo"/>
    <s v="Jefferson Giraldo Muñoz"/>
    <s v="Se envía por orfeo a Jefferson el 28 de diciembre de 2023"/>
    <s v="TVEC"/>
    <s v="Colsof SAS"/>
    <s v="Prestación de servicios de alquiler de video proyectores para la Agencia Nacional de Defensa Jurídica del Estado. "/>
    <n v="206721"/>
    <s v="165-2023"/>
    <n v="122184"/>
    <n v="1"/>
    <d v="2023-12-11T00:00:00"/>
    <d v="2023-12-15T00:00:00"/>
    <d v="2023-12-15T00:00:00"/>
    <d v="2025-11-22T00:00:00"/>
    <s v="No Aplica"/>
    <s v="No aplica"/>
    <s v="Funcionamiento"/>
    <s v="Acuerdo Marco de Precios "/>
    <n v="120685506.48"/>
    <n v="0"/>
    <n v="120685506.48"/>
    <n v="2742852.42"/>
    <n v="65828458.079999998"/>
    <n v="52114195.980000004"/>
    <n v="0"/>
    <n v="0"/>
    <m/>
    <n v="5485704.8399999999"/>
    <n v="5485704.8399999999"/>
    <n v="0.08"/>
    <n v="60342753.239999995"/>
    <s v="2023110080700009E"/>
    <s v="https://www.colombiacompra.gov.co/tienda-virtual-del-estado-colombiano/ordenes-compra/122184_x000a_"/>
    <m/>
  </r>
  <r>
    <n v="8"/>
    <n v="80111614"/>
    <s v="A-02-02-02-008-003"/>
    <s v="Contratista Persona Natural"/>
    <s v="Desarrollo"/>
    <s v="Desarrollador (Hardy) para temas de gestión documental"/>
    <s v="Si"/>
    <s v="OASTI"/>
    <n v="2024"/>
    <n v="83"/>
    <s v="Si"/>
    <x v="0"/>
    <s v="Oswaldo Useche Acevedo"/>
    <s v="Jefferson Giraldo Muñoz"/>
    <s v="Se envía a Liliana por Orfeo el 29 de enero de 2024._x000a_Se envía a Jfferson el 19 de febrero y se le quita la actividad a Liliana"/>
    <s v="SECOP II"/>
    <s v="Hardy Deimont Niño Velasquez"/>
    <s v="Prestación de servicios profesionales para acompañar a la Oficina Asesora de Tecnologías de la Información en  el desarrollo de las nuevas funcionalidades en los portales o cualquier otra aplicación que permita tener contacto con los grupos de interés de la Agencia Nacional de Defensa Jurídica del Estado."/>
    <s v="CD-024-2024"/>
    <s v="024-2024"/>
    <s v="N/A"/>
    <n v="1"/>
    <d v="2024-01-23T00:00:00"/>
    <d v="2024-01-24T00:00:00"/>
    <d v="2024-01-24T00:00:00"/>
    <d v="2024-12-20T00:00:00"/>
    <s v="No Aplica"/>
    <s v="No aplica"/>
    <s v="Funcionamiento"/>
    <s v="Persona Natural (Contratista)"/>
    <n v="101790360"/>
    <n v="0"/>
    <n v="101790360"/>
    <n v="0"/>
    <n v="101790360"/>
    <n v="0"/>
    <n v="101790360.76000001"/>
    <n v="0.76000000536441803"/>
    <m/>
    <n v="2159189.4300000002"/>
    <n v="9253669"/>
    <n v="0.02"/>
    <n v="99631170.569999993"/>
    <s v="20241100801000001E"/>
    <s v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/>
    <m/>
  </r>
  <r>
    <n v="17"/>
    <m/>
    <m/>
    <s v="Contratista Persona Natural"/>
    <s v="Especialista TI"/>
    <s v="Especialista Operativo en Gestión de TI"/>
    <s v="No"/>
    <s v="Unidad Ejecutora BID"/>
    <n v="2024"/>
    <n v="141"/>
    <s v="Si"/>
    <x v="0"/>
    <s v="Oswaldo Useche Acevedo"/>
    <s v="Liliana Barbosa"/>
    <s v="Se envía a Giovana por Orfeo el 15 de febrero de 2024"/>
    <s v="SECOP II"/>
    <s v="Augusto Rafael Gutierrez Rivera"/>
    <s v="Consultoría individual como Especialista Operativo en Gestión de Información y Tecnologías de la Información para el Programa Fortalecimiento de la Agencia Nacional de Defensa Jurídica del Estado."/>
    <s v="CO-L1251-187520"/>
    <s v="BID 014 2024"/>
    <s v="N/A"/>
    <n v="0"/>
    <d v="2024-02-07T00:00:00"/>
    <d v="2024-02-09T00:00:00"/>
    <d v="2024-02-09T00:00:00"/>
    <d v="2024-12-20T00:00:00"/>
    <s v="No Aplica"/>
    <s v="No aplica"/>
    <s v="Inversión BID"/>
    <s v="Persona Natural (Contratista)"/>
    <n v="191064000"/>
    <n v="0"/>
    <n v="191064000"/>
    <n v="0"/>
    <n v="191064000"/>
    <n v="0"/>
    <n v="197034750"/>
    <n v="5970750"/>
    <m/>
    <n v="0"/>
    <n v="17912250"/>
    <n v="0"/>
    <n v="191064000"/>
    <s v="20241044501000001E"/>
    <s v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/>
    <m/>
  </r>
  <r>
    <n v="1"/>
    <n v="81112501"/>
    <s v="A-02-02-02-008-004"/>
    <s v="Servicios Tecnológicos"/>
    <s v="Certificados Digitales"/>
    <s v="Certificados digitales: persona jurídica, función pública y wildcard"/>
    <s v="Si"/>
    <s v="OASTI"/>
    <n v="2024"/>
    <n v="86"/>
    <s v="Si"/>
    <x v="0"/>
    <s v="Jefferson Giraldo Muñoz y Carlos de Financiera"/>
    <s v="No aplica"/>
    <m/>
    <s v="SECOP II"/>
    <s v="CAMERFIRMA COLOMBIA S.A.S."/>
    <s v="Renovación y compra de certificados digitales de la Agencia Nacional de Defensa Juridica."/>
    <s v="MC-002-2024"/>
    <s v="063-2024"/>
    <s v="N/A"/>
    <n v="4"/>
    <d v="2024-03-02T00:00:00"/>
    <d v="2024-03-06T00:00:00"/>
    <d v="2024-03-11T00:00:00"/>
    <d v="2024-12-15T00:00:00"/>
    <s v="26/032024"/>
    <d v="2026-11-30T00:00:00"/>
    <s v="Funcionamiento"/>
    <s v="Mínima cuantía"/>
    <n v="2427600"/>
    <n v="0"/>
    <n v="2427600"/>
    <n v="0"/>
    <n v="2427600"/>
    <n v="0"/>
    <n v="18371251"/>
    <n v="15943651"/>
    <s v="El 12 de marzo se remite correo  a Jennifer para liberación de saldos."/>
    <n v="0"/>
    <s v="N/A"/>
    <n v="0"/>
    <n v="2427600"/>
    <m/>
    <s v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/>
    <s v="-La wildcard esta por un periodo de dos años_x000a_-La firma jurídica esta por un periodo de dos años_x000a_-Los tokens están por un año y tienen diferentes fechas de vencimiento."/>
  </r>
  <r>
    <n v="4"/>
    <s v="43233502;_x000a_81112501"/>
    <m/>
    <s v="Servicios Tecnológicos"/>
    <s v="Suscripción Software"/>
    <s v="Stream Yard Pro. Renovar la suscripcón y esto pertenece a Dirección de política y estratégias."/>
    <s v="No"/>
    <s v="DPE"/>
    <n v="2024"/>
    <n v="76"/>
    <s v="Si"/>
    <x v="0"/>
    <s v="Diego Alexander Gamba"/>
    <s v="No aplica"/>
    <d v="2024-03-19T00:00:00"/>
    <s v="SECOP II"/>
    <s v="Core IP S.A.S."/>
    <s v="Renovación del licenciamiento Stream Yard Pro para la Agencia Nacional de Defensa Jurídica del Estado."/>
    <s v="MC-003-2024"/>
    <s v="065-2024"/>
    <s v="N/A"/>
    <n v="1"/>
    <d v="2024-03-18T00:00:00"/>
    <d v="2024-03-19T00:00:00"/>
    <d v="2024-03-20T00:00:00"/>
    <d v="2024-04-03T00:00:00"/>
    <d v="2024-03-22T00:00:00"/>
    <d v="2025-03-22T00:00:00"/>
    <s v="Funcionamiento"/>
    <s v="Mínima cuantía"/>
    <n v="2125000"/>
    <n v="0"/>
    <n v="2125000"/>
    <n v="0"/>
    <n v="2125000"/>
    <n v="0"/>
    <n v="2550000"/>
    <n v="425000"/>
    <s v="El 3 de abril del 2024 se solicita la liberación de los recursos del CDP."/>
    <n v="0"/>
    <s v="N/A"/>
    <n v="0"/>
    <n v="2125000"/>
    <s v="20241100806000002E"/>
    <s v="https://www.secop.gov.co/CO1ContractsManagement/Tendering/ProcurementContractEdit/View?docUniqueIdentifier=CO1.PCCNTR.6111870&amp;awardUniqueIdentifier=CO1.AWD.1876133&amp;buyerDossierUniqueIdentifier=CO1.BDOS.5796313&amp;id=3462825"/>
    <m/>
  </r>
  <r>
    <n v="2"/>
    <n v="80111614"/>
    <s v="C-1205-0800-3-20110E-1205008-0202"/>
    <s v="Contratista Persona Natural"/>
    <s v="Ekogui"/>
    <s v="Devops"/>
    <s v="Si"/>
    <s v="OASTI"/>
    <n v="2024"/>
    <n v="105"/>
    <s v="Si"/>
    <x v="0"/>
    <s v="Diana Giovanna Rivera Pineda"/>
    <s v="No aplica"/>
    <m/>
    <s v="SECOP II"/>
    <s v="Cristhian Alejandro Caycedo Torres"/>
    <s v="Consultoría para apoyar a la Oficina Asesora de Tecnologías de Ia Información en los despliegues en ambiente de produccion, tanto de funcionalidades como de herramientas y gestión de infraestructura  en el marco de la evolución y transformación del eKOGUI."/>
    <s v="CO- L1251-P187513"/>
    <s v="BID 019 2024"/>
    <s v="N/A"/>
    <n v="0"/>
    <d v="2024-03-22T00:00:00"/>
    <d v="2024-04-03T00:00:00"/>
    <s v="No Aplica"/>
    <d v="2024-12-20T00:00:00"/>
    <s v="No Aplica"/>
    <s v="No aplica"/>
    <s v="Inversión BID"/>
    <s v="Comparación de HV"/>
    <n v="84000000"/>
    <n v="0"/>
    <n v="84000000"/>
    <n v="0"/>
    <n v="84000000"/>
    <n v="0"/>
    <n v="92400000"/>
    <n v="8400000"/>
    <s v="El 12 de abril del 2024 se solicita la liberación de los recursos del CDP."/>
    <n v="0"/>
    <n v="8400000"/>
    <n v="0"/>
    <n v="84000000"/>
    <s v="20241044501000026E"/>
    <s v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/>
    <s v="-Este contrato tiene nueve pagos."/>
  </r>
  <r>
    <n v="3"/>
    <n v="80111614"/>
    <s v="C-1205-0800-3-20110E-1205007-0201"/>
    <s v="Contratista Persona Natural"/>
    <s v="Ekogui"/>
    <s v="Gobierno de Datos"/>
    <s v="Si"/>
    <s v="OASTI"/>
    <n v="2024"/>
    <n v="106"/>
    <s v="Si"/>
    <x v="0"/>
    <s v="Liliana Barbosa Carrillo"/>
    <s v="No aplica"/>
    <m/>
    <s v="SECOP II"/>
    <s v="Federico López Gil"/>
    <s v="Consultor individual que elabore la política, lineamientos e instrumentos propios para la adopción y apropiación de los casos de usos seleccionados en el Modelo de gobierno de datos y la adopción de la infraestructura de datos para la Agencia Nacional de Defensa Jurídica del Estado."/>
    <s v="CO-L1251-P187514"/>
    <s v="BID 018 2024"/>
    <s v="N/A"/>
    <n v="0"/>
    <d v="2024-03-22T00:00:00"/>
    <d v="2024-04-01T00:00:00"/>
    <s v="No Aplica"/>
    <d v="2024-12-20T00:00:00"/>
    <s v="No Aplica"/>
    <s v="No aplica"/>
    <s v="Inversión BID"/>
    <s v="Contratación régimen especial - Contratación directa"/>
    <n v="140000000"/>
    <n v="0"/>
    <n v="140000000"/>
    <n v="0"/>
    <n v="140000000"/>
    <n v="0"/>
    <n v="140000000"/>
    <n v="0"/>
    <m/>
    <n v="0"/>
    <n v="14000000"/>
    <n v="0"/>
    <n v="140000000"/>
    <s v="20241044501000027E"/>
    <s v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/>
    <s v="-Este contrato tiene nueve pagos."/>
  </r>
  <r>
    <n v="19"/>
    <n v="81111801"/>
    <s v="C-1205-0800-3-20110E-1205008-0202"/>
    <s v="Servicios Tecnológicos"/>
    <s v="Seguridad"/>
    <s v="Ciberseguridad"/>
    <s v="Si"/>
    <s v="OASTI"/>
    <n v="2024"/>
    <n v="101"/>
    <s v="Si"/>
    <x v="0"/>
    <s v="Jenny Yasmin Pinzón Perilla"/>
    <s v="No aplica"/>
    <m/>
    <s v="SECOP II"/>
    <s v="Controles Empresariales"/>
    <s v="Servicio ciberseguridad para monitoreo de seguridad, monitoreo de red, análisis de vulnerabilidades y plan de recuperación de desastres."/>
    <s v="24641"/>
    <s v="127948"/>
    <n v="127948"/>
    <n v="0"/>
    <d v="2024-04-29T00:00:00"/>
    <d v="2024-05-02T00:00:00"/>
    <d v="2024-05-02T00:00:00"/>
    <d v="2024-11-30T00:00:00"/>
    <s v="No Aplica"/>
    <s v="No aplica"/>
    <s v="Inversión BID"/>
    <s v="Selección abreviada - acuerdo marco"/>
    <n v="669139863.29999995"/>
    <n v="0"/>
    <n v="669139863.29999995"/>
    <n v="0"/>
    <n v="669139863.29999995"/>
    <n v="0"/>
    <n v="700000000"/>
    <n v="30860136.700000048"/>
    <s v="El 30 de abril del 2024 se solicita la liberación de los recursos del CDP."/>
    <n v="0"/>
    <s v="N/A"/>
    <n v="0"/>
    <n v="669139863.29999995"/>
    <s v="20241044501000032E"/>
    <s v="https://www.colombiacompra.gov.co/tienda-virtual-del-estado-colombiano/ordenes-compra/127948"/>
    <m/>
  </r>
  <r>
    <n v="6"/>
    <n v="80111614"/>
    <s v="C-1205-0800-3-20110E-1205008-0202"/>
    <s v="Contratista Persona Natural"/>
    <s v="Ekogui"/>
    <s v="Servicios de requerimientos y calidad"/>
    <s v="Si"/>
    <s v="OASTI"/>
    <n v="2024"/>
    <n v="153"/>
    <s v="Si"/>
    <x v="0"/>
    <s v="Diana Giovanna Rivera Pineda y Lina Alejandra Morales Prieto"/>
    <s v="No aplica"/>
    <m/>
    <s v="SECOP II"/>
    <s v="Karen Andrea Pastrana Pérez"/>
    <s v="Consultor individual como analista de levantamiento de requisitos y/o aseguramiento de calidad de software   sobre   controles de cambio y/o nuevas funcionalidades para el sistema e-KOGUI."/>
    <s v="CO-L1251-P199961-153"/>
    <s v="BID 021 2024"/>
    <s v="N/A"/>
    <n v="0"/>
    <d v="2024-04-10T00:00:00"/>
    <d v="2024-04-11T00:00:00"/>
    <s v="No Aplica"/>
    <d v="2024-10-10T00:00:00"/>
    <s v="No Aplica"/>
    <s v="No aplica"/>
    <s v="Inversión BID"/>
    <s v="Contratación régimen especial - Contratación directa"/>
    <n v="51000000"/>
    <n v="0"/>
    <n v="51000000"/>
    <n v="0"/>
    <n v="51000000"/>
    <n v="0"/>
    <n v="51000000"/>
    <n v="0"/>
    <m/>
    <n v="0"/>
    <n v="8500000"/>
    <n v="0"/>
    <n v="51000000"/>
    <s v="20241044501000033E"/>
    <s v="https://www.secop.gov.co/CO1ContractsManagement/Tendering/ProcurementContractEdit/View?docUniqueIdentifier=CO1.PCCNTR.6194722&amp;awardUniqueIdentifier=&amp;buyerDossierUniqueIdentifier=CO1.BDOS.5947818&amp;id=3538656"/>
    <s v="El plazo de duración es de seis meses "/>
  </r>
  <r>
    <n v="5"/>
    <n v="80111614"/>
    <s v="C-1205-0800-3-20110E-1205008-0202"/>
    <s v="Contratista Persona Natural"/>
    <s v="Ekogui"/>
    <s v="Servicios de requerimientos y calidad"/>
    <s v="Si"/>
    <s v="OASTI"/>
    <n v="2024"/>
    <n v="152"/>
    <s v="Si"/>
    <x v="0"/>
    <s v="Diana Giovanna Rivera Pineda y Lina Alejandra Morales Prieto"/>
    <s v="No aplica"/>
    <m/>
    <s v="SECOP II"/>
    <s v="Diego Francisco Moreno Guzmán"/>
    <s v="Consultor individual como analista de levantamiento de requisitos y/o aseguramiento de calidad de software sobre   controles de cambio y/o nuevas  funcionalidades para el sistema e-KOGUI."/>
    <s v="CO-L1251-P199961-152"/>
    <s v="BID 022 2024"/>
    <s v="N/A"/>
    <n v="0"/>
    <d v="2024-04-15T00:00:00"/>
    <d v="2024-04-16T00:00:00"/>
    <s v="No Aplica"/>
    <d v="2024-10-12T00:00:00"/>
    <s v="No Aplica"/>
    <s v="No aplica"/>
    <s v="Inversión BID"/>
    <s v="Contratación régimen especial - Contratación directa"/>
    <n v="51000000"/>
    <n v="0"/>
    <n v="51000000"/>
    <n v="0"/>
    <n v="51000000"/>
    <n v="0"/>
    <n v="51000000"/>
    <n v="0"/>
    <m/>
    <n v="0"/>
    <n v="8500000"/>
    <n v="0"/>
    <n v="51000000"/>
    <s v="20241044501000039E"/>
    <s v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/>
    <s v="El plazo de duración es de seis meses "/>
  </r>
  <r>
    <n v="7"/>
    <n v="80111614"/>
    <s v="C-1205-0800-3-20110E-1205008-0202"/>
    <s v="Contratista Persona Natural"/>
    <s v="Ekogui"/>
    <s v="Servicios de calidad"/>
    <s v="Si"/>
    <s v="OASTI"/>
    <n v="2024"/>
    <n v="154"/>
    <s v="Si"/>
    <x v="0"/>
    <s v="Diana Giovanna Rivera Pineda y Lina Alejandra Morales Prieto"/>
    <s v="No aplica"/>
    <m/>
    <s v="SECOP II"/>
    <s v="Lesley Ofelia Mesa Páez"/>
    <s v="Consultoría individual como Analista de Flujos de Procesos y Requisitos funcionales para el mejoramiento de funcionalidades y evolución del sistema e-KOGUI."/>
    <s v="_x0009__x000a_CO-L1251-P199958"/>
    <s v="BID 023 2024"/>
    <s v="N/A"/>
    <n v="0"/>
    <d v="2024-04-15T00:00:00"/>
    <d v="2024-04-18T00:00:00"/>
    <s v="No Aplica"/>
    <d v="2024-12-20T00:00:00"/>
    <s v="No Aplica"/>
    <s v="No aplica"/>
    <s v="Inversión BID"/>
    <s v="Contratación régimen especial - Comparación de hojas de vida (3CV)"/>
    <n v="76000000"/>
    <n v="0"/>
    <n v="76000000"/>
    <n v="0"/>
    <n v="76000000"/>
    <n v="0"/>
    <n v="76000000"/>
    <n v="0"/>
    <m/>
    <n v="0"/>
    <n v="9500000"/>
    <n v="0"/>
    <n v="76000000"/>
    <s v="20241044501000040E"/>
    <s v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/>
    <s v="El plazo de duración es de 8 meses y entrega 8 productos"/>
  </r>
  <r>
    <n v="21"/>
    <n v="80111614"/>
    <s v="A-02-02-02-008-003"/>
    <s v="Contratista Persona Natural"/>
    <s v="Seguridad"/>
    <s v="Seguridad de la Información"/>
    <s v="Si"/>
    <s v="OASTI"/>
    <n v="2024"/>
    <n v="181"/>
    <s v="Si"/>
    <x v="0"/>
    <s v="Oscar Javier Suarez Ramos"/>
    <m/>
    <m/>
    <s v="SECOP II"/>
    <s v="Fredy Geovany Zea Rodriguez"/>
    <s v="Prestación de servicios profesionales especializados  para  apoyar  a la Agencia en  el seguimiento del modelo de seguridad y privacidad de la información y el acompañamiento en las actividades de definición, revisión, elaboración e implementación de políticas,   procedimientos,   estándares   y   demás acciones que se deban llevar  a  cabo  para la operación del respectivo modelo."/>
    <s v="CD-090-2024"/>
    <s v="098-2024"/>
    <s v="N/A"/>
    <n v="0"/>
    <d v="2024-05-15T00:00:00"/>
    <d v="2024-05-16T00:00:00"/>
    <d v="2024-05-16T00:00:00"/>
    <d v="2024-11-16T00:00:00"/>
    <s v="No Aplica"/>
    <s v="No aplica"/>
    <s v="Inversión Nación"/>
    <s v="Selección abreviada - acuerdo marco"/>
    <n v="75000000"/>
    <n v="0"/>
    <n v="75000000"/>
    <n v="0"/>
    <n v="75000000"/>
    <n v="0"/>
    <n v="75000000"/>
    <n v="0"/>
    <m/>
    <n v="0"/>
    <n v="12500000"/>
    <n v="0"/>
    <n v="75000000"/>
    <s v="20241100801000007E"/>
    <s v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/>
    <m/>
  </r>
  <r>
    <n v="21"/>
    <s v="81111800;81112000"/>
    <s v="C-1205-0800-3-20110E-1205008-0202"/>
    <s v="Servicios Tecnológicos"/>
    <s v="Centro de datos"/>
    <s v="Nube pública de capacidad gestión de la información"/>
    <s v="Si"/>
    <s v="OASTI"/>
    <n v="2024"/>
    <n v="176"/>
    <s v="Si"/>
    <x v="2"/>
    <s v="Oswaldo Useche Acevedo"/>
    <m/>
    <m/>
    <s v="SECOP II"/>
    <s v="Nube pública capacidad gestión de la información"/>
    <s v="176. Adquirir capacidades de nube pública de Microsoft  AZURE  y  servicios para habilitar el manejador de base de datos y complementarios, orientados a fortalecer la capacidad de gestión de información y documentos de la Agencia Nacional de Defensa Jurídica del Estado."/>
    <m/>
    <m/>
    <m/>
    <n v="0"/>
    <m/>
    <m/>
    <m/>
    <m/>
    <m/>
    <m/>
    <s v="Inversión Nación"/>
    <s v="Selección abreviada - acuerdo marco"/>
    <m/>
    <n v="0"/>
    <n v="0"/>
    <m/>
    <m/>
    <m/>
    <n v="1234647379"/>
    <n v="1234647379"/>
    <m/>
    <m/>
    <m/>
    <n v="0"/>
    <n v="0"/>
    <m/>
    <m/>
    <m/>
  </r>
  <r>
    <n v="21"/>
    <s v="81111800;81112000"/>
    <s v="C-1205-0800-3-20110E-1205008-0202"/>
    <s v="Servicios Tecnológicos"/>
    <s v="Centro de datos"/>
    <s v="Nube pública de Ekogui"/>
    <s v="Si"/>
    <s v="OASTI"/>
    <n v="2024"/>
    <n v="177"/>
    <s v="Si"/>
    <x v="2"/>
    <s v="Oswaldo Useche Acevedo"/>
    <m/>
    <m/>
    <s v="SECOP II"/>
    <s v="Nube pública Ekogui"/>
    <s v="177. Adquirir capacidades de nube pública  AZURE y servicios  para realizar evoluciones funcionales y de rendimiento del Módulo de fichas de conciliación de eKOGUI, orientados a fortalecer la capacidad de gestión  misional de la Agencia Nacional de Defensa Jurídica  del Estado."/>
    <m/>
    <m/>
    <m/>
    <n v="0"/>
    <m/>
    <m/>
    <m/>
    <m/>
    <m/>
    <m/>
    <s v="Inversión BID"/>
    <s v="Selección abreviada - acuerdo marco"/>
    <m/>
    <n v="0"/>
    <n v="0"/>
    <m/>
    <m/>
    <m/>
    <n v="1398000000"/>
    <n v="1398000000"/>
    <m/>
    <m/>
    <m/>
    <n v="0"/>
    <n v="0"/>
    <m/>
    <m/>
    <m/>
  </r>
  <r>
    <n v="17"/>
    <m/>
    <m/>
    <s v="Servicios Tecnológicos"/>
    <s v="Fábrica de software"/>
    <s v="Fabríca para Ekogui"/>
    <s v="Si"/>
    <s v="OASTI"/>
    <n v="2024"/>
    <n v="99"/>
    <s v="Si"/>
    <x v="2"/>
    <s v="Oswaldo Useche Acevedo - Laura Bernal Bermudez"/>
    <s v="Compartida OASTI- DGI (Giovanna)"/>
    <m/>
    <s v="SECOP II"/>
    <s v="Fábrica"/>
    <s v="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."/>
    <m/>
    <m/>
    <m/>
    <n v="0"/>
    <m/>
    <m/>
    <m/>
    <m/>
    <m/>
    <m/>
    <s v="Inversión BID"/>
    <s v="Contratación régimen especial - Selección basada en calidad y costo"/>
    <m/>
    <n v="0"/>
    <n v="0"/>
    <m/>
    <m/>
    <m/>
    <n v="2245889285"/>
    <n v="2245889285"/>
    <m/>
    <m/>
    <m/>
    <n v="0"/>
    <n v="0"/>
    <s v="20241044501000013E"/>
    <m/>
    <m/>
  </r>
  <r>
    <n v="18"/>
    <m/>
    <m/>
    <s v="Servicios Tecnológicos"/>
    <s v="Interventoría"/>
    <s v="Interventoría para Ekogui"/>
    <s v="Si"/>
    <s v="OASTI"/>
    <n v="2024"/>
    <n v="100"/>
    <s v="Si"/>
    <x v="2"/>
    <s v="Oswaldo Useche Acevedo - Laura Bernal Bermudez"/>
    <s v="Compartida OASTI- DGI (Giovanna)"/>
    <m/>
    <s v="SECOP II"/>
    <s v="Interventoría"/>
    <s v="Prestar los servicios de interventoría técnica, jurídica, financiera, administrativa y pruebas de aceptación funcional, al contrato que tiene por objeto &quot;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&quot;."/>
    <m/>
    <m/>
    <m/>
    <n v="0"/>
    <m/>
    <m/>
    <m/>
    <m/>
    <m/>
    <m/>
    <s v="Inversión BID"/>
    <s v="Contratación régimen especial - Selección basada en calidad y costo"/>
    <m/>
    <n v="0"/>
    <n v="0"/>
    <m/>
    <m/>
    <m/>
    <n v="696150000"/>
    <n v="696150000"/>
    <m/>
    <m/>
    <m/>
    <n v="0"/>
    <n v="0"/>
    <s v="20241044501000019E"/>
    <m/>
    <m/>
  </r>
  <r>
    <n v="10"/>
    <m/>
    <m/>
    <s v="Servicios Tecnológicos"/>
    <s v="Suscripción Software"/>
    <s v="Scripcase"/>
    <s v="Si"/>
    <s v="OASTI"/>
    <n v="2024"/>
    <n v="85"/>
    <s v="Si"/>
    <x v="2"/>
    <s v="Jefferson Giraldo Muñoz "/>
    <s v="No aplica"/>
    <m/>
    <s v="SECOP II"/>
    <s v="Scriptcase"/>
    <s v="Renovación y soporte herramientas de  scripcase."/>
    <m/>
    <m/>
    <m/>
    <m/>
    <m/>
    <m/>
    <m/>
    <m/>
    <m/>
    <m/>
    <s v="Funcionamiento"/>
    <s v="Mínima cuantía"/>
    <m/>
    <n v="0"/>
    <n v="0"/>
    <m/>
    <m/>
    <m/>
    <n v="20000000"/>
    <n v="20000000"/>
    <m/>
    <m/>
    <m/>
    <n v="0"/>
    <n v="0"/>
    <m/>
    <m/>
    <m/>
  </r>
  <r>
    <n v="20"/>
    <m/>
    <m/>
    <s v="Servicios Tecnológicos"/>
    <s v="Consultoría"/>
    <s v="CRM enfocado en evolutivo"/>
    <s v="Si"/>
    <s v="OASTI"/>
    <n v="2024"/>
    <n v="102"/>
    <s v="Si"/>
    <x v="2"/>
    <s v="Diego Alexander Gamba"/>
    <s v="No aplica"/>
    <m/>
    <s v="SECOP II"/>
    <s v="CRM"/>
    <s v="Mantenimiento de optimización de flujos de los procesos y/o flujos implementados con el producto Dynamics 365 en el marco del programa de fortalecimiento de la Agencia Nacional de Defensa Jurídica del Estado"/>
    <m/>
    <m/>
    <m/>
    <n v="0"/>
    <m/>
    <m/>
    <m/>
    <m/>
    <m/>
    <m/>
    <s v="Inversión BID"/>
    <s v="Selección abreviada - acuerdo marco"/>
    <m/>
    <n v="0"/>
    <n v="0"/>
    <m/>
    <m/>
    <m/>
    <n v="100000000"/>
    <n v="100000000"/>
    <m/>
    <m/>
    <m/>
    <n v="0"/>
    <n v="0"/>
    <m/>
    <m/>
    <s v="-•_x0009_102. CRM, Se indica la importancia de formalizar la solicitud de contratación antes del próximo 05 de abril de 2024."/>
  </r>
  <r>
    <n v="16"/>
    <m/>
    <m/>
    <s v="Servicios Tecnológicos"/>
    <s v="Consultoría"/>
    <s v="Consultoría en Gobierno de Datos"/>
    <s v="Si"/>
    <s v="OASTI"/>
    <n v="2024"/>
    <n v="97"/>
    <s v="Si"/>
    <x v="2"/>
    <s v="Liliana Barbosa Carrillo"/>
    <s v="No aplica"/>
    <m/>
    <s v="SECOP II"/>
    <s v="Empresa Gobierno de Datos"/>
    <s v="Consultoría para la Implementación del modelo de gobierno de datos en la Agencia Nacional de Defensa Jurídica del Estado - Fase II."/>
    <m/>
    <m/>
    <m/>
    <n v="0"/>
    <m/>
    <m/>
    <m/>
    <m/>
    <m/>
    <m/>
    <s v="Inversión BID"/>
    <s v="Contratación régimen especial - Selección basada en calidad y costo"/>
    <m/>
    <n v="0"/>
    <n v="0"/>
    <m/>
    <m/>
    <m/>
    <n v="350000000"/>
    <n v="350000000"/>
    <m/>
    <m/>
    <m/>
    <n v="0"/>
    <n v="0"/>
    <m/>
    <m/>
    <s v="-•_x0009_97. Atrasado se solicita a la OASTI implementar las acciones pertinentes para ajustar el plazo de ejecución de la línea."/>
  </r>
  <r>
    <n v="9"/>
    <s v="81111820;43222641"/>
    <s v="A-02-02-01-004-007"/>
    <s v="Servicios Tecnológicos"/>
    <s v="Seguridad"/>
    <s v="IPV6 renovación por un año"/>
    <s v="Si"/>
    <s v="OASTI"/>
    <n v="2024"/>
    <n v="84"/>
    <s v="Si"/>
    <x v="2"/>
    <s v="Daniel Rojas Rubio"/>
    <s v="No aplica"/>
    <m/>
    <s v="SECOP II"/>
    <m/>
    <s v="Renovar la membresía del protocolo IPv6 implementada en la infraestructura tecnológica de la Agencia Nacional de Defensa Jurídica del Estado."/>
    <m/>
    <m/>
    <m/>
    <n v="0"/>
    <m/>
    <m/>
    <m/>
    <m/>
    <m/>
    <m/>
    <s v="Funcionamiento"/>
    <s v="Mínima cuantía"/>
    <m/>
    <n v="0"/>
    <n v="0"/>
    <m/>
    <m/>
    <m/>
    <n v="4500000"/>
    <n v="4500000"/>
    <m/>
    <m/>
    <m/>
    <n v="0"/>
    <n v="0"/>
    <m/>
    <m/>
    <m/>
  </r>
  <r>
    <n v="11"/>
    <m/>
    <m/>
    <s v="Servicios Tecnológicos"/>
    <s v="Suscripción Software"/>
    <s v="Antivirus y DLP"/>
    <s v="Si"/>
    <s v="OASTI"/>
    <n v="2024"/>
    <n v="87"/>
    <s v="Si"/>
    <x v="2"/>
    <s v="Daniel Rojas Rubio"/>
    <s v="No aplica"/>
    <m/>
    <s v="SECOP II"/>
    <m/>
    <s v="Renovación Antivirus y DLP."/>
    <m/>
    <m/>
    <m/>
    <n v="0"/>
    <m/>
    <m/>
    <m/>
    <m/>
    <m/>
    <m/>
    <s v="Funcionamiento"/>
    <s v="Selección abreviada subasta inversa"/>
    <m/>
    <n v="0"/>
    <n v="0"/>
    <m/>
    <m/>
    <m/>
    <n v="270000000"/>
    <n v="270000000"/>
    <m/>
    <m/>
    <m/>
    <n v="0"/>
    <n v="0"/>
    <m/>
    <m/>
    <m/>
  </r>
  <r>
    <n v="12"/>
    <n v="81112501"/>
    <s v="A-02-02-01-004-007"/>
    <s v="Servicios Tecnológicos"/>
    <s v="Suscripción Software"/>
    <s v="Adobe"/>
    <s v="Si"/>
    <s v="OASTI"/>
    <n v="2024"/>
    <n v="88"/>
    <s v="Si"/>
    <x v="2"/>
    <s v="Sandra Milena Roa Gil"/>
    <s v="No aplica"/>
    <m/>
    <s v="SECOP II"/>
    <m/>
    <s v="Renovación de las licencias Adobe Creative Cloud y  Adobe Pro Cloud para la Agencia Nacional de Defensa Jurídica del Estado."/>
    <m/>
    <m/>
    <m/>
    <n v="0"/>
    <m/>
    <m/>
    <m/>
    <m/>
    <m/>
    <m/>
    <s v="Funcionamiento"/>
    <s v="Mínima cuantía"/>
    <m/>
    <n v="0"/>
    <n v="0"/>
    <m/>
    <m/>
    <m/>
    <n v="18000000"/>
    <n v="18000000"/>
    <m/>
    <m/>
    <m/>
    <n v="0"/>
    <n v="0"/>
    <m/>
    <m/>
    <m/>
  </r>
  <r>
    <n v="13"/>
    <m/>
    <m/>
    <s v="Servicios Tecnológicos"/>
    <s v="Conectividad"/>
    <s v="Iniciar el nuevo cntrato de conectividad a finales de noviembre."/>
    <s v="Si"/>
    <s v="OASTI"/>
    <n v="2024"/>
    <n v="89"/>
    <s v="Si"/>
    <x v="2"/>
    <s v="Daniel Rojas Rubio"/>
    <s v="No aplica"/>
    <m/>
    <s v="TVEC"/>
    <m/>
    <s v="Prestación de servicios de conectividad para la Agencia Nacional de Defensa Jurídica del Estado."/>
    <m/>
    <m/>
    <m/>
    <n v="0"/>
    <m/>
    <m/>
    <m/>
    <m/>
    <m/>
    <m/>
    <s v="Funcionamiento"/>
    <s v="Selección abreviada - acuerdo marco"/>
    <m/>
    <n v="0"/>
    <n v="0"/>
    <m/>
    <m/>
    <m/>
    <n v="15000000"/>
    <n v="15000000"/>
    <m/>
    <m/>
    <m/>
    <n v="0"/>
    <n v="0"/>
    <m/>
    <m/>
    <m/>
  </r>
  <r>
    <n v="14"/>
    <m/>
    <m/>
    <s v="Servicio de atención"/>
    <s v="Mesa de Servicio"/>
    <s v="Continuar el servicio de mesa a inicios de diciembre"/>
    <s v="Si"/>
    <s v="OASTI"/>
    <n v="2024"/>
    <n v="93"/>
    <s v="Si"/>
    <x v="2"/>
    <s v="Jefferson Giraldo Muñoz "/>
    <s v="No aplica"/>
    <m/>
    <s v="SECOP II"/>
    <m/>
    <s v="Adquirir Servicios BPO y/o Mesa de ayuda de tecnología  que permita garantizar la operación de los sistemas misionales y de apoyo de la Agencia Nacional de Defensa Jurídica del estado."/>
    <m/>
    <m/>
    <m/>
    <n v="0"/>
    <m/>
    <m/>
    <m/>
    <m/>
    <m/>
    <m/>
    <s v="Funcionamiento"/>
    <s v="Selección abreviada - acuerdo marco"/>
    <m/>
    <n v="0"/>
    <n v="0"/>
    <m/>
    <m/>
    <m/>
    <n v="38023681"/>
    <n v="38023681"/>
    <m/>
    <m/>
    <m/>
    <n v="0"/>
    <n v="0"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36"/>
    <n v="1"/>
    <n v="80111614"/>
    <n v="80111614"/>
    <s v="Consultoría"/>
    <s v="Consultoría"/>
    <s v="Consultoría en Gobierno de Datos"/>
    <s v="Si"/>
    <s v="OASTI"/>
    <n v="2024"/>
    <n v="97"/>
    <s v="Si"/>
    <s v="Proceso pendiente 2024"/>
    <s v="Oswaldo Useche Acevedo"/>
    <s v="Liliana Barbosa Carrillo"/>
    <s v="Gobierno de datos… hacer trazabilidad e historia… ejecución 1 de julio…"/>
    <s v="Con PAI_x000a_Junta TI_x000a_PETI…se pueden presentar avances _x000a_1. Redefinición de alcance._x000a_Flujo 1 y 4."/>
    <s v="SECOP II"/>
    <s v="Management and Quality SAS"/>
    <s v="Consultoría para la Implementación del modelo de gobierno de datos en la Agencia Nacional de Defensa Jurídica del Estado - Fase II."/>
    <s v="CO-L1251-P 208997"/>
    <m/>
    <m/>
    <m/>
    <m/>
    <m/>
    <m/>
    <m/>
    <m/>
    <x v="0"/>
    <x v="0"/>
    <s v="Contratación régimen especial - Selección basada en calidad y costo"/>
    <m/>
    <n v="0"/>
    <n v="0"/>
    <m/>
    <m/>
    <m/>
    <n v="350000000"/>
    <n v="350000000"/>
    <m/>
    <n v="0"/>
    <m/>
    <m/>
    <n v="0"/>
    <n v="0"/>
    <s v="20241044501000041E"/>
    <m/>
    <m/>
  </r>
  <r>
    <n v="37"/>
    <n v="2"/>
    <s v="81111820;43222641"/>
    <s v="A-02-02-01-004-007"/>
    <s v="Renovaciones, suscripciones, licencias"/>
    <s v="Seguridad"/>
    <s v="IPV6 renovación por un año"/>
    <s v="Si"/>
    <s v="OASTI"/>
    <n v="2024"/>
    <n v="84"/>
    <s v="Si"/>
    <s v="Proceso pendiente 2024"/>
    <s v="Jeison Gómez"/>
    <s v="No aplica"/>
    <s v="IPV6."/>
    <m/>
    <s v="SECOP II"/>
    <s v="5 de agosto se radico formalmente el proceso."/>
    <s v="Renovar la membresía del protocolo IPv6 implementada en la infraestructura tecnológica de la Agencia Nacional de Defensa Jurídica del Estado."/>
    <m/>
    <m/>
    <m/>
    <m/>
    <m/>
    <m/>
    <m/>
    <m/>
    <m/>
    <x v="1"/>
    <x v="1"/>
    <s v="Mínima cuantía"/>
    <m/>
    <n v="0"/>
    <n v="0"/>
    <m/>
    <m/>
    <m/>
    <n v="4500000"/>
    <n v="4500000"/>
    <m/>
    <n v="0"/>
    <m/>
    <m/>
    <n v="0"/>
    <n v="0"/>
    <m/>
    <m/>
    <s v="- 17/07/2024 se remite estudios previos por correo electrónico a Sergio. Sergio indica que el abogado asignado es Fabian."/>
  </r>
  <r>
    <n v="38"/>
    <n v="3"/>
    <s v="A-02-02-01-004-007"/>
    <n v="81112501"/>
    <s v="Renovaciones, suscripciones, licencias"/>
    <s v="Suscripción Software"/>
    <s v="Antivirus y DLP"/>
    <s v="Si"/>
    <s v="OASTI"/>
    <n v="2024"/>
    <n v="87"/>
    <s v="Si"/>
    <s v="Proceso pendiente 2024"/>
    <s v="Carlos Rangel "/>
    <s v="No aplica"/>
    <s v="Antivirus"/>
    <m/>
    <s v="SECOP II"/>
    <m/>
    <s v="Renovación Antivirus y DLP."/>
    <m/>
    <m/>
    <m/>
    <m/>
    <m/>
    <m/>
    <m/>
    <m/>
    <m/>
    <x v="1"/>
    <x v="2"/>
    <s v="Selección abreviada subasta inversa"/>
    <m/>
    <n v="0"/>
    <n v="0"/>
    <m/>
    <m/>
    <m/>
    <n v="270000000"/>
    <n v="270000000"/>
    <m/>
    <n v="0"/>
    <m/>
    <m/>
    <n v="0"/>
    <n v="0"/>
    <m/>
    <m/>
    <s v="-El 28 de diciembre vencen las licencias"/>
  </r>
  <r>
    <n v="39"/>
    <n v="4"/>
    <n v="80111614"/>
    <s v="C-1205-0800-3-0-1205008-02-02"/>
    <s v="Contratista Persona Natural"/>
    <s v="eKOGUI"/>
    <s v="Servicios de calidad"/>
    <s v="Si"/>
    <s v="OASTI"/>
    <n v="2024"/>
    <n v="186"/>
    <s v="Si"/>
    <s v="Proceso pendiente 2024"/>
    <s v="Oswaldo Useche Acevedo"/>
    <s v="No aplica"/>
    <s v="No contratar por curva de aprendizaje "/>
    <m/>
    <s v="SECOP II"/>
    <s v="17 de julio== el profesional no cumple porque le falta un certificado."/>
    <s v="186. Consultor individual como analista de levantamiento de requisitos y/o aseguramiento de calidad de software sobre controles de cambio y/o nuevas  funcionalidades para el sistema e-KOGUI."/>
    <m/>
    <m/>
    <m/>
    <m/>
    <m/>
    <m/>
    <m/>
    <m/>
    <m/>
    <x v="0"/>
    <x v="3"/>
    <s v="Contratación régimen especial - Contratación directa"/>
    <m/>
    <n v="0"/>
    <n v="0"/>
    <n v="0"/>
    <m/>
    <n v="0"/>
    <n v="42500000"/>
    <n v="42500000"/>
    <m/>
    <n v="0"/>
    <n v="0"/>
    <m/>
    <n v="0"/>
    <n v="0"/>
    <m/>
    <m/>
    <m/>
  </r>
  <r>
    <n v="40"/>
    <n v="5"/>
    <n v="80111614"/>
    <s v="C-1205-0800-3-20110E-1205008-0202"/>
    <s v="Contratista Persona Natural"/>
    <s v="eKOGUI"/>
    <s v="Servicios de calidad"/>
    <s v="Si"/>
    <s v="OASTI"/>
    <n v="2024"/>
    <n v="200"/>
    <s v="Si"/>
    <s v="Proceso pendiente 2024"/>
    <s v="Oswaldo Useche Acevedo"/>
    <s v="No aplica"/>
    <s v="Terminar el levantamiento de gestión financiera y lo puede hacer la fábrica. No contratar."/>
    <m/>
    <s v="SECOP II"/>
    <s v="12 de julio== se envià la evaluaciòn de las 3 hv a augusto. "/>
    <s v="200. Consultor individual como analista de levantamiento de requisitos y/o aseguramiento de calidad de software sobre controles de cambio y/o nuevas funcionalidades para el sistema e-KOGUI."/>
    <m/>
    <m/>
    <m/>
    <m/>
    <m/>
    <m/>
    <m/>
    <m/>
    <m/>
    <x v="0"/>
    <x v="3"/>
    <s v="Contratación régimen especial - Contratación directa"/>
    <m/>
    <n v="0"/>
    <n v="0"/>
    <n v="0"/>
    <m/>
    <n v="0"/>
    <n v="51000000"/>
    <n v="51000000"/>
    <m/>
    <n v="0"/>
    <n v="0"/>
    <m/>
    <n v="0"/>
    <n v="0"/>
    <m/>
    <m/>
    <m/>
  </r>
  <r>
    <n v="41"/>
    <n v="6"/>
    <n v="80111614"/>
    <s v="C-1205-0800-3-20110E-1205008-0201"/>
    <s v="Contratista Persona Natural"/>
    <s v="eKOGUI"/>
    <s v="Servicios de calidad"/>
    <s v="Si"/>
    <s v="OASTI"/>
    <n v="2024"/>
    <n v="201"/>
    <s v="Si"/>
    <s v="Proceso pendiente 2024"/>
    <s v="Oswaldo Useche Acevedo"/>
    <s v="No aplica"/>
    <s v="Fichas. La firma del contratista puede asumir el alcance. No contratar."/>
    <m/>
    <s v="SECOP II"/>
    <s v="9 de julio== oasti envìa visto bueno de la minuta"/>
    <s v="201. Consultor individual como analista de levantamiento de requisitos y/o aseguramiento de calidad de software sobre controles de cambio y/o nuevas funcionalidades para el sistema e-KOGUI."/>
    <m/>
    <m/>
    <m/>
    <m/>
    <m/>
    <m/>
    <m/>
    <m/>
    <m/>
    <x v="0"/>
    <x v="3"/>
    <s v="Contratación régimen especial - Contratación directa"/>
    <m/>
    <n v="0"/>
    <n v="0"/>
    <n v="0"/>
    <m/>
    <n v="0"/>
    <n v="51000000"/>
    <n v="51000000"/>
    <m/>
    <n v="0"/>
    <n v="0"/>
    <m/>
    <n v="0"/>
    <n v="0"/>
    <m/>
    <m/>
    <m/>
  </r>
  <r>
    <n v="42"/>
    <n v="7"/>
    <n v="80111614"/>
    <s v="C-1205-0800-3-20110E-1205008-0202"/>
    <s v="Contratista Persona Natural"/>
    <s v="eKOGUI"/>
    <s v="Servicios de calidad"/>
    <s v="Si"/>
    <s v="OASTI"/>
    <n v="2024"/>
    <n v="202"/>
    <s v="Si"/>
    <s v="Proceso pendiente 2024"/>
    <s v="Oswaldo Useche Acevedo"/>
    <s v="No aplica"/>
    <s v="Gestor financiero que va para fábrica. Es necesario contratar."/>
    <m/>
    <s v="SECOP II"/>
    <s v="9 de julio== oasti envìa visto bueno de la minuta"/>
    <s v="202. Consultor individual para apoyar a la Oficina Asesora de Tecnologías de la Información en el desarrollo y verificación del ciclo de construcción de software requerido para la implementación de nuevos módulos en 2024 en el marco de la evolución y transformación del eKOGUI."/>
    <m/>
    <m/>
    <m/>
    <m/>
    <m/>
    <m/>
    <m/>
    <m/>
    <m/>
    <x v="0"/>
    <x v="3"/>
    <s v="Contratación régimen especial - Contratación directa"/>
    <m/>
    <n v="0"/>
    <n v="0"/>
    <n v="0"/>
    <m/>
    <n v="0"/>
    <n v="86000000"/>
    <n v="86000000"/>
    <m/>
    <n v="0"/>
    <n v="0"/>
    <m/>
    <n v="0"/>
    <n v="0"/>
    <m/>
    <m/>
    <m/>
  </r>
  <r>
    <n v="43"/>
    <n v="8"/>
    <n v="80111614"/>
    <s v="C-1205-0800-3-20110E-1205008-0203"/>
    <s v="Contratista Persona Natural"/>
    <s v="eKOGUI"/>
    <s v="Servicios de calidad"/>
    <s v="Si"/>
    <s v="OASTI"/>
    <n v="2024"/>
    <n v="203"/>
    <s v="Si"/>
    <s v="Proceso pendiente 2024"/>
    <s v="Oswaldo Useche Acevedo"/>
    <s v="No aplica"/>
    <s v="Gestor que va para fichas. Es necesario contratar y urgente."/>
    <m/>
    <s v="SECOP II"/>
    <s v="9 de julio== oasti envìa visto bueno de la minuta"/>
    <s v="203. Consultor individual para apoyar a la Oficina Asesora de Tecnologías de la Información en el desarrollo y verificación del ciclo de construcción de software requerido para la implementación de nuevos módulos en 2024 en el marco de la evolución y transformación del eKOGUI."/>
    <m/>
    <m/>
    <m/>
    <m/>
    <m/>
    <m/>
    <m/>
    <m/>
    <m/>
    <x v="0"/>
    <x v="3"/>
    <s v="Contratación régimen especial - Contratación directa"/>
    <m/>
    <n v="0"/>
    <n v="0"/>
    <n v="0"/>
    <m/>
    <n v="0"/>
    <n v="86000000"/>
    <n v="86000000"/>
    <m/>
    <n v="0"/>
    <n v="0"/>
    <m/>
    <n v="0"/>
    <n v="0"/>
    <m/>
    <m/>
    <m/>
  </r>
  <r>
    <n v="44"/>
    <n v="9"/>
    <m/>
    <m/>
    <s v="Fábrica de software"/>
    <s v="Fábrica de software"/>
    <s v="Fabríca para Ekogui"/>
    <s v="Si"/>
    <s v="OASTI"/>
    <n v="2024"/>
    <n v="99"/>
    <s v="Si"/>
    <s v="Proceso pendiente 2024"/>
    <s v="Oswaldo Useche Acevedo - Gleidys"/>
    <s v="Compartida OASTI- DGI (Giovanna)"/>
    <s v="Esta en plazo de suspensión y estamos pendientes de inicio de ejecución."/>
    <m/>
    <s v="SECOP II"/>
    <s v="Fábrica"/>
    <s v="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."/>
    <m/>
    <m/>
    <m/>
    <m/>
    <m/>
    <m/>
    <m/>
    <m/>
    <m/>
    <x v="0"/>
    <x v="0"/>
    <s v="Contratación régimen especial - Selección basada en calidad y costo"/>
    <m/>
    <n v="0"/>
    <n v="0"/>
    <m/>
    <m/>
    <m/>
    <n v="2245889285"/>
    <n v="2245889285"/>
    <m/>
    <n v="0"/>
    <m/>
    <m/>
    <n v="0"/>
    <n v="0"/>
    <s v="20241044501000013E"/>
    <m/>
    <m/>
  </r>
  <r>
    <n v="45"/>
    <n v="10"/>
    <m/>
    <m/>
    <s v="Interventoría"/>
    <s v="Interventoría"/>
    <s v="Interventoría para Ekogui"/>
    <s v="Si"/>
    <s v="OASTI"/>
    <n v="2024"/>
    <n v="100"/>
    <s v="Si"/>
    <s v="Proceso pendiente 2024"/>
    <s v="Oswaldo Useche Acevedo - Laura Bernal Bermudez"/>
    <s v="Compartida OASTI- DGI (Giovanna)"/>
    <s v="Estamos transcurriendo la fase de negociación,  del plazo de suspensión y siguientes paso hasta la formalización del contrato e inicio de ejecución."/>
    <m/>
    <s v="SECOP II"/>
    <s v="Interventoría"/>
    <s v="Prestar los servicios de interventoría técnica, jurídica, financiera, administrativa y pruebas de aceptación funcional, al contrato que tiene por objeto &quot;Prestar, bajo la modalidad de fábrica de software, los servicios de ingeniería de software para desarrollo, implementación y mantenimiento correctivo, adaptativo y evolutivo del Sistema Único de Gestión e Información de la Actividad Litigiosa del Estado y demás aplicativos que contribuyan a fortalecer el seguimiento al ciclo de defensa jurídico del Estado en la Agencia Nacional de Defensa Jurídica de Estado, incluyendo desarrollos de analítica, big data e Inteligencia artificial&quot;."/>
    <m/>
    <m/>
    <m/>
    <m/>
    <m/>
    <m/>
    <m/>
    <m/>
    <m/>
    <x v="0"/>
    <x v="0"/>
    <s v="Contratación régimen especial - Selección basada en calidad y costo"/>
    <m/>
    <n v="0"/>
    <n v="0"/>
    <m/>
    <m/>
    <m/>
    <n v="696150000"/>
    <n v="696150000"/>
    <m/>
    <n v="0"/>
    <m/>
    <m/>
    <n v="0"/>
    <n v="0"/>
    <s v="20241044501000019E"/>
    <m/>
    <m/>
  </r>
  <r>
    <n v="46"/>
    <n v="11"/>
    <n v="81112501"/>
    <s v="A-02-02-01-004-007"/>
    <s v="Renovaciones, suscripciones, licencias"/>
    <s v="Suscripción Software"/>
    <s v="Adobe"/>
    <s v="Si"/>
    <s v="OASTI"/>
    <n v="2024"/>
    <n v="88"/>
    <s v="Si"/>
    <s v="Proceso pendiente 2024"/>
    <s v="Sandra Milena Roa Gil"/>
    <s v="No aplica"/>
    <s v="Adobe "/>
    <m/>
    <s v="SECOP II"/>
    <m/>
    <s v="Renovación de las licencias Adobe Creative Cloud y  Adobe Pro Cloud para la Agencia Nacional de Defensa Jurídica del Estado."/>
    <m/>
    <m/>
    <m/>
    <m/>
    <m/>
    <m/>
    <m/>
    <m/>
    <m/>
    <x v="1"/>
    <x v="1"/>
    <s v="Mínima cuantía"/>
    <m/>
    <n v="0"/>
    <n v="0"/>
    <m/>
    <m/>
    <m/>
    <n v="18000000"/>
    <n v="18000000"/>
    <m/>
    <n v="0"/>
    <m/>
    <m/>
    <n v="0"/>
    <n v="0"/>
    <m/>
    <m/>
    <m/>
  </r>
  <r>
    <n v="47"/>
    <n v="12"/>
    <n v="81112101"/>
    <s v="A-02-02-02-008-004"/>
    <s v="Servicios Tecnológicos"/>
    <s v="Conectividad"/>
    <s v="Iniciar el nuevo cntrato de conectividad a finales de noviembre."/>
    <s v="Si"/>
    <s v="OASTI"/>
    <n v="2024"/>
    <n v="89"/>
    <s v="Si"/>
    <s v="Proceso pendiente 2024"/>
    <s v="Jeison Gómez"/>
    <s v="No aplica"/>
    <s v="Conectividad. Trámite de vigencias futuras 2024."/>
    <m/>
    <s v="TVEC"/>
    <s v="2 de agosto se envia a sergio los documentos previos de subasta inversa para revisión."/>
    <s v="Prestación de servicios de conectividad para la Agencia Nacional de Defensa Jurídica del Estado."/>
    <m/>
    <m/>
    <m/>
    <m/>
    <m/>
    <m/>
    <m/>
    <m/>
    <m/>
    <x v="1"/>
    <x v="4"/>
    <s v="Selección abreviada - acuerdo marco"/>
    <m/>
    <n v="0"/>
    <n v="0"/>
    <m/>
    <m/>
    <m/>
    <n v="26480232"/>
    <n v="26480232"/>
    <m/>
    <n v="0"/>
    <m/>
    <m/>
    <n v="0"/>
    <n v="0"/>
    <m/>
    <m/>
    <m/>
  </r>
  <r>
    <n v="48"/>
    <n v="13"/>
    <s v="83111507;81111811"/>
    <s v="A-02-02-02-008-003"/>
    <s v="Servicio de atención"/>
    <s v="Mesa de Servicio"/>
    <s v="Continuar el servicio de mesa a inicios de diciembre"/>
    <s v="Si"/>
    <s v="OASTI"/>
    <n v="2024"/>
    <n v="93"/>
    <s v="Si"/>
    <s v="Proceso pendiente 2024"/>
    <s v="Jefferson Giraldo Muñoz "/>
    <s v="No aplica"/>
    <s v="Mesa de Servicio. Trámite de vigencias futuras 2024."/>
    <m/>
    <s v="SECOP II"/>
    <m/>
    <s v="Adquirir Servicios BPO y/o Mesa de ayuda de tecnología  que permita garantizar la operación de los sistemas misionales y de apoyo de la Agencia Nacional de Defensa Jurídica del estado."/>
    <m/>
    <m/>
    <m/>
    <m/>
    <m/>
    <m/>
    <m/>
    <m/>
    <m/>
    <x v="1"/>
    <x v="4"/>
    <s v="Selección abreviada - acuerdo marco"/>
    <m/>
    <n v="0"/>
    <n v="0"/>
    <m/>
    <m/>
    <m/>
    <n v="37305521"/>
    <n v="37305521"/>
    <m/>
    <n v="0"/>
    <m/>
    <m/>
    <n v="0"/>
    <n v="0"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n v="1"/>
    <n v="1"/>
    <n v="80111614"/>
    <s v="C-1205-0800-3-20110E-1205008-0202"/>
    <x v="0"/>
    <s v="Ekogui"/>
    <s v="Requerimientos"/>
    <s v="Si"/>
    <s v="OASTI"/>
    <n v="2024"/>
    <n v="46"/>
    <s v="Si"/>
    <s v="Adjudicado 2024"/>
    <s v="Oswaldo Useche Acevedo"/>
    <s v="Compartida DGI-OASTI (Giovanna)"/>
    <s v="Se envía a Giovana por Orfeo el 12 de febrero de 2024"/>
    <m/>
    <s v="SECOP II"/>
    <s v="Edna Viviana Katherine Peña Rivera"/>
    <s v="Consultoría  Individual  como  Analista de Flujos de Procesos  y  Requisitos  funcionales para  el mejoramiento de funcionalidades y evolución del sistema eKOGUI."/>
    <s v="CO-L1251-P187498"/>
    <s v="BID 012 2024"/>
    <s v="N/A"/>
    <d v="2024-02-07T00:00:00"/>
    <d v="2024-02-09T00:00:00"/>
    <s v="No Aplica"/>
    <d v="2024-07-31T00:00:00"/>
    <s v="No Aplica"/>
    <s v="No aplica"/>
    <x v="0"/>
    <x v="0"/>
    <s v="Persona Natural (Contratista)"/>
    <n v="47500000"/>
    <n v="0"/>
    <n v="47500000"/>
    <n v="0"/>
    <n v="47500000"/>
    <n v="0"/>
    <n v="47500000"/>
    <n v="0"/>
    <m/>
    <n v="3"/>
    <n v="35625000"/>
    <n v="11875000"/>
    <n v="0.75"/>
    <n v="11875000"/>
    <s v="20241044501000017E"/>
    <s v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/>
    <s v="-El contratoo se solicito prorroga del contrato al 31 de julio."/>
  </r>
  <r>
    <n v="2"/>
    <n v="2"/>
    <m/>
    <m/>
    <x v="0"/>
    <s v="Ekogui"/>
    <s v="Requerimientos"/>
    <s v="Si"/>
    <s v="OASTI"/>
    <n v="2024"/>
    <n v="41"/>
    <s v="Si"/>
    <s v="Adjudicado 2024"/>
    <s v="Oswaldo Useche Acevedo"/>
    <s v="Compartida DGI-OASTI (Giovanna)"/>
    <s v="Se envía a Giovana por Orfeo el 12 de febrero de 2024"/>
    <m/>
    <s v="SECOP II"/>
    <s v="Clara Ines Perez Caceres"/>
    <s v="Consultoría  Individual  como  Analista de Flujos de Procesos  y  Requisitos  funcionales para  el mejoramiento de funcionalidades y evolución del sistema eKOGUI."/>
    <s v="CO-L1251-P187497"/>
    <s v="BID 011 2024"/>
    <s v="N/A"/>
    <d v="2024-02-07T00:00:00"/>
    <d v="2024-02-09T00:00:00"/>
    <s v="No Aplica"/>
    <d v="2024-08-15T00:00:00"/>
    <s v="No Aplica"/>
    <s v="No aplica"/>
    <x v="0"/>
    <x v="0"/>
    <s v="Persona Natural (Contratista)"/>
    <n v="47500000"/>
    <n v="3450000"/>
    <n v="50950000"/>
    <n v="0"/>
    <n v="47500000"/>
    <n v="0"/>
    <n v="47500000"/>
    <n v="0"/>
    <m/>
    <n v="2"/>
    <n v="23750000"/>
    <n v="11875000"/>
    <n v="0.5"/>
    <n v="23750000"/>
    <s v="20241044501000016E"/>
    <s v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/>
    <s v="-El contratoo se solicito adición y prorroga del contrato al 15 de agosto"/>
  </r>
  <r>
    <n v="3"/>
    <n v="3"/>
    <n v="80111614"/>
    <s v="A-02-02-02-008-003"/>
    <x v="0"/>
    <s v="Ekogui"/>
    <s v="Análista de Bodega de Datos"/>
    <s v="Si"/>
    <s v="OASTI"/>
    <n v="2024"/>
    <n v="112"/>
    <s v="Si"/>
    <s v="Adjudicado 2024"/>
    <s v="Oswaldo Useche Acevedo"/>
    <s v="Compartida OASTI- DGI (Giovanna)"/>
    <s v="Se envía a Giovana por Orfeo el 29 de enero de 2024"/>
    <m/>
    <s v="SECOP II"/>
    <s v="Angela María Franco Perez"/>
    <s v="Prestación de servicios profesionales como análista de bodega de datos del Sistema eKOGUI."/>
    <s v="CD-026-2024"/>
    <s v="026-2024"/>
    <s v="N/A"/>
    <d v="2024-01-24T00:00:00"/>
    <d v="2024-01-24T00:00:00"/>
    <d v="2024-01-25T00:00:00"/>
    <d v="2024-12-20T00:00:00"/>
    <s v="No Aplica"/>
    <s v="No aplica"/>
    <x v="1"/>
    <x v="0"/>
    <s v="Persona Natural (Contratista)"/>
    <n v="93500000"/>
    <n v="0"/>
    <n v="93500000"/>
    <n v="0"/>
    <n v="93500000"/>
    <n v="0"/>
    <n v="93500000"/>
    <n v="0"/>
    <m/>
    <n v="5"/>
    <n v="46750000"/>
    <n v="9350000"/>
    <n v="0.5"/>
    <n v="46750000"/>
    <s v="20241100801000005E"/>
    <s v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/>
    <m/>
  </r>
  <r>
    <n v="4"/>
    <n v="4"/>
    <m/>
    <m/>
    <x v="1"/>
    <s v="Suscripción Garantías"/>
    <s v="Renovación de garantía para equipos de infraestructura."/>
    <s v="Si"/>
    <s v="OASTI"/>
    <n v="2024"/>
    <n v="94"/>
    <s v="Si"/>
    <s v="Adjudicado 2024"/>
    <s v="Oswaldo Useche Acevedo"/>
    <s v="Daniel"/>
    <s v="Se envía a Daniel por Orfeo el 15 de febrero de 2024"/>
    <m/>
    <s v="SECOP II"/>
    <s v="Computel System S.A.S."/>
    <s v="Renovación de soporte y garantía de equipo de infraestructura "/>
    <s v="SASIE-001-2024"/>
    <s v="048-2024"/>
    <s v="N/A"/>
    <d v="2024-02-09T00:00:00"/>
    <d v="2024-02-09T00:00:00"/>
    <d v="2024-02-09T00:00:00"/>
    <d v="2024-03-08T00:00:00"/>
    <s v="- Dos Switches: 14/02/2024_x000a_-Cinco servidores _x000a_12/02/2024"/>
    <s v="- Dos Switches: 12/11/2026_x000a_-Cinco servidores: 11/02/2027 "/>
    <x v="1"/>
    <x v="1"/>
    <s v="Selección abreviada subasta inversa"/>
    <n v="194118482.31999999"/>
    <n v="0"/>
    <n v="194118482.31999999"/>
    <n v="0"/>
    <n v="194118482.31999999"/>
    <n v="0"/>
    <n v="250000000"/>
    <n v="55881517.680000007"/>
    <m/>
    <n v="1"/>
    <n v="194118482.31999999"/>
    <s v="N/A"/>
    <n v="1"/>
    <n v="0"/>
    <s v="20241100803000001E"/>
    <s v="https://www.secop.gov.co/CO1ContractsManagement/Tendering/ProcurementContractEdit/View?docUniqueIdentifier=CO1.PCCNTR.5900803&amp;awardUniqueIdentifier=CO1.AWD.1844823&amp;buyerDossierUniqueIdentifier=CO1.BDOS.5392298&amp;id=3304019"/>
    <m/>
  </r>
  <r>
    <n v="5"/>
    <n v="5"/>
    <m/>
    <m/>
    <x v="2"/>
    <s v="Centro de datos"/>
    <s v="servicios de centro de datos, Nube Privada IV"/>
    <s v="Si"/>
    <s v="OASTI"/>
    <n v="2023"/>
    <n v="100"/>
    <s v="No"/>
    <s v="Adjudicado 2023"/>
    <s v="Oswaldo Useche Acevedo"/>
    <s v="Jefferson Giraldo"/>
    <s v="Se envía por orfeo a Daniel el 29 de noviembre de 2023._x000a_16 de julio se envía para que el apoyo sea Jefferson Griraldo"/>
    <m/>
    <s v="TVEC"/>
    <s v="Comunicación Celular S.A Comcel S.A"/>
    <s v="Orden de compra para la prestación de servicios de centro de datos para los sistemas misionales de la Agencia Nacional de Defensa Jurídica del Estado."/>
    <n v="162174"/>
    <s v="157-2023"/>
    <n v="121005"/>
    <d v="2023-11-28T00:00:00"/>
    <d v="2023-12-06T00:00:00"/>
    <d v="2023-12-14T00:00:00"/>
    <d v="2025-12-22T00:00:00"/>
    <s v="No Aplica"/>
    <s v="No aplica"/>
    <x v="1"/>
    <x v="2"/>
    <s v="Acuerdo Marco de Precios "/>
    <n v="120586666.84999999"/>
    <n v="0"/>
    <n v="120586666.84999999"/>
    <n v="6381044.4221000075"/>
    <n v="60293333.439999998"/>
    <n v="53912288.987899996"/>
    <n v="0"/>
    <n v="0"/>
    <m/>
    <n v="7"/>
    <n v="29555554"/>
    <n v="5024444.4099999992"/>
    <n v="0.49"/>
    <n v="30737779.439999998"/>
    <s v="2023110080700005E"/>
    <s v="https://www.colombiacompra.gov.co/tienda-virtual-del-estado-colombiano/ordenes-compra/121005_x000a_"/>
    <m/>
  </r>
  <r>
    <n v="6"/>
    <n v="6"/>
    <m/>
    <m/>
    <x v="2"/>
    <s v="Conectividad"/>
    <s v="Internet Agencia y canal entre sistemas de información"/>
    <s v="Si"/>
    <s v="OASTI"/>
    <n v="2023"/>
    <n v="98"/>
    <s v="No"/>
    <s v="Adjudicado 2023"/>
    <s v="Oswaldo Useche Acevedo"/>
    <s v="Jefferson Giraldo"/>
    <s v="Se envía por orfeo a Daniel el 29 de noviembre de 2023._x000a_16 de julio se envía para que el apoyo sea Jefferson Griraldo"/>
    <m/>
    <s v="TVEC"/>
    <s v="Comunicación Celular S.A Comcel S.A"/>
    <s v="Prestación de servicios de conectividad para la Agencia Nacional de Defensa_x000a_Jurídica del Estado."/>
    <n v="162171"/>
    <s v="150-2023"/>
    <n v="120075"/>
    <d v="2023-11-17T00:00:00"/>
    <d v="2023-11-27T00:00:00"/>
    <d v="2023-12-23T00:00:00"/>
    <d v="2024-11-07T00:00:00"/>
    <s v="No Aplica"/>
    <s v="No aplica"/>
    <x v="1"/>
    <x v="2"/>
    <s v="Acuerdo Marco de Precios "/>
    <n v="52210518.659999996"/>
    <n v="0"/>
    <n v="52210518.659999996"/>
    <n v="5750723.7799999937"/>
    <n v="46459794.880000003"/>
    <n v="0"/>
    <n v="0"/>
    <n v="0"/>
    <m/>
    <n v="7"/>
    <n v="31780315"/>
    <n v="4540045.0999999996"/>
    <n v="0.68"/>
    <n v="14679479.880000003"/>
    <s v="2023110080700004E"/>
    <s v="https://www.colombiacompra.gov.co/tienda-virtual-del-estado-colombiano/ordenes-compra/120075"/>
    <m/>
  </r>
  <r>
    <n v="7"/>
    <n v="7"/>
    <m/>
    <m/>
    <x v="3"/>
    <s v="Fábrica de software"/>
    <s v="Servicios de desarrollo de software para la funcionalidad de Extrajudiciales"/>
    <s v="No"/>
    <s v="OASTI-DGI"/>
    <n v="2023"/>
    <n v="120"/>
    <s v="No"/>
    <s v="Adjudicado 2023"/>
    <s v="Oswaldo Useche Acevedo"/>
    <s v="Diana Giovanna Rivera Pineda "/>
    <s v="Se envía por orfeo a Giovanna el 27 de agosto de 2023"/>
    <m/>
    <s v="SECOP II"/>
    <s v="LinkTIC S.A.S."/>
    <s v="Contratar la prestación de servicios de desarrollo de software e implementación del módulo de conciliaciones extrajudiciales que hace parte del eKOGUI."/>
    <s v="AEI desarrollo de software e implementación"/>
    <s v="BID-049-2023"/>
    <s v="N/A"/>
    <d v="2023-08-03T00:00:00"/>
    <d v="2023-08-10T00:00:00"/>
    <d v="2023-08-10T00:00:00"/>
    <d v="2024-09-30T00:00:00"/>
    <s v="No Aplica"/>
    <s v="No aplica"/>
    <x v="0"/>
    <x v="3"/>
    <s v="Servicio de consultoría"/>
    <n v="1038872287"/>
    <n v="0"/>
    <n v="1038872287"/>
    <n v="93891229"/>
    <n v="944981058"/>
    <n v="0"/>
    <n v="0"/>
    <n v="0"/>
    <m/>
    <n v="2"/>
    <n v="327405386"/>
    <s v="N/A"/>
    <n v="0.35"/>
    <n v="617575672"/>
    <s v="2023104450100002E"/>
    <s v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/>
    <s v="-El 26 de marzo se realiza el Otrosí No. 4 para el contrato, donde, el plazo de ejecución va hasta el 30 de septiembre de 2024 sin adición de recursos."/>
  </r>
  <r>
    <n v="8"/>
    <n v="8"/>
    <n v="80111614"/>
    <s v="A-02-02-02-008-003"/>
    <x v="0"/>
    <s v="Ekogui"/>
    <s v="Pruebas Operación"/>
    <s v="Si"/>
    <s v="OASTI"/>
    <n v="2024"/>
    <n v="111"/>
    <s v="Si"/>
    <s v="Adjudicado 2024"/>
    <s v="Oswaldo Useche Acevedo"/>
    <s v="Diana Giovanna Rivera Pineda "/>
    <s v="Se envía a Giovana por Orfeo el 23 de enero de 2024"/>
    <m/>
    <s v="SECOP II"/>
    <s v="Solanyel Guerrero Fúneme"/>
    <s v="Prestación de servicios profesionales para revisión de flujos de procesos y pruebas para la operación del eKOGUI."/>
    <s v="CD-018-2024"/>
    <s v="18-2024"/>
    <s v="N/A"/>
    <d v="2024-01-19T00:00:00"/>
    <d v="2024-01-22T00:00:00"/>
    <d v="2024-01-23T00:00:00"/>
    <d v="2024-12-20T00:00:00"/>
    <s v="No Aplica"/>
    <s v="No aplica"/>
    <x v="1"/>
    <x v="0"/>
    <s v="Persona Natural (Contratista)"/>
    <n v="104183350"/>
    <n v="0"/>
    <n v="104183350"/>
    <n v="0"/>
    <n v="104183350"/>
    <n v="0"/>
    <n v="104500000"/>
    <n v="316650"/>
    <m/>
    <n v="7"/>
    <n v="59533333"/>
    <n v="9500000"/>
    <n v="0.56999999999999995"/>
    <n v="44650017"/>
    <s v="20241100801000004E"/>
    <s v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/>
    <m/>
  </r>
  <r>
    <n v="9"/>
    <n v="9"/>
    <n v="80111614"/>
    <s v="A-02-02-02-008-003"/>
    <x v="0"/>
    <s v="Ekogui"/>
    <s v="Pruebas Operación"/>
    <s v="Si"/>
    <s v="OASTI"/>
    <n v="2024"/>
    <n v="110"/>
    <s v="Si"/>
    <s v="Adjudicado 2024"/>
    <s v="Oswaldo Useche Acevedo"/>
    <s v="Diana Giovanna Rivera Pineda "/>
    <s v="Se envía a Giovana por Orfeo el 23 de enero de 2024"/>
    <m/>
    <s v="SECOP II"/>
    <s v="Liliana Maritza Urueña Rodriguez"/>
    <s v="Prestación de servicios profesionales para revisión de flujos de procesos y pruebas para la operación del eKOGUI."/>
    <s v="CD-020-2024"/>
    <s v="020-2024"/>
    <s v="N/A"/>
    <d v="2024-01-19T00:00:00"/>
    <d v="2024-01-22T00:00:00"/>
    <d v="2024-01-23T00:00:00"/>
    <d v="2024-12-20T00:00:00"/>
    <s v="No Aplica"/>
    <s v="No aplica"/>
    <x v="1"/>
    <x v="0"/>
    <s v="Persona Natural (Contratista)"/>
    <n v="104183350"/>
    <n v="0"/>
    <n v="104183350"/>
    <n v="0"/>
    <n v="104183350"/>
    <n v="0"/>
    <n v="104500000"/>
    <n v="316650"/>
    <m/>
    <n v="7"/>
    <n v="59850000"/>
    <n v="9500000"/>
    <n v="0.56999999999999995"/>
    <n v="44333350"/>
    <s v="20241100801000003E"/>
    <s v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/>
    <m/>
  </r>
  <r>
    <n v="10"/>
    <n v="10"/>
    <n v="80111614"/>
    <s v="A-02-02-02-008-003"/>
    <x v="0"/>
    <s v="Ekogui"/>
    <s v="Migración y Calidad de Datos"/>
    <s v="Si"/>
    <s v="OASTI"/>
    <n v="2024"/>
    <n v="113"/>
    <s v="Si"/>
    <s v="Adjudicado 2024"/>
    <s v="Oswaldo Useche Acevedo"/>
    <s v="Diana Giovanna Rivera Pineda "/>
    <s v="Se envía a Giovana por Orfeo el 23 de enero de 2024"/>
    <m/>
    <s v="SECOP II"/>
    <s v="Claudia Marcela Peña Hernandez"/>
    <s v="Prestación de servicios profesionales para la migración y calidad de datos de eKOGUI."/>
    <s v="CD-014-2024"/>
    <s v="014-2024"/>
    <s v="N/A"/>
    <d v="2024-01-17T00:00:00"/>
    <d v="2024-01-19T00:00:00"/>
    <d v="2024-01-22T00:00:00"/>
    <d v="2024-12-20T00:00:00"/>
    <s v="No Aplica"/>
    <s v="No aplica"/>
    <x v="1"/>
    <x v="0"/>
    <s v="Persona Natural (Contratista)"/>
    <n v="187000000"/>
    <n v="0"/>
    <n v="187000000"/>
    <n v="0"/>
    <n v="187000000"/>
    <n v="0"/>
    <n v="187000000"/>
    <n v="0"/>
    <m/>
    <n v="7"/>
    <n v="107100000"/>
    <n v="17000000"/>
    <n v="0.56999999999999995"/>
    <n v="79900000"/>
    <s v="20241100801000002E"/>
    <s v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/>
    <m/>
  </r>
  <r>
    <n v="11"/>
    <n v="11"/>
    <n v="80111614"/>
    <s v="A-02-02-02-008-003"/>
    <x v="0"/>
    <s v="Ekogui"/>
    <s v="Pruebas transformación "/>
    <s v="Si"/>
    <s v="OASTI"/>
    <n v="2024"/>
    <n v="114"/>
    <s v="Si"/>
    <s v="Adjudicado 2024"/>
    <s v="Oswaldo Useche Acevedo"/>
    <s v="Diana Giovanna Rivera Pineda "/>
    <s v="Se envía a Giovana por Orfeo el 29 de enero de 2024"/>
    <m/>
    <s v="SECOP II"/>
    <s v="Gigliola Esmeralda Montañez Murillo"/>
    <s v="Prestación de servicios profesionales para apoyar la articulación de los roles de pruebas funcionales para la evolución y transformación del eKOGUI."/>
    <s v="CD-022-2024"/>
    <s v="022-2024"/>
    <s v="N/A"/>
    <d v="2024-01-23T00:00:00"/>
    <d v="2024-01-24T00:00:00"/>
    <d v="2024-01-25T00:00:00"/>
    <d v="2024-12-20T00:00:00"/>
    <s v="No Aplica"/>
    <s v="No aplica"/>
    <x v="1"/>
    <x v="0"/>
    <s v="Persona Natural (Contratista)"/>
    <n v="187000000"/>
    <n v="0"/>
    <n v="187000000"/>
    <n v="0"/>
    <n v="187000000"/>
    <n v="0"/>
    <n v="187000000"/>
    <n v="0"/>
    <m/>
    <n v="7"/>
    <n v="105400000"/>
    <n v="17000000"/>
    <n v="0.56000000000000005"/>
    <n v="81600000"/>
    <s v="20241100801000006E"/>
    <s v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/>
    <m/>
  </r>
  <r>
    <n v="12"/>
    <n v="12"/>
    <m/>
    <m/>
    <x v="0"/>
    <s v="Ekogui"/>
    <s v="Desarrollador"/>
    <s v="Si"/>
    <s v="OASTI"/>
    <n v="2024"/>
    <n v="108"/>
    <s v="Si"/>
    <s v="Adjudicado 2024"/>
    <s v="Oswaldo Useche Acevedo"/>
    <s v="Diana Giovanna Rivera Pineda "/>
    <s v="Se envía a Giovana por Orfeo el 12 de febrero de 2024"/>
    <m/>
    <s v="SECOP II"/>
    <s v="Michael Andres Salgado Salazar"/>
    <s v="Consultoría  como  desarrollador de software senior en el marco de la operación y evolución del eKOGUI"/>
    <s v="CO-L1251-P187516_x0009_"/>
    <s v="BID 006 2024"/>
    <s v="N/A"/>
    <d v="2024-02-01T00:00:00"/>
    <d v="2024-02-02T00:00:00"/>
    <s v="No Aplica"/>
    <d v="2024-12-20T00:00:00"/>
    <s v="No Aplica"/>
    <s v="No aplica"/>
    <x v="0"/>
    <x v="0"/>
    <s v="Persona Natural (Contratista)"/>
    <n v="148500000"/>
    <n v="0"/>
    <n v="148500000"/>
    <n v="0"/>
    <n v="148500000"/>
    <n v="0"/>
    <n v="148500000"/>
    <n v="0"/>
    <m/>
    <n v="6"/>
    <n v="81000000"/>
    <n v="13500000"/>
    <n v="0.55000000000000004"/>
    <n v="67500000"/>
    <s v="20241044501000010E"/>
    <s v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/>
    <m/>
  </r>
  <r>
    <n v="13"/>
    <n v="13"/>
    <m/>
    <m/>
    <x v="0"/>
    <s v="Ekogui"/>
    <s v="Desarrollador  "/>
    <s v="Si"/>
    <s v="OASTI"/>
    <n v="2024"/>
    <n v="107"/>
    <s v="Si"/>
    <s v="Adjudicado 2024"/>
    <s v="Oswaldo Useche Acevedo"/>
    <s v="Diana Giovanna Rivera Pineda "/>
    <s v="Se envía a Giovana por Orfeo el 12 de febrero de 2024"/>
    <m/>
    <s v="SECOP II"/>
    <s v="Carlos Andres Gómez Durán"/>
    <s v="Consultoría para acompañar a la Oficina Asesora de Tecnologías de la información  como desarrollador de software senior en el marco de la operación y evolución del eKOGUI."/>
    <s v="CO-L1251- P187515"/>
    <s v="BID 007 2024"/>
    <s v="N/A"/>
    <d v="2024-02-01T00:00:00"/>
    <d v="2023-02-05T00:00:00"/>
    <s v="No Aplica"/>
    <d v="2024-12-20T00:00:00"/>
    <s v="No Aplica"/>
    <s v="No aplica"/>
    <x v="0"/>
    <x v="0"/>
    <s v="Persona Natural (Contratista)"/>
    <n v="148500000"/>
    <n v="0"/>
    <n v="148500000"/>
    <n v="0"/>
    <n v="148500000"/>
    <n v="0"/>
    <n v="148500000"/>
    <n v="0"/>
    <m/>
    <n v="6"/>
    <n v="81000000"/>
    <n v="13500000"/>
    <n v="0.55000000000000004"/>
    <n v="67500000"/>
    <s v="20241044501000011E"/>
    <s v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/>
    <m/>
  </r>
  <r>
    <n v="14"/>
    <n v="14"/>
    <m/>
    <m/>
    <x v="0"/>
    <s v="Ekogui"/>
    <s v="Requerimientos Líder"/>
    <s v="Si"/>
    <s v="OASTI"/>
    <n v="2024"/>
    <n v="115"/>
    <s v="Si"/>
    <s v="Adjudicado 2024"/>
    <s v="Oswaldo Useche Acevedo"/>
    <s v="Diana Giovanna Rivera Pineda "/>
    <s v="Se envía a Giovana por Orfeo el 12 de febrero de 2024"/>
    <m/>
    <s v="SECOP II"/>
    <s v="Julia Alejandra Leal López"/>
    <s v="Consultoría individual como lider del equipo de levantamiento de flujos de procesos y requisitos funcionales para el mejoramiento y evolución del Sistema eKOGUI."/>
    <s v="CO-L1251- P187518"/>
    <s v="BID 008 2024"/>
    <s v="N/A"/>
    <d v="2024-02-01T00:00:00"/>
    <d v="2023-02-05T00:00:00"/>
    <s v="No Aplica"/>
    <d v="2024-12-20T00:00:00"/>
    <s v="No Aplica"/>
    <s v="No aplica"/>
    <x v="0"/>
    <x v="0"/>
    <s v="Persona Natural (Contratista)"/>
    <n v="132000000"/>
    <n v="0"/>
    <n v="132000000"/>
    <n v="0"/>
    <n v="132000000"/>
    <n v="0"/>
    <n v="132000000"/>
    <n v="0"/>
    <m/>
    <n v="6"/>
    <n v="72000000"/>
    <n v="12000000"/>
    <n v="0.55000000000000004"/>
    <n v="60000000"/>
    <s v="20241044501000012E"/>
    <s v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/>
    <m/>
  </r>
  <r>
    <n v="15"/>
    <n v="15"/>
    <m/>
    <m/>
    <x v="0"/>
    <s v="Ekogui"/>
    <s v="Arquitecto de Software"/>
    <s v="Si"/>
    <s v="OASTI"/>
    <n v="2024"/>
    <n v="109"/>
    <s v="Si"/>
    <s v="Adjudicado 2024"/>
    <s v="Oswaldo Useche Acevedo"/>
    <s v="Diana Giovanna Rivera Pineda "/>
    <s v="Se envía a Giovana por Orfeo el 12 de febrero de 2024"/>
    <m/>
    <s v="SECOP II"/>
    <s v="Carlos Alberto López Narváez"/>
    <s v="Consultoría para acompañar a la Oficina Asesora de Tecnologías de la información  como Arquitecto de Software en el marco de la evolución y transformación del eKOGUI"/>
    <s v="CO-L1241-P187517"/>
    <s v="BID 009 2024"/>
    <s v="N/A"/>
    <d v="2024-02-01T00:00:00"/>
    <d v="2023-02-02T00:00:00"/>
    <s v="No Aplica"/>
    <d v="2024-12-20T00:00:00"/>
    <s v="No Aplica"/>
    <s v="No aplica"/>
    <x v="0"/>
    <x v="0"/>
    <s v="Persona Natural (Contratista)"/>
    <n v="121000000"/>
    <n v="0"/>
    <n v="121000000"/>
    <n v="0"/>
    <n v="121000000"/>
    <n v="0"/>
    <n v="121000000"/>
    <n v="0"/>
    <m/>
    <n v="6"/>
    <n v="66000000"/>
    <n v="11000000"/>
    <n v="0.55000000000000004"/>
    <n v="55000000"/>
    <s v="20241044501000014E"/>
    <s v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/>
    <m/>
  </r>
  <r>
    <n v="16"/>
    <n v="16"/>
    <m/>
    <m/>
    <x v="0"/>
    <s v="Ekogui"/>
    <s v="Arquitecto de Soluciones"/>
    <s v="Si"/>
    <s v="OASTI"/>
    <n v="2024"/>
    <n v="104"/>
    <s v="Si"/>
    <s v="Adjudicado 2024"/>
    <s v="Oscar Javier Suarez Ramos"/>
    <s v="Diana Giovanna Rivera Pineda "/>
    <m/>
    <m/>
    <s v="SECOP II"/>
    <s v="Diego Gabriel Forero Garcìa"/>
    <s v="Consultoría para acompañar a la Oficina Asesora de tecnologías de la información en la arquitectura de Soluciones de Negocio e Información en el marco de la evolución y transformación de los Sistemas de información misionales de la ANDJE."/>
    <s v="CO-L1251-P187512"/>
    <s v="BID 016 2024"/>
    <s v="N/A"/>
    <d v="2024-02-13T00:00:00"/>
    <d v="2024-02-16T00:00:00"/>
    <s v="No Aplica"/>
    <d v="2024-12-20T00:00:00"/>
    <s v="No Aplica"/>
    <s v="No aplica"/>
    <x v="0"/>
    <x v="0"/>
    <s v="Persona Natural (Contratista)"/>
    <n v="165000000"/>
    <n v="0"/>
    <n v="165000000"/>
    <n v="0"/>
    <n v="165000000"/>
    <n v="0"/>
    <n v="165000000"/>
    <n v="0"/>
    <m/>
    <n v="6"/>
    <n v="90000000"/>
    <n v="15000000"/>
    <n v="0.55000000000000004"/>
    <n v="75000000"/>
    <s v="20241044501000021E"/>
    <s v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/>
    <m/>
  </r>
  <r>
    <n v="17"/>
    <n v="17"/>
    <m/>
    <m/>
    <x v="2"/>
    <s v="Alquiler"/>
    <s v="Impresora"/>
    <s v="Si"/>
    <s v="OASTI"/>
    <n v="2023"/>
    <n v="226"/>
    <s v="No"/>
    <s v="Adjudicado 2023"/>
    <s v="Oswaldo Useche Acevedo"/>
    <s v="Jefferson Giraldo Muñoz"/>
    <s v="Se envía por orfeo a Jefferson el 6 de diciembre de 2023"/>
    <m/>
    <s v="TVEC"/>
    <s v="Gran Imagen S.A."/>
    <s v="Prestación de servicios de alquiler de impresoras para la Agencia Nacional de Defensa Jurídica del Estado"/>
    <n v="205529"/>
    <s v="162-2023"/>
    <n v="121233"/>
    <d v="2023-11-29T00:00:00"/>
    <d v="2023-12-05T00:00:00"/>
    <d v="2023-12-05T00:00:00"/>
    <d v="2025-04-30T00:00:00"/>
    <s v="No Aplica"/>
    <s v="No aplica"/>
    <x v="1"/>
    <x v="2"/>
    <s v="Acuerdo Marco de Precios "/>
    <n v="37300074"/>
    <n v="0"/>
    <n v="37300074"/>
    <n v="2194122"/>
    <n v="26329464"/>
    <n v="8776488"/>
    <n v="0"/>
    <n v="0"/>
    <m/>
    <n v="7"/>
    <n v="13409930.310000001"/>
    <n v="2194122"/>
    <n v="0.51"/>
    <n v="12919533.689999999"/>
    <s v="2023110080700006E "/>
    <s v="https://www.colombiacompra.gov.co/tienda-virtual-del-estado-colombiano/ordenes-compra/121233"/>
    <m/>
  </r>
  <r>
    <n v="18"/>
    <n v="18"/>
    <m/>
    <m/>
    <x v="2"/>
    <s v="Mesa de Servicio"/>
    <s v="AMP Mesa de Servicio II. 3 profesionales y 3 técnicos"/>
    <s v="Si"/>
    <s v="OASTI"/>
    <n v="2023"/>
    <n v="95"/>
    <s v="No"/>
    <s v="Adjudicado 2023"/>
    <s v="Oswaldo Useche Acevedo"/>
    <s v="Jefferson Giraldo Muñoz"/>
    <s v="Se envía por orfeo a Jefferson el 19 de diciembre de 2023"/>
    <m/>
    <s v="TVEC"/>
    <s v="Unión Temporal Sinergy - Hi Ware"/>
    <s v="Orden de copra para adquirir servicios BPO y/o Mesa de ayuda de tecnologia que permita garantizar la operación de los sistemas misionales y de apoyo de la Agencia Nacional de Defensa Jurídica del Estado."/>
    <n v="163259"/>
    <s v="164-2023"/>
    <n v="121992"/>
    <d v="2023-12-07T00:00:00"/>
    <d v="2023-12-13T00:00:00"/>
    <d v="2023-12-13T00:00:00"/>
    <d v="2024-12-13T00:00:00"/>
    <s v="No Aplica"/>
    <s v="No aplica"/>
    <x v="1"/>
    <x v="2"/>
    <s v="Acuerdo Marco de Precios "/>
    <n v="547593718.28999996"/>
    <n v="52042085.560000002"/>
    <n v="599635803.8499999"/>
    <n v="15609124.010000002"/>
    <n v="584026679.84000003"/>
    <n v="0"/>
    <n v="0"/>
    <n v="0"/>
    <m/>
    <n v="6"/>
    <n v="288688948.88"/>
    <n v="51140690.039999999"/>
    <n v="0.49"/>
    <n v="295337730.96000004"/>
    <s v="2023110080700003E"/>
    <s v="https://www.colombiacompra.gov.co/tienda-virtual-del-estado-colombiano/ordenes-compra/?number_order=121992&amp;state=&amp;entity=&amp;tool=&amp;date_to&amp;date_from"/>
    <m/>
  </r>
  <r>
    <n v="19"/>
    <n v="19"/>
    <m/>
    <m/>
    <x v="4"/>
    <s v="Gestión Documental"/>
    <s v="Licenciamiento de gestor documental orfeo"/>
    <s v="Si"/>
    <s v="OASTI"/>
    <n v="2023"/>
    <n v="246"/>
    <s v="No"/>
    <s v="Adjudicado 2023"/>
    <s v="Oswaldo Useche Acevedo - Carlos Andrés Higuera Velez"/>
    <s v="Jefferson Giraldo Muñoz"/>
    <s v="Se envía por orfeo a Jefferson el 7 de diciembre de 2023"/>
    <m/>
    <s v="SECOP II"/>
    <s v="Servisoft S.A. "/>
    <s v="Adquirir licenciamiento de un sistema de gestión documental electrónico de archivo – SGDEA- que incluya implementación, capacitación, soporte y mantenimiento en el marco del Programa de Fortalecimiento de la Agencia Nacional de Defensa Jurídica del Estado”"/>
    <s v="CO-L1251-P173216"/>
    <s v="BID-055-2023"/>
    <s v="N/A"/>
    <d v="2023-11-30T00:00:00"/>
    <d v="2023-12-05T00:00:00"/>
    <s v="No Aplica"/>
    <d v="2024-09-04T00:00:00"/>
    <s v="No Aplica"/>
    <s v="No aplica"/>
    <x v="0"/>
    <x v="3"/>
    <s v="Servicio de consultoría"/>
    <n v="1272271483"/>
    <n v="0"/>
    <n v="1272271483"/>
    <n v="868916461"/>
    <n v="403355022"/>
    <n v="0"/>
    <n v="0"/>
    <n v="0"/>
    <m/>
    <n v="0"/>
    <n v="0"/>
    <s v="N/A"/>
    <n v="0"/>
    <n v="403355022"/>
    <s v="20231044501000064E"/>
    <s v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/>
    <s v="-27 de junio de 2024 se realiza prorroga al contrato con fecha de corte del 4 de septiembre"/>
  </r>
  <r>
    <n v="20"/>
    <n v="20"/>
    <m/>
    <m/>
    <x v="2"/>
    <s v="Alquiler"/>
    <s v="VideoProyectores"/>
    <s v="Si"/>
    <s v="OASTI"/>
    <n v="2023"/>
    <n v="245"/>
    <s v="No"/>
    <s v="Adjudicado 2023"/>
    <s v="Oswaldo Useche Acevedo"/>
    <s v="Jefferson Giraldo Muñoz"/>
    <s v="Se envía por orfeo a Jefferson el 28 de diciembre de 2023"/>
    <m/>
    <s v="TVEC"/>
    <s v="Colsof SAS"/>
    <s v="Prestación de servicios de alquiler de video proyectores para la Agencia Nacional de Defensa Jurídica del Estado. "/>
    <n v="206721"/>
    <s v="165-2023"/>
    <n v="122184"/>
    <d v="2023-12-11T00:00:00"/>
    <d v="2023-12-15T00:00:00"/>
    <d v="2023-12-15T00:00:00"/>
    <d v="2025-11-22T00:00:00"/>
    <s v="No Aplica"/>
    <s v="No aplica"/>
    <x v="1"/>
    <x v="2"/>
    <s v="Acuerdo Marco de Precios "/>
    <n v="120685506.48"/>
    <n v="0"/>
    <n v="120685506.48"/>
    <n v="2742852.42"/>
    <n v="65828458.079999998"/>
    <n v="52114195.980000004"/>
    <n v="0"/>
    <n v="0"/>
    <m/>
    <n v="6"/>
    <n v="32914229.039999999"/>
    <n v="5485704.8399999999"/>
    <n v="0.5"/>
    <n v="32914229.039999999"/>
    <s v="2023110080700009E"/>
    <s v="https://www.colombiacompra.gov.co/tienda-virtual-del-estado-colombiano/ordenes-compra/122184_x000a_"/>
    <m/>
  </r>
  <r>
    <n v="21"/>
    <n v="21"/>
    <n v="80111614"/>
    <s v="A-02-02-02-008-003"/>
    <x v="0"/>
    <s v="Desarrollo"/>
    <s v="Desarrollador (Hardy) para temas de gestión documental"/>
    <s v="Si"/>
    <s v="OASTI"/>
    <n v="2024"/>
    <n v="83"/>
    <s v="Si"/>
    <s v="Adjudicado 2024"/>
    <s v="Oswaldo Useche Acevedo"/>
    <s v="Jefferson Giraldo Muñoz"/>
    <s v="Se envía a Liliana por Orfeo el 29 de enero de 2024._x000a_Se envía a Jfferson el 19 de febrero y se le quita la actividad a Liliana"/>
    <m/>
    <s v="SECOP II"/>
    <s v="Hardy Deimont Niño Velasquez"/>
    <s v="Prestación de servicios profesionales para acompañar a la Oficina Asesora de Tecnologías de la Información en  el desarrollo de las nuevas funcionalidades en los portales o cualquier otra aplicación que permita tener contacto con los grupos de interés de la Agencia Nacional de Defensa Jurídica del Estado."/>
    <s v="CD-024-2024"/>
    <s v="024-2024"/>
    <s v="N/A"/>
    <d v="2024-01-23T00:00:00"/>
    <d v="2024-01-24T00:00:00"/>
    <d v="2024-01-24T00:00:00"/>
    <d v="2024-12-20T00:00:00"/>
    <s v="No Aplica"/>
    <s v="No aplica"/>
    <x v="1"/>
    <x v="0"/>
    <s v="Persona Natural (Contratista)"/>
    <n v="101790360"/>
    <n v="0"/>
    <n v="101790360"/>
    <n v="0"/>
    <n v="101790360"/>
    <n v="0"/>
    <n v="101790360.76000001"/>
    <n v="0.76000000536441803"/>
    <m/>
    <n v="6"/>
    <n v="48427534.43"/>
    <n v="9253669"/>
    <n v="0.48"/>
    <n v="53362825.57"/>
    <s v="20241100801000001E"/>
    <s v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/>
    <m/>
  </r>
  <r>
    <n v="22"/>
    <n v="22"/>
    <n v="81112501"/>
    <s v="A-02-02-02-008-004"/>
    <x v="2"/>
    <s v="Certificados Digitales"/>
    <s v="Certificados digitales: persona jurídica, función pública y wildcard"/>
    <s v="Si"/>
    <s v="OASTI"/>
    <n v="2024"/>
    <n v="86"/>
    <s v="Si"/>
    <s v="Adjudicado 2024"/>
    <s v="Jefferson Giraldo Muñoz y Carlos de Financiera"/>
    <s v="No aplica"/>
    <m/>
    <m/>
    <s v="SECOP II"/>
    <s v="CAMERFIRMA COLOMBIA S.A.S."/>
    <s v="Renovación y compra de certificados digitales de la Agencia Nacional de Defensa Juridica."/>
    <s v="MC-002-2024"/>
    <s v="063-2024"/>
    <s v="N/A"/>
    <d v="2024-03-02T00:00:00"/>
    <d v="2024-03-06T00:00:00"/>
    <d v="2024-03-11T00:00:00"/>
    <d v="2024-12-15T00:00:00"/>
    <s v="26/032024"/>
    <d v="2026-11-30T00:00:00"/>
    <x v="1"/>
    <x v="4"/>
    <s v="Mínima cuantía"/>
    <n v="2427600"/>
    <n v="0"/>
    <n v="2427600"/>
    <n v="0"/>
    <n v="2427600"/>
    <n v="0"/>
    <n v="18371251"/>
    <n v="15943651"/>
    <s v="El 12 de marzo se remite correo  a Jennifer para liberación de saldos."/>
    <n v="4"/>
    <n v="2427600"/>
    <s v="N/A"/>
    <n v="1"/>
    <n v="0"/>
    <s v="20241100806000001E"/>
    <s v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/>
    <s v="-La wildcard esta por un periodo de dos años_x000a_-La firma jurídica esta por un periodo de dos años_x000a_-Los tokens están por un año y tienen diferentes fechas de vencimiento."/>
  </r>
  <r>
    <n v="23"/>
    <n v="23"/>
    <s v="43233502;_x000a_81112501"/>
    <m/>
    <x v="1"/>
    <s v="Suscripción Software"/>
    <s v="Stream Yard Pro. Renovar la suscripcón y esto pertenece a Dirección de política y estratégias."/>
    <s v="No"/>
    <s v="DPE"/>
    <n v="2024"/>
    <n v="76"/>
    <s v="Si"/>
    <s v="Adjudicado 2024"/>
    <s v="Diego Alexander Gamba"/>
    <s v="No aplica"/>
    <d v="2024-03-19T00:00:00"/>
    <m/>
    <s v="SECOP II"/>
    <s v="CORE IP S.A.S."/>
    <s v="Renovación del licenciamiento Stream Yard Pro para la Agencia Nacional de Defensa Jurídica del Estado."/>
    <s v="MC-003-2024"/>
    <s v="065-2024"/>
    <s v="N/A"/>
    <d v="2024-03-18T00:00:00"/>
    <d v="2024-03-19T00:00:00"/>
    <d v="2024-03-20T00:00:00"/>
    <d v="2024-04-03T00:00:00"/>
    <d v="2024-03-22T00:00:00"/>
    <d v="2025-03-22T00:00:00"/>
    <x v="1"/>
    <x v="4"/>
    <s v="Mínima cuantía"/>
    <n v="2125000"/>
    <n v="0"/>
    <n v="2125000"/>
    <n v="0"/>
    <n v="2125000"/>
    <n v="0"/>
    <n v="2550000"/>
    <n v="425000"/>
    <s v="El 3 de abril del 2024 se solicita la liberación de los recursos del CDP."/>
    <n v="1"/>
    <n v="2125000"/>
    <s v="N/A"/>
    <n v="1"/>
    <n v="0"/>
    <s v="20241100806000002E"/>
    <s v="https://www.secop.gov.co/CO1ContractsManagement/Tendering/ProcurementContractEdit/View?docUniqueIdentifier=CO1.PCCNTR.6111870&amp;awardUniqueIdentifier=CO1.AWD.1876133&amp;buyerDossierUniqueIdentifier=CO1.BDOS.5796313&amp;id=3462825"/>
    <m/>
  </r>
  <r>
    <n v="24"/>
    <n v="24"/>
    <n v="80111614"/>
    <s v="C-1205-0800-3-20110E-1205008-0202"/>
    <x v="0"/>
    <s v="Ekogui"/>
    <s v="Devops"/>
    <s v="Si"/>
    <s v="OASTI"/>
    <n v="2024"/>
    <n v="105"/>
    <s v="Si"/>
    <s v="Adjudicado 2024"/>
    <s v="Oswaldo Useche Acevedo"/>
    <s v="Diana Giovanna Rivera"/>
    <s v="16/07/2024 designacion a través de la secretaria general a Giovanna Rivera"/>
    <m/>
    <s v="SECOP II"/>
    <s v="Cristhian Alejandro Caycedo Torres"/>
    <s v="Consultoría para apoyar a la Oficina Asesora de Tecnologías de Ia Información en los despliegues en ambiente de produccion, tanto de funcionalidades como de herramientas y gestión de infraestructura  en el marco de la evolución y transformación del eKOGUI."/>
    <s v="CO- L1251-P187513"/>
    <s v="BID 019 2024"/>
    <s v="N/A"/>
    <d v="2024-03-22T00:00:00"/>
    <d v="2024-04-03T00:00:00"/>
    <s v="No Aplica"/>
    <d v="2024-12-20T00:00:00"/>
    <s v="No Aplica"/>
    <s v="No aplica"/>
    <x v="0"/>
    <x v="0"/>
    <s v="Comparación de HV"/>
    <n v="84000000"/>
    <n v="0"/>
    <n v="84000000"/>
    <n v="0"/>
    <n v="84000000"/>
    <n v="0"/>
    <n v="92400000"/>
    <n v="8400000"/>
    <s v="El 12 de abril del 2024 se solicita la liberación de los recursos del CDP."/>
    <n v="4"/>
    <n v="33600000"/>
    <n v="8400000"/>
    <n v="0.4"/>
    <n v="50400000"/>
    <s v="20241044501000026E"/>
    <s v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/>
    <s v="-Este contrato tiene nueve pagos._x000a_-Al inicio del contrato la supervisora era Giovanna _x000a_-El 3/05/2024 queda designado como supervisor el ingeniero Oswaldo"/>
  </r>
  <r>
    <n v="25"/>
    <n v="25"/>
    <n v="80111614"/>
    <s v="C-1205-0800-3-20110E-1205007-0201"/>
    <x v="0"/>
    <s v="Ekogui"/>
    <s v="Gobierno de Datos"/>
    <s v="Si"/>
    <s v="OASTI"/>
    <n v="2024"/>
    <n v="106"/>
    <s v="Si"/>
    <s v="Adjudicado 2024"/>
    <s v="Liliana Barbosa Carrillo"/>
    <s v="No aplica"/>
    <m/>
    <m/>
    <s v="SECOP II"/>
    <s v="Federico López Gil"/>
    <s v="Consultor individual que elabore la política, lineamientos e instrumentos propios para la adopción y apropiación de los casos de usos seleccionados en el Modelo de gobierno de datos y la adopción de la infraestructura de datos para la Agencia Nacional de Defensa Jurídica del Estado."/>
    <s v="CO-L1251-P187514"/>
    <s v="BID 018 2024"/>
    <s v="N/A"/>
    <d v="2024-03-22T00:00:00"/>
    <d v="2024-04-01T00:00:00"/>
    <s v="No Aplica"/>
    <d v="2024-12-20T00:00:00"/>
    <s v="No Aplica"/>
    <s v="No aplica"/>
    <x v="0"/>
    <x v="0"/>
    <s v="Contratación régimen especial - Contratación directa"/>
    <n v="140000000"/>
    <n v="0"/>
    <n v="140000000"/>
    <n v="0"/>
    <n v="140000000"/>
    <n v="0"/>
    <n v="140000000"/>
    <n v="0"/>
    <m/>
    <n v="4"/>
    <n v="56000000"/>
    <n v="14000000"/>
    <n v="0.4"/>
    <n v="84000000"/>
    <s v="20241044501000027E"/>
    <s v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/>
    <s v="-Este contrato tiene nueve pagos."/>
  </r>
  <r>
    <n v="26"/>
    <n v="26"/>
    <n v="81111801"/>
    <s v="C-1205-0800-3-20110E-1205008-0202"/>
    <x v="5"/>
    <s v="Seguridad"/>
    <s v="Ciberseguridad"/>
    <s v="Si"/>
    <s v="OASTI"/>
    <n v="2024"/>
    <n v="101"/>
    <s v="Si"/>
    <s v="Adjudicado 2024"/>
    <s v="Jenny Yasmin Pinzón Perilla"/>
    <s v="Carlos Adolfo Rangel Godoy"/>
    <s v="-14/06/2024 designación apoyo Carlos y Freddy_x000a_-16/07/2024 solicitud de designacion a través de la secretaria general a Carlos rangel"/>
    <m/>
    <s v="SECOP II"/>
    <s v="Controles Empresariales"/>
    <s v="Servicio ciberseguridad para monitoreo de seguridad, monitoreo de red, análisis de vulnerabilidades y plan de recuperación de desastres."/>
    <s v="24641"/>
    <s v="BID 027 2024"/>
    <s v="127948"/>
    <d v="2024-04-29T00:00:00"/>
    <d v="2024-05-08T00:00:00"/>
    <d v="2024-05-08T00:00:00"/>
    <d v="2024-11-30T00:00:00"/>
    <s v="No Aplica"/>
    <s v="No aplica"/>
    <x v="0"/>
    <x v="2"/>
    <s v="Acuerdo Marco de Precios "/>
    <n v="669139863.29999995"/>
    <n v="0"/>
    <n v="669139863.29999995"/>
    <n v="0"/>
    <n v="669139863.29999995"/>
    <n v="0"/>
    <n v="700000000"/>
    <n v="30860136.700000048"/>
    <s v="El 30 de abril del 2024 se solicita la liberación de los recursos del CDP."/>
    <n v="2"/>
    <n v="471095732.95999998"/>
    <s v="N/A"/>
    <n v="0.7"/>
    <n v="198044130.33999997"/>
    <s v="20241044501000032E"/>
    <s v="https://www.colombiacompra.gov.co/tienda-virtual-del-estado-colombiano/ordenes-compra/127948"/>
    <m/>
  </r>
  <r>
    <n v="28"/>
    <n v="28"/>
    <n v="80111614"/>
    <s v="C-1205-0800-3-20110E-1205008-0202"/>
    <x v="0"/>
    <s v="Ekogui"/>
    <s v="Servicios de calidad"/>
    <s v="Si"/>
    <s v="OASTI"/>
    <n v="2024"/>
    <n v="154"/>
    <s v="Si"/>
    <s v="Adjudicado 2024"/>
    <s v="Oswaldo Useche Acevedo"/>
    <s v="Diana Giovanna Rivera"/>
    <s v="16/07/2024 designacion a través de la secretaria general a Giovanna Rivera"/>
    <m/>
    <s v="SECOP II"/>
    <s v="Lesley Ofelia Mesa Páez"/>
    <s v="Consultoría individual como Analista de Flujos de Procesos y Requisitos funcionales para el mejoramiento de funcionalidades y evolución del sistema e-KOGUI."/>
    <s v="_x0009__x000a_CO-L1251-P199958"/>
    <s v="BID 023 2024"/>
    <s v="N/A"/>
    <d v="2024-04-15T00:00:00"/>
    <d v="2024-04-18T00:00:00"/>
    <s v="No Aplica"/>
    <d v="2024-12-20T00:00:00"/>
    <s v="No Aplica"/>
    <s v="No aplica"/>
    <x v="0"/>
    <x v="0"/>
    <s v="Contratación régimen especial - Comparación de hojas de vida (3CV)"/>
    <n v="76000000"/>
    <n v="0"/>
    <n v="76000000"/>
    <n v="0"/>
    <n v="76000000"/>
    <n v="0"/>
    <n v="76000000"/>
    <n v="0"/>
    <m/>
    <n v="2"/>
    <n v="19000000"/>
    <n v="9500000"/>
    <n v="0.25"/>
    <n v="57000000"/>
    <s v="20241044501000040E"/>
    <s v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/>
    <s v="El plazo de duración es de 8 meses y entrega 8 productos_x000a_-Al inicio del contrato la supervisora era Giovanna _x000a_-El 3/05/2024 queda designado como supervisor el ingeniero Oswaldo"/>
  </r>
  <r>
    <n v="29"/>
    <n v="29"/>
    <n v="80111614"/>
    <s v="A-02-02-02-008-003"/>
    <x v="0"/>
    <s v="Seguridad"/>
    <s v="Seguridad de la Información"/>
    <s v="Si"/>
    <s v="OASTI"/>
    <n v="2024"/>
    <n v="181"/>
    <s v="Si"/>
    <s v="Adjudicado 2024"/>
    <s v="Oscar Javier Suarez Ramos"/>
    <s v="Carlos Adolfo Rangel Godoy"/>
    <s v="16/07/2024 designacion a través de la secretaria general a Carlos rangel"/>
    <m/>
    <s v="SECOP II"/>
    <s v="Fredy Geovany Zea Rodriguez"/>
    <s v="Prestación de servicios profesionales especializados  para  apoyar  a la Agencia en  el seguimiento del modelo de seguridad y privacidad de la información y el acompañamiento en las actividades de definición, revisión, elaboración e implementación de políticas,   procedimientos,   estándares   y   demás acciones que se deban llevar  a  cabo  para la operación del respectivo modelo."/>
    <s v="CD-090-2024"/>
    <s v="098-2024"/>
    <s v="N/A"/>
    <d v="2024-05-15T00:00:00"/>
    <d v="2024-05-16T00:00:00"/>
    <d v="2024-05-16T00:00:00"/>
    <d v="2024-11-16T00:00:00"/>
    <s v="No Aplica"/>
    <s v="No aplica"/>
    <x v="1"/>
    <x v="0"/>
    <s v="Contratación Directa"/>
    <n v="75000000"/>
    <n v="0"/>
    <n v="75000000"/>
    <n v="0"/>
    <n v="75000000"/>
    <n v="0"/>
    <n v="75000000"/>
    <n v="0"/>
    <m/>
    <n v="3"/>
    <n v="31250000"/>
    <n v="12500000"/>
    <n v="0.42"/>
    <n v="43750000"/>
    <s v="20241100801000007E"/>
    <s v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/>
    <m/>
  </r>
  <r>
    <n v="30"/>
    <n v="30"/>
    <n v="81112200"/>
    <s v="A-02-02-02-008-004"/>
    <x v="1"/>
    <s v="Suscripción Software"/>
    <s v="Scripcase"/>
    <s v="Si"/>
    <s v="OASTI"/>
    <n v="2024"/>
    <n v="85"/>
    <s v="Si"/>
    <s v="Proceso pendiente 2024"/>
    <s v="Oswaldo Useche Acevedo"/>
    <s v="Jefferson Giraldo Muñoz "/>
    <s v="19/06/2024 designada el apoyo "/>
    <m/>
    <s v="SECOP II"/>
    <s v="SOFTWARE IT S.A.S."/>
    <s v="Renovación y soporte herramientas de  scripcase."/>
    <s v="MC-009-2024"/>
    <s v="105-2024"/>
    <s v="N/A"/>
    <d v="2024-06-08T00:00:00"/>
    <d v="2024-06-14T00:00:00"/>
    <d v="2024-06-19T00:00:00"/>
    <d v="2024-07-03T00:00:00"/>
    <d v="2024-06-21T00:00:00"/>
    <d v="2025-06-21T00:00:00"/>
    <x v="1"/>
    <x v="4"/>
    <s v="Mínima cuantía"/>
    <n v="9591400"/>
    <n v="0"/>
    <n v="9591400"/>
    <n v="0"/>
    <n v="9591400"/>
    <n v="0"/>
    <n v="20000000"/>
    <n v="10408600"/>
    <s v="20 de junio se solicita la liberacion del CDP."/>
    <n v="1"/>
    <n v="9591400"/>
    <s v="N/A"/>
    <n v="1"/>
    <n v="0"/>
    <s v="20241100806000003E"/>
    <s v="https://www.secop.gov.co/CO1ContractsManagement/Tendering/ProcurementContractEdit/View?docUniqueIdentifier=CO1.PCCNTR.6413217&amp;awardUniqueIdentifier=CO1.AWD.1946206&amp;buyerDossierUniqueIdentifier=CO1.BDOS.6150033&amp;id=3693003"/>
    <m/>
  </r>
  <r>
    <n v="31"/>
    <n v="31"/>
    <n v="81111801"/>
    <s v="C-1205-0800-3-20110E-1205005-0201"/>
    <x v="6"/>
    <s v="Consultoría"/>
    <s v="CRM enfocado en evolutivo"/>
    <s v="Si"/>
    <s v="OASTI"/>
    <n v="2024"/>
    <n v="102"/>
    <s v="Si"/>
    <s v="Proceso pendiente 2024"/>
    <s v="Oswaldo Useche Acevedo"/>
    <s v="Diego Alexander Gamba"/>
    <m/>
    <m/>
    <s v="SECOP II"/>
    <s v="Controles Empresariales"/>
    <s v="Mantenimiento de optimización de flujos de los procesos y/o flujos implementados con el producto Dynamics 365 en el marco del programa de fortalecimiento de la Agencia Nacional de Defensa Jurídica del Estado"/>
    <s v="CO-L1251-P212373"/>
    <s v="BID-039-2024"/>
    <s v="N/A"/>
    <d v="2024-07-12T00:00:00"/>
    <d v="2024-07-18T00:00:00"/>
    <s v="No Aplica"/>
    <d v="2024-12-13T00:00:00"/>
    <s v="No Aplica"/>
    <s v="No aplica"/>
    <x v="0"/>
    <x v="3"/>
    <s v="Contratación régimen especial - Contratación directa"/>
    <n v="99651170"/>
    <n v="0"/>
    <n v="99651170"/>
    <n v="0"/>
    <n v="99651170"/>
    <n v="0"/>
    <n v="100000000"/>
    <n v="348830"/>
    <s v="16 de julio 2024 se solicita la liberación del CDP."/>
    <n v="0"/>
    <n v="0"/>
    <s v="N/A"/>
    <n v="0"/>
    <n v="99651170"/>
    <s v="20241044501000045E"/>
    <s v="https://community.secop.gov.co/STS/users/issue.aspx?wa=wsignin1.0&amp;wtrealm=https%3a%2f%2fwww.secop.gov.co%2fCO1ContractsManagement&amp;wctx=rm%3d0%26id%3dpassive%26ru%3d%252fCO1ContractsManagement%252fTendering%252fProcurementContractEdit%252fView%253fdocUniqueIdentifier%253dCO1.PCCNTR.6474022%2526awardUniqueIdentifier%253d%2526buyerDossierUniqueIdentifier%253dCO1.BDOS.6312453%2526id%253d3730492&amp;wct=2024-07-16T16%3a12%3a14Z"/>
    <m/>
  </r>
  <r>
    <n v="32"/>
    <n v="32"/>
    <s v="81111800;81112000"/>
    <s v="C-1205-0800-3-20110E-1205008-0202"/>
    <x v="7"/>
    <s v="Centro de datos"/>
    <s v="Nube pública de Ekogui"/>
    <s v="Si"/>
    <s v="OASTI"/>
    <n v="2024"/>
    <n v="177"/>
    <s v="Si"/>
    <s v="Proceso pendiente 2024"/>
    <s v="Oswaldo Useche Acevedo"/>
    <s v="Oscar Javier Suarez Ramos"/>
    <s v="El 26 de julio se envía la solicitud a Secretaria General."/>
    <m/>
    <s v="SECOP II"/>
    <s v="Unión Temporal Tigo - Bext 2021"/>
    <s v="177. Adquirir capacidades de nube pública  AZURE y servicios  para realizar evoluciones funcionales y de rendimiento del Módulo de fichas de conciliación de eKOGUI, orientados a fortalecer la capacidad de gestión  misional de la Agencia Nacional de Defensa Jurídica  del Estado."/>
    <s v="CO-L1251-P 208997"/>
    <s v="BID 040 2024"/>
    <n v="131057"/>
    <d v="2024-07-19T00:00:00"/>
    <d v="2024-07-23T00:00:00"/>
    <d v="2024-07-25T00:00:00"/>
    <d v="2024-12-27T00:00:00"/>
    <s v="No Aplica"/>
    <s v="No aplica"/>
    <x v="0"/>
    <x v="5"/>
    <s v="Selección abreviada - acuerdo marco"/>
    <n v="997302719.26999998"/>
    <n v="0"/>
    <n v="997302719.26999998"/>
    <n v="0"/>
    <n v="997302719.26999998"/>
    <n v="0"/>
    <n v="1398000000"/>
    <n v="400697280.73000002"/>
    <m/>
    <n v="0"/>
    <n v="0"/>
    <s v="N/A"/>
    <n v="0"/>
    <n v="997302719.26999998"/>
    <s v="20241044501000047E"/>
    <s v="https://www.colombiacompra.gov.co/tienda-virtual-del-estado-colombiano/ordenes-compra/131057"/>
    <m/>
  </r>
  <r>
    <n v="27"/>
    <n v="27"/>
    <n v="80111614"/>
    <s v="C-1205-0800-3-20110E-1205008-0202"/>
    <x v="0"/>
    <s v="Ekogui"/>
    <s v="Servicios de requerimientos y calidad"/>
    <s v="Si"/>
    <s v="OASTI"/>
    <n v="2024"/>
    <n v="153"/>
    <s v="Si"/>
    <s v="Adjudicado 2024"/>
    <s v="Oswaldo Useche Acevedo"/>
    <s v="Diana Giovanna Rivera"/>
    <s v="16/07/2024 designacion a través de la secretaria general a Giovanna Rivera"/>
    <m/>
    <s v="SECOP II"/>
    <s v="Karen Andrea Pastrana Pérez"/>
    <s v="Consultor individual como analista de levantamiento de requisitos y/o aseguramiento de calidad de software   sobre   controles de cambio y/o nuevas funcionalidades para el sistema e-KOGUI."/>
    <s v="CO-L1251-P199961-153"/>
    <s v="BID 021 2024"/>
    <s v="N/A"/>
    <d v="2024-04-10T00:00:00"/>
    <d v="2024-04-11T00:00:00"/>
    <s v="No Aplica"/>
    <d v="2024-10-10T00:00:00"/>
    <s v="No Aplica"/>
    <s v="No aplica"/>
    <x v="0"/>
    <x v="0"/>
    <s v="Contratación régimen especial - Contratación directa"/>
    <n v="51000000"/>
    <n v="-17000000"/>
    <n v="34000000"/>
    <n v="0"/>
    <n v="34000000"/>
    <n v="0"/>
    <n v="51000000"/>
    <n v="0"/>
    <m/>
    <n v="2"/>
    <n v="17000000"/>
    <n v="8500000"/>
    <n v="0.5"/>
    <n v="17000000"/>
    <s v="20241044501000033E"/>
    <s v="https://www.secop.gov.co/CO1ContractsManagement/Tendering/ProcurementContractEdit/View?docUniqueIdentifier=CO1.PCCNTR.6194722&amp;awardUniqueIdentifier=&amp;buyerDossierUniqueIdentifier=CO1.BDOS.5947818&amp;id=3538656"/>
    <s v="El plazo de duración es de seis meses _x000a_-Al inicio del contrato la supervisora era Giovanna _x000a_-El 3/05/2024 queda designado como supervisor el ingeniero Oswaldo_x000a_-9 de agosto Solicito terminación anticipada y esta en trámite"/>
  </r>
  <r>
    <n v="33"/>
    <n v="33"/>
    <n v="80111614"/>
    <s v="C-1205-0800-3-20110E-1205008-0202"/>
    <x v="0"/>
    <s v="Ekogui"/>
    <s v="Servicios de requerimientos y calidad"/>
    <s v="Si"/>
    <s v="OASTI"/>
    <n v="2024"/>
    <n v="152"/>
    <s v="Si"/>
    <s v="Adjudicado 2024"/>
    <s v="Diana Giovanna Rivera Pineda y Lina Alejandra Morales Prieto"/>
    <s v="No aplica"/>
    <m/>
    <m/>
    <s v="SECOP II"/>
    <s v="Diego Francisco Moreno Guzmán"/>
    <s v="Consultor individual como analista de levantamiento de requisitos y/o aseguramiento de calidad de software sobre   controles de cambio y/o nuevas  funcionalidades para el sistema e-KOGUI."/>
    <s v="CO-L1251-P199961-152"/>
    <s v="BID 022 2024"/>
    <s v="N/A"/>
    <d v="2024-04-15T00:00:00"/>
    <d v="2024-04-16T00:00:00"/>
    <s v="No Aplica"/>
    <d v="2024-10-12T00:00:00"/>
    <s v="No Aplica"/>
    <s v="No aplica"/>
    <x v="0"/>
    <x v="0"/>
    <s v="Contratación régimen especial - Contratación directa"/>
    <n v="51000000"/>
    <n v="-42500000"/>
    <n v="8500000"/>
    <n v="0"/>
    <n v="8500000"/>
    <n v="0"/>
    <n v="51000000"/>
    <n v="0"/>
    <s v="El 23 de mayo se realiza la reduccióndel contrato."/>
    <n v="0"/>
    <n v="8500000"/>
    <n v="8500000"/>
    <n v="1"/>
    <n v="0"/>
    <s v="20241044501000039E"/>
    <s v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/>
    <s v="-El plazo de duración es de seis meses _x000a_-23/05/2024: terminación anticipada de contrato. Se ejecuto 8.500.000 y se libera 42.500.000"/>
  </r>
  <r>
    <n v="34"/>
    <n v="34"/>
    <n v="80111614"/>
    <s v="C-1205-0800-3-20110E-1205008-0202"/>
    <x v="0"/>
    <s v="Ekogui"/>
    <s v="Requerimientos"/>
    <s v="Si"/>
    <s v="OASTI"/>
    <n v="2024"/>
    <n v="38"/>
    <s v="Si"/>
    <s v="Adjudicado 2024"/>
    <s v="Oswaldo Useche Acevedo"/>
    <s v="Compartida DGI-OASTI (Giovanna)"/>
    <s v="Se envía a Giovana por Orfeo el 12 de febrero de 2024"/>
    <m/>
    <s v="SECOP II"/>
    <s v="Milena del Carmen Pulido Orellano"/>
    <s v="Consultoría  Individual  como  Analista de Flujos de Procesos  y  Requisitos  funcionales para  el mejoramiento de funcionalidades y evolución del sistema eKOGUI."/>
    <s v="CO-L1251-P187496"/>
    <s v="BID 010 2024"/>
    <s v="N/A"/>
    <d v="2024-02-07T00:00:00"/>
    <d v="2024-02-08T00:00:00"/>
    <s v="No Aplica"/>
    <d v="2024-06-30T00:00:00"/>
    <s v="No Aplica"/>
    <s v="No aplica"/>
    <x v="0"/>
    <x v="0"/>
    <s v="Persona Natural (Contratista)"/>
    <n v="47500000"/>
    <n v="-47500000"/>
    <n v="0"/>
    <n v="0"/>
    <n v="0"/>
    <n v="0"/>
    <n v="0"/>
    <n v="0"/>
    <m/>
    <n v="0"/>
    <n v="0"/>
    <n v="11875000"/>
    <n v="0"/>
    <n v="0"/>
    <s v="20241044501000015E"/>
    <s v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/>
    <s v="El contrato termino de forma anticipada y no se ejecuto presupuesto dentro del mismo, por eso se dejo el valor 0 ya que esto paso a la línea 154 de PAA que fue actualizada el 20 de febrero de 2024 con un presupuesto mayor para tener mayor tiempo de ejecución."/>
  </r>
  <r>
    <n v="35"/>
    <n v="35"/>
    <m/>
    <m/>
    <x v="0"/>
    <s v="Ekogui"/>
    <s v="Requerimientos"/>
    <s v="Si"/>
    <s v="OASTI"/>
    <n v="2024"/>
    <n v="52"/>
    <s v="Si"/>
    <s v="Adjudicado 2024"/>
    <s v="Oswaldo Useche Acevedo"/>
    <s v="Compartida DGI-OASTI (Giovanna)"/>
    <s v="Se envía a Giovana por Orfeo el 12 de febrero de 2024"/>
    <m/>
    <s v="SECOP II"/>
    <s v="Marxy Alejandra Botía González"/>
    <s v="Consultoría  Individual  como  Analista de Flujos de Procesos  y  Requisitos  funcionales para  el mejoramiento de funcionalidades y evolución del sistema eKOGUI."/>
    <s v="CO-L1251-P187499"/>
    <s v="BID 013 2024"/>
    <s v="N/A"/>
    <d v="2024-02-07T00:00:00"/>
    <d v="2024-02-09T00:00:00"/>
    <s v="No Aplica"/>
    <d v="2024-06-30T00:00:00"/>
    <s v="No Aplica"/>
    <s v="No aplica"/>
    <x v="0"/>
    <x v="0"/>
    <s v="Persona Natural (Contratista)"/>
    <n v="47500000"/>
    <n v="-47500000"/>
    <n v="0"/>
    <n v="0"/>
    <n v="0"/>
    <n v="0"/>
    <n v="0"/>
    <n v="0"/>
    <m/>
    <n v="0"/>
    <n v="0"/>
    <n v="11875000"/>
    <n v="0"/>
    <n v="0"/>
    <s v="20241044501000018E"/>
    <s v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/>
    <s v="El contrato termino de forma anticipada y no se ejecuto presupuesto dentro del mismo, por eso se dejo el valor 0 ya que esto paso a la línea 154 de PAA que fue actualizada el 20 de febrero de 2024 con un presupuesto mayor para tener mayor tiempo de ejecución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E2BC4-960D-4299-B046-E17DFDE840E2}" name="TablaDiná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46"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8" showAll="0"/>
    <pivotField numFmtId="168" showAll="0"/>
    <pivotField showAll="0"/>
    <pivotField showAll="0"/>
    <pivotField showAll="0"/>
    <pivotField numFmtId="168" showAll="0"/>
    <pivotField numFmtId="168" showAll="0"/>
    <pivotField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Adjudicado ?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655E8-7CB7-4294-B9DB-7BDC8E894736}" name="TablaDinámica6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:E28" firstHeaderRow="1" firstDataRow="2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7">
        <item x="2"/>
        <item x="4"/>
        <item x="0"/>
        <item x="1"/>
        <item x="3"/>
        <item x="5"/>
        <item t="default"/>
      </items>
    </pivotField>
    <pivotField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showAll="0"/>
    <pivotField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3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uenta de Fuente vigencia " fld="29" subtotal="count" baseField="0" baseItem="0"/>
  </dataFields>
  <formats count="10"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29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30" type="button" dataOnly="0" labelOnly="1" outline="0" axis="axisRow" fieldPosition="0"/>
    </format>
    <format dxfId="37">
      <pivotArea dataOnly="0" labelOnly="1" fieldPosition="0">
        <references count="1">
          <reference field="30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29" count="0"/>
        </references>
      </pivotArea>
    </format>
    <format dxfId="3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28E7CF-7523-45C9-91C9-BD9EEEDE9C4F}" name="TablaDinámica10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95:E102" firstHeaderRow="1" firstDataRow="2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6">
        <item x="1"/>
        <item x="3"/>
        <item x="4"/>
        <item x="2"/>
        <item x="0"/>
        <item t="default"/>
      </items>
    </pivotField>
    <pivotField showAll="0"/>
    <pivotField showAll="0"/>
    <pivotField numFmtId="168" showAll="0"/>
    <pivotField numFmtId="168" showAll="0"/>
    <pivotField showAll="0"/>
    <pivotField showAll="0"/>
    <pivotField showAll="0"/>
    <pivotField dataField="1" numFmtId="168" showAll="0"/>
    <pivotField numFmtId="168" showAll="0"/>
    <pivotField showAll="0"/>
    <pivotField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3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uma de Valor total asignado al PAA 2024" fld="38" baseField="0" baseItem="0" numFmtId="4"/>
  </dataFields>
  <formats count="1">
    <format dxfId="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D30288-2576-486C-862F-05620996D30E}" name="TablaDiná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:D6" firstHeaderRow="0" firstDataRow="1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numFmtId="168" showAll="0"/>
    <pivotField numFmtId="168" showAll="0"/>
    <pivotField numFmtId="168" showAll="0"/>
    <pivotField numFmtId="168" showAll="0"/>
    <pivotField dataField="1" numFmtId="168" showAll="0"/>
    <pivotField numFmtId="168" showAll="0"/>
    <pivotField numFmtId="168" showAll="0"/>
    <pivotField numFmtId="168" showAll="0"/>
    <pivotField showAll="0"/>
    <pivotField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Fuente vigencia " fld="29" subtotal="count" baseField="0" baseItem="0"/>
    <dataField name="Suma de Valor asignado al 2024" fld="36" baseField="0" baseItem="0" numFmtId="4"/>
  </dataFields>
  <formats count="7"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29" type="button" dataOnly="0" labelOnly="1" outline="0" axis="axisRow" fieldPosition="0"/>
    </format>
    <format dxfId="48">
      <pivotArea dataOnly="0" labelOnly="1" fieldPosition="0">
        <references count="1">
          <reference field="29" count="0"/>
        </references>
      </pivotArea>
    </format>
    <format dxfId="47">
      <pivotArea dataOnly="0" labelOnly="1" grandRow="1" outline="0" fieldPosition="0"/>
    </format>
    <format dxfId="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33271-B6A9-41A6-A19B-74C0C2321817}" name="TablaDinámica9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77:E84" firstHeaderRow="1" firstDataRow="2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6">
        <item x="1"/>
        <item x="3"/>
        <item x="4"/>
        <item x="2"/>
        <item x="0"/>
        <item t="default"/>
      </items>
    </pivotField>
    <pivotField showAll="0"/>
    <pivotField showAll="0"/>
    <pivotField numFmtId="168" showAll="0"/>
    <pivotField numFmtId="168" showAll="0"/>
    <pivotField showAll="0"/>
    <pivotField showAll="0"/>
    <pivotField showAll="0"/>
    <pivotField numFmtId="168" showAll="0"/>
    <pivotField numFmtId="168" showAll="0"/>
    <pivotField showAll="0"/>
    <pivotField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3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uenta de Fuente vigencia 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8BEA65-F068-427A-9EE0-CC610909D8FA}" name="TablaDinámica5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29:E139" firstHeaderRow="1" firstDataRow="2" firstDataCol="1"/>
  <pivotFields count="49">
    <pivotField numFmtId="1" showAll="0"/>
    <pivotField numFmtId="1" showAll="0"/>
    <pivotField showAll="0"/>
    <pivotField showAll="0"/>
    <pivotField axis="axisRow" showAll="0">
      <items count="14">
        <item m="1" x="11"/>
        <item x="0"/>
        <item m="1" x="9"/>
        <item x="1"/>
        <item x="5"/>
        <item m="1" x="12"/>
        <item x="2"/>
        <item m="1" x="8"/>
        <item m="1" x="10"/>
        <item x="3"/>
        <item x="6"/>
        <item x="7"/>
        <item x="4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showAll="0"/>
    <pivotField showAll="0"/>
    <pivotField dataField="1"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4"/>
  </rowFields>
  <rowItems count="9">
    <i>
      <x v="1"/>
    </i>
    <i>
      <x v="3"/>
    </i>
    <i>
      <x v="4"/>
    </i>
    <i>
      <x v="6"/>
    </i>
    <i>
      <x v="9"/>
    </i>
    <i>
      <x v="10"/>
    </i>
    <i>
      <x v="11"/>
    </i>
    <i>
      <x v="12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uma de Valor ejecutado vigencia 2024_x000a_Corte 31 de Julio_x000a_presupuesto 2024" fld="42" baseField="0" baseItem="0"/>
  </dataFields>
  <formats count="2">
    <format dxfId="53">
      <pivotArea collapsedLevelsAreSubtotals="1" fieldPosition="0">
        <references count="1">
          <reference field="4" count="0"/>
        </references>
      </pivotArea>
    </format>
    <format dxfId="5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0A92B3-8ABA-4C20-8A6B-2FCF48CF33A0}" name="TablaDinámica7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9:E47" firstHeaderRow="1" firstDataRow="2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7">
        <item x="2"/>
        <item x="4"/>
        <item x="0"/>
        <item x="5"/>
        <item x="1"/>
        <item x="3"/>
        <item t="default"/>
      </items>
    </pivotField>
    <pivotField showAll="0"/>
    <pivotField numFmtId="168" showAll="0"/>
    <pivotField numFmtId="168" showAll="0"/>
    <pivotField numFmtId="168" showAll="0"/>
    <pivotField numFmtId="168" showAll="0"/>
    <pivotField dataField="1" numFmtId="168" showAll="0"/>
    <pivotField numFmtId="168" showAll="0"/>
    <pivotField numFmtId="168" showAll="0"/>
    <pivotField numFmtId="168" showAll="0"/>
    <pivotField showAll="0"/>
    <pivotField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3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uma de Valor asignado al 2024" fld="36" baseField="0" baseItem="0" numFmtId="4"/>
  </dataFields>
  <formats count="11"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29" type="button" dataOnly="0" labelOnly="1" outline="0" axis="axisCol" fieldPosition="0"/>
    </format>
    <format dxfId="60">
      <pivotArea type="topRight" dataOnly="0" labelOnly="1" outline="0" fieldPosition="0"/>
    </format>
    <format dxfId="59">
      <pivotArea field="30" type="button" dataOnly="0" labelOnly="1" outline="0" axis="axisRow" fieldPosition="0"/>
    </format>
    <format dxfId="58">
      <pivotArea dataOnly="0" labelOnly="1" fieldPosition="0">
        <references count="1">
          <reference field="30" count="0"/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1">
          <reference field="29" count="0"/>
        </references>
      </pivotArea>
    </format>
    <format dxfId="55">
      <pivotArea dataOnly="0" labelOnly="1" grandCol="1" outline="0" fieldPosition="0"/>
    </format>
    <format dxfId="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0075D-366E-46A7-8FF4-771CAB4CBB82}" name="TablaDiná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16:E126" firstHeaderRow="1" firstDataRow="2" firstDataCol="1"/>
  <pivotFields count="49">
    <pivotField numFmtId="1" showAll="0"/>
    <pivotField numFmtId="1" showAll="0"/>
    <pivotField showAll="0"/>
    <pivotField showAll="0"/>
    <pivotField axis="axisRow" showAll="0">
      <items count="14">
        <item m="1" x="11"/>
        <item x="0"/>
        <item m="1" x="12"/>
        <item x="2"/>
        <item x="1"/>
        <item m="1" x="9"/>
        <item x="5"/>
        <item m="1" x="8"/>
        <item m="1" x="10"/>
        <item x="3"/>
        <item x="6"/>
        <item x="7"/>
        <item x="4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numFmtId="168" showAll="0"/>
    <pivotField numFmtId="168" showAll="0"/>
    <pivotField numFmtId="168" showAll="0"/>
    <pivotField numFmtId="168" showAll="0"/>
    <pivotField dataField="1" numFmtId="168" showAll="0"/>
    <pivotField numFmtId="168" showAll="0"/>
    <pivotField numFmtId="168" showAll="0"/>
    <pivotField numFmtId="168" showAll="0"/>
    <pivotField showAll="0"/>
    <pivotField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4"/>
  </rowFields>
  <rowItems count="9">
    <i>
      <x v="1"/>
    </i>
    <i>
      <x v="3"/>
    </i>
    <i>
      <x v="4"/>
    </i>
    <i>
      <x v="6"/>
    </i>
    <i>
      <x v="9"/>
    </i>
    <i>
      <x v="10"/>
    </i>
    <i>
      <x v="11"/>
    </i>
    <i>
      <x v="12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uma de Valor asignado al 2024" fld="36" baseField="0" baseItem="0"/>
  </dataFields>
  <formats count="2">
    <format dxfId="66">
      <pivotArea outline="0" collapsedLevelsAreSubtotals="1" fieldPosition="0"/>
    </format>
    <format dxfId="6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6ECE0C-0FC1-4862-BC96-8C5A4AEF79F8}" name="TablaDinámica8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60:D63" firstHeaderRow="0" firstDataRow="1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numFmtId="168" showAll="0"/>
    <pivotField numFmtId="168" showAll="0"/>
    <pivotField showAll="0"/>
    <pivotField showAll="0"/>
    <pivotField showAll="0"/>
    <pivotField dataField="1" numFmtId="168" showAll="0"/>
    <pivotField numFmtId="168" showAll="0"/>
    <pivotField showAll="0"/>
    <pivotField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Fuente vigencia " fld="29" subtotal="count" baseField="0" baseItem="0"/>
    <dataField name="Suma de Valor total asignado al PAA 2024" fld="38" baseField="0" baseItem="0" numFmtId="4"/>
  </dataFields>
  <formats count="1"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AA3DFA-04EB-4479-8994-89FC725622A2}" name="TablaDinámica7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9:E47" firstHeaderRow="1" firstDataRow="2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7">
        <item x="2"/>
        <item x="4"/>
        <item x="0"/>
        <item x="5"/>
        <item x="1"/>
        <item x="3"/>
        <item t="default"/>
      </items>
    </pivotField>
    <pivotField showAll="0"/>
    <pivotField numFmtId="168" showAll="0"/>
    <pivotField numFmtId="168" showAll="0"/>
    <pivotField numFmtId="168" showAll="0"/>
    <pivotField numFmtId="168" showAll="0"/>
    <pivotField dataField="1" numFmtId="168" showAll="0"/>
    <pivotField numFmtId="168" showAll="0"/>
    <pivotField numFmtId="168" showAll="0"/>
    <pivotField numFmtId="168" showAll="0"/>
    <pivotField showAll="0"/>
    <pivotField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3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uma de Valor asignado al 2024" fld="36" baseField="0" baseItem="0" numFmtId="4"/>
  </dataFields>
  <formats count="11"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29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30" type="button" dataOnly="0" labelOnly="1" outline="0" axis="axisRow" fieldPosition="0"/>
    </format>
    <format dxfId="4">
      <pivotArea dataOnly="0" labelOnly="1" fieldPosition="0">
        <references count="1">
          <reference field="30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29" count="0"/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CE4F3-AFA5-4433-9F38-60C9CE9B9B68}" name="TablaDinámica10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95:E102" firstHeaderRow="1" firstDataRow="2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6">
        <item x="1"/>
        <item x="3"/>
        <item x="4"/>
        <item x="2"/>
        <item x="0"/>
        <item t="default"/>
      </items>
    </pivotField>
    <pivotField showAll="0"/>
    <pivotField showAll="0"/>
    <pivotField numFmtId="168" showAll="0"/>
    <pivotField numFmtId="168" showAll="0"/>
    <pivotField showAll="0"/>
    <pivotField showAll="0"/>
    <pivotField showAll="0"/>
    <pivotField dataField="1" numFmtId="168" showAll="0"/>
    <pivotField numFmtId="168" showAll="0"/>
    <pivotField showAll="0"/>
    <pivotField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3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uma de Valor total asignado al PAA 2024" fld="38" baseField="0" baseItem="0" numFmtId="4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5C090A-870B-49C8-A167-CAC8BC495DA2}" name="TablaDinámica8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60:D63" firstHeaderRow="0" firstDataRow="1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numFmtId="168" showAll="0"/>
    <pivotField numFmtId="168" showAll="0"/>
    <pivotField showAll="0"/>
    <pivotField showAll="0"/>
    <pivotField showAll="0"/>
    <pivotField dataField="1" numFmtId="168" showAll="0"/>
    <pivotField numFmtId="168" showAll="0"/>
    <pivotField showAll="0"/>
    <pivotField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Fuente vigencia " fld="29" subtotal="count" baseField="0" baseItem="0"/>
    <dataField name="Suma de Valor total asignado al PAA 2024" fld="38" baseField="0" baseItem="0" numFmtId="4"/>
  </dataFields>
  <formats count="1">
    <format dxfId="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2AAF6-43F4-4EEA-8B67-7CCD96C497C0}" name="TablaDiná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16:E126" firstHeaderRow="1" firstDataRow="2" firstDataCol="1"/>
  <pivotFields count="49">
    <pivotField numFmtId="1" showAll="0"/>
    <pivotField numFmtId="1" showAll="0"/>
    <pivotField showAll="0"/>
    <pivotField showAll="0"/>
    <pivotField axis="axisRow" showAll="0">
      <items count="14">
        <item m="1" x="11"/>
        <item x="0"/>
        <item m="1" x="12"/>
        <item x="2"/>
        <item x="1"/>
        <item m="1" x="9"/>
        <item x="5"/>
        <item m="1" x="8"/>
        <item m="1" x="10"/>
        <item x="3"/>
        <item x="6"/>
        <item x="7"/>
        <item x="4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numFmtId="168" showAll="0"/>
    <pivotField numFmtId="168" showAll="0"/>
    <pivotField numFmtId="168" showAll="0"/>
    <pivotField numFmtId="168" showAll="0"/>
    <pivotField dataField="1" numFmtId="168" showAll="0"/>
    <pivotField numFmtId="168" showAll="0"/>
    <pivotField numFmtId="168" showAll="0"/>
    <pivotField numFmtId="168" showAll="0"/>
    <pivotField showAll="0"/>
    <pivotField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4"/>
  </rowFields>
  <rowItems count="9">
    <i>
      <x v="1"/>
    </i>
    <i>
      <x v="3"/>
    </i>
    <i>
      <x v="4"/>
    </i>
    <i>
      <x v="6"/>
    </i>
    <i>
      <x v="9"/>
    </i>
    <i>
      <x v="10"/>
    </i>
    <i>
      <x v="11"/>
    </i>
    <i>
      <x v="12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uma de Valor asignado al 2024" fld="36" baseField="0" baseItem="0"/>
  </dataFields>
  <formats count="2">
    <format dxfId="14">
      <pivotArea outline="0" collapsedLevelsAreSubtotals="1" fieldPosition="0"/>
    </format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79E94-ACD7-4FD0-9754-EF5EA5651AFE}" name="TablaDinámica5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28:E138" firstHeaderRow="1" firstDataRow="2" firstDataCol="1"/>
  <pivotFields count="49">
    <pivotField numFmtId="1" showAll="0"/>
    <pivotField numFmtId="1" showAll="0"/>
    <pivotField showAll="0"/>
    <pivotField showAll="0"/>
    <pivotField axis="axisRow" showAll="0">
      <items count="14">
        <item m="1" x="11"/>
        <item x="0"/>
        <item m="1" x="9"/>
        <item x="1"/>
        <item x="5"/>
        <item m="1" x="12"/>
        <item x="2"/>
        <item m="1" x="8"/>
        <item m="1" x="10"/>
        <item x="3"/>
        <item x="6"/>
        <item x="7"/>
        <item x="4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showAll="0"/>
    <pivotField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4"/>
  </rowFields>
  <rowItems count="9">
    <i>
      <x v="1"/>
    </i>
    <i>
      <x v="3"/>
    </i>
    <i>
      <x v="4"/>
    </i>
    <i>
      <x v="6"/>
    </i>
    <i>
      <x v="9"/>
    </i>
    <i>
      <x v="10"/>
    </i>
    <i>
      <x v="11"/>
    </i>
    <i>
      <x v="12"/>
    </i>
    <i t="grand">
      <x/>
    </i>
  </rowItems>
  <colFields count="1">
    <field x="29"/>
  </colFields>
  <colItems count="3">
    <i>
      <x/>
    </i>
    <i>
      <x v="1"/>
    </i>
    <i t="grand">
      <x/>
    </i>
  </colItems>
  <formats count="2">
    <format dxfId="16">
      <pivotArea collapsedLevelsAreSubtotals="1" fieldPosition="0">
        <references count="1">
          <reference field="4" count="0"/>
        </references>
      </pivotArea>
    </format>
    <format dxfId="1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F1DCFD-37FD-41B8-8610-062F40B8C179}" name="TablaDiná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:D6" firstHeaderRow="0" firstDataRow="1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numFmtId="168" showAll="0"/>
    <pivotField numFmtId="168" showAll="0"/>
    <pivotField numFmtId="168" showAll="0"/>
    <pivotField numFmtId="168" showAll="0"/>
    <pivotField dataField="1" numFmtId="168" showAll="0"/>
    <pivotField numFmtId="168" showAll="0"/>
    <pivotField numFmtId="168" showAll="0"/>
    <pivotField numFmtId="168" showAll="0"/>
    <pivotField showAll="0"/>
    <pivotField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Fuente vigencia " fld="29" subtotal="count" baseField="0" baseItem="0"/>
    <dataField name="Suma de Valor asignado al 2024" fld="36" baseField="0" baseItem="0" numFmtId="4"/>
  </dataFields>
  <formats count="7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29" type="button" dataOnly="0" labelOnly="1" outline="0" axis="axisRow" fieldPosition="0"/>
    </format>
    <format dxfId="20">
      <pivotArea dataOnly="0" labelOnly="1" fieldPosition="0">
        <references count="1">
          <reference field="29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92115-8066-4379-BA97-1730BE96FF1E}" name="TablaDinámica6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0:E28" firstHeaderRow="1" firstDataRow="2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7">
        <item x="2"/>
        <item x="4"/>
        <item x="0"/>
        <item x="1"/>
        <item x="3"/>
        <item x="5"/>
        <item t="default"/>
      </items>
    </pivotField>
    <pivotField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showAll="0"/>
    <pivotField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3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uenta de Fuente vigencia " fld="29" subtotal="count" baseField="0" baseItem="0"/>
  </dataFields>
  <formats count="10">
    <format dxfId="33">
      <pivotArea type="all" dataOnly="0" outline="0" fieldPosition="0"/>
    </format>
    <format dxfId="32">
      <pivotArea outline="0" collapsedLevelsAreSubtotals="1" fieldPosition="0"/>
    </format>
    <format dxfId="31">
      <pivotArea type="origin" dataOnly="0" labelOnly="1" outline="0" fieldPosition="0"/>
    </format>
    <format dxfId="30">
      <pivotArea field="29" type="button" dataOnly="0" labelOnly="1" outline="0" axis="axisCol" fieldPosition="0"/>
    </format>
    <format dxfId="29">
      <pivotArea type="topRight" dataOnly="0" labelOnly="1" outline="0" fieldPosition="0"/>
    </format>
    <format dxfId="28">
      <pivotArea field="30" type="button" dataOnly="0" labelOnly="1" outline="0" axis="axisRow" fieldPosition="0"/>
    </format>
    <format dxfId="27">
      <pivotArea dataOnly="0" labelOnly="1" fieldPosition="0">
        <references count="1">
          <reference field="30" count="0"/>
        </references>
      </pivotArea>
    </format>
    <format dxfId="26">
      <pivotArea dataOnly="0" labelOnly="1" grandRow="1" outline="0" fieldPosition="0"/>
    </format>
    <format dxfId="25">
      <pivotArea dataOnly="0" labelOnly="1" fieldPosition="0">
        <references count="1">
          <reference field="29" count="0"/>
        </references>
      </pivotArea>
    </format>
    <format dxfId="2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E10DD-0E29-434C-9295-F6890AAADB0C}" name="TablaDinámica9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77:E84" firstHeaderRow="1" firstDataRow="2" firstDataCol="1"/>
  <pivotFields count="49"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6">
        <item x="1"/>
        <item x="3"/>
        <item x="4"/>
        <item x="2"/>
        <item x="0"/>
        <item t="default"/>
      </items>
    </pivotField>
    <pivotField showAll="0"/>
    <pivotField showAll="0"/>
    <pivotField numFmtId="168" showAll="0"/>
    <pivotField numFmtId="168" showAll="0"/>
    <pivotField showAll="0"/>
    <pivotField showAll="0"/>
    <pivotField showAll="0"/>
    <pivotField numFmtId="168" showAll="0"/>
    <pivotField numFmtId="168" showAll="0"/>
    <pivotField showAll="0"/>
    <pivotField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3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uenta de Fuente vigencia 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3C0BB-8E49-4F61-8FBA-F58534733CDF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24" firstHeaderRow="0" firstDataRow="1" firstDataCol="1"/>
  <pivotFields count="31">
    <pivotField axis="axisRow" showAll="0">
      <items count="5">
        <item x="1"/>
        <item x="0"/>
        <item x="3"/>
        <item x="2"/>
        <item t="default"/>
      </items>
    </pivotField>
    <pivotField axis="axisRow" showAll="0">
      <items count="17">
        <item x="15"/>
        <item x="1"/>
        <item x="12"/>
        <item x="0"/>
        <item x="2"/>
        <item x="7"/>
        <item x="5"/>
        <item x="10"/>
        <item x="13"/>
        <item x="4"/>
        <item x="8"/>
        <item x="11"/>
        <item x="3"/>
        <item x="9"/>
        <item x="1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dataField="1" showAll="0"/>
    <pivotField dataField="1" numFmtId="166" showAll="0"/>
    <pivotField dataField="1" numFmtId="166" showAll="0"/>
    <pivotField numFmtId="9" showAll="0"/>
    <pivotField showAll="0"/>
  </pivotFields>
  <rowFields count="2">
    <field x="0"/>
    <field x="1"/>
  </rowFields>
  <rowItems count="21">
    <i>
      <x/>
    </i>
    <i r="1">
      <x v="5"/>
    </i>
    <i r="1">
      <x v="6"/>
    </i>
    <i r="1">
      <x v="10"/>
    </i>
    <i r="1">
      <x v="11"/>
    </i>
    <i r="1">
      <x v="15"/>
    </i>
    <i>
      <x v="1"/>
    </i>
    <i r="1">
      <x v="1"/>
    </i>
    <i r="1">
      <x v="3"/>
    </i>
    <i r="1">
      <x v="4"/>
    </i>
    <i r="1">
      <x v="9"/>
    </i>
    <i r="1">
      <x v="12"/>
    </i>
    <i>
      <x v="2"/>
    </i>
    <i r="1">
      <x v="8"/>
    </i>
    <i>
      <x v="3"/>
    </i>
    <i r="1">
      <x/>
    </i>
    <i r="1">
      <x v="2"/>
    </i>
    <i r="1">
      <x v="7"/>
    </i>
    <i r="1">
      <x v="13"/>
    </i>
    <i r="1"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asignado para el 2019" fld="26" baseField="0" baseItem="0"/>
    <dataField name="Suma de Valor ejecutado para el 2019_x000a_Corte Junio" fld="27" baseField="0" baseItem="0"/>
    <dataField name="Suma de Valor por ejecutar con corte a junio de 2019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2566F-AFA4-4D91-A726-163060EB5BCA}" name="TablaDinámica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6" firstHeaderRow="0" firstDataRow="1" firstDataCol="1"/>
  <pivotFields count="45"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numFmtId="168" showAll="0"/>
    <pivotField numFmtId="168" showAll="0"/>
    <pivotField numFmtId="168" showAll="0"/>
    <pivotField numFmtId="168" showAll="0"/>
    <pivotField dataField="1" numFmtId="168" showAll="0"/>
    <pivotField numFmtId="168" showAll="0"/>
    <pivotField numFmtId="168" showAll="0"/>
    <pivotField numFmtId="168"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Valor asignado al 2024" fld="34" baseField="0" baseItem="0"/>
    <dataField name="Cuenta de Fuente vigencia " fld="2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775D2C-F96B-4C4A-BE01-377923DAAF40}" name="TablaDinámica6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8:D44" firstHeaderRow="1" firstDataRow="2" firstDataCol="1"/>
  <pivotFields count="45"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numFmtId="168" showAll="0"/>
    <pivotField numFmtId="168" showAll="0"/>
    <pivotField numFmtId="168" showAll="0"/>
    <pivotField numFmtId="168" showAll="0"/>
    <pivotField dataField="1" numFmtId="168" showAll="0"/>
    <pivotField numFmtId="168" showAll="0"/>
    <pivotField numFmtId="168" showAll="0"/>
    <pivotField numFmtId="168"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9"/>
  </rowFields>
  <rowItems count="5">
    <i>
      <x/>
    </i>
    <i>
      <x v="1"/>
    </i>
    <i>
      <x v="2"/>
    </i>
    <i>
      <x v="3"/>
    </i>
    <i t="grand">
      <x/>
    </i>
  </rowItems>
  <colFields count="1">
    <field x="28"/>
  </colFields>
  <colItems count="3">
    <i>
      <x/>
    </i>
    <i>
      <x v="1"/>
    </i>
    <i t="grand">
      <x/>
    </i>
  </colItems>
  <dataFields count="1">
    <dataField name="Suma de Valor asignado al 2024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E1F77-04B5-4610-BFD2-66400D2C94CC}" name="TablaDinámica5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D26" firstHeaderRow="1" firstDataRow="2" firstDataCol="1"/>
  <pivotFields count="45"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showAll="0"/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numFmtId="168"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9"/>
  </rowFields>
  <rowItems count="5">
    <i>
      <x/>
    </i>
    <i>
      <x v="1"/>
    </i>
    <i>
      <x v="2"/>
    </i>
    <i>
      <x v="3"/>
    </i>
    <i t="grand">
      <x/>
    </i>
  </rowItems>
  <colFields count="1">
    <field x="28"/>
  </colFields>
  <colItems count="3">
    <i>
      <x/>
    </i>
    <i>
      <x v="1"/>
    </i>
    <i t="grand">
      <x/>
    </i>
  </colItems>
  <dataFields count="1">
    <dataField name="Cuenta de Fuente vigencia " fld="2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C86931-B541-471B-8BAA-E0CE77F261CD}" name="TablaDinámica8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5:C22" firstHeaderRow="0" firstDataRow="1" firstDataCol="1"/>
  <pivotFields count="45"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m="1" x="7"/>
        <item x="1"/>
        <item m="1" x="6"/>
        <item x="4"/>
        <item x="5"/>
        <item x="0"/>
        <item x="3"/>
        <item x="2"/>
        <item t="default"/>
      </items>
    </pivotField>
    <pivotField showAll="0"/>
    <pivotField numFmtId="168" showAll="0"/>
    <pivotField numFmtId="168" showAll="0"/>
    <pivotField showAll="0"/>
    <pivotField showAll="0"/>
    <pivotField showAll="0"/>
    <pivotField dataField="1" numFmtId="168" showAll="0"/>
    <pivotField numFmtId="168"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9"/>
  </rowFields>
  <rowItems count="7">
    <i>
      <x v="1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Tipo de proceso" fld="29" subtotal="count" baseField="0" baseItem="0"/>
    <dataField name="Suma de Valor total asignado al PAA 2024" fld="3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D46FB7-7169-4830-A61D-C0DF6D97D9B9}" name="TablaDiná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6" firstHeaderRow="0" firstDataRow="1" firstDataCol="1"/>
  <pivotFields count="45"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numFmtId="168" showAll="0"/>
    <pivotField numFmtId="168" showAll="0"/>
    <pivotField showAll="0"/>
    <pivotField showAll="0"/>
    <pivotField showAll="0"/>
    <pivotField dataField="1" numFmtId="168" showAll="0"/>
    <pivotField numFmtId="168"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Fuente vigencia " fld="28" subtotal="count" baseField="0" baseItem="0"/>
    <dataField name="Suma de Valor total asignado al PAA 2024" fld="3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743BC8-68AB-418E-B5A8-D58B9285C388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6" firstHeaderRow="0" firstDataRow="1" firstDataCol="1"/>
  <pivotFields count="45"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>
      <items count="12">
        <item x="0"/>
        <item x="5"/>
        <item x="7"/>
        <item x="6"/>
        <item x="9"/>
        <item x="10"/>
        <item x="4"/>
        <item x="2"/>
        <item x="8"/>
        <item x="3"/>
        <item x="1"/>
        <item t="default"/>
      </items>
    </pivotField>
    <pivotField showAll="0"/>
    <pivotField numFmtId="168" showAll="0"/>
    <pivotField numFmtId="168" showAll="0"/>
    <pivotField showAll="0"/>
    <pivotField showAll="0"/>
    <pivotField showAll="0"/>
    <pivotField dataField="1" numFmtId="168" showAll="0"/>
    <pivotField numFmtId="168"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Fuente vigencia " fld="28" subtotal="count" baseField="0" baseItem="0"/>
    <dataField name="Suma de Valor total asignado al PAA 2024" fld="3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BA996-F6DB-40C2-930B-540E49CD77F6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6" firstHeaderRow="0" firstDataRow="1" firstDataCol="1"/>
  <pivotFields count="45"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numFmtId="168" showAll="0"/>
    <pivotField numFmtId="168" showAll="0"/>
    <pivotField showAll="0"/>
    <pivotField showAll="0"/>
    <pivotField showAll="0"/>
    <pivotField dataField="1" numFmtId="168" showAll="0"/>
    <pivotField numFmtId="168" showAll="0"/>
    <pivotField showAll="0"/>
    <pivotField showAll="0"/>
    <pivotField numFmtId="10" showAll="0"/>
    <pivotField numFmtId="168" showAll="0"/>
    <pivotField showAll="0"/>
    <pivotField showAll="0"/>
    <pivotField showAll="0"/>
  </pivotFields>
  <rowFields count="1">
    <field x="2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Fuente vigencia " fld="28" subtotal="count" baseField="0" baseItem="0"/>
    <dataField name="Suma de Valor total asignado al PAA 2024" fld="3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17A00-B3E8-43A9-A362-4B3BEB4EF677}" name="Tabla1" displayName="Tabla1" ref="A1:AW20" totalsRowShown="0">
  <autoFilter ref="A1:AW20" xr:uid="{6B917A00-B3E8-43A9-A362-4B3BEB4EF677}"/>
  <tableColumns count="49">
    <tableColumn id="1" xr3:uid="{97406DBC-6320-4607-8622-762D6CD4D26F}" name="num_x000a_Total"/>
    <tableColumn id="2" xr3:uid="{15D8EA8B-0665-485F-9DE6-77428B29AF60}" name="num"/>
    <tableColumn id="3" xr3:uid="{A5866DD5-1D4C-429F-9DE6-42B156DA23C3}" name="Código UNSPSC"/>
    <tableColumn id="4" xr3:uid="{0CF5AE67-0058-43EC-8C32-1E526E42DF5E}" name="Rubro"/>
    <tableColumn id="5" xr3:uid="{347BFAF1-7A9B-440E-B91C-B23F9285BDF7}" name="Grupo"/>
    <tableColumn id="6" xr3:uid="{10C84FF3-C526-4E08-A6B9-53905D188BB9}" name="Subgrupo"/>
    <tableColumn id="7" xr3:uid="{9F648B44-4904-4934-A14E-870D6C6B94A9}" name="Detalle"/>
    <tableColumn id="8" xr3:uid="{EBA77609-3665-452C-BD84-646B0A69EFDD}" name="Pertenece a la OASTI"/>
    <tableColumn id="9" xr3:uid="{8B97AFDB-1C8D-41D7-BCCF-5BED5234658C}" name="Area a la que pertenece"/>
    <tableColumn id="10" xr3:uid="{A0CF7052-B959-4442-B7B1-7BE147D01F32}" name="Año PAA"/>
    <tableColumn id="11" xr3:uid="{C566CBB6-9B3A-4423-B786-5C778C5513E9}" name="Línea PAA"/>
    <tableColumn id="12" xr3:uid="{0C4F2D3B-CC77-4AA1-A9A6-6AC9439F377A}" name="Contratado 2024"/>
    <tableColumn id="13" xr3:uid="{E23C5B68-42C4-4368-AC3B-F01D21DD4B33}" name="Adjudicado ?"/>
    <tableColumn id="14" xr3:uid="{888440B1-13A3-4D09-93EA-40F92B9D056F}" name="Supervisor del contrato"/>
    <tableColumn id="15" xr3:uid="{E232AE22-7ED0-4799-B3C7-84453D71992E}" name="Apoyo de la supervisión"/>
    <tableColumn id="16" xr3:uid="{E65F81C1-BBB0-47AF-841E-FE0D88AA547E}" name="Fecha de designacion de supervisión"/>
    <tableColumn id="17" xr3:uid="{DD4B58F7-C410-4B53-BCEB-431C946688CE}" name="Impacto"/>
    <tableColumn id="18" xr3:uid="{3B59614D-870F-42A2-957C-0E618C48173A}" name="Sistema de Información donde esta publicado el proceso"/>
    <tableColumn id="19" xr3:uid="{4B77C0AF-5F75-45BC-9D9C-540F73E1C252}" name="Nombre del Contratista"/>
    <tableColumn id="20" xr3:uid="{C54B30C7-78D4-40B4-BE9C-EFB8D8FD9AD8}" name="Objeto"/>
    <tableColumn id="21" xr3:uid="{AC53D932-2DC4-4FAB-9546-2E5C5267C8D3}" name="Numero de proceso o de evento de cotización"/>
    <tableColumn id="22" xr3:uid="{084CF323-62FC-4160-B322-68AE2AD305C3}" name="Numero del_x000a_ contrato"/>
    <tableColumn id="23" xr3:uid="{90E8B85C-CE11-4C4F-A3A2-C0A5D3487BEE}" name="Numero de Orden de compra"/>
    <tableColumn id="24" xr3:uid="{2018D84E-CFE5-438B-A470-26B54C986F1A}" name="Fecha de suscripción de contrato" dataDxfId="70"/>
    <tableColumn id="25" xr3:uid="{5B4771C9-7A54-4B64-8112-E50A13118912}" name="Fecha aprobación póliza" dataDxfId="69"/>
    <tableColumn id="26" xr3:uid="{71876B2E-3DEB-451F-9824-A3E14CAA5684}" name="Fecha de inicio de ejecución (acta de inicio)"/>
    <tableColumn id="27" xr3:uid="{64598608-1B0F-42E4-AFD6-AC357BACEB39}" name="Fecha Final" dataDxfId="68"/>
    <tableColumn id="28" xr3:uid="{93926F18-D9EC-4107-A346-B52D7E721031}" name="Fecha de inicio de servicio"/>
    <tableColumn id="29" xr3:uid="{24B356DF-C331-461B-A0B5-65BAE76291F9}" name="Fecha Final del servicio"/>
    <tableColumn id="30" xr3:uid="{F5D5B11F-5964-4B23-8D49-B327C875FECA}" name="Fuente vigencia "/>
    <tableColumn id="31" xr3:uid="{1DAD6B83-0B11-40B4-AD70-F1E8B59431BC}" name="Modalida presentación General Cuadro"/>
    <tableColumn id="32" xr3:uid="{76798BCD-F3C8-434B-B829-E7EB3E37E6F7}" name="Tipo de proceso"/>
    <tableColumn id="33" xr3:uid="{83D6493C-9F18-4B53-88FE-83DC93BEB3C9}" name="Valor total incial del contrato"/>
    <tableColumn id="34" xr3:uid="{E7F3906B-1002-4A95-865E-2749C923D789}" name="Valor adiciones/reducciones"/>
    <tableColumn id="35" xr3:uid="{8E8C3189-312B-40DA-AAAA-6574735EF41B}" name="Valor total final del contrato"/>
    <tableColumn id="36" xr3:uid="{6090F818-EC73-433E-AED4-833BE61D9213}" name="Valor antes del 2024"/>
    <tableColumn id="37" xr3:uid="{3CC10C1E-B64F-43D6-AB27-164B58060B7E}" name="Valor asignado al 2024"/>
    <tableColumn id="38" xr3:uid="{A9F264A5-BF23-4CDA-AF2B-E8DCE0B562BD}" name="Valor despues del 2024"/>
    <tableColumn id="39" xr3:uid="{FCEFCD4F-E2BB-435D-947A-4BA03419340C}" name="Valor total asignado al PAA 2024"/>
    <tableColumn id="40" xr3:uid="{9B28026B-9863-4FFE-B8AB-4E53AB0F1847}" name="Diferencia con lo contratado respecto al PAA"/>
    <tableColumn id="41" xr3:uid="{58AF5085-DC38-4E62-A3B1-0834D13E5FF9}" name="Liberaciones de CDP"/>
    <tableColumn id="42" xr3:uid="{674624AA-F2C4-4DC8-BF0B-ADD77B5E866D}" name="Cantidad de pagos vigencia 2024 con corte al 31 de julio de 2024 "/>
    <tableColumn id="43" xr3:uid="{9EA13BB2-6ABB-41D7-BA41-14B9CC8DBE84}" name="Valor ejecutado vigencia 2024_x000a_Corte 31 de Julio_x000a_presupuesto 2024"/>
    <tableColumn id="44" xr3:uid="{013815C4-E4B4-48B2-AB8B-C5DC9714AB72}" name="Pago Mensual_x000a_Aproximado"/>
    <tableColumn id="45" xr3:uid="{A9178297-833D-41B4-9733-81924419B2DB}" name="Porcentaje de ejecución presupuestal 2024"/>
    <tableColumn id="46" xr3:uid="{46DB917E-BD64-4D54-8F82-BB1DE24716E1}" name="Presupuesto pendiente de ejecutar o  liberar en el 2024"/>
    <tableColumn id="47" xr3:uid="{F0395308-1AA4-4E72-9BE3-FB7CC4FC8A39}" name="Expediente Orfeo"/>
    <tableColumn id="48" xr3:uid="{50B3D779-97D6-4A76-B02D-4952148289CA}" name="URL SECOP II/TVEC"/>
    <tableColumn id="49" xr3:uid="{8209BC60-A990-4228-A4CD-07A6610F7907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30" dT="2024-05-02T23:06:01.69" personId="{6DA9717E-D27D-4C8E-8F68-070BB157F737}" id="{DB016134-E0D5-4311-9B21-205339523CC6}">
    <text>En secop ii la fecha fin es 12 de oct sin embargo deberia ser 15 de oct ya que son 6 meses de ejecucio´n a partir de la póliza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A48" dT="2024-05-02T23:06:01.69" personId="{6DA9717E-D27D-4C8E-8F68-070BB157F737}" id="{88861BCC-E6C7-4EA6-BF55-FA90F18CB67F}">
    <text>En secop ii la fecha fin es 12 de oct sin embargo deberia ser 15 de oct ya que son 6 meses de ejecucio´n a partir de la póliza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B44" dT="2024-05-02T23:06:01.69" personId="{6DA9717E-D27D-4C8E-8F68-070BB157F737}" id="{7A8C8FE0-FB69-4BB9-99D4-F0E4813B2079}">
    <text>En secop ii la fecha fin es 12 de oct sin embargo deberia ser 15 de oct ya que son 6 meses de ejecucio´n a partir de la póliza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B49" dT="2024-05-02T23:06:01.69" personId="{6DA9717E-D27D-4C8E-8F68-070BB157F737}" id="{EE759690-9FA8-4D18-B3E5-F81CF5B95B2E}">
    <text>En secop ii la fecha fin es 12 de oct sin embargo deberia ser 15 de oct ya que son 6 meses de ejecucio´n a partir de la póliza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Z30" dT="2024-05-02T23:06:01.69" personId="{6DA9717E-D27D-4C8E-8F68-070BB157F737}" id="{6E189C66-7377-440D-B72D-21A2CFA772D4}">
    <text>En secop ii la fecha fin es 12 de oct sin embargo deberia ser 15 de oct ya que son 6 meses de ejecucio´n a partir de la póliza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TargetMode="External"/><Relationship Id="rId18" Type="http://schemas.openxmlformats.org/officeDocument/2006/relationships/hyperlink" Target="https://www.secop.gov.co/CO1ContractsManagement/Tendering/ProcurementContractEdit/View?docUniqueIdentifier=CO1.PCCNTR.5900803&amp;awardUniqueIdentifier=CO1.AWD.1844823&amp;buyerDossierUniqueIdentifier=CO1.BDOS.5392298&amp;id=3304019" TargetMode="External"/><Relationship Id="rId26" Type="http://schemas.openxmlformats.org/officeDocument/2006/relationships/hyperlink" Target="https://www.colombiacompra.gov.co/tienda-virtual-del-estado-colombiano/ordenes-compra/127948" TargetMode="External"/><Relationship Id="rId3" Type="http://schemas.openxmlformats.org/officeDocument/2006/relationships/hyperlink" Target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TargetMode="External"/><Relationship Id="rId21" Type="http://schemas.openxmlformats.org/officeDocument/2006/relationships/hyperlink" Target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TargetMode="External"/><Relationship Id="rId34" Type="http://schemas.microsoft.com/office/2017/10/relationships/threadedComment" Target="../threadedComments/threadedComment1.xml"/><Relationship Id="rId7" Type="http://schemas.openxmlformats.org/officeDocument/2006/relationships/hyperlink" Target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TargetMode="External"/><Relationship Id="rId12" Type="http://schemas.openxmlformats.org/officeDocument/2006/relationships/hyperlink" Target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TargetMode="External"/><Relationship Id="rId17" Type="http://schemas.openxmlformats.org/officeDocument/2006/relationships/hyperlink" Target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TargetMode="External"/><Relationship Id="rId25" Type="http://schemas.openxmlformats.org/officeDocument/2006/relationships/hyperlink" Target="https://www.colombiacompra.gov.co/tienda-virtual-del-estado-colombiano/ordenes-compra/122184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colombiacompra.gov.co/tienda-virtual-del-estado-colombiano/ordenes-compra/120075" TargetMode="External"/><Relationship Id="rId16" Type="http://schemas.openxmlformats.org/officeDocument/2006/relationships/hyperlink" Target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 TargetMode="External"/><Relationship Id="rId20" Type="http://schemas.openxmlformats.org/officeDocument/2006/relationships/hyperlink" Target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TargetMode="External"/><Relationship Id="rId29" Type="http://schemas.openxmlformats.org/officeDocument/2006/relationships/hyperlink" Target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TargetMode="External"/><Relationship Id="rId1" Type="http://schemas.openxmlformats.org/officeDocument/2006/relationships/hyperlink" Target="https://www.colombiacompra.gov.co/tienda-virtual-del-estado-colombiano/ordenes-compra/?number_order=121992&amp;state=&amp;entity=&amp;tool=&amp;date_to&amp;date_from" TargetMode="External"/><Relationship Id="rId6" Type="http://schemas.openxmlformats.org/officeDocument/2006/relationships/hyperlink" Target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TargetMode="External"/><Relationship Id="rId11" Type="http://schemas.openxmlformats.org/officeDocument/2006/relationships/hyperlink" Target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TargetMode="External"/><Relationship Id="rId24" Type="http://schemas.openxmlformats.org/officeDocument/2006/relationships/hyperlink" Target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TargetMode="External"/><Relationship Id="rId15" Type="http://schemas.openxmlformats.org/officeDocument/2006/relationships/hyperlink" Target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TargetMode="External"/><Relationship Id="rId23" Type="http://schemas.openxmlformats.org/officeDocument/2006/relationships/hyperlink" Target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TargetMode="External"/><Relationship Id="rId28" Type="http://schemas.openxmlformats.org/officeDocument/2006/relationships/hyperlink" Target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TargetMode="External"/><Relationship Id="rId10" Type="http://schemas.openxmlformats.org/officeDocument/2006/relationships/hyperlink" Target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TargetMode="External"/><Relationship Id="rId19" Type="http://schemas.openxmlformats.org/officeDocument/2006/relationships/hyperlink" Target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olombiacompra.gov.co/tienda-virtual-del-estado-colombiano/ordenes-compra/121005" TargetMode="External"/><Relationship Id="rId9" Type="http://schemas.openxmlformats.org/officeDocument/2006/relationships/hyperlink" Target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TargetMode="External"/><Relationship Id="rId14" Type="http://schemas.openxmlformats.org/officeDocument/2006/relationships/hyperlink" Target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TargetMode="External"/><Relationship Id="rId22" Type="http://schemas.openxmlformats.org/officeDocument/2006/relationships/hyperlink" Target="https://www.secop.gov.co/CO1ContractsManagement/Tendering/ProcurementContractEdit/View?docUniqueIdentifier=CO1.PCCNTR.6111870&amp;awardUniqueIdentifier=CO1.AWD.1876133&amp;buyerDossierUniqueIdentifier=CO1.BDOS.5796313&amp;id=3462825" TargetMode="External"/><Relationship Id="rId27" Type="http://schemas.openxmlformats.org/officeDocument/2006/relationships/hyperlink" Target="https://www.secop.gov.co/CO1ContractsManagement/Tendering/ProcurementContractEdit/View?docUniqueIdentifier=CO1.PCCNTR.6194722&amp;awardUniqueIdentifier=&amp;buyerDossierUniqueIdentifier=CO1.BDOS.5947818&amp;id=3538656" TargetMode="External"/><Relationship Id="rId30" Type="http://schemas.openxmlformats.org/officeDocument/2006/relationships/hyperlink" Target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TargetMode="External"/><Relationship Id="rId8" Type="http://schemas.openxmlformats.org/officeDocument/2006/relationships/hyperlink" Target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TargetMode="External"/><Relationship Id="rId18" Type="http://schemas.openxmlformats.org/officeDocument/2006/relationships/hyperlink" Target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TargetMode="External"/><Relationship Id="rId26" Type="http://schemas.openxmlformats.org/officeDocument/2006/relationships/hyperlink" Target="https://www.colombiacompra.gov.co/tienda-virtual-del-estado-colombiano/ordenes-compra/122184" TargetMode="External"/><Relationship Id="rId39" Type="http://schemas.openxmlformats.org/officeDocument/2006/relationships/hyperlink" Target="https://www.secop.gov.co/CO1ContractsManagement/Tendering/ProcurementContractEdit/View?docUniqueIdentifier=CO1.PCCNTR.6801344&amp;prevCtxUrl=https%3a%2f%2fwww.secop.gov.co%3a443%2fCO1ContractsManagement%2fTendering%2fProcurementContractManagement%2fIndex&amp;prevCtxLbl=Contratos+" TargetMode="External"/><Relationship Id="rId21" Type="http://schemas.openxmlformats.org/officeDocument/2006/relationships/hyperlink" Target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TargetMode="External"/><Relationship Id="rId34" Type="http://schemas.openxmlformats.org/officeDocument/2006/relationships/hyperlink" Target="https://www.colombiacompra.gov.co/tienda-virtual-del-estado-colombiano/ordenes-compra/131057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TargetMode="External"/><Relationship Id="rId2" Type="http://schemas.openxmlformats.org/officeDocument/2006/relationships/hyperlink" Target="https://www.colombiacompra.gov.co/tienda-virtual-del-estado-colombiano/ordenes-compra/120075" TargetMode="External"/><Relationship Id="rId16" Type="http://schemas.openxmlformats.org/officeDocument/2006/relationships/hyperlink" Target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TargetMode="External"/><Relationship Id="rId29" Type="http://schemas.openxmlformats.org/officeDocument/2006/relationships/hyperlink" Target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TargetMode="External"/><Relationship Id="rId1" Type="http://schemas.openxmlformats.org/officeDocument/2006/relationships/hyperlink" Target="https://www.colombiacompra.gov.co/tienda-virtual-del-estado-colombiano/ordenes-compra/?number_order=121992&amp;state=&amp;entity=&amp;tool=&amp;date_to&amp;date_from" TargetMode="External"/><Relationship Id="rId6" Type="http://schemas.openxmlformats.org/officeDocument/2006/relationships/hyperlink" Target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TargetMode="External"/><Relationship Id="rId11" Type="http://schemas.openxmlformats.org/officeDocument/2006/relationships/hyperlink" Target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TargetMode="External"/><Relationship Id="rId24" Type="http://schemas.openxmlformats.org/officeDocument/2006/relationships/hyperlink" Target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TargetMode="External"/><Relationship Id="rId32" Type="http://schemas.openxmlformats.org/officeDocument/2006/relationships/hyperlink" Target="https://www.secop.gov.co/CO1ContractsManagement/Tendering/ProcurementContractEdit/View?docUniqueIdentifier=CO1.PCCNTR.6413217&amp;awardUniqueIdentifier=CO1.AWD.1946206&amp;buyerDossierUniqueIdentifier=CO1.BDOS.6150033&amp;id=3693003" TargetMode="External"/><Relationship Id="rId37" Type="http://schemas.openxmlformats.org/officeDocument/2006/relationships/hyperlink" Target="https://www.secop.gov.co/CO1ContractsManagement/Tendering/ProcurementContractEdit/Update?ProfileName=CCE-11-Procedimiento_Publicidad&amp;PPI=CO1.PPI.31157857&amp;DocUniqueName=ContratoDeCompra&amp;DocTypeName=NextWay.Entities.Marketplace.Tendering.ProcurementContract&amp;ProfileVersion=12&amp;DocUniqueIdentifier=CO1.PCCNTR.6795741&amp;prevCtxUrl=https%3a%2f%2fwww.secop.gov.co%3a443%2fCO1ContractsManagement%2fTendering%2fProcurementContractManagement%2fIndex&amp;prevCtxLbl=Contratos+" TargetMode="External"/><Relationship Id="rId40" Type="http://schemas.openxmlformats.org/officeDocument/2006/relationships/hyperlink" Target="https://www.secop.gov.co/CO1ContractsManagement/Tendering/ProcurementContractEdit/View?docUniqueIdentifier=CO1.PCCNTR.6688746&amp;prevCtxUrl=https%3a%2f%2fwww.secop.gov.co%3a443%2fCO1ContractsManagement%2fTendering%2fProcurementContractManagement%2fIndex&amp;prevCtxLbl=Contratos+" TargetMode="External"/><Relationship Id="rId45" Type="http://schemas.microsoft.com/office/2017/10/relationships/threadedComment" Target="../threadedComments/threadedComment2.xml"/><Relationship Id="rId5" Type="http://schemas.openxmlformats.org/officeDocument/2006/relationships/hyperlink" Target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TargetMode="External"/><Relationship Id="rId15" Type="http://schemas.openxmlformats.org/officeDocument/2006/relationships/hyperlink" Target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TargetMode="External"/><Relationship Id="rId23" Type="http://schemas.openxmlformats.org/officeDocument/2006/relationships/hyperlink" Target="https://www.secop.gov.co/CO1ContractsManagement/Tendering/ProcurementContractEdit/View?docUniqueIdentifier=CO1.PCCNTR.6111870&amp;awardUniqueIdentifier=CO1.AWD.1876133&amp;buyerDossierUniqueIdentifier=CO1.BDOS.5796313&amp;id=3462825" TargetMode="External"/><Relationship Id="rId28" Type="http://schemas.openxmlformats.org/officeDocument/2006/relationships/hyperlink" Target="https://www.secop.gov.co/CO1ContractsManagement/Tendering/ProcurementContractEdit/View?docUniqueIdentifier=CO1.PCCNTR.6194722&amp;awardUniqueIdentifier=&amp;buyerDossierUniqueIdentifier=CO1.BDOS.5947818&amp;id=3538656" TargetMode="External"/><Relationship Id="rId36" Type="http://schemas.openxmlformats.org/officeDocument/2006/relationships/hyperlink" Target="https://www.secop.gov.co/CO1ContractsManagement/Tendering/ProcurementContractEdit/View?docUniqueIdentifier=CO1.PCCNTR.6583413&amp;prevCtxUrl=https%3a%2f%2fwww.secop.gov.co%3a443%2fCO1ContractsManagement%2fTendering%2fProcurementContractManagement%2fIndex&amp;prevCtxLbl=Contratos+" TargetMode="External"/><Relationship Id="rId10" Type="http://schemas.openxmlformats.org/officeDocument/2006/relationships/hyperlink" Target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TargetMode="External"/><Relationship Id="rId19" Type="http://schemas.openxmlformats.org/officeDocument/2006/relationships/hyperlink" Target="https://www.secop.gov.co/CO1ContractsManagement/Tendering/ProcurementContractEdit/View?docUniqueIdentifier=CO1.PCCNTR.5900803&amp;awardUniqueIdentifier=CO1.AWD.1844823&amp;buyerDossierUniqueIdentifier=CO1.BDOS.5392298&amp;id=3304019" TargetMode="External"/><Relationship Id="rId31" Type="http://schemas.openxmlformats.org/officeDocument/2006/relationships/hyperlink" Target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TargetMode="External"/><Relationship Id="rId44" Type="http://schemas.openxmlformats.org/officeDocument/2006/relationships/comments" Target="../comments2.xml"/><Relationship Id="rId4" Type="http://schemas.openxmlformats.org/officeDocument/2006/relationships/hyperlink" Target="https://www.colombiacompra.gov.co/tienda-virtual-del-estado-colombiano/ordenes-compra/121005" TargetMode="External"/><Relationship Id="rId9" Type="http://schemas.openxmlformats.org/officeDocument/2006/relationships/hyperlink" Target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TargetMode="External"/><Relationship Id="rId14" Type="http://schemas.openxmlformats.org/officeDocument/2006/relationships/hyperlink" Target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TargetMode="External"/><Relationship Id="rId22" Type="http://schemas.openxmlformats.org/officeDocument/2006/relationships/hyperlink" Target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TargetMode="External"/><Relationship Id="rId27" Type="http://schemas.openxmlformats.org/officeDocument/2006/relationships/hyperlink" Target="https://www.colombiacompra.gov.co/tienda-virtual-del-estado-colombiano/ordenes-compra/127948" TargetMode="External"/><Relationship Id="rId30" Type="http://schemas.openxmlformats.org/officeDocument/2006/relationships/hyperlink" Target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TargetMode="External"/><Relationship Id="rId35" Type="http://schemas.openxmlformats.org/officeDocument/2006/relationships/hyperlink" Target="https://www.secop.gov.co/CO1BusinessLine/Tendering/BuyerWorkArea/Index?docUniqueIdentifier=CO1.BDOS.6512542&amp;prevCtxUrl=https%3a%2f%2fwww.secop.gov.co%2fCO1BusinessLine%2fTendering%2fBuyerDossierWorkspace%2fIndex%3fcreateDateFrom%3d09%2f02%2f2024+20%3a43%3a48%26createDateTo%3d09%2f08%2f2024+20%3a43%3a48%26filteringState%3d2%26sortingState%3dLastModifiedDESC%26showAdvancedSearch%3dFalse%26showAdvancedSearchFields%3dFalse%26folderCode%3dALL%26selectedDossier%3dCO1.BDOS.6512542%26selectedRequest%3dCO1.REQ.6637958%26&amp;prevCtxLbl=Procesos+de+la+Entidad+Estatal" TargetMode="External"/><Relationship Id="rId43" Type="http://schemas.openxmlformats.org/officeDocument/2006/relationships/vmlDrawing" Target="../drawings/vmlDrawing2.vml"/><Relationship Id="rId8" Type="http://schemas.openxmlformats.org/officeDocument/2006/relationships/hyperlink" Target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" TargetMode="External"/><Relationship Id="rId3" Type="http://schemas.openxmlformats.org/officeDocument/2006/relationships/hyperlink" Target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TargetMode="External"/><Relationship Id="rId12" Type="http://schemas.openxmlformats.org/officeDocument/2006/relationships/hyperlink" Target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TargetMode="External"/><Relationship Id="rId17" Type="http://schemas.openxmlformats.org/officeDocument/2006/relationships/hyperlink" Target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TargetMode="External"/><Relationship Id="rId25" Type="http://schemas.openxmlformats.org/officeDocument/2006/relationships/hyperlink" Target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TargetMode="External"/><Relationship Id="rId33" Type="http://schemas.openxmlformats.org/officeDocument/2006/relationships/hyperlink" Target="https://community.secop.gov.co/STS/users/issue.aspx?wa=wsignin1.0&amp;wtrealm=https%3a%2f%2fwww.secop.gov.co%2fCO1ContractsManagement&amp;wctx=rm%3d0%26id%3dpassive%26ru%3d%252fCO1ContractsManagement%252fTendering%252fProcurementContractEdit%252fView%253fdocUniqueIdentifier%253dCO1.PCCNTR.6474022%2526awardUniqueIdentifier%253d%2526buyerDossierUniqueIdentifier%253dCO1.BDOS.6312453%2526id%253d3730492&amp;wct=2024-07-16T16%3a12%3a14Z" TargetMode="External"/><Relationship Id="rId38" Type="http://schemas.openxmlformats.org/officeDocument/2006/relationships/hyperlink" Target="https://www.secop.gov.co/CO1ContractsManagement/Tendering/ProcurementContractEdit/Update?ProfileName=CCE-11-Procedimiento_Publicidad&amp;PPI=CO1.PPI.34524333&amp;DocUniqueName=ContratoDeCompra&amp;DocTypeName=NextWay.Entities.Marketplace.Tendering.ProcurementContract&amp;ProfileVersion=12&amp;DocUniqueIdentifier=CO1.PCCNTR.6809307&amp;prevCtxUrl=https%3a%2f%2fwww.secop.gov.co%3a443%2fCO1ContractsManagement%2fTendering%2fProcurementContractManagement%2fIndex&amp;prevCtxLbl=Contratos+" TargetMode="External"/><Relationship Id="rId20" Type="http://schemas.openxmlformats.org/officeDocument/2006/relationships/hyperlink" Target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TargetMode="External"/><Relationship Id="rId41" Type="http://schemas.openxmlformats.org/officeDocument/2006/relationships/hyperlink" Target="https://www.secop.gov.co/CO1ContractsManagement/Tendering/ProcurementContractEdit/Update?ProfileName=CCE-11-Procedimiento_Publicidad&amp;PPI=CO1.PPI.34089495&amp;DocUniqueName=ContratoDeCompra&amp;DocTypeName=NextWay.Entities.Marketplace.Tendering.ProcurementContract&amp;ProfileVersion=12&amp;DocUniqueIdentifier=CO1.PCCNTR.6726484&amp;prevCtxUrl=https%3a%2f%2fwww.secop.gov.co%3a443%2fCO1ContractsManagement%2fTendering%2fProcurementContractManagement%2fIndex&amp;prevCtxLbl=Contratos+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TargetMode="External"/><Relationship Id="rId18" Type="http://schemas.openxmlformats.org/officeDocument/2006/relationships/hyperlink" Target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TargetMode="External"/><Relationship Id="rId26" Type="http://schemas.openxmlformats.org/officeDocument/2006/relationships/hyperlink" Target="https://www.colombiacompra.gov.co/tienda-virtual-del-estado-colombiano/ordenes-compra/122184" TargetMode="External"/><Relationship Id="rId39" Type="http://schemas.openxmlformats.org/officeDocument/2006/relationships/hyperlink" Target="https://www.secop.gov.co/CO1ContractsManagement/Tendering/ProcurementContractEdit/View?docUniqueIdentifier=CO1.PCCNTR.6801344&amp;prevCtxUrl=https%3a%2f%2fwww.secop.gov.co%3a443%2fCO1ContractsManagement%2fTendering%2fProcurementContractManagement%2fIndex&amp;prevCtxLbl=Contratos+" TargetMode="External"/><Relationship Id="rId21" Type="http://schemas.openxmlformats.org/officeDocument/2006/relationships/hyperlink" Target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TargetMode="External"/><Relationship Id="rId34" Type="http://schemas.openxmlformats.org/officeDocument/2006/relationships/hyperlink" Target="https://www.colombiacompra.gov.co/tienda-virtual-del-estado-colombiano/ordenes-compra/131057" TargetMode="External"/><Relationship Id="rId42" Type="http://schemas.openxmlformats.org/officeDocument/2006/relationships/comments" Target="../comments3.xml"/><Relationship Id="rId7" Type="http://schemas.openxmlformats.org/officeDocument/2006/relationships/hyperlink" Target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TargetMode="External"/><Relationship Id="rId2" Type="http://schemas.openxmlformats.org/officeDocument/2006/relationships/hyperlink" Target="https://www.colombiacompra.gov.co/tienda-virtual-del-estado-colombiano/ordenes-compra/120075" TargetMode="External"/><Relationship Id="rId16" Type="http://schemas.openxmlformats.org/officeDocument/2006/relationships/hyperlink" Target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TargetMode="External"/><Relationship Id="rId20" Type="http://schemas.openxmlformats.org/officeDocument/2006/relationships/hyperlink" Target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TargetMode="External"/><Relationship Id="rId29" Type="http://schemas.openxmlformats.org/officeDocument/2006/relationships/hyperlink" Target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TargetMode="External"/><Relationship Id="rId41" Type="http://schemas.openxmlformats.org/officeDocument/2006/relationships/vmlDrawing" Target="../drawings/vmlDrawing3.vml"/><Relationship Id="rId1" Type="http://schemas.openxmlformats.org/officeDocument/2006/relationships/hyperlink" Target="https://www.colombiacompra.gov.co/tienda-virtual-del-estado-colombiano/ordenes-compra/?number_order=121992&amp;state=&amp;entity=&amp;tool=&amp;date_to&amp;date_from" TargetMode="External"/><Relationship Id="rId6" Type="http://schemas.openxmlformats.org/officeDocument/2006/relationships/hyperlink" Target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TargetMode="External"/><Relationship Id="rId11" Type="http://schemas.openxmlformats.org/officeDocument/2006/relationships/hyperlink" Target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TargetMode="External"/><Relationship Id="rId24" Type="http://schemas.openxmlformats.org/officeDocument/2006/relationships/hyperlink" Target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TargetMode="External"/><Relationship Id="rId32" Type="http://schemas.openxmlformats.org/officeDocument/2006/relationships/hyperlink" Target="https://www.secop.gov.co/CO1ContractsManagement/Tendering/ProcurementContractEdit/View?docUniqueIdentifier=CO1.PCCNTR.6413217&amp;awardUniqueIdentifier=CO1.AWD.1946206&amp;buyerDossierUniqueIdentifier=CO1.BDOS.6150033&amp;id=3693003" TargetMode="External"/><Relationship Id="rId37" Type="http://schemas.openxmlformats.org/officeDocument/2006/relationships/hyperlink" Target="https://www.secop.gov.co/CO1ContractsManagement/Tendering/ProcurementContractEdit/Update?ProfileName=CCE-11-Procedimiento_Publicidad&amp;PPI=CO1.PPI.31157857&amp;DocUniqueName=ContratoDeCompra&amp;DocTypeName=NextWay.Entities.Marketplace.Tendering.ProcurementContract&amp;ProfileVersion=12&amp;DocUniqueIdentifier=CO1.PCCNTR.6795741&amp;prevCtxUrl=https%3a%2f%2fwww.secop.gov.co%3a443%2fCO1ContractsManagement%2fTendering%2fProcurementContractManagement%2fIndex&amp;prevCtxLbl=Contratos+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TargetMode="External"/><Relationship Id="rId15" Type="http://schemas.openxmlformats.org/officeDocument/2006/relationships/hyperlink" Target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TargetMode="External"/><Relationship Id="rId23" Type="http://schemas.openxmlformats.org/officeDocument/2006/relationships/hyperlink" Target="https://www.secop.gov.co/CO1ContractsManagement/Tendering/ProcurementContractEdit/View?docUniqueIdentifier=CO1.PCCNTR.6111870&amp;awardUniqueIdentifier=CO1.AWD.1876133&amp;buyerDossierUniqueIdentifier=CO1.BDOS.5796313&amp;id=3462825" TargetMode="External"/><Relationship Id="rId28" Type="http://schemas.openxmlformats.org/officeDocument/2006/relationships/hyperlink" Target="https://www.secop.gov.co/CO1ContractsManagement/Tendering/ProcurementContractEdit/View?docUniqueIdentifier=CO1.PCCNTR.6194722&amp;awardUniqueIdentifier=&amp;buyerDossierUniqueIdentifier=CO1.BDOS.5947818&amp;id=3538656" TargetMode="External"/><Relationship Id="rId36" Type="http://schemas.openxmlformats.org/officeDocument/2006/relationships/hyperlink" Target="https://www.secop.gov.co/CO1ContractsManagement/Tendering/ProcurementContractEdit/View?docUniqueIdentifier=CO1.PCCNTR.6583413&amp;prevCtxUrl=https%3a%2f%2fwww.secop.gov.co%3a443%2fCO1ContractsManagement%2fTendering%2fProcurementContractManagement%2fIndex&amp;prevCtxLbl=Contratos+" TargetMode="External"/><Relationship Id="rId10" Type="http://schemas.openxmlformats.org/officeDocument/2006/relationships/hyperlink" Target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TargetMode="External"/><Relationship Id="rId19" Type="http://schemas.openxmlformats.org/officeDocument/2006/relationships/hyperlink" Target="https://www.secop.gov.co/CO1ContractsManagement/Tendering/ProcurementContractEdit/View?docUniqueIdentifier=CO1.PCCNTR.5900803&amp;awardUniqueIdentifier=CO1.AWD.1844823&amp;buyerDossierUniqueIdentifier=CO1.BDOS.5392298&amp;id=3304019" TargetMode="External"/><Relationship Id="rId31" Type="http://schemas.openxmlformats.org/officeDocument/2006/relationships/hyperlink" Target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TargetMode="External"/><Relationship Id="rId4" Type="http://schemas.openxmlformats.org/officeDocument/2006/relationships/hyperlink" Target="https://www.colombiacompra.gov.co/tienda-virtual-del-estado-colombiano/ordenes-compra/121005" TargetMode="External"/><Relationship Id="rId9" Type="http://schemas.openxmlformats.org/officeDocument/2006/relationships/hyperlink" Target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TargetMode="External"/><Relationship Id="rId14" Type="http://schemas.openxmlformats.org/officeDocument/2006/relationships/hyperlink" Target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TargetMode="External"/><Relationship Id="rId22" Type="http://schemas.openxmlformats.org/officeDocument/2006/relationships/hyperlink" Target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TargetMode="External"/><Relationship Id="rId27" Type="http://schemas.openxmlformats.org/officeDocument/2006/relationships/hyperlink" Target="https://www.colombiacompra.gov.co/tienda-virtual-del-estado-colombiano/ordenes-compra/127948" TargetMode="External"/><Relationship Id="rId30" Type="http://schemas.openxmlformats.org/officeDocument/2006/relationships/hyperlink" Target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TargetMode="External"/><Relationship Id="rId35" Type="http://schemas.openxmlformats.org/officeDocument/2006/relationships/hyperlink" Target="https://www.secop.gov.co/CO1BusinessLine/Tendering/BuyerWorkArea/Index?docUniqueIdentifier=CO1.BDOS.6512542&amp;prevCtxUrl=https%3a%2f%2fwww.secop.gov.co%2fCO1BusinessLine%2fTendering%2fBuyerDossierWorkspace%2fIndex%3fcreateDateFrom%3d09%2f02%2f2024+20%3a43%3a48%26createDateTo%3d09%2f08%2f2024+20%3a43%3a48%26filteringState%3d2%26sortingState%3dLastModifiedDESC%26showAdvancedSearch%3dFalse%26showAdvancedSearchFields%3dFalse%26folderCode%3dALL%26selectedDossier%3dCO1.BDOS.6512542%26selectedRequest%3dCO1.REQ.6637958%26&amp;prevCtxLbl=Procesos+de+la+Entidad+Estatal" TargetMode="External"/><Relationship Id="rId43" Type="http://schemas.microsoft.com/office/2017/10/relationships/threadedComment" Target="../threadedComments/threadedComment3.xml"/><Relationship Id="rId8" Type="http://schemas.openxmlformats.org/officeDocument/2006/relationships/hyperlink" Target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" TargetMode="External"/><Relationship Id="rId3" Type="http://schemas.openxmlformats.org/officeDocument/2006/relationships/hyperlink" Target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TargetMode="External"/><Relationship Id="rId12" Type="http://schemas.openxmlformats.org/officeDocument/2006/relationships/hyperlink" Target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TargetMode="External"/><Relationship Id="rId17" Type="http://schemas.openxmlformats.org/officeDocument/2006/relationships/hyperlink" Target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TargetMode="External"/><Relationship Id="rId25" Type="http://schemas.openxmlformats.org/officeDocument/2006/relationships/hyperlink" Target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TargetMode="External"/><Relationship Id="rId33" Type="http://schemas.openxmlformats.org/officeDocument/2006/relationships/hyperlink" Target="https://community.secop.gov.co/STS/users/issue.aspx?wa=wsignin1.0&amp;wtrealm=https%3a%2f%2fwww.secop.gov.co%2fCO1ContractsManagement&amp;wctx=rm%3d0%26id%3dpassive%26ru%3d%252fCO1ContractsManagement%252fTendering%252fProcurementContractEdit%252fView%253fdocUniqueIdentifier%253dCO1.PCCNTR.6474022%2526awardUniqueIdentifier%253d%2526buyerDossierUniqueIdentifier%253dCO1.BDOS.6312453%2526id%253d3730492&amp;wct=2024-07-16T16%3a12%3a14Z" TargetMode="External"/><Relationship Id="rId38" Type="http://schemas.openxmlformats.org/officeDocument/2006/relationships/hyperlink" Target="https://www.secop.gov.co/CO1ContractsManagement/Tendering/ProcurementContractEdit/Update?ProfileName=CCE-11-Procedimiento_Publicidad&amp;PPI=CO1.PPI.34524333&amp;DocUniqueName=ContratoDeCompra&amp;DocTypeName=NextWay.Entities.Marketplace.Tendering.ProcurementContract&amp;ProfileVersion=12&amp;DocUniqueIdentifier=CO1.PCCNTR.6809307&amp;prevCtxUrl=https%3a%2f%2fwww.secop.gov.co%3a443%2fCO1ContractsManagement%2fTendering%2fProcurementContractManagement%2fIndex&amp;prevCtxLbl=Contratos+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TargetMode="External"/><Relationship Id="rId18" Type="http://schemas.openxmlformats.org/officeDocument/2006/relationships/hyperlink" Target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TargetMode="External"/><Relationship Id="rId26" Type="http://schemas.openxmlformats.org/officeDocument/2006/relationships/hyperlink" Target="https://www.colombiacompra.gov.co/tienda-virtual-del-estado-colombiano/ordenes-compra/122184" TargetMode="External"/><Relationship Id="rId39" Type="http://schemas.openxmlformats.org/officeDocument/2006/relationships/hyperlink" Target="https://www.secop.gov.co/CO1ContractsManagement/Tendering/ProcurementContractEdit/View?docUniqueIdentifier=CO1.PCCNTR.6801344&amp;prevCtxUrl=https%3a%2f%2fwww.secop.gov.co%3a443%2fCO1ContractsManagement%2fTendering%2fProcurementContractManagement%2fIndex&amp;prevCtxLbl=Contratos+" TargetMode="External"/><Relationship Id="rId21" Type="http://schemas.openxmlformats.org/officeDocument/2006/relationships/hyperlink" Target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TargetMode="External"/><Relationship Id="rId34" Type="http://schemas.openxmlformats.org/officeDocument/2006/relationships/hyperlink" Target="https://www.colombiacompra.gov.co/tienda-virtual-del-estado-colombiano/ordenes-compra/131057" TargetMode="External"/><Relationship Id="rId42" Type="http://schemas.openxmlformats.org/officeDocument/2006/relationships/printerSettings" Target="../printerSettings/printerSettings4.bin"/><Relationship Id="rId7" Type="http://schemas.openxmlformats.org/officeDocument/2006/relationships/hyperlink" Target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TargetMode="External"/><Relationship Id="rId2" Type="http://schemas.openxmlformats.org/officeDocument/2006/relationships/hyperlink" Target="https://www.colombiacompra.gov.co/tienda-virtual-del-estado-colombiano/ordenes-compra/120075" TargetMode="External"/><Relationship Id="rId16" Type="http://schemas.openxmlformats.org/officeDocument/2006/relationships/hyperlink" Target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TargetMode="External"/><Relationship Id="rId29" Type="http://schemas.openxmlformats.org/officeDocument/2006/relationships/hyperlink" Target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TargetMode="External"/><Relationship Id="rId1" Type="http://schemas.openxmlformats.org/officeDocument/2006/relationships/hyperlink" Target="https://www.colombiacompra.gov.co/tienda-virtual-del-estado-colombiano/ordenes-compra/?number_order=121992&amp;state=&amp;entity=&amp;tool=&amp;date_to&amp;date_from" TargetMode="External"/><Relationship Id="rId6" Type="http://schemas.openxmlformats.org/officeDocument/2006/relationships/hyperlink" Target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TargetMode="External"/><Relationship Id="rId11" Type="http://schemas.openxmlformats.org/officeDocument/2006/relationships/hyperlink" Target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TargetMode="External"/><Relationship Id="rId24" Type="http://schemas.openxmlformats.org/officeDocument/2006/relationships/hyperlink" Target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TargetMode="External"/><Relationship Id="rId32" Type="http://schemas.openxmlformats.org/officeDocument/2006/relationships/hyperlink" Target="https://www.secop.gov.co/CO1ContractsManagement/Tendering/ProcurementContractEdit/View?docUniqueIdentifier=CO1.PCCNTR.6413217&amp;awardUniqueIdentifier=CO1.AWD.1946206&amp;buyerDossierUniqueIdentifier=CO1.BDOS.6150033&amp;id=3693003" TargetMode="External"/><Relationship Id="rId37" Type="http://schemas.openxmlformats.org/officeDocument/2006/relationships/hyperlink" Target="https://www.secop.gov.co/CO1ContractsManagement/Tendering/ProcurementContractEdit/Update?ProfileName=CCE-11-Procedimiento_Publicidad&amp;PPI=CO1.PPI.31157857&amp;DocUniqueName=ContratoDeCompra&amp;DocTypeName=NextWay.Entities.Marketplace.Tendering.ProcurementContract&amp;ProfileVersion=12&amp;DocUniqueIdentifier=CO1.PCCNTR.6795741&amp;prevCtxUrl=https%3a%2f%2fwww.secop.gov.co%3a443%2fCO1ContractsManagement%2fTendering%2fProcurementContractManagement%2fIndex&amp;prevCtxLbl=Contratos+" TargetMode="External"/><Relationship Id="rId40" Type="http://schemas.openxmlformats.org/officeDocument/2006/relationships/hyperlink" Target="https://www.secop.gov.co/CO1ContractsManagement/Tendering/ProcurementContractEdit/View?docUniqueIdentifier=CO1.PCCNTR.6688746&amp;prevCtxUrl=https%3a%2f%2fwww.secop.gov.co%3a443%2fCO1ContractsManagement%2fTendering%2fProcurementContractManagement%2fIndex&amp;prevCtxLbl=Contratos+" TargetMode="External"/><Relationship Id="rId45" Type="http://schemas.microsoft.com/office/2017/10/relationships/threadedComment" Target="../threadedComments/threadedComment4.xml"/><Relationship Id="rId5" Type="http://schemas.openxmlformats.org/officeDocument/2006/relationships/hyperlink" Target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TargetMode="External"/><Relationship Id="rId15" Type="http://schemas.openxmlformats.org/officeDocument/2006/relationships/hyperlink" Target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TargetMode="External"/><Relationship Id="rId23" Type="http://schemas.openxmlformats.org/officeDocument/2006/relationships/hyperlink" Target="https://www.secop.gov.co/CO1ContractsManagement/Tendering/ProcurementContractEdit/View?docUniqueIdentifier=CO1.PCCNTR.6111870&amp;awardUniqueIdentifier=CO1.AWD.1876133&amp;buyerDossierUniqueIdentifier=CO1.BDOS.5796313&amp;id=3462825" TargetMode="External"/><Relationship Id="rId28" Type="http://schemas.openxmlformats.org/officeDocument/2006/relationships/hyperlink" Target="https://www.secop.gov.co/CO1ContractsManagement/Tendering/ProcurementContractEdit/View?docUniqueIdentifier=CO1.PCCNTR.6194722&amp;awardUniqueIdentifier=&amp;buyerDossierUniqueIdentifier=CO1.BDOS.5947818&amp;id=3538656" TargetMode="External"/><Relationship Id="rId36" Type="http://schemas.openxmlformats.org/officeDocument/2006/relationships/hyperlink" Target="https://www.secop.gov.co/CO1ContractsManagement/Tendering/ProcurementContractEdit/View?docUniqueIdentifier=CO1.PCCNTR.6583413&amp;prevCtxUrl=https%3a%2f%2fwww.secop.gov.co%3a443%2fCO1ContractsManagement%2fTendering%2fProcurementContractManagement%2fIndex&amp;prevCtxLbl=Contratos+" TargetMode="External"/><Relationship Id="rId10" Type="http://schemas.openxmlformats.org/officeDocument/2006/relationships/hyperlink" Target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TargetMode="External"/><Relationship Id="rId19" Type="http://schemas.openxmlformats.org/officeDocument/2006/relationships/hyperlink" Target="https://www.secop.gov.co/CO1ContractsManagement/Tendering/ProcurementContractEdit/View?docUniqueIdentifier=CO1.PCCNTR.5900803&amp;awardUniqueIdentifier=CO1.AWD.1844823&amp;buyerDossierUniqueIdentifier=CO1.BDOS.5392298&amp;id=3304019" TargetMode="External"/><Relationship Id="rId31" Type="http://schemas.openxmlformats.org/officeDocument/2006/relationships/hyperlink" Target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TargetMode="External"/><Relationship Id="rId44" Type="http://schemas.openxmlformats.org/officeDocument/2006/relationships/comments" Target="../comments4.xml"/><Relationship Id="rId4" Type="http://schemas.openxmlformats.org/officeDocument/2006/relationships/hyperlink" Target="https://www.colombiacompra.gov.co/tienda-virtual-del-estado-colombiano/ordenes-compra/121005" TargetMode="External"/><Relationship Id="rId9" Type="http://schemas.openxmlformats.org/officeDocument/2006/relationships/hyperlink" Target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TargetMode="External"/><Relationship Id="rId14" Type="http://schemas.openxmlformats.org/officeDocument/2006/relationships/hyperlink" Target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TargetMode="External"/><Relationship Id="rId22" Type="http://schemas.openxmlformats.org/officeDocument/2006/relationships/hyperlink" Target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TargetMode="External"/><Relationship Id="rId27" Type="http://schemas.openxmlformats.org/officeDocument/2006/relationships/hyperlink" Target="https://www.colombiacompra.gov.co/tienda-virtual-del-estado-colombiano/ordenes-compra/127948" TargetMode="External"/><Relationship Id="rId30" Type="http://schemas.openxmlformats.org/officeDocument/2006/relationships/hyperlink" Target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TargetMode="External"/><Relationship Id="rId35" Type="http://schemas.openxmlformats.org/officeDocument/2006/relationships/hyperlink" Target="https://www.secop.gov.co/CO1BusinessLine/Tendering/BuyerWorkArea/Index?docUniqueIdentifier=CO1.BDOS.6512542&amp;prevCtxUrl=https%3a%2f%2fwww.secop.gov.co%2fCO1BusinessLine%2fTendering%2fBuyerDossierWorkspace%2fIndex%3fcreateDateFrom%3d09%2f02%2f2024+20%3a43%3a48%26createDateTo%3d09%2f08%2f2024+20%3a43%3a48%26filteringState%3d2%26sortingState%3dLastModifiedDESC%26showAdvancedSearch%3dFalse%26showAdvancedSearchFields%3dFalse%26folderCode%3dALL%26selectedDossier%3dCO1.BDOS.6512542%26selectedRequest%3dCO1.REQ.6637958%26&amp;prevCtxLbl=Procesos+de+la+Entidad+Estatal" TargetMode="External"/><Relationship Id="rId43" Type="http://schemas.openxmlformats.org/officeDocument/2006/relationships/vmlDrawing" Target="../drawings/vmlDrawing4.vml"/><Relationship Id="rId8" Type="http://schemas.openxmlformats.org/officeDocument/2006/relationships/hyperlink" Target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" TargetMode="External"/><Relationship Id="rId3" Type="http://schemas.openxmlformats.org/officeDocument/2006/relationships/hyperlink" Target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TargetMode="External"/><Relationship Id="rId12" Type="http://schemas.openxmlformats.org/officeDocument/2006/relationships/hyperlink" Target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TargetMode="External"/><Relationship Id="rId17" Type="http://schemas.openxmlformats.org/officeDocument/2006/relationships/hyperlink" Target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TargetMode="External"/><Relationship Id="rId25" Type="http://schemas.openxmlformats.org/officeDocument/2006/relationships/hyperlink" Target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TargetMode="External"/><Relationship Id="rId33" Type="http://schemas.openxmlformats.org/officeDocument/2006/relationships/hyperlink" Target="https://community.secop.gov.co/STS/users/issue.aspx?wa=wsignin1.0&amp;wtrealm=https%3a%2f%2fwww.secop.gov.co%2fCO1ContractsManagement&amp;wctx=rm%3d0%26id%3dpassive%26ru%3d%252fCO1ContractsManagement%252fTendering%252fProcurementContractEdit%252fView%253fdocUniqueIdentifier%253dCO1.PCCNTR.6474022%2526awardUniqueIdentifier%253d%2526buyerDossierUniqueIdentifier%253dCO1.BDOS.6312453%2526id%253d3730492&amp;wct=2024-07-16T16%3a12%3a14Z" TargetMode="External"/><Relationship Id="rId38" Type="http://schemas.openxmlformats.org/officeDocument/2006/relationships/hyperlink" Target="https://www.secop.gov.co/CO1ContractsManagement/Tendering/ProcurementContractEdit/Update?ProfileName=CCE-11-Procedimiento_Publicidad&amp;PPI=CO1.PPI.34524333&amp;DocUniqueName=ContratoDeCompra&amp;DocTypeName=NextWay.Entities.Marketplace.Tendering.ProcurementContract&amp;ProfileVersion=12&amp;DocUniqueIdentifier=CO1.PCCNTR.6809307&amp;prevCtxUrl=https%3a%2f%2fwww.secop.gov.co%3a443%2fCO1ContractsManagement%2fTendering%2fProcurementContractManagement%2fIndex&amp;prevCtxLbl=Contratos+" TargetMode="External"/><Relationship Id="rId20" Type="http://schemas.openxmlformats.org/officeDocument/2006/relationships/hyperlink" Target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TargetMode="External"/><Relationship Id="rId41" Type="http://schemas.openxmlformats.org/officeDocument/2006/relationships/hyperlink" Target="https://www.secop.gov.co/CO1ContractsManagement/Tendering/ProcurementContractEdit/Update?ProfileName=CCE-11-Procedimiento_Publicidad&amp;PPI=CO1.PPI.34089495&amp;DocUniqueName=ContratoDeCompra&amp;DocTypeName=NextWay.Entities.Marketplace.Tendering.ProcurementContract&amp;ProfileVersion=12&amp;DocUniqueIdentifier=CO1.PCCNTR.6726484&amp;prevCtxUrl=https%3a%2f%2fwww.secop.gov.co%3a443%2fCO1ContractsManagement%2fTendering%2fProcurementContractManagement%2fIndex&amp;prevCtxLbl=Contratos+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Relationship Id="rId9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Relationship Id="rId9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mindmeister.com/125911545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TargetMode="External"/><Relationship Id="rId18" Type="http://schemas.openxmlformats.org/officeDocument/2006/relationships/hyperlink" Target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TargetMode="External"/><Relationship Id="rId26" Type="http://schemas.openxmlformats.org/officeDocument/2006/relationships/hyperlink" Target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TargetMode="External"/><Relationship Id="rId21" Type="http://schemas.openxmlformats.org/officeDocument/2006/relationships/hyperlink" Target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TargetMode="External"/><Relationship Id="rId12" Type="http://schemas.openxmlformats.org/officeDocument/2006/relationships/hyperlink" Target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TargetMode="External"/><Relationship Id="rId17" Type="http://schemas.openxmlformats.org/officeDocument/2006/relationships/hyperlink" Target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TargetMode="External"/><Relationship Id="rId25" Type="http://schemas.openxmlformats.org/officeDocument/2006/relationships/hyperlink" Target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TargetMode="External"/><Relationship Id="rId33" Type="http://schemas.openxmlformats.org/officeDocument/2006/relationships/hyperlink" Target="https://www.secop.gov.co/CO1ContractsManagement/Tendering/ProcurementContractEdit/View?docUniqueIdentifier=CO1.PCCNTR.6413217&amp;awardUniqueIdentifier=CO1.AWD.1946206&amp;buyerDossierUniqueIdentifier=CO1.BDOS.6150033&amp;id=3693003" TargetMode="External"/><Relationship Id="rId2" Type="http://schemas.openxmlformats.org/officeDocument/2006/relationships/hyperlink" Target="https://www.colombiacompra.gov.co/tienda-virtual-del-estado-colombiano/ordenes-compra/120075" TargetMode="External"/><Relationship Id="rId16" Type="http://schemas.openxmlformats.org/officeDocument/2006/relationships/hyperlink" Target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 TargetMode="External"/><Relationship Id="rId20" Type="http://schemas.openxmlformats.org/officeDocument/2006/relationships/hyperlink" Target="https://www.secop.gov.co/CO1ContractsManagement/Tendering/ProcurementContractEdit/View?docUniqueIdentifier=CO1.PCCNTR.5900803&amp;awardUniqueIdentifier=CO1.AWD.1844823&amp;buyerDossierUniqueIdentifier=CO1.BDOS.5392298&amp;id=3304019" TargetMode="External"/><Relationship Id="rId29" Type="http://schemas.openxmlformats.org/officeDocument/2006/relationships/hyperlink" Target="https://www.secop.gov.co/CO1ContractsManagement/Tendering/ProcurementContractEdit/View?docUniqueIdentifier=CO1.PCCNTR.6194722&amp;awardUniqueIdentifier=&amp;buyerDossierUniqueIdentifier=CO1.BDOS.5947818&amp;id=3538656" TargetMode="External"/><Relationship Id="rId1" Type="http://schemas.openxmlformats.org/officeDocument/2006/relationships/hyperlink" Target="https://www.colombiacompra.gov.co/tienda-virtual-del-estado-colombiano/ordenes-compra/?number_order=121992&amp;state=&amp;entity=&amp;tool=&amp;date_to&amp;date_from" TargetMode="External"/><Relationship Id="rId6" Type="http://schemas.openxmlformats.org/officeDocument/2006/relationships/hyperlink" Target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TargetMode="External"/><Relationship Id="rId11" Type="http://schemas.openxmlformats.org/officeDocument/2006/relationships/hyperlink" Target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TargetMode="External"/><Relationship Id="rId24" Type="http://schemas.openxmlformats.org/officeDocument/2006/relationships/hyperlink" Target="https://www.secop.gov.co/CO1ContractsManagement/Tendering/ProcurementContractEdit/View?docUniqueIdentifier=CO1.PCCNTR.6111870&amp;awardUniqueIdentifier=CO1.AWD.1876133&amp;buyerDossierUniqueIdentifier=CO1.BDOS.5796313&amp;id=3462825" TargetMode="External"/><Relationship Id="rId32" Type="http://schemas.openxmlformats.org/officeDocument/2006/relationships/hyperlink" Target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TargetMode="External"/><Relationship Id="rId37" Type="http://schemas.microsoft.com/office/2017/10/relationships/threadedComment" Target="../threadedComments/threadedComment5.xml"/><Relationship Id="rId5" Type="http://schemas.openxmlformats.org/officeDocument/2006/relationships/hyperlink" Target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TargetMode="External"/><Relationship Id="rId15" Type="http://schemas.openxmlformats.org/officeDocument/2006/relationships/hyperlink" Target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TargetMode="External"/><Relationship Id="rId23" Type="http://schemas.openxmlformats.org/officeDocument/2006/relationships/hyperlink" Target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TargetMode="External"/><Relationship Id="rId28" Type="http://schemas.openxmlformats.org/officeDocument/2006/relationships/hyperlink" Target="https://www.colombiacompra.gov.co/tienda-virtual-del-estado-colombiano/ordenes-compra/127948" TargetMode="External"/><Relationship Id="rId36" Type="http://schemas.openxmlformats.org/officeDocument/2006/relationships/comments" Target="../comments5.xml"/><Relationship Id="rId10" Type="http://schemas.openxmlformats.org/officeDocument/2006/relationships/hyperlink" Target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TargetMode="External"/><Relationship Id="rId19" Type="http://schemas.openxmlformats.org/officeDocument/2006/relationships/hyperlink" Target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TargetMode="External"/><Relationship Id="rId31" Type="http://schemas.openxmlformats.org/officeDocument/2006/relationships/hyperlink" Target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TargetMode="External"/><Relationship Id="rId4" Type="http://schemas.openxmlformats.org/officeDocument/2006/relationships/hyperlink" Target="https://www.colombiacompra.gov.co/tienda-virtual-del-estado-colombiano/ordenes-compra/121005" TargetMode="External"/><Relationship Id="rId9" Type="http://schemas.openxmlformats.org/officeDocument/2006/relationships/hyperlink" Target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TargetMode="External"/><Relationship Id="rId14" Type="http://schemas.openxmlformats.org/officeDocument/2006/relationships/hyperlink" Target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TargetMode="External"/><Relationship Id="rId22" Type="http://schemas.openxmlformats.org/officeDocument/2006/relationships/hyperlink" Target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TargetMode="External"/><Relationship Id="rId27" Type="http://schemas.openxmlformats.org/officeDocument/2006/relationships/hyperlink" Target="https://www.colombiacompra.gov.co/tienda-virtual-del-estado-colombiano/ordenes-compra/122184" TargetMode="External"/><Relationship Id="rId30" Type="http://schemas.openxmlformats.org/officeDocument/2006/relationships/hyperlink" Target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TargetMode="External"/><Relationship Id="rId35" Type="http://schemas.openxmlformats.org/officeDocument/2006/relationships/vmlDrawing" Target="../drawings/vmlDrawing5.vml"/><Relationship Id="rId8" Type="http://schemas.openxmlformats.org/officeDocument/2006/relationships/hyperlink" Target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" TargetMode="External"/><Relationship Id="rId3" Type="http://schemas.openxmlformats.org/officeDocument/2006/relationships/hyperlink" Target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1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4" Type="http://schemas.openxmlformats.org/officeDocument/2006/relationships/drawing" Target="../drawings/drawing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TargetMode="External"/><Relationship Id="rId13" Type="http://schemas.openxmlformats.org/officeDocument/2006/relationships/hyperlink" Target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TargetMode="External"/><Relationship Id="rId3" Type="http://schemas.openxmlformats.org/officeDocument/2006/relationships/hyperlink" Target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TargetMode="External"/><Relationship Id="rId7" Type="http://schemas.openxmlformats.org/officeDocument/2006/relationships/hyperlink" Target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TargetMode="External"/><Relationship Id="rId12" Type="http://schemas.openxmlformats.org/officeDocument/2006/relationships/hyperlink" Target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TargetMode="External"/><Relationship Id="rId16" Type="http://schemas.openxmlformats.org/officeDocument/2006/relationships/hyperlink" Target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TargetMode="External"/><Relationship Id="rId1" Type="http://schemas.openxmlformats.org/officeDocument/2006/relationships/hyperlink" Target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TargetMode="External"/><Relationship Id="rId6" Type="http://schemas.openxmlformats.org/officeDocument/2006/relationships/hyperlink" Target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TargetMode="External"/><Relationship Id="rId11" Type="http://schemas.openxmlformats.org/officeDocument/2006/relationships/hyperlink" Target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 TargetMode="External"/><Relationship Id="rId5" Type="http://schemas.openxmlformats.org/officeDocument/2006/relationships/hyperlink" Target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TargetMode="External"/><Relationship Id="rId15" Type="http://schemas.openxmlformats.org/officeDocument/2006/relationships/hyperlink" Target="https://www.secop.gov.co/CO1ContractsManagement/Tendering/ProcurementContractEdit/View?docUniqueIdentifier=CO1.PCCNTR.5900803&amp;awardUniqueIdentifier=CO1.AWD.1844823&amp;buyerDossierUniqueIdentifier=CO1.BDOS.5392298&amp;id=3304019" TargetMode="External"/><Relationship Id="rId10" Type="http://schemas.openxmlformats.org/officeDocument/2006/relationships/hyperlink" Target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TargetMode="External"/><Relationship Id="rId4" Type="http://schemas.openxmlformats.org/officeDocument/2006/relationships/hyperlink" Target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TargetMode="External"/><Relationship Id="rId9" Type="http://schemas.openxmlformats.org/officeDocument/2006/relationships/hyperlink" Target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TargetMode="External"/><Relationship Id="rId14" Type="http://schemas.openxmlformats.org/officeDocument/2006/relationships/hyperlink" Target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TargetMode="External"/><Relationship Id="rId13" Type="http://schemas.openxmlformats.org/officeDocument/2006/relationships/hyperlink" Target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TargetMode="External"/><Relationship Id="rId18" Type="http://schemas.openxmlformats.org/officeDocument/2006/relationships/hyperlink" Target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TargetMode="External"/><Relationship Id="rId3" Type="http://schemas.openxmlformats.org/officeDocument/2006/relationships/hyperlink" Target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TargetMode="External"/><Relationship Id="rId21" Type="http://schemas.openxmlformats.org/officeDocument/2006/relationships/hyperlink" Target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TargetMode="External"/><Relationship Id="rId7" Type="http://schemas.openxmlformats.org/officeDocument/2006/relationships/hyperlink" Target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TargetMode="External"/><Relationship Id="rId12" Type="http://schemas.openxmlformats.org/officeDocument/2006/relationships/hyperlink" Target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TargetMode="External"/><Relationship Id="rId17" Type="http://schemas.openxmlformats.org/officeDocument/2006/relationships/hyperlink" Target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TargetMode="External"/><Relationship Id="rId2" Type="http://schemas.openxmlformats.org/officeDocument/2006/relationships/hyperlink" Target="https://www.colombiacompra.gov.co/tienda-virtual-del-estado-colombiano/ordenes-compra/120075" TargetMode="External"/><Relationship Id="rId16" Type="http://schemas.openxmlformats.org/officeDocument/2006/relationships/hyperlink" Target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 TargetMode="External"/><Relationship Id="rId20" Type="http://schemas.openxmlformats.org/officeDocument/2006/relationships/hyperlink" Target="https://www.secop.gov.co/CO1ContractsManagement/Tendering/ProcurementContractEdit/View?docUniqueIdentifier=CO1.PCCNTR.5900803&amp;awardUniqueIdentifier=CO1.AWD.1844823&amp;buyerDossierUniqueIdentifier=CO1.BDOS.5392298&amp;id=3304019" TargetMode="External"/><Relationship Id="rId1" Type="http://schemas.openxmlformats.org/officeDocument/2006/relationships/hyperlink" Target="https://www.colombiacompra.gov.co/tienda-virtual-del-estado-colombiano/ordenes-compra/?number_order=121992&amp;state=&amp;entity=&amp;tool=&amp;date_to&amp;date_from" TargetMode="External"/><Relationship Id="rId6" Type="http://schemas.openxmlformats.org/officeDocument/2006/relationships/hyperlink" Target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TargetMode="External"/><Relationship Id="rId11" Type="http://schemas.openxmlformats.org/officeDocument/2006/relationships/hyperlink" Target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TargetMode="External"/><Relationship Id="rId5" Type="http://schemas.openxmlformats.org/officeDocument/2006/relationships/hyperlink" Target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TargetMode="External"/><Relationship Id="rId15" Type="http://schemas.openxmlformats.org/officeDocument/2006/relationships/hyperlink" Target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TargetMode="External"/><Relationship Id="rId10" Type="http://schemas.openxmlformats.org/officeDocument/2006/relationships/hyperlink" Target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TargetMode="External"/><Relationship Id="rId19" Type="http://schemas.openxmlformats.org/officeDocument/2006/relationships/hyperlink" Target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TargetMode="External"/><Relationship Id="rId4" Type="http://schemas.openxmlformats.org/officeDocument/2006/relationships/hyperlink" Target="https://www.colombiacompra.gov.co/tienda-virtual-del-estado-colombiano/ordenes-compra/121005" TargetMode="External"/><Relationship Id="rId9" Type="http://schemas.openxmlformats.org/officeDocument/2006/relationships/hyperlink" Target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TargetMode="External"/><Relationship Id="rId14" Type="http://schemas.openxmlformats.org/officeDocument/2006/relationships/hyperlink" Target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TargetMode="External"/><Relationship Id="rId22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E134-CD5D-477F-8A9C-5830A9028487}">
  <dimension ref="A3:F11"/>
  <sheetViews>
    <sheetView workbookViewId="0">
      <selection activeCell="D17" sqref="D17"/>
    </sheetView>
  </sheetViews>
  <sheetFormatPr baseColWidth="10" defaultColWidth="11.42578125" defaultRowHeight="15" x14ac:dyDescent="0.25"/>
  <cols>
    <col min="1" max="1" width="20.7109375" bestFit="1" customWidth="1"/>
    <col min="2" max="2" width="21.28515625" bestFit="1" customWidth="1"/>
  </cols>
  <sheetData>
    <row r="3" spans="1:6" x14ac:dyDescent="0.25">
      <c r="A3" s="24" t="s">
        <v>0</v>
      </c>
      <c r="B3" t="s">
        <v>1</v>
      </c>
    </row>
    <row r="4" spans="1:6" x14ac:dyDescent="0.25">
      <c r="A4" s="25" t="s">
        <v>2</v>
      </c>
      <c r="B4">
        <v>7</v>
      </c>
    </row>
    <row r="5" spans="1:6" x14ac:dyDescent="0.25">
      <c r="A5" s="25" t="s">
        <v>3</v>
      </c>
      <c r="B5">
        <v>24</v>
      </c>
      <c r="D5" t="s">
        <v>4</v>
      </c>
      <c r="F5">
        <f>19/36</f>
        <v>0.52777777777777779</v>
      </c>
    </row>
    <row r="6" spans="1:6" x14ac:dyDescent="0.25">
      <c r="A6" s="25" t="s">
        <v>5</v>
      </c>
      <c r="B6">
        <v>12</v>
      </c>
      <c r="D6" t="s">
        <v>6</v>
      </c>
    </row>
    <row r="7" spans="1:6" x14ac:dyDescent="0.25">
      <c r="A7" s="25" t="s">
        <v>7</v>
      </c>
      <c r="B7">
        <v>43</v>
      </c>
    </row>
    <row r="9" spans="1:6" x14ac:dyDescent="0.25">
      <c r="D9" t="s">
        <v>8</v>
      </c>
    </row>
    <row r="11" spans="1:6" x14ac:dyDescent="0.25">
      <c r="D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AF75-BC87-4016-80ED-79EE1CB58469}">
  <sheetPr filterMode="1">
    <pageSetUpPr autoPageBreaks="0"/>
  </sheetPr>
  <dimension ref="A1:AT51"/>
  <sheetViews>
    <sheetView topLeftCell="Q1" zoomScale="80" zoomScaleNormal="80" zoomScaleSheetLayoutView="100" workbookViewId="0">
      <pane ySplit="1" topLeftCell="A26" activePane="bottomLeft" state="frozen"/>
      <selection pane="bottomLeft" activeCell="R2" sqref="R2:R27"/>
    </sheetView>
  </sheetViews>
  <sheetFormatPr baseColWidth="10" defaultColWidth="11.7109375" defaultRowHeight="14.25" x14ac:dyDescent="0.25"/>
  <cols>
    <col min="1" max="1" width="11.7109375" style="27"/>
    <col min="2" max="2" width="11.7109375" style="62"/>
    <col min="3" max="3" width="11.7109375" style="27"/>
    <col min="4" max="4" width="21" style="27" customWidth="1"/>
    <col min="5" max="6" width="11.7109375" style="27"/>
    <col min="7" max="10" width="11.7109375" style="42"/>
    <col min="11" max="12" width="11.7109375" style="42" customWidth="1"/>
    <col min="13" max="13" width="11.7109375" style="27" customWidth="1"/>
    <col min="14" max="14" width="25.28515625" style="27" customWidth="1"/>
    <col min="15" max="16" width="11.7109375" style="27" customWidth="1"/>
    <col min="17" max="17" width="23.7109375" style="27" customWidth="1"/>
    <col min="18" max="18" width="51.7109375" style="27" customWidth="1"/>
    <col min="19" max="19" width="11.7109375" style="33" customWidth="1"/>
    <col min="20" max="30" width="11.7109375" style="27" customWidth="1"/>
    <col min="31" max="31" width="19.7109375" style="27" customWidth="1"/>
    <col min="32" max="32" width="17.42578125" style="27" customWidth="1"/>
    <col min="33" max="33" width="19.7109375" style="27" customWidth="1"/>
    <col min="34" max="35" width="18" style="27" customWidth="1"/>
    <col min="36" max="36" width="16.7109375" style="27" customWidth="1"/>
    <col min="37" max="38" width="19.7109375" style="27" customWidth="1"/>
    <col min="39" max="39" width="18.7109375" style="27" customWidth="1"/>
    <col min="40" max="41" width="16.7109375" style="27" customWidth="1"/>
    <col min="42" max="42" width="11.7109375" style="27" customWidth="1"/>
    <col min="43" max="43" width="18" style="27" customWidth="1"/>
    <col min="44" max="44" width="20.28515625" style="27" customWidth="1"/>
    <col min="45" max="45" width="82.7109375" style="27" customWidth="1"/>
    <col min="46" max="46" width="71.5703125" style="27" customWidth="1"/>
    <col min="47" max="16384" width="11.7109375" style="27"/>
  </cols>
  <sheetData>
    <row r="1" spans="1:46" ht="105" x14ac:dyDescent="0.25">
      <c r="A1" s="28" t="s">
        <v>10</v>
      </c>
      <c r="B1" s="60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40" t="s">
        <v>16</v>
      </c>
      <c r="H1" s="40" t="s">
        <v>17</v>
      </c>
      <c r="I1" s="40" t="s">
        <v>18</v>
      </c>
      <c r="J1" s="40" t="s">
        <v>19</v>
      </c>
      <c r="K1" s="40" t="s">
        <v>20</v>
      </c>
      <c r="L1" s="40" t="s">
        <v>21</v>
      </c>
      <c r="M1" s="28" t="s">
        <v>22</v>
      </c>
      <c r="N1" s="28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40" t="s">
        <v>28</v>
      </c>
      <c r="T1" s="28" t="s">
        <v>29</v>
      </c>
      <c r="U1" s="28" t="s">
        <v>30</v>
      </c>
      <c r="V1" s="28" t="s">
        <v>31</v>
      </c>
      <c r="W1" s="28" t="s">
        <v>32</v>
      </c>
      <c r="X1" s="28" t="s">
        <v>33</v>
      </c>
      <c r="Y1" s="28" t="s">
        <v>34</v>
      </c>
      <c r="Z1" s="28" t="s">
        <v>35</v>
      </c>
      <c r="AA1" s="28" t="s">
        <v>36</v>
      </c>
      <c r="AB1" s="28" t="s">
        <v>37</v>
      </c>
      <c r="AC1" s="28" t="s">
        <v>38</v>
      </c>
      <c r="AD1" s="28" t="s">
        <v>39</v>
      </c>
      <c r="AE1" s="28" t="s">
        <v>40</v>
      </c>
      <c r="AF1" s="28" t="s">
        <v>41</v>
      </c>
      <c r="AG1" s="28" t="s">
        <v>42</v>
      </c>
      <c r="AH1" s="28" t="s">
        <v>43</v>
      </c>
      <c r="AI1" s="28" t="s">
        <v>44</v>
      </c>
      <c r="AJ1" s="28" t="s">
        <v>45</v>
      </c>
      <c r="AK1" s="28" t="s">
        <v>46</v>
      </c>
      <c r="AL1" s="28" t="s">
        <v>47</v>
      </c>
      <c r="AM1" s="28" t="s">
        <v>48</v>
      </c>
      <c r="AN1" s="28" t="s">
        <v>49</v>
      </c>
      <c r="AO1" s="28" t="s">
        <v>50</v>
      </c>
      <c r="AP1" s="28" t="s">
        <v>51</v>
      </c>
      <c r="AQ1" s="28" t="s">
        <v>52</v>
      </c>
      <c r="AR1" s="28" t="s">
        <v>53</v>
      </c>
      <c r="AS1" s="28" t="s">
        <v>54</v>
      </c>
      <c r="AT1" s="28" t="s">
        <v>55</v>
      </c>
    </row>
    <row r="2" spans="1:46" ht="150" x14ac:dyDescent="0.25">
      <c r="A2" s="47">
        <v>19</v>
      </c>
      <c r="B2" s="63"/>
      <c r="C2" s="32"/>
      <c r="D2" s="29" t="s">
        <v>56</v>
      </c>
      <c r="E2" s="29" t="s">
        <v>57</v>
      </c>
      <c r="F2" s="29" t="s">
        <v>58</v>
      </c>
      <c r="G2" s="41" t="s">
        <v>59</v>
      </c>
      <c r="H2" s="41" t="s">
        <v>60</v>
      </c>
      <c r="I2" s="41">
        <v>2024</v>
      </c>
      <c r="J2" s="41">
        <v>46</v>
      </c>
      <c r="K2" s="29" t="s">
        <v>59</v>
      </c>
      <c r="L2" s="29" t="s">
        <v>3</v>
      </c>
      <c r="M2" s="32" t="s">
        <v>61</v>
      </c>
      <c r="N2" s="32" t="s">
        <v>62</v>
      </c>
      <c r="O2" s="32" t="s">
        <v>63</v>
      </c>
      <c r="P2" s="32" t="s">
        <v>64</v>
      </c>
      <c r="Q2" s="31" t="s">
        <v>65</v>
      </c>
      <c r="R2" s="32" t="s">
        <v>66</v>
      </c>
      <c r="S2" s="45" t="s">
        <v>67</v>
      </c>
      <c r="T2" s="30" t="s">
        <v>68</v>
      </c>
      <c r="U2" s="35" t="s">
        <v>69</v>
      </c>
      <c r="V2" s="68">
        <v>0</v>
      </c>
      <c r="W2" s="36">
        <v>45329</v>
      </c>
      <c r="X2" s="36">
        <v>45331</v>
      </c>
      <c r="Y2" s="36" t="s">
        <v>70</v>
      </c>
      <c r="Z2" s="36">
        <v>45473</v>
      </c>
      <c r="AA2" s="36" t="s">
        <v>70</v>
      </c>
      <c r="AB2" s="36" t="s">
        <v>71</v>
      </c>
      <c r="AC2" s="37" t="s">
        <v>72</v>
      </c>
      <c r="AD2" s="32" t="s">
        <v>73</v>
      </c>
      <c r="AE2" s="38">
        <v>47500000</v>
      </c>
      <c r="AF2" s="38">
        <v>0</v>
      </c>
      <c r="AG2" s="38">
        <f t="shared" ref="AG2:AG8" si="0">AE2+AF2</f>
        <v>47500000</v>
      </c>
      <c r="AH2" s="38">
        <v>0</v>
      </c>
      <c r="AI2" s="66">
        <v>47500000</v>
      </c>
      <c r="AJ2" s="38">
        <v>0</v>
      </c>
      <c r="AK2" s="38">
        <v>47500000</v>
      </c>
      <c r="AL2" s="38">
        <f>IF(K2="Si",(AK2-AE2),0)</f>
        <v>0</v>
      </c>
      <c r="AM2" s="38"/>
      <c r="AN2" s="66">
        <v>0</v>
      </c>
      <c r="AO2" s="38">
        <v>11875000</v>
      </c>
      <c r="AP2" s="54">
        <f t="shared" ref="AP2:AP5" si="1">IF(AI2=0,0,ROUND(AN2/AI2,2))</f>
        <v>0</v>
      </c>
      <c r="AQ2" s="65">
        <f t="shared" ref="AQ2:AQ44" si="2">AI2-AN2</f>
        <v>47500000</v>
      </c>
      <c r="AR2" s="30" t="s">
        <v>74</v>
      </c>
      <c r="AS2" s="43" t="s">
        <v>75</v>
      </c>
      <c r="AT2" s="32"/>
    </row>
    <row r="3" spans="1:46" ht="135" x14ac:dyDescent="0.25">
      <c r="A3" s="47">
        <v>24</v>
      </c>
      <c r="B3" s="63"/>
      <c r="C3" s="32"/>
      <c r="D3" s="29" t="s">
        <v>56</v>
      </c>
      <c r="E3" s="29" t="s">
        <v>57</v>
      </c>
      <c r="F3" s="29" t="s">
        <v>58</v>
      </c>
      <c r="G3" s="41" t="s">
        <v>59</v>
      </c>
      <c r="H3" s="41" t="s">
        <v>60</v>
      </c>
      <c r="I3" s="41">
        <v>2024</v>
      </c>
      <c r="J3" s="41">
        <v>41</v>
      </c>
      <c r="K3" s="29" t="s">
        <v>59</v>
      </c>
      <c r="L3" s="29" t="s">
        <v>3</v>
      </c>
      <c r="M3" s="32" t="s">
        <v>61</v>
      </c>
      <c r="N3" s="32" t="s">
        <v>62</v>
      </c>
      <c r="O3" s="32" t="s">
        <v>63</v>
      </c>
      <c r="P3" s="32" t="s">
        <v>64</v>
      </c>
      <c r="Q3" s="31" t="s">
        <v>76</v>
      </c>
      <c r="R3" s="32" t="s">
        <v>66</v>
      </c>
      <c r="S3" s="46" t="s">
        <v>77</v>
      </c>
      <c r="T3" s="30" t="s">
        <v>78</v>
      </c>
      <c r="U3" s="35" t="s">
        <v>69</v>
      </c>
      <c r="V3" s="68">
        <v>0</v>
      </c>
      <c r="W3" s="36">
        <v>45329</v>
      </c>
      <c r="X3" s="36">
        <v>45331</v>
      </c>
      <c r="Y3" s="36" t="s">
        <v>70</v>
      </c>
      <c r="Z3" s="36">
        <v>45473</v>
      </c>
      <c r="AA3" s="36" t="s">
        <v>70</v>
      </c>
      <c r="AB3" s="36" t="s">
        <v>71</v>
      </c>
      <c r="AC3" s="37" t="s">
        <v>72</v>
      </c>
      <c r="AD3" s="32" t="s">
        <v>73</v>
      </c>
      <c r="AE3" s="38">
        <v>47500000</v>
      </c>
      <c r="AF3" s="38">
        <v>3450000</v>
      </c>
      <c r="AG3" s="38">
        <f t="shared" si="0"/>
        <v>50950000</v>
      </c>
      <c r="AH3" s="38">
        <v>0</v>
      </c>
      <c r="AI3" s="66">
        <v>47500000</v>
      </c>
      <c r="AJ3" s="38">
        <v>0</v>
      </c>
      <c r="AK3" s="38">
        <v>47500000</v>
      </c>
      <c r="AL3" s="38">
        <f>IF(K3="Si",(AK3-AE3),0)</f>
        <v>0</v>
      </c>
      <c r="AM3" s="38"/>
      <c r="AN3" s="66">
        <v>0</v>
      </c>
      <c r="AO3" s="38">
        <v>11875000</v>
      </c>
      <c r="AP3" s="54">
        <f t="shared" si="1"/>
        <v>0</v>
      </c>
      <c r="AQ3" s="65">
        <f t="shared" si="2"/>
        <v>47500000</v>
      </c>
      <c r="AR3" s="30" t="s">
        <v>79</v>
      </c>
      <c r="AS3" s="43" t="s">
        <v>80</v>
      </c>
      <c r="AT3" s="32"/>
    </row>
    <row r="4" spans="1:46" ht="85.5" x14ac:dyDescent="0.25">
      <c r="A4" s="47">
        <v>18</v>
      </c>
      <c r="B4" s="63">
        <v>80111614</v>
      </c>
      <c r="C4" s="32" t="s">
        <v>81</v>
      </c>
      <c r="D4" s="29" t="s">
        <v>56</v>
      </c>
      <c r="E4" s="29" t="s">
        <v>82</v>
      </c>
      <c r="F4" s="29" t="s">
        <v>83</v>
      </c>
      <c r="G4" s="41" t="s">
        <v>59</v>
      </c>
      <c r="H4" s="41" t="s">
        <v>60</v>
      </c>
      <c r="I4" s="41">
        <v>2024</v>
      </c>
      <c r="J4" s="41">
        <v>112</v>
      </c>
      <c r="K4" s="29" t="s">
        <v>59</v>
      </c>
      <c r="L4" s="29" t="s">
        <v>3</v>
      </c>
      <c r="M4" s="32" t="s">
        <v>61</v>
      </c>
      <c r="N4" s="32" t="s">
        <v>84</v>
      </c>
      <c r="O4" s="32" t="s">
        <v>85</v>
      </c>
      <c r="P4" s="32" t="s">
        <v>64</v>
      </c>
      <c r="Q4" s="30" t="s">
        <v>86</v>
      </c>
      <c r="R4" s="32" t="s">
        <v>87</v>
      </c>
      <c r="S4" s="45" t="s">
        <v>88</v>
      </c>
      <c r="T4" s="48" t="s">
        <v>89</v>
      </c>
      <c r="U4" s="35" t="s">
        <v>69</v>
      </c>
      <c r="V4" s="68">
        <v>0</v>
      </c>
      <c r="W4" s="36">
        <v>45315</v>
      </c>
      <c r="X4" s="36">
        <v>45315</v>
      </c>
      <c r="Y4" s="36">
        <v>45316</v>
      </c>
      <c r="Z4" s="36">
        <v>45646</v>
      </c>
      <c r="AA4" s="36" t="s">
        <v>70</v>
      </c>
      <c r="AB4" s="36" t="s">
        <v>71</v>
      </c>
      <c r="AC4" s="37" t="s">
        <v>90</v>
      </c>
      <c r="AD4" s="32" t="s">
        <v>73</v>
      </c>
      <c r="AE4" s="38">
        <v>93500000</v>
      </c>
      <c r="AF4" s="38">
        <v>0</v>
      </c>
      <c r="AG4" s="38">
        <f t="shared" si="0"/>
        <v>93500000</v>
      </c>
      <c r="AH4" s="38">
        <v>0</v>
      </c>
      <c r="AI4" s="66">
        <v>93500000</v>
      </c>
      <c r="AJ4" s="38">
        <v>0</v>
      </c>
      <c r="AK4" s="38">
        <v>93500000</v>
      </c>
      <c r="AL4" s="38">
        <f t="shared" ref="AL4:AL44" si="3">IF(K4="Si",(AK4-AE4),0)</f>
        <v>0</v>
      </c>
      <c r="AM4" s="38"/>
      <c r="AN4" s="66">
        <v>0</v>
      </c>
      <c r="AO4" s="38">
        <v>9350000</v>
      </c>
      <c r="AP4" s="54">
        <f t="shared" si="1"/>
        <v>0</v>
      </c>
      <c r="AQ4" s="65">
        <f t="shared" si="2"/>
        <v>93500000</v>
      </c>
      <c r="AR4" s="30" t="s">
        <v>91</v>
      </c>
      <c r="AS4" s="43" t="s">
        <v>92</v>
      </c>
      <c r="AT4" s="32"/>
    </row>
    <row r="5" spans="1:46" ht="99.75" x14ac:dyDescent="0.25">
      <c r="A5" s="47">
        <v>20</v>
      </c>
      <c r="B5" s="63"/>
      <c r="C5" s="32"/>
      <c r="D5" s="29" t="s">
        <v>93</v>
      </c>
      <c r="E5" s="29" t="s">
        <v>94</v>
      </c>
      <c r="F5" s="29" t="s">
        <v>95</v>
      </c>
      <c r="G5" s="47" t="s">
        <v>59</v>
      </c>
      <c r="H5" s="41" t="s">
        <v>60</v>
      </c>
      <c r="I5" s="41">
        <v>2024</v>
      </c>
      <c r="J5" s="41">
        <v>94</v>
      </c>
      <c r="K5" s="29" t="s">
        <v>59</v>
      </c>
      <c r="L5" s="29" t="s">
        <v>3</v>
      </c>
      <c r="M5" s="32" t="s">
        <v>61</v>
      </c>
      <c r="N5" s="32" t="s">
        <v>96</v>
      </c>
      <c r="O5" s="32" t="s">
        <v>97</v>
      </c>
      <c r="P5" s="32" t="s">
        <v>64</v>
      </c>
      <c r="Q5" s="30" t="s">
        <v>98</v>
      </c>
      <c r="R5" s="32" t="s">
        <v>99</v>
      </c>
      <c r="S5" s="57" t="s">
        <v>100</v>
      </c>
      <c r="T5" s="48" t="s">
        <v>101</v>
      </c>
      <c r="U5" s="35" t="s">
        <v>69</v>
      </c>
      <c r="V5" s="68">
        <v>0</v>
      </c>
      <c r="W5" s="36">
        <v>45331</v>
      </c>
      <c r="X5" s="36">
        <v>45331</v>
      </c>
      <c r="Y5" s="36">
        <v>45331</v>
      </c>
      <c r="Z5" s="36">
        <v>45359</v>
      </c>
      <c r="AA5" s="58" t="s">
        <v>102</v>
      </c>
      <c r="AB5" s="58" t="s">
        <v>103</v>
      </c>
      <c r="AC5" s="37" t="s">
        <v>90</v>
      </c>
      <c r="AD5" s="32" t="s">
        <v>104</v>
      </c>
      <c r="AE5" s="38">
        <v>194118482.31999999</v>
      </c>
      <c r="AF5" s="38">
        <v>0</v>
      </c>
      <c r="AG5" s="38">
        <f t="shared" si="0"/>
        <v>194118482.31999999</v>
      </c>
      <c r="AH5" s="38">
        <v>0</v>
      </c>
      <c r="AI5" s="66">
        <v>194118482.31999999</v>
      </c>
      <c r="AJ5" s="38">
        <v>0</v>
      </c>
      <c r="AK5" s="38">
        <v>250000000</v>
      </c>
      <c r="AL5" s="38">
        <f t="shared" si="3"/>
        <v>55881517.680000007</v>
      </c>
      <c r="AM5" s="38"/>
      <c r="AN5" s="66">
        <v>0</v>
      </c>
      <c r="AO5" s="38" t="s">
        <v>69</v>
      </c>
      <c r="AP5" s="54">
        <f t="shared" si="1"/>
        <v>0</v>
      </c>
      <c r="AQ5" s="65">
        <f t="shared" si="2"/>
        <v>194118482.31999999</v>
      </c>
      <c r="AR5" s="30" t="s">
        <v>105</v>
      </c>
      <c r="AS5" s="43" t="s">
        <v>106</v>
      </c>
      <c r="AT5" s="32"/>
    </row>
    <row r="6" spans="1:46" ht="85.5" hidden="1" x14ac:dyDescent="0.25">
      <c r="A6" s="47">
        <v>1</v>
      </c>
      <c r="B6" s="63"/>
      <c r="C6" s="32"/>
      <c r="D6" s="29" t="s">
        <v>93</v>
      </c>
      <c r="E6" s="29" t="s">
        <v>107</v>
      </c>
      <c r="F6" s="29" t="s">
        <v>108</v>
      </c>
      <c r="G6" s="41" t="s">
        <v>59</v>
      </c>
      <c r="H6" s="41" t="s">
        <v>60</v>
      </c>
      <c r="I6" s="41">
        <v>2023</v>
      </c>
      <c r="J6" s="41">
        <v>100</v>
      </c>
      <c r="K6" s="29" t="s">
        <v>109</v>
      </c>
      <c r="L6" s="29" t="s">
        <v>2</v>
      </c>
      <c r="M6" s="32" t="s">
        <v>61</v>
      </c>
      <c r="N6" s="32" t="s">
        <v>110</v>
      </c>
      <c r="O6" s="32" t="s">
        <v>111</v>
      </c>
      <c r="P6" s="32" t="s">
        <v>112</v>
      </c>
      <c r="Q6" s="31" t="s">
        <v>113</v>
      </c>
      <c r="R6" s="32" t="s">
        <v>114</v>
      </c>
      <c r="S6" s="46">
        <v>162174</v>
      </c>
      <c r="T6" s="48" t="s">
        <v>115</v>
      </c>
      <c r="U6" s="35">
        <v>121005</v>
      </c>
      <c r="V6" s="68">
        <v>1</v>
      </c>
      <c r="W6" s="36">
        <v>45258</v>
      </c>
      <c r="X6" s="36">
        <v>45266</v>
      </c>
      <c r="Y6" s="36">
        <v>45274</v>
      </c>
      <c r="Z6" s="36">
        <v>46013</v>
      </c>
      <c r="AA6" s="36" t="s">
        <v>70</v>
      </c>
      <c r="AB6" s="36" t="s">
        <v>71</v>
      </c>
      <c r="AC6" s="37" t="s">
        <v>90</v>
      </c>
      <c r="AD6" s="32" t="s">
        <v>116</v>
      </c>
      <c r="AE6" s="38">
        <v>120586666.84999999</v>
      </c>
      <c r="AF6" s="38">
        <v>0</v>
      </c>
      <c r="AG6" s="38">
        <f t="shared" si="0"/>
        <v>120586666.84999999</v>
      </c>
      <c r="AH6" s="38">
        <v>6381044.4221000075</v>
      </c>
      <c r="AI6" s="66">
        <v>60293333.439999998</v>
      </c>
      <c r="AJ6" s="38">
        <v>53912288.987899996</v>
      </c>
      <c r="AK6" s="38">
        <v>0</v>
      </c>
      <c r="AL6" s="38">
        <f t="shared" si="3"/>
        <v>0</v>
      </c>
      <c r="AM6" s="38"/>
      <c r="AN6" s="66">
        <v>4222222</v>
      </c>
      <c r="AO6" s="38">
        <v>5024444.4099999992</v>
      </c>
      <c r="AP6" s="54">
        <f>ROUND(AN6/AI6,2)</f>
        <v>7.0000000000000007E-2</v>
      </c>
      <c r="AQ6" s="65">
        <f t="shared" si="2"/>
        <v>56071111.439999998</v>
      </c>
      <c r="AR6" s="30" t="s">
        <v>117</v>
      </c>
      <c r="AS6" s="43" t="s">
        <v>118</v>
      </c>
      <c r="AT6" s="32"/>
    </row>
    <row r="7" spans="1:46" ht="99.75" hidden="1" x14ac:dyDescent="0.25">
      <c r="A7" s="47">
        <v>2</v>
      </c>
      <c r="B7" s="63"/>
      <c r="C7" s="32"/>
      <c r="D7" s="29" t="s">
        <v>93</v>
      </c>
      <c r="E7" s="29" t="s">
        <v>119</v>
      </c>
      <c r="F7" s="29" t="s">
        <v>120</v>
      </c>
      <c r="G7" s="41" t="s">
        <v>59</v>
      </c>
      <c r="H7" s="41" t="s">
        <v>60</v>
      </c>
      <c r="I7" s="41">
        <v>2023</v>
      </c>
      <c r="J7" s="41">
        <v>98</v>
      </c>
      <c r="K7" s="29" t="s">
        <v>109</v>
      </c>
      <c r="L7" s="29" t="s">
        <v>2</v>
      </c>
      <c r="M7" s="32" t="s">
        <v>61</v>
      </c>
      <c r="N7" s="32" t="s">
        <v>110</v>
      </c>
      <c r="O7" s="32" t="s">
        <v>121</v>
      </c>
      <c r="P7" s="32" t="s">
        <v>112</v>
      </c>
      <c r="Q7" s="31" t="s">
        <v>113</v>
      </c>
      <c r="R7" s="32" t="s">
        <v>122</v>
      </c>
      <c r="S7" s="46">
        <v>162171</v>
      </c>
      <c r="T7" s="30" t="s">
        <v>123</v>
      </c>
      <c r="U7" s="35">
        <v>120075</v>
      </c>
      <c r="V7" s="68">
        <v>1</v>
      </c>
      <c r="W7" s="36">
        <v>45247</v>
      </c>
      <c r="X7" s="36">
        <v>45257</v>
      </c>
      <c r="Y7" s="36">
        <v>45283</v>
      </c>
      <c r="Z7" s="36">
        <v>45603</v>
      </c>
      <c r="AA7" s="36" t="s">
        <v>70</v>
      </c>
      <c r="AB7" s="36" t="s">
        <v>71</v>
      </c>
      <c r="AC7" s="37" t="s">
        <v>90</v>
      </c>
      <c r="AD7" s="32" t="s">
        <v>116</v>
      </c>
      <c r="AE7" s="38">
        <v>52210518.659999996</v>
      </c>
      <c r="AF7" s="38">
        <v>0</v>
      </c>
      <c r="AG7" s="38">
        <f t="shared" si="0"/>
        <v>52210518.659999996</v>
      </c>
      <c r="AH7" s="38">
        <v>5750723.7799999937</v>
      </c>
      <c r="AI7" s="66">
        <v>46459794.880000003</v>
      </c>
      <c r="AJ7" s="38">
        <v>0</v>
      </c>
      <c r="AK7" s="38">
        <v>0</v>
      </c>
      <c r="AL7" s="38">
        <f t="shared" si="3"/>
        <v>0</v>
      </c>
      <c r="AM7" s="38"/>
      <c r="AN7" s="66">
        <v>4540045</v>
      </c>
      <c r="AO7" s="38">
        <v>4540045.0999999996</v>
      </c>
      <c r="AP7" s="54">
        <f t="shared" ref="AP7:AP44" si="4">IF(AI7=0,0,ROUND(AN7/AI7,2))</f>
        <v>0.1</v>
      </c>
      <c r="AQ7" s="65">
        <f t="shared" si="2"/>
        <v>41919749.880000003</v>
      </c>
      <c r="AR7" s="30" t="s">
        <v>124</v>
      </c>
      <c r="AS7" s="43" t="s">
        <v>125</v>
      </c>
      <c r="AT7" s="32"/>
    </row>
    <row r="8" spans="1:46" ht="142.5" hidden="1" x14ac:dyDescent="0.25">
      <c r="A8" s="47">
        <v>5</v>
      </c>
      <c r="B8" s="63"/>
      <c r="C8" s="32"/>
      <c r="D8" s="29" t="s">
        <v>93</v>
      </c>
      <c r="E8" s="29" t="s">
        <v>126</v>
      </c>
      <c r="F8" s="29" t="s">
        <v>127</v>
      </c>
      <c r="G8" s="41" t="s">
        <v>109</v>
      </c>
      <c r="H8" s="41" t="s">
        <v>128</v>
      </c>
      <c r="I8" s="41">
        <v>2023</v>
      </c>
      <c r="J8" s="41">
        <v>120</v>
      </c>
      <c r="K8" s="29" t="s">
        <v>109</v>
      </c>
      <c r="L8" s="29" t="s">
        <v>2</v>
      </c>
      <c r="M8" s="32" t="s">
        <v>61</v>
      </c>
      <c r="N8" s="32" t="s">
        <v>129</v>
      </c>
      <c r="O8" s="32" t="s">
        <v>130</v>
      </c>
      <c r="P8" s="32" t="s">
        <v>64</v>
      </c>
      <c r="Q8" s="30" t="s">
        <v>131</v>
      </c>
      <c r="R8" s="32" t="s">
        <v>132</v>
      </c>
      <c r="S8" s="45" t="s">
        <v>133</v>
      </c>
      <c r="T8" s="44" t="s">
        <v>134</v>
      </c>
      <c r="U8" s="35" t="s">
        <v>69</v>
      </c>
      <c r="V8" s="68">
        <v>0</v>
      </c>
      <c r="W8" s="36">
        <v>45141</v>
      </c>
      <c r="X8" s="36">
        <v>45148</v>
      </c>
      <c r="Y8" s="36">
        <v>45148</v>
      </c>
      <c r="Z8" s="36">
        <v>45565</v>
      </c>
      <c r="AA8" s="36" t="s">
        <v>70</v>
      </c>
      <c r="AB8" s="36" t="s">
        <v>71</v>
      </c>
      <c r="AC8" s="37" t="s">
        <v>72</v>
      </c>
      <c r="AD8" s="30" t="s">
        <v>135</v>
      </c>
      <c r="AE8" s="38">
        <v>1038872287</v>
      </c>
      <c r="AF8" s="38">
        <v>0</v>
      </c>
      <c r="AG8" s="38">
        <f t="shared" si="0"/>
        <v>1038872287</v>
      </c>
      <c r="AH8" s="38">
        <v>93891229</v>
      </c>
      <c r="AI8" s="66">
        <f>281673686*3+99960000</f>
        <v>944981058</v>
      </c>
      <c r="AJ8" s="38">
        <v>0</v>
      </c>
      <c r="AK8" s="38">
        <v>0</v>
      </c>
      <c r="AL8" s="38">
        <f t="shared" si="3"/>
        <v>0</v>
      </c>
      <c r="AM8" s="38"/>
      <c r="AN8" s="66">
        <v>0</v>
      </c>
      <c r="AO8" s="38" t="s">
        <v>69</v>
      </c>
      <c r="AP8" s="54">
        <f t="shared" si="4"/>
        <v>0</v>
      </c>
      <c r="AQ8" s="65">
        <f t="shared" si="2"/>
        <v>944981058</v>
      </c>
      <c r="AR8" s="30" t="s">
        <v>136</v>
      </c>
      <c r="AS8" s="43" t="s">
        <v>137</v>
      </c>
      <c r="AT8" s="118" t="s">
        <v>138</v>
      </c>
    </row>
    <row r="9" spans="1:46" ht="85.5" x14ac:dyDescent="0.25">
      <c r="A9" s="47">
        <v>9</v>
      </c>
      <c r="B9" s="63">
        <v>80111614</v>
      </c>
      <c r="C9" s="32" t="s">
        <v>81</v>
      </c>
      <c r="D9" s="29" t="s">
        <v>56</v>
      </c>
      <c r="E9" s="29" t="s">
        <v>82</v>
      </c>
      <c r="F9" s="29" t="s">
        <v>139</v>
      </c>
      <c r="G9" s="41" t="s">
        <v>59</v>
      </c>
      <c r="H9" s="41" t="s">
        <v>60</v>
      </c>
      <c r="I9" s="41">
        <v>2024</v>
      </c>
      <c r="J9" s="41">
        <v>111</v>
      </c>
      <c r="K9" s="29" t="s">
        <v>59</v>
      </c>
      <c r="L9" s="29" t="s">
        <v>3</v>
      </c>
      <c r="M9" s="32" t="s">
        <v>61</v>
      </c>
      <c r="N9" s="32" t="s">
        <v>129</v>
      </c>
      <c r="O9" s="32" t="s">
        <v>140</v>
      </c>
      <c r="P9" s="32" t="s">
        <v>64</v>
      </c>
      <c r="Q9" s="30" t="s">
        <v>141</v>
      </c>
      <c r="R9" s="32" t="s">
        <v>142</v>
      </c>
      <c r="S9" s="46" t="s">
        <v>143</v>
      </c>
      <c r="T9" s="48" t="s">
        <v>144</v>
      </c>
      <c r="U9" s="35" t="s">
        <v>69</v>
      </c>
      <c r="V9" s="68">
        <v>1</v>
      </c>
      <c r="W9" s="36">
        <v>45310</v>
      </c>
      <c r="X9" s="36">
        <v>45313</v>
      </c>
      <c r="Y9" s="36">
        <v>45314</v>
      </c>
      <c r="Z9" s="36">
        <v>45646</v>
      </c>
      <c r="AA9" s="36" t="s">
        <v>70</v>
      </c>
      <c r="AB9" s="36" t="s">
        <v>71</v>
      </c>
      <c r="AC9" s="37" t="s">
        <v>90</v>
      </c>
      <c r="AD9" s="32" t="s">
        <v>73</v>
      </c>
      <c r="AE9" s="38">
        <v>104183350</v>
      </c>
      <c r="AF9" s="38">
        <v>0</v>
      </c>
      <c r="AG9" s="38">
        <v>104183350</v>
      </c>
      <c r="AH9" s="38">
        <v>0</v>
      </c>
      <c r="AI9" s="66">
        <v>104183350</v>
      </c>
      <c r="AJ9" s="38">
        <v>0</v>
      </c>
      <c r="AK9" s="38">
        <v>104500000</v>
      </c>
      <c r="AL9" s="38">
        <f t="shared" si="3"/>
        <v>316650</v>
      </c>
      <c r="AM9" s="38"/>
      <c r="AN9" s="66">
        <v>2533333</v>
      </c>
      <c r="AO9" s="38">
        <v>9500000</v>
      </c>
      <c r="AP9" s="54">
        <f t="shared" si="4"/>
        <v>0.02</v>
      </c>
      <c r="AQ9" s="65">
        <f t="shared" si="2"/>
        <v>101650017</v>
      </c>
      <c r="AR9" s="30" t="s">
        <v>145</v>
      </c>
      <c r="AS9" s="43" t="s">
        <v>146</v>
      </c>
      <c r="AT9" s="32"/>
    </row>
    <row r="10" spans="1:46" ht="85.5" x14ac:dyDescent="0.25">
      <c r="A10" s="47">
        <v>10</v>
      </c>
      <c r="B10" s="63">
        <v>80111614</v>
      </c>
      <c r="C10" s="32" t="s">
        <v>81</v>
      </c>
      <c r="D10" s="29" t="s">
        <v>56</v>
      </c>
      <c r="E10" s="29" t="s">
        <v>82</v>
      </c>
      <c r="F10" s="29" t="s">
        <v>139</v>
      </c>
      <c r="G10" s="41" t="s">
        <v>59</v>
      </c>
      <c r="H10" s="41" t="s">
        <v>60</v>
      </c>
      <c r="I10" s="41">
        <v>2024</v>
      </c>
      <c r="J10" s="41">
        <v>110</v>
      </c>
      <c r="K10" s="29" t="s">
        <v>59</v>
      </c>
      <c r="L10" s="29" t="s">
        <v>3</v>
      </c>
      <c r="M10" s="32" t="s">
        <v>61</v>
      </c>
      <c r="N10" s="32" t="s">
        <v>129</v>
      </c>
      <c r="O10" s="32" t="s">
        <v>140</v>
      </c>
      <c r="P10" s="32" t="s">
        <v>64</v>
      </c>
      <c r="Q10" s="30" t="s">
        <v>147</v>
      </c>
      <c r="R10" s="32" t="s">
        <v>142</v>
      </c>
      <c r="S10" s="57" t="s">
        <v>148</v>
      </c>
      <c r="T10" s="44" t="s">
        <v>149</v>
      </c>
      <c r="U10" s="35" t="s">
        <v>69</v>
      </c>
      <c r="V10" s="68">
        <v>1</v>
      </c>
      <c r="W10" s="36">
        <v>45310</v>
      </c>
      <c r="X10" s="36">
        <v>45313</v>
      </c>
      <c r="Y10" s="36">
        <v>45314</v>
      </c>
      <c r="Z10" s="36">
        <v>45646</v>
      </c>
      <c r="AA10" s="36" t="s">
        <v>70</v>
      </c>
      <c r="AB10" s="36" t="s">
        <v>71</v>
      </c>
      <c r="AC10" s="37" t="s">
        <v>90</v>
      </c>
      <c r="AD10" s="32" t="s">
        <v>73</v>
      </c>
      <c r="AE10" s="38">
        <v>104183350</v>
      </c>
      <c r="AF10" s="38">
        <v>0</v>
      </c>
      <c r="AG10" s="38">
        <f t="shared" ref="AG10:AG44" si="5">AE10+AF10</f>
        <v>104183350</v>
      </c>
      <c r="AH10" s="38">
        <v>0</v>
      </c>
      <c r="AI10" s="66">
        <v>104183350</v>
      </c>
      <c r="AJ10" s="38">
        <v>0</v>
      </c>
      <c r="AK10" s="38">
        <v>104500000</v>
      </c>
      <c r="AL10" s="38">
        <f t="shared" si="3"/>
        <v>316650</v>
      </c>
      <c r="AM10" s="38"/>
      <c r="AN10" s="66">
        <v>2533333</v>
      </c>
      <c r="AO10" s="38">
        <v>9500000</v>
      </c>
      <c r="AP10" s="54">
        <f t="shared" si="4"/>
        <v>0.02</v>
      </c>
      <c r="AQ10" s="65">
        <f t="shared" si="2"/>
        <v>101650017</v>
      </c>
      <c r="AR10" s="30" t="s">
        <v>150</v>
      </c>
      <c r="AS10" s="43" t="s">
        <v>151</v>
      </c>
      <c r="AT10" s="32"/>
    </row>
    <row r="11" spans="1:46" ht="120" x14ac:dyDescent="0.25">
      <c r="A11" s="47">
        <v>11</v>
      </c>
      <c r="B11" s="63">
        <v>80111614</v>
      </c>
      <c r="C11" s="32" t="s">
        <v>81</v>
      </c>
      <c r="D11" s="29" t="s">
        <v>56</v>
      </c>
      <c r="E11" s="29" t="s">
        <v>82</v>
      </c>
      <c r="F11" s="29" t="s">
        <v>152</v>
      </c>
      <c r="G11" s="41" t="s">
        <v>59</v>
      </c>
      <c r="H11" s="41" t="s">
        <v>60</v>
      </c>
      <c r="I11" s="41">
        <v>2024</v>
      </c>
      <c r="J11" s="41">
        <v>113</v>
      </c>
      <c r="K11" s="29" t="s">
        <v>59</v>
      </c>
      <c r="L11" s="29" t="s">
        <v>3</v>
      </c>
      <c r="M11" s="32" t="s">
        <v>61</v>
      </c>
      <c r="N11" s="32" t="s">
        <v>129</v>
      </c>
      <c r="O11" s="32" t="s">
        <v>140</v>
      </c>
      <c r="P11" s="32" t="s">
        <v>64</v>
      </c>
      <c r="Q11" s="30" t="s">
        <v>153</v>
      </c>
      <c r="R11" s="32" t="s">
        <v>154</v>
      </c>
      <c r="S11" s="55" t="s">
        <v>155</v>
      </c>
      <c r="T11" s="48" t="s">
        <v>156</v>
      </c>
      <c r="U11" s="35" t="s">
        <v>69</v>
      </c>
      <c r="V11" s="68">
        <v>1</v>
      </c>
      <c r="W11" s="36">
        <v>45308</v>
      </c>
      <c r="X11" s="36">
        <v>45310</v>
      </c>
      <c r="Y11" s="36">
        <v>45313</v>
      </c>
      <c r="Z11" s="36">
        <v>45646</v>
      </c>
      <c r="AA11" s="36" t="s">
        <v>70</v>
      </c>
      <c r="AB11" s="36" t="s">
        <v>71</v>
      </c>
      <c r="AC11" s="37" t="s">
        <v>90</v>
      </c>
      <c r="AD11" s="32" t="s">
        <v>73</v>
      </c>
      <c r="AE11" s="38">
        <v>187000000</v>
      </c>
      <c r="AF11" s="38">
        <v>0</v>
      </c>
      <c r="AG11" s="38">
        <f t="shared" si="5"/>
        <v>187000000</v>
      </c>
      <c r="AH11" s="38">
        <v>0</v>
      </c>
      <c r="AI11" s="66">
        <v>187000000</v>
      </c>
      <c r="AJ11" s="38">
        <v>0</v>
      </c>
      <c r="AK11" s="38">
        <v>187000000</v>
      </c>
      <c r="AL11" s="38">
        <f t="shared" si="3"/>
        <v>0</v>
      </c>
      <c r="AM11" s="38"/>
      <c r="AN11" s="66">
        <v>5100000</v>
      </c>
      <c r="AO11" s="38">
        <v>17000000</v>
      </c>
      <c r="AP11" s="54">
        <f t="shared" si="4"/>
        <v>0.03</v>
      </c>
      <c r="AQ11" s="65">
        <f t="shared" si="2"/>
        <v>181900000</v>
      </c>
      <c r="AR11" s="30" t="s">
        <v>157</v>
      </c>
      <c r="AS11" s="43" t="s">
        <v>158</v>
      </c>
      <c r="AT11" s="32"/>
    </row>
    <row r="12" spans="1:46" ht="85.5" x14ac:dyDescent="0.25">
      <c r="A12" s="47">
        <v>12</v>
      </c>
      <c r="B12" s="63">
        <v>80111614</v>
      </c>
      <c r="C12" s="32" t="s">
        <v>81</v>
      </c>
      <c r="D12" s="29" t="s">
        <v>56</v>
      </c>
      <c r="E12" s="29" t="s">
        <v>82</v>
      </c>
      <c r="F12" s="29" t="s">
        <v>159</v>
      </c>
      <c r="G12" s="41" t="s">
        <v>59</v>
      </c>
      <c r="H12" s="41" t="s">
        <v>60</v>
      </c>
      <c r="I12" s="41">
        <v>2024</v>
      </c>
      <c r="J12" s="41">
        <v>114</v>
      </c>
      <c r="K12" s="29" t="s">
        <v>59</v>
      </c>
      <c r="L12" s="29" t="s">
        <v>3</v>
      </c>
      <c r="M12" s="32" t="s">
        <v>61</v>
      </c>
      <c r="N12" s="32" t="s">
        <v>129</v>
      </c>
      <c r="O12" s="32" t="s">
        <v>85</v>
      </c>
      <c r="P12" s="32" t="s">
        <v>64</v>
      </c>
      <c r="Q12" s="30" t="s">
        <v>160</v>
      </c>
      <c r="R12" s="32" t="s">
        <v>161</v>
      </c>
      <c r="S12" s="55" t="s">
        <v>162</v>
      </c>
      <c r="T12" s="56" t="s">
        <v>163</v>
      </c>
      <c r="U12" s="35" t="s">
        <v>69</v>
      </c>
      <c r="V12" s="68">
        <v>1</v>
      </c>
      <c r="W12" s="36">
        <v>45314</v>
      </c>
      <c r="X12" s="36">
        <v>45315</v>
      </c>
      <c r="Y12" s="36">
        <v>45316</v>
      </c>
      <c r="Z12" s="36">
        <v>45646</v>
      </c>
      <c r="AA12" s="36" t="s">
        <v>70</v>
      </c>
      <c r="AB12" s="36" t="s">
        <v>71</v>
      </c>
      <c r="AC12" s="37" t="s">
        <v>90</v>
      </c>
      <c r="AD12" s="32" t="s">
        <v>73</v>
      </c>
      <c r="AE12" s="38">
        <v>187000000</v>
      </c>
      <c r="AF12" s="38">
        <v>0</v>
      </c>
      <c r="AG12" s="38">
        <f t="shared" si="5"/>
        <v>187000000</v>
      </c>
      <c r="AH12" s="38">
        <v>0</v>
      </c>
      <c r="AI12" s="66">
        <v>187000000</v>
      </c>
      <c r="AJ12" s="38">
        <v>0</v>
      </c>
      <c r="AK12" s="38">
        <v>187000000</v>
      </c>
      <c r="AL12" s="38">
        <f t="shared" si="3"/>
        <v>0</v>
      </c>
      <c r="AM12" s="38"/>
      <c r="AN12" s="66">
        <v>3400000</v>
      </c>
      <c r="AO12" s="38">
        <v>17000000</v>
      </c>
      <c r="AP12" s="54">
        <f t="shared" si="4"/>
        <v>0.02</v>
      </c>
      <c r="AQ12" s="65">
        <f t="shared" si="2"/>
        <v>183600000</v>
      </c>
      <c r="AR12" s="30" t="s">
        <v>164</v>
      </c>
      <c r="AS12" s="43" t="s">
        <v>165</v>
      </c>
      <c r="AT12" s="32"/>
    </row>
    <row r="13" spans="1:46" ht="85.5" x14ac:dyDescent="0.25">
      <c r="A13" s="47">
        <v>13</v>
      </c>
      <c r="B13" s="63"/>
      <c r="C13" s="32"/>
      <c r="D13" s="29" t="s">
        <v>56</v>
      </c>
      <c r="E13" s="29" t="s">
        <v>82</v>
      </c>
      <c r="F13" s="29" t="s">
        <v>166</v>
      </c>
      <c r="G13" s="41" t="s">
        <v>59</v>
      </c>
      <c r="H13" s="41" t="s">
        <v>60</v>
      </c>
      <c r="I13" s="41">
        <v>2024</v>
      </c>
      <c r="J13" s="41">
        <v>108</v>
      </c>
      <c r="K13" s="29" t="s">
        <v>59</v>
      </c>
      <c r="L13" s="29" t="s">
        <v>3</v>
      </c>
      <c r="M13" s="32" t="s">
        <v>61</v>
      </c>
      <c r="N13" s="32" t="s">
        <v>129</v>
      </c>
      <c r="O13" s="32" t="s">
        <v>63</v>
      </c>
      <c r="P13" s="32" t="s">
        <v>64</v>
      </c>
      <c r="Q13" s="30" t="s">
        <v>167</v>
      </c>
      <c r="R13" s="32" t="s">
        <v>168</v>
      </c>
      <c r="S13" s="45" t="s">
        <v>169</v>
      </c>
      <c r="T13" s="48" t="s">
        <v>170</v>
      </c>
      <c r="U13" s="35" t="s">
        <v>69</v>
      </c>
      <c r="V13" s="68">
        <v>0</v>
      </c>
      <c r="W13" s="36">
        <v>45323</v>
      </c>
      <c r="X13" s="36">
        <v>45324</v>
      </c>
      <c r="Y13" s="36" t="s">
        <v>70</v>
      </c>
      <c r="Z13" s="36">
        <v>45646</v>
      </c>
      <c r="AA13" s="36" t="s">
        <v>70</v>
      </c>
      <c r="AB13" s="36" t="s">
        <v>71</v>
      </c>
      <c r="AC13" s="37" t="s">
        <v>72</v>
      </c>
      <c r="AD13" s="32" t="s">
        <v>73</v>
      </c>
      <c r="AE13" s="38">
        <v>148500000</v>
      </c>
      <c r="AF13" s="38">
        <v>0</v>
      </c>
      <c r="AG13" s="38">
        <f t="shared" si="5"/>
        <v>148500000</v>
      </c>
      <c r="AH13" s="38">
        <v>0</v>
      </c>
      <c r="AI13" s="66">
        <v>148500000</v>
      </c>
      <c r="AJ13" s="38">
        <v>0</v>
      </c>
      <c r="AK13" s="38">
        <v>148500000</v>
      </c>
      <c r="AL13" s="38">
        <f t="shared" si="3"/>
        <v>0</v>
      </c>
      <c r="AM13" s="38"/>
      <c r="AN13" s="66">
        <v>0</v>
      </c>
      <c r="AO13" s="38">
        <v>13500000</v>
      </c>
      <c r="AP13" s="54">
        <f t="shared" si="4"/>
        <v>0</v>
      </c>
      <c r="AQ13" s="65">
        <f t="shared" si="2"/>
        <v>148500000</v>
      </c>
      <c r="AR13" s="30" t="s">
        <v>171</v>
      </c>
      <c r="AS13" s="43" t="s">
        <v>172</v>
      </c>
      <c r="AT13" s="32"/>
    </row>
    <row r="14" spans="1:46" ht="85.5" x14ac:dyDescent="0.25">
      <c r="A14" s="47">
        <v>14</v>
      </c>
      <c r="B14" s="63"/>
      <c r="C14" s="32"/>
      <c r="D14" s="29" t="s">
        <v>56</v>
      </c>
      <c r="E14" s="29" t="s">
        <v>82</v>
      </c>
      <c r="F14" s="29" t="s">
        <v>173</v>
      </c>
      <c r="G14" s="41" t="s">
        <v>59</v>
      </c>
      <c r="H14" s="41" t="s">
        <v>60</v>
      </c>
      <c r="I14" s="41">
        <v>2024</v>
      </c>
      <c r="J14" s="41">
        <v>107</v>
      </c>
      <c r="K14" s="29" t="s">
        <v>59</v>
      </c>
      <c r="L14" s="29" t="s">
        <v>3</v>
      </c>
      <c r="M14" s="32" t="s">
        <v>61</v>
      </c>
      <c r="N14" s="32" t="s">
        <v>129</v>
      </c>
      <c r="O14" s="32" t="s">
        <v>63</v>
      </c>
      <c r="P14" s="32" t="s">
        <v>64</v>
      </c>
      <c r="Q14" s="30" t="s">
        <v>174</v>
      </c>
      <c r="R14" s="32" t="s">
        <v>175</v>
      </c>
      <c r="S14" s="45" t="s">
        <v>176</v>
      </c>
      <c r="T14" s="56" t="s">
        <v>177</v>
      </c>
      <c r="U14" s="35" t="s">
        <v>69</v>
      </c>
      <c r="V14" s="68">
        <v>0</v>
      </c>
      <c r="W14" s="36">
        <v>45323</v>
      </c>
      <c r="X14" s="36">
        <v>44962</v>
      </c>
      <c r="Y14" s="36" t="s">
        <v>70</v>
      </c>
      <c r="Z14" s="36">
        <v>45646</v>
      </c>
      <c r="AA14" s="36" t="s">
        <v>70</v>
      </c>
      <c r="AB14" s="36" t="s">
        <v>71</v>
      </c>
      <c r="AC14" s="37" t="s">
        <v>72</v>
      </c>
      <c r="AD14" s="32" t="s">
        <v>73</v>
      </c>
      <c r="AE14" s="38">
        <v>148500000</v>
      </c>
      <c r="AF14" s="38">
        <v>0</v>
      </c>
      <c r="AG14" s="38">
        <f t="shared" si="5"/>
        <v>148500000</v>
      </c>
      <c r="AH14" s="38">
        <v>0</v>
      </c>
      <c r="AI14" s="66">
        <v>148500000</v>
      </c>
      <c r="AJ14" s="38">
        <v>0</v>
      </c>
      <c r="AK14" s="38">
        <v>148500000</v>
      </c>
      <c r="AL14" s="38">
        <f t="shared" si="3"/>
        <v>0</v>
      </c>
      <c r="AM14" s="38"/>
      <c r="AN14" s="66">
        <v>0</v>
      </c>
      <c r="AO14" s="38">
        <v>13500000</v>
      </c>
      <c r="AP14" s="54">
        <f t="shared" si="4"/>
        <v>0</v>
      </c>
      <c r="AQ14" s="65">
        <f t="shared" si="2"/>
        <v>148500000</v>
      </c>
      <c r="AR14" s="30" t="s">
        <v>178</v>
      </c>
      <c r="AS14" s="43" t="s">
        <v>179</v>
      </c>
      <c r="AT14" s="32"/>
    </row>
    <row r="15" spans="1:46" ht="85.5" x14ac:dyDescent="0.25">
      <c r="A15" s="47">
        <v>15</v>
      </c>
      <c r="B15" s="63"/>
      <c r="C15" s="32"/>
      <c r="D15" s="29" t="s">
        <v>56</v>
      </c>
      <c r="E15" s="29" t="s">
        <v>82</v>
      </c>
      <c r="F15" s="29" t="s">
        <v>180</v>
      </c>
      <c r="G15" s="41" t="s">
        <v>59</v>
      </c>
      <c r="H15" s="41" t="s">
        <v>60</v>
      </c>
      <c r="I15" s="41">
        <v>2024</v>
      </c>
      <c r="J15" s="41">
        <v>115</v>
      </c>
      <c r="K15" s="29" t="s">
        <v>59</v>
      </c>
      <c r="L15" s="29" t="s">
        <v>3</v>
      </c>
      <c r="M15" s="32" t="s">
        <v>61</v>
      </c>
      <c r="N15" s="32" t="s">
        <v>129</v>
      </c>
      <c r="O15" s="32" t="s">
        <v>63</v>
      </c>
      <c r="P15" s="32" t="s">
        <v>64</v>
      </c>
      <c r="Q15" s="30" t="s">
        <v>181</v>
      </c>
      <c r="R15" s="32" t="s">
        <v>182</v>
      </c>
      <c r="S15" s="45" t="s">
        <v>183</v>
      </c>
      <c r="T15" s="48" t="s">
        <v>184</v>
      </c>
      <c r="U15" s="35" t="s">
        <v>69</v>
      </c>
      <c r="V15" s="68">
        <v>0</v>
      </c>
      <c r="W15" s="36">
        <v>45323</v>
      </c>
      <c r="X15" s="36">
        <v>44962</v>
      </c>
      <c r="Y15" s="36" t="s">
        <v>70</v>
      </c>
      <c r="Z15" s="36">
        <v>45646</v>
      </c>
      <c r="AA15" s="36" t="s">
        <v>70</v>
      </c>
      <c r="AB15" s="36" t="s">
        <v>71</v>
      </c>
      <c r="AC15" s="37" t="s">
        <v>72</v>
      </c>
      <c r="AD15" s="32" t="s">
        <v>73</v>
      </c>
      <c r="AE15" s="38">
        <v>132000000</v>
      </c>
      <c r="AF15" s="38">
        <v>0</v>
      </c>
      <c r="AG15" s="38">
        <f t="shared" si="5"/>
        <v>132000000</v>
      </c>
      <c r="AH15" s="38">
        <v>0</v>
      </c>
      <c r="AI15" s="66">
        <v>132000000</v>
      </c>
      <c r="AJ15" s="38">
        <v>0</v>
      </c>
      <c r="AK15" s="38">
        <v>132000000</v>
      </c>
      <c r="AL15" s="38">
        <f t="shared" si="3"/>
        <v>0</v>
      </c>
      <c r="AM15" s="38"/>
      <c r="AN15" s="66">
        <v>0</v>
      </c>
      <c r="AO15" s="38">
        <v>12000000</v>
      </c>
      <c r="AP15" s="54">
        <f t="shared" si="4"/>
        <v>0</v>
      </c>
      <c r="AQ15" s="65">
        <f t="shared" si="2"/>
        <v>132000000</v>
      </c>
      <c r="AR15" s="30" t="s">
        <v>185</v>
      </c>
      <c r="AS15" s="43" t="s">
        <v>186</v>
      </c>
      <c r="AT15" s="32"/>
    </row>
    <row r="16" spans="1:46" ht="85.5" x14ac:dyDescent="0.25">
      <c r="A16" s="47">
        <v>16</v>
      </c>
      <c r="B16" s="63"/>
      <c r="C16" s="32"/>
      <c r="D16" s="29" t="s">
        <v>56</v>
      </c>
      <c r="E16" s="29" t="s">
        <v>82</v>
      </c>
      <c r="F16" s="29" t="s">
        <v>187</v>
      </c>
      <c r="G16" s="41" t="s">
        <v>59</v>
      </c>
      <c r="H16" s="41" t="s">
        <v>60</v>
      </c>
      <c r="I16" s="41">
        <v>2024</v>
      </c>
      <c r="J16" s="41">
        <v>109</v>
      </c>
      <c r="K16" s="29" t="s">
        <v>59</v>
      </c>
      <c r="L16" s="29" t="s">
        <v>3</v>
      </c>
      <c r="M16" s="32" t="s">
        <v>61</v>
      </c>
      <c r="N16" s="32" t="s">
        <v>129</v>
      </c>
      <c r="O16" s="32" t="s">
        <v>63</v>
      </c>
      <c r="P16" s="32" t="s">
        <v>64</v>
      </c>
      <c r="Q16" s="30" t="s">
        <v>188</v>
      </c>
      <c r="R16" s="32" t="s">
        <v>189</v>
      </c>
      <c r="S16" s="45" t="s">
        <v>190</v>
      </c>
      <c r="T16" s="56" t="s">
        <v>191</v>
      </c>
      <c r="U16" s="35" t="s">
        <v>69</v>
      </c>
      <c r="V16" s="68">
        <v>0</v>
      </c>
      <c r="W16" s="36">
        <v>45323</v>
      </c>
      <c r="X16" s="36">
        <v>44959</v>
      </c>
      <c r="Y16" s="36" t="s">
        <v>70</v>
      </c>
      <c r="Z16" s="36">
        <v>45646</v>
      </c>
      <c r="AA16" s="36" t="s">
        <v>70</v>
      </c>
      <c r="AB16" s="36" t="s">
        <v>71</v>
      </c>
      <c r="AC16" s="37" t="s">
        <v>72</v>
      </c>
      <c r="AD16" s="32" t="s">
        <v>73</v>
      </c>
      <c r="AE16" s="38">
        <v>121000000</v>
      </c>
      <c r="AF16" s="38">
        <v>0</v>
      </c>
      <c r="AG16" s="38">
        <f t="shared" si="5"/>
        <v>121000000</v>
      </c>
      <c r="AH16" s="38">
        <v>0</v>
      </c>
      <c r="AI16" s="66">
        <v>121000000</v>
      </c>
      <c r="AJ16" s="38">
        <v>0</v>
      </c>
      <c r="AK16" s="38">
        <v>121000000</v>
      </c>
      <c r="AL16" s="38">
        <f t="shared" si="3"/>
        <v>0</v>
      </c>
      <c r="AM16" s="38"/>
      <c r="AN16" s="66">
        <v>0</v>
      </c>
      <c r="AO16" s="38">
        <v>11000000</v>
      </c>
      <c r="AP16" s="54">
        <f t="shared" si="4"/>
        <v>0</v>
      </c>
      <c r="AQ16" s="65">
        <f t="shared" si="2"/>
        <v>121000000</v>
      </c>
      <c r="AR16" s="30" t="s">
        <v>192</v>
      </c>
      <c r="AS16" s="43" t="s">
        <v>193</v>
      </c>
      <c r="AT16" s="32"/>
    </row>
    <row r="17" spans="1:46" ht="71.25" x14ac:dyDescent="0.25">
      <c r="A17" s="47">
        <v>21</v>
      </c>
      <c r="B17" s="63"/>
      <c r="C17" s="32"/>
      <c r="D17" s="29" t="s">
        <v>56</v>
      </c>
      <c r="E17" s="29" t="s">
        <v>82</v>
      </c>
      <c r="F17" s="29" t="s">
        <v>194</v>
      </c>
      <c r="G17" s="41" t="s">
        <v>59</v>
      </c>
      <c r="H17" s="41" t="s">
        <v>60</v>
      </c>
      <c r="I17" s="41">
        <v>2024</v>
      </c>
      <c r="J17" s="41">
        <v>104</v>
      </c>
      <c r="K17" s="29" t="s">
        <v>59</v>
      </c>
      <c r="L17" s="29" t="s">
        <v>3</v>
      </c>
      <c r="M17" s="32" t="s">
        <v>195</v>
      </c>
      <c r="N17" s="32" t="s">
        <v>129</v>
      </c>
      <c r="O17" s="59"/>
      <c r="P17" s="32" t="s">
        <v>64</v>
      </c>
      <c r="Q17" s="30" t="s">
        <v>196</v>
      </c>
      <c r="R17" s="32" t="s">
        <v>197</v>
      </c>
      <c r="S17" s="46" t="s">
        <v>198</v>
      </c>
      <c r="T17" s="34" t="s">
        <v>199</v>
      </c>
      <c r="U17" s="35" t="s">
        <v>69</v>
      </c>
      <c r="V17" s="68">
        <v>0</v>
      </c>
      <c r="W17" s="36">
        <v>45335</v>
      </c>
      <c r="X17" s="36">
        <v>45338</v>
      </c>
      <c r="Y17" s="36" t="s">
        <v>70</v>
      </c>
      <c r="Z17" s="36">
        <v>45646</v>
      </c>
      <c r="AA17" s="36" t="s">
        <v>70</v>
      </c>
      <c r="AB17" s="36" t="s">
        <v>71</v>
      </c>
      <c r="AC17" s="37" t="s">
        <v>72</v>
      </c>
      <c r="AD17" s="32" t="s">
        <v>73</v>
      </c>
      <c r="AE17" s="38">
        <v>165000000</v>
      </c>
      <c r="AF17" s="38">
        <v>0</v>
      </c>
      <c r="AG17" s="38">
        <f t="shared" si="5"/>
        <v>165000000</v>
      </c>
      <c r="AH17" s="38">
        <v>0</v>
      </c>
      <c r="AI17" s="66">
        <v>165000000</v>
      </c>
      <c r="AJ17" s="38">
        <v>0</v>
      </c>
      <c r="AK17" s="38">
        <v>165000000</v>
      </c>
      <c r="AL17" s="38">
        <f t="shared" si="3"/>
        <v>0</v>
      </c>
      <c r="AM17" s="38"/>
      <c r="AN17" s="66">
        <v>0</v>
      </c>
      <c r="AO17" s="38">
        <v>15000000</v>
      </c>
      <c r="AP17" s="54">
        <f t="shared" si="4"/>
        <v>0</v>
      </c>
      <c r="AQ17" s="65">
        <f t="shared" si="2"/>
        <v>165000000</v>
      </c>
      <c r="AR17" s="30" t="s">
        <v>200</v>
      </c>
      <c r="AS17" s="43" t="s">
        <v>201</v>
      </c>
      <c r="AT17" s="32"/>
    </row>
    <row r="18" spans="1:46" ht="85.5" hidden="1" x14ac:dyDescent="0.25">
      <c r="A18" s="47">
        <v>3</v>
      </c>
      <c r="B18" s="63"/>
      <c r="C18" s="32"/>
      <c r="D18" s="29" t="s">
        <v>93</v>
      </c>
      <c r="E18" s="29" t="s">
        <v>202</v>
      </c>
      <c r="F18" s="29" t="s">
        <v>203</v>
      </c>
      <c r="G18" s="41" t="s">
        <v>59</v>
      </c>
      <c r="H18" s="41" t="s">
        <v>60</v>
      </c>
      <c r="I18" s="41">
        <v>2023</v>
      </c>
      <c r="J18" s="41">
        <v>226</v>
      </c>
      <c r="K18" s="29" t="s">
        <v>109</v>
      </c>
      <c r="L18" s="29" t="s">
        <v>2</v>
      </c>
      <c r="M18" s="32" t="s">
        <v>61</v>
      </c>
      <c r="N18" s="32" t="s">
        <v>204</v>
      </c>
      <c r="O18" s="32" t="s">
        <v>205</v>
      </c>
      <c r="P18" s="32" t="s">
        <v>112</v>
      </c>
      <c r="Q18" s="31" t="s">
        <v>206</v>
      </c>
      <c r="R18" s="32" t="s">
        <v>207</v>
      </c>
      <c r="S18" s="45">
        <v>205529</v>
      </c>
      <c r="T18" s="30" t="s">
        <v>208</v>
      </c>
      <c r="U18" s="35">
        <v>121233</v>
      </c>
      <c r="V18" s="68">
        <v>1</v>
      </c>
      <c r="W18" s="36">
        <v>45259</v>
      </c>
      <c r="X18" s="36">
        <v>45265</v>
      </c>
      <c r="Y18" s="36">
        <v>45265</v>
      </c>
      <c r="Z18" s="36">
        <v>45777</v>
      </c>
      <c r="AA18" s="36" t="s">
        <v>70</v>
      </c>
      <c r="AB18" s="36" t="s">
        <v>71</v>
      </c>
      <c r="AC18" s="37" t="s">
        <v>90</v>
      </c>
      <c r="AD18" s="32" t="s">
        <v>116</v>
      </c>
      <c r="AE18" s="38">
        <v>37300074</v>
      </c>
      <c r="AF18" s="38">
        <v>0</v>
      </c>
      <c r="AG18" s="38">
        <f t="shared" si="5"/>
        <v>37300074</v>
      </c>
      <c r="AH18" s="38">
        <v>2194122</v>
      </c>
      <c r="AI18" s="66">
        <v>26329464</v>
      </c>
      <c r="AJ18" s="38">
        <v>8776488</v>
      </c>
      <c r="AK18" s="38">
        <v>0</v>
      </c>
      <c r="AL18" s="38">
        <f t="shared" si="3"/>
        <v>0</v>
      </c>
      <c r="AM18" s="38"/>
      <c r="AN18" s="66">
        <v>1314970.23</v>
      </c>
      <c r="AO18" s="38">
        <v>2194122</v>
      </c>
      <c r="AP18" s="54">
        <f t="shared" si="4"/>
        <v>0.05</v>
      </c>
      <c r="AQ18" s="65">
        <f t="shared" si="2"/>
        <v>25014493.77</v>
      </c>
      <c r="AR18" s="30" t="s">
        <v>209</v>
      </c>
      <c r="AS18" s="30" t="s">
        <v>210</v>
      </c>
      <c r="AT18" s="32"/>
    </row>
    <row r="19" spans="1:46" ht="85.5" hidden="1" x14ac:dyDescent="0.25">
      <c r="A19" s="47">
        <v>4</v>
      </c>
      <c r="B19" s="63"/>
      <c r="C19" s="32"/>
      <c r="D19" s="29" t="s">
        <v>211</v>
      </c>
      <c r="E19" s="29" t="s">
        <v>212</v>
      </c>
      <c r="F19" s="29" t="s">
        <v>213</v>
      </c>
      <c r="G19" s="41" t="s">
        <v>59</v>
      </c>
      <c r="H19" s="41" t="s">
        <v>60</v>
      </c>
      <c r="I19" s="41">
        <v>2023</v>
      </c>
      <c r="J19" s="41">
        <v>95</v>
      </c>
      <c r="K19" s="29" t="s">
        <v>109</v>
      </c>
      <c r="L19" s="29" t="s">
        <v>2</v>
      </c>
      <c r="M19" s="32" t="s">
        <v>61</v>
      </c>
      <c r="N19" s="32" t="s">
        <v>204</v>
      </c>
      <c r="O19" s="32" t="s">
        <v>214</v>
      </c>
      <c r="P19" s="32" t="s">
        <v>112</v>
      </c>
      <c r="Q19" s="30" t="s">
        <v>215</v>
      </c>
      <c r="R19" s="32" t="s">
        <v>216</v>
      </c>
      <c r="S19" s="45">
        <v>163259</v>
      </c>
      <c r="T19" s="48" t="s">
        <v>217</v>
      </c>
      <c r="U19" s="35">
        <v>121992</v>
      </c>
      <c r="V19" s="68">
        <v>1</v>
      </c>
      <c r="W19" s="36">
        <v>45267</v>
      </c>
      <c r="X19" s="36">
        <v>45273</v>
      </c>
      <c r="Y19" s="36">
        <v>45273</v>
      </c>
      <c r="Z19" s="36">
        <v>45639</v>
      </c>
      <c r="AA19" s="36" t="s">
        <v>70</v>
      </c>
      <c r="AB19" s="36" t="s">
        <v>71</v>
      </c>
      <c r="AC19" s="37" t="s">
        <v>90</v>
      </c>
      <c r="AD19" s="30" t="s">
        <v>116</v>
      </c>
      <c r="AE19" s="38">
        <v>547593718.28999996</v>
      </c>
      <c r="AF19" s="38">
        <f>-10857905.7+62899991.32-0.06</f>
        <v>52042085.560000002</v>
      </c>
      <c r="AG19" s="38">
        <f t="shared" si="5"/>
        <v>599635803.8499999</v>
      </c>
      <c r="AH19" s="38">
        <v>15609124.010000002</v>
      </c>
      <c r="AI19" s="66">
        <v>584026679.84000003</v>
      </c>
      <c r="AJ19" s="38">
        <v>0</v>
      </c>
      <c r="AK19" s="38">
        <v>0</v>
      </c>
      <c r="AL19" s="38">
        <f t="shared" si="3"/>
        <v>0</v>
      </c>
      <c r="AM19" s="38"/>
      <c r="AN19" s="66">
        <v>40165517.859999999</v>
      </c>
      <c r="AO19" s="38">
        <v>51140690.039999999</v>
      </c>
      <c r="AP19" s="54">
        <f t="shared" si="4"/>
        <v>7.0000000000000007E-2</v>
      </c>
      <c r="AQ19" s="65">
        <f t="shared" si="2"/>
        <v>543861161.98000002</v>
      </c>
      <c r="AR19" s="30" t="s">
        <v>218</v>
      </c>
      <c r="AS19" s="43" t="s">
        <v>219</v>
      </c>
      <c r="AT19" s="32"/>
    </row>
    <row r="20" spans="1:46" ht="99.75" hidden="1" x14ac:dyDescent="0.25">
      <c r="A20" s="47">
        <v>6</v>
      </c>
      <c r="B20" s="63"/>
      <c r="C20" s="32"/>
      <c r="D20" s="29" t="s">
        <v>220</v>
      </c>
      <c r="E20" s="29" t="s">
        <v>221</v>
      </c>
      <c r="F20" s="29" t="s">
        <v>222</v>
      </c>
      <c r="G20" s="41" t="s">
        <v>59</v>
      </c>
      <c r="H20" s="41" t="s">
        <v>60</v>
      </c>
      <c r="I20" s="41">
        <v>2023</v>
      </c>
      <c r="J20" s="41">
        <v>246</v>
      </c>
      <c r="K20" s="29" t="s">
        <v>109</v>
      </c>
      <c r="L20" s="29" t="s">
        <v>2</v>
      </c>
      <c r="M20" s="32" t="s">
        <v>223</v>
      </c>
      <c r="N20" s="32" t="s">
        <v>204</v>
      </c>
      <c r="O20" s="32" t="s">
        <v>224</v>
      </c>
      <c r="P20" s="32" t="s">
        <v>64</v>
      </c>
      <c r="Q20" s="30" t="s">
        <v>225</v>
      </c>
      <c r="R20" s="32" t="s">
        <v>226</v>
      </c>
      <c r="S20" s="45" t="s">
        <v>227</v>
      </c>
      <c r="T20" s="44" t="s">
        <v>228</v>
      </c>
      <c r="U20" s="35" t="s">
        <v>69</v>
      </c>
      <c r="V20" s="68">
        <v>0</v>
      </c>
      <c r="W20" s="36">
        <v>45260</v>
      </c>
      <c r="X20" s="36">
        <v>45260</v>
      </c>
      <c r="Y20" s="36">
        <v>45260</v>
      </c>
      <c r="Z20" s="36">
        <v>45473</v>
      </c>
      <c r="AA20" s="36" t="s">
        <v>70</v>
      </c>
      <c r="AB20" s="36" t="s">
        <v>71</v>
      </c>
      <c r="AC20" s="37" t="s">
        <v>72</v>
      </c>
      <c r="AD20" s="30" t="s">
        <v>135</v>
      </c>
      <c r="AE20" s="38">
        <v>1272271483</v>
      </c>
      <c r="AF20" s="38">
        <v>0</v>
      </c>
      <c r="AG20" s="38">
        <f t="shared" si="5"/>
        <v>1272271483</v>
      </c>
      <c r="AH20" s="38">
        <v>868916461</v>
      </c>
      <c r="AI20" s="66">
        <v>403355022</v>
      </c>
      <c r="AJ20" s="38">
        <v>0</v>
      </c>
      <c r="AK20" s="38">
        <v>0</v>
      </c>
      <c r="AL20" s="38">
        <f t="shared" si="3"/>
        <v>0</v>
      </c>
      <c r="AM20" s="38"/>
      <c r="AN20" s="66">
        <v>0</v>
      </c>
      <c r="AO20" s="38" t="s">
        <v>69</v>
      </c>
      <c r="AP20" s="54">
        <f t="shared" si="4"/>
        <v>0</v>
      </c>
      <c r="AQ20" s="65">
        <f t="shared" si="2"/>
        <v>403355022</v>
      </c>
      <c r="AR20" s="30" t="s">
        <v>229</v>
      </c>
      <c r="AS20" s="43" t="s">
        <v>230</v>
      </c>
      <c r="AT20" s="32"/>
    </row>
    <row r="21" spans="1:46" ht="85.5" hidden="1" x14ac:dyDescent="0.25">
      <c r="A21" s="47">
        <v>7</v>
      </c>
      <c r="B21" s="63"/>
      <c r="C21" s="32"/>
      <c r="D21" s="29" t="s">
        <v>93</v>
      </c>
      <c r="E21" s="29" t="s">
        <v>202</v>
      </c>
      <c r="F21" s="29" t="s">
        <v>231</v>
      </c>
      <c r="G21" s="41" t="s">
        <v>59</v>
      </c>
      <c r="H21" s="41" t="s">
        <v>60</v>
      </c>
      <c r="I21" s="41">
        <v>2023</v>
      </c>
      <c r="J21" s="41">
        <v>245</v>
      </c>
      <c r="K21" s="29" t="s">
        <v>109</v>
      </c>
      <c r="L21" s="29" t="s">
        <v>2</v>
      </c>
      <c r="M21" s="32" t="s">
        <v>61</v>
      </c>
      <c r="N21" s="32" t="s">
        <v>204</v>
      </c>
      <c r="O21" s="32" t="s">
        <v>232</v>
      </c>
      <c r="P21" s="32" t="s">
        <v>112</v>
      </c>
      <c r="Q21" s="30" t="s">
        <v>233</v>
      </c>
      <c r="R21" s="32" t="s">
        <v>234</v>
      </c>
      <c r="S21" s="57">
        <v>206721</v>
      </c>
      <c r="T21" s="48" t="s">
        <v>235</v>
      </c>
      <c r="U21" s="35">
        <v>122184</v>
      </c>
      <c r="V21" s="68">
        <v>1</v>
      </c>
      <c r="W21" s="36">
        <v>45271</v>
      </c>
      <c r="X21" s="36">
        <v>45275</v>
      </c>
      <c r="Y21" s="36">
        <v>45275</v>
      </c>
      <c r="Z21" s="36">
        <v>45983</v>
      </c>
      <c r="AA21" s="36" t="s">
        <v>70</v>
      </c>
      <c r="AB21" s="36" t="s">
        <v>71</v>
      </c>
      <c r="AC21" s="37" t="s">
        <v>90</v>
      </c>
      <c r="AD21" s="30" t="s">
        <v>116</v>
      </c>
      <c r="AE21" s="38">
        <v>120685506.48</v>
      </c>
      <c r="AF21" s="38">
        <v>0</v>
      </c>
      <c r="AG21" s="38">
        <f t="shared" si="5"/>
        <v>120685506.48</v>
      </c>
      <c r="AH21" s="38">
        <v>2742852.42</v>
      </c>
      <c r="AI21" s="66">
        <v>65828458.079999998</v>
      </c>
      <c r="AJ21" s="38">
        <v>52114195.980000004</v>
      </c>
      <c r="AK21" s="38">
        <v>0</v>
      </c>
      <c r="AL21" s="38">
        <f t="shared" si="3"/>
        <v>0</v>
      </c>
      <c r="AM21" s="38"/>
      <c r="AN21" s="66">
        <v>5485704.8399999999</v>
      </c>
      <c r="AO21" s="38">
        <v>5485704.8399999999</v>
      </c>
      <c r="AP21" s="54">
        <f t="shared" si="4"/>
        <v>0.08</v>
      </c>
      <c r="AQ21" s="65">
        <f t="shared" si="2"/>
        <v>60342753.239999995</v>
      </c>
      <c r="AR21" s="30" t="s">
        <v>236</v>
      </c>
      <c r="AS21" s="43" t="s">
        <v>237</v>
      </c>
      <c r="AT21" s="32"/>
    </row>
    <row r="22" spans="1:46" ht="171" x14ac:dyDescent="0.25">
      <c r="A22" s="47">
        <v>8</v>
      </c>
      <c r="B22" s="63">
        <v>80111614</v>
      </c>
      <c r="C22" s="32" t="s">
        <v>81</v>
      </c>
      <c r="D22" s="29" t="s">
        <v>56</v>
      </c>
      <c r="E22" s="29" t="s">
        <v>238</v>
      </c>
      <c r="F22" s="29" t="s">
        <v>239</v>
      </c>
      <c r="G22" s="41" t="s">
        <v>59</v>
      </c>
      <c r="H22" s="41" t="s">
        <v>60</v>
      </c>
      <c r="I22" s="41">
        <v>2024</v>
      </c>
      <c r="J22" s="41">
        <v>83</v>
      </c>
      <c r="K22" s="29" t="s">
        <v>59</v>
      </c>
      <c r="L22" s="29" t="s">
        <v>3</v>
      </c>
      <c r="M22" s="32" t="s">
        <v>61</v>
      </c>
      <c r="N22" s="32" t="s">
        <v>204</v>
      </c>
      <c r="O22" s="32" t="s">
        <v>240</v>
      </c>
      <c r="P22" s="32" t="s">
        <v>64</v>
      </c>
      <c r="Q22" s="30" t="s">
        <v>241</v>
      </c>
      <c r="R22" s="32" t="s">
        <v>242</v>
      </c>
      <c r="S22" s="45" t="s">
        <v>243</v>
      </c>
      <c r="T22" s="44" t="s">
        <v>244</v>
      </c>
      <c r="U22" s="35" t="s">
        <v>69</v>
      </c>
      <c r="V22" s="68">
        <v>1</v>
      </c>
      <c r="W22" s="36">
        <v>45314</v>
      </c>
      <c r="X22" s="36">
        <v>45315</v>
      </c>
      <c r="Y22" s="36">
        <v>45315</v>
      </c>
      <c r="Z22" s="36">
        <v>45646</v>
      </c>
      <c r="AA22" s="36" t="s">
        <v>70</v>
      </c>
      <c r="AB22" s="36" t="s">
        <v>71</v>
      </c>
      <c r="AC22" s="37" t="s">
        <v>90</v>
      </c>
      <c r="AD22" s="32" t="s">
        <v>73</v>
      </c>
      <c r="AE22" s="38">
        <v>101790360</v>
      </c>
      <c r="AF22" s="38">
        <v>0</v>
      </c>
      <c r="AG22" s="38">
        <f t="shared" si="5"/>
        <v>101790360</v>
      </c>
      <c r="AH22" s="38">
        <v>0</v>
      </c>
      <c r="AI22" s="66">
        <v>101790360</v>
      </c>
      <c r="AJ22" s="38">
        <v>0</v>
      </c>
      <c r="AK22" s="38">
        <v>101790360.76000001</v>
      </c>
      <c r="AL22" s="38">
        <f t="shared" si="3"/>
        <v>0.76000000536441803</v>
      </c>
      <c r="AM22" s="38"/>
      <c r="AN22" s="66">
        <v>2159189.4300000002</v>
      </c>
      <c r="AO22" s="38">
        <v>9253669</v>
      </c>
      <c r="AP22" s="54">
        <f t="shared" si="4"/>
        <v>0.02</v>
      </c>
      <c r="AQ22" s="65">
        <f t="shared" si="2"/>
        <v>99631170.569999993</v>
      </c>
      <c r="AR22" s="30" t="s">
        <v>245</v>
      </c>
      <c r="AS22" s="43" t="s">
        <v>246</v>
      </c>
      <c r="AT22" s="32"/>
    </row>
    <row r="23" spans="1:46" ht="135" x14ac:dyDescent="0.25">
      <c r="A23" s="47">
        <v>17</v>
      </c>
      <c r="B23" s="63"/>
      <c r="C23" s="36"/>
      <c r="D23" s="29" t="s">
        <v>56</v>
      </c>
      <c r="E23" s="29" t="s">
        <v>247</v>
      </c>
      <c r="F23" s="29" t="s">
        <v>248</v>
      </c>
      <c r="G23" s="41" t="s">
        <v>109</v>
      </c>
      <c r="H23" s="41" t="s">
        <v>249</v>
      </c>
      <c r="I23" s="41">
        <v>2024</v>
      </c>
      <c r="J23" s="41">
        <v>141</v>
      </c>
      <c r="K23" s="29" t="s">
        <v>59</v>
      </c>
      <c r="L23" s="29" t="s">
        <v>3</v>
      </c>
      <c r="M23" s="32" t="s">
        <v>61</v>
      </c>
      <c r="N23" s="32" t="s">
        <v>250</v>
      </c>
      <c r="O23" s="32" t="s">
        <v>251</v>
      </c>
      <c r="P23" s="32" t="s">
        <v>64</v>
      </c>
      <c r="Q23" s="30" t="s">
        <v>252</v>
      </c>
      <c r="R23" s="32" t="s">
        <v>253</v>
      </c>
      <c r="S23" s="45" t="s">
        <v>254</v>
      </c>
      <c r="T23" s="56" t="s">
        <v>255</v>
      </c>
      <c r="U23" s="35" t="s">
        <v>69</v>
      </c>
      <c r="V23" s="68">
        <v>0</v>
      </c>
      <c r="W23" s="36">
        <v>45329</v>
      </c>
      <c r="X23" s="36">
        <v>45331</v>
      </c>
      <c r="Y23" s="36">
        <v>45331</v>
      </c>
      <c r="Z23" s="36">
        <v>45646</v>
      </c>
      <c r="AA23" s="36" t="s">
        <v>70</v>
      </c>
      <c r="AB23" s="36" t="s">
        <v>71</v>
      </c>
      <c r="AC23" s="37" t="s">
        <v>72</v>
      </c>
      <c r="AD23" s="32" t="s">
        <v>73</v>
      </c>
      <c r="AE23" s="38">
        <v>191064000</v>
      </c>
      <c r="AF23" s="38">
        <v>0</v>
      </c>
      <c r="AG23" s="38">
        <f t="shared" si="5"/>
        <v>191064000</v>
      </c>
      <c r="AH23" s="38">
        <v>0</v>
      </c>
      <c r="AI23" s="66">
        <v>191064000</v>
      </c>
      <c r="AJ23" s="38">
        <v>0</v>
      </c>
      <c r="AK23" s="38">
        <v>197034750</v>
      </c>
      <c r="AL23" s="38">
        <f t="shared" si="3"/>
        <v>5970750</v>
      </c>
      <c r="AM23" s="38"/>
      <c r="AN23" s="66">
        <v>0</v>
      </c>
      <c r="AO23" s="38">
        <v>17912250</v>
      </c>
      <c r="AP23" s="54">
        <f t="shared" si="4"/>
        <v>0</v>
      </c>
      <c r="AQ23" s="65">
        <f t="shared" si="2"/>
        <v>191064000</v>
      </c>
      <c r="AR23" s="30" t="s">
        <v>256</v>
      </c>
      <c r="AS23" s="43" t="s">
        <v>257</v>
      </c>
      <c r="AT23" s="32"/>
    </row>
    <row r="24" spans="1:46" ht="99.75" x14ac:dyDescent="0.25">
      <c r="A24" s="47">
        <v>1</v>
      </c>
      <c r="B24" s="63">
        <v>81112501</v>
      </c>
      <c r="C24" s="32" t="s">
        <v>258</v>
      </c>
      <c r="D24" s="29" t="s">
        <v>93</v>
      </c>
      <c r="E24" s="29" t="s">
        <v>259</v>
      </c>
      <c r="F24" s="29" t="s">
        <v>260</v>
      </c>
      <c r="G24" s="41" t="s">
        <v>59</v>
      </c>
      <c r="H24" s="41" t="s">
        <v>60</v>
      </c>
      <c r="I24" s="41">
        <v>2024</v>
      </c>
      <c r="J24" s="41">
        <v>86</v>
      </c>
      <c r="K24" s="29" t="s">
        <v>59</v>
      </c>
      <c r="L24" s="29" t="s">
        <v>3</v>
      </c>
      <c r="M24" s="32" t="s">
        <v>261</v>
      </c>
      <c r="N24" s="30" t="s">
        <v>71</v>
      </c>
      <c r="O24" s="126"/>
      <c r="P24" s="32" t="s">
        <v>64</v>
      </c>
      <c r="Q24" s="30" t="s">
        <v>262</v>
      </c>
      <c r="R24" s="32" t="s">
        <v>263</v>
      </c>
      <c r="S24" s="46" t="s">
        <v>264</v>
      </c>
      <c r="T24" s="30" t="s">
        <v>265</v>
      </c>
      <c r="U24" s="35" t="s">
        <v>69</v>
      </c>
      <c r="V24" s="68">
        <v>4</v>
      </c>
      <c r="W24" s="36">
        <v>45353</v>
      </c>
      <c r="X24" s="36">
        <v>45357</v>
      </c>
      <c r="Y24" s="36">
        <v>45362</v>
      </c>
      <c r="Z24" s="36">
        <v>45641</v>
      </c>
      <c r="AA24" s="36" t="s">
        <v>266</v>
      </c>
      <c r="AB24" s="36">
        <v>46356</v>
      </c>
      <c r="AC24" s="37" t="s">
        <v>90</v>
      </c>
      <c r="AD24" s="30" t="s">
        <v>267</v>
      </c>
      <c r="AE24" s="38">
        <v>2427600</v>
      </c>
      <c r="AF24" s="38">
        <v>0</v>
      </c>
      <c r="AG24" s="38">
        <f t="shared" si="5"/>
        <v>2427600</v>
      </c>
      <c r="AH24" s="38">
        <v>0</v>
      </c>
      <c r="AI24" s="66">
        <f>AG24</f>
        <v>2427600</v>
      </c>
      <c r="AJ24" s="38">
        <v>0</v>
      </c>
      <c r="AK24" s="38">
        <v>18371251</v>
      </c>
      <c r="AL24" s="38">
        <f t="shared" si="3"/>
        <v>15943651</v>
      </c>
      <c r="AM24" s="38" t="s">
        <v>268</v>
      </c>
      <c r="AN24" s="66">
        <v>0</v>
      </c>
      <c r="AO24" s="38" t="s">
        <v>69</v>
      </c>
      <c r="AP24" s="54">
        <f t="shared" si="4"/>
        <v>0</v>
      </c>
      <c r="AQ24" s="65">
        <f t="shared" si="2"/>
        <v>2427600</v>
      </c>
      <c r="AR24" s="30"/>
      <c r="AS24" s="43" t="s">
        <v>269</v>
      </c>
      <c r="AT24" s="118" t="s">
        <v>270</v>
      </c>
    </row>
    <row r="25" spans="1:46" ht="156.75" x14ac:dyDescent="0.25">
      <c r="A25" s="47">
        <v>4</v>
      </c>
      <c r="B25" s="63" t="s">
        <v>271</v>
      </c>
      <c r="C25" s="32"/>
      <c r="D25" s="29" t="s">
        <v>93</v>
      </c>
      <c r="E25" s="29" t="s">
        <v>272</v>
      </c>
      <c r="F25" s="29" t="s">
        <v>273</v>
      </c>
      <c r="G25" s="41" t="s">
        <v>109</v>
      </c>
      <c r="H25" s="41" t="s">
        <v>274</v>
      </c>
      <c r="I25" s="41">
        <v>2024</v>
      </c>
      <c r="J25" s="41">
        <v>76</v>
      </c>
      <c r="K25" s="29" t="s">
        <v>59</v>
      </c>
      <c r="L25" s="29" t="s">
        <v>3</v>
      </c>
      <c r="M25" s="32" t="s">
        <v>275</v>
      </c>
      <c r="N25" s="30" t="s">
        <v>71</v>
      </c>
      <c r="O25" s="126">
        <v>45370</v>
      </c>
      <c r="P25" s="32" t="s">
        <v>64</v>
      </c>
      <c r="Q25" s="30" t="s">
        <v>276</v>
      </c>
      <c r="R25" s="32" t="s">
        <v>277</v>
      </c>
      <c r="S25" s="45" t="s">
        <v>278</v>
      </c>
      <c r="T25" s="30" t="s">
        <v>279</v>
      </c>
      <c r="U25" s="35" t="s">
        <v>69</v>
      </c>
      <c r="V25" s="68">
        <v>1</v>
      </c>
      <c r="W25" s="36">
        <v>45369</v>
      </c>
      <c r="X25" s="36">
        <v>45370</v>
      </c>
      <c r="Y25" s="36">
        <v>45371</v>
      </c>
      <c r="Z25" s="36">
        <v>45385</v>
      </c>
      <c r="AA25" s="36">
        <v>45373</v>
      </c>
      <c r="AB25" s="36">
        <v>45738</v>
      </c>
      <c r="AC25" s="37" t="s">
        <v>90</v>
      </c>
      <c r="AD25" s="30" t="s">
        <v>267</v>
      </c>
      <c r="AE25" s="38">
        <v>2125000</v>
      </c>
      <c r="AF25" s="38">
        <v>0</v>
      </c>
      <c r="AG25" s="38">
        <f t="shared" si="5"/>
        <v>2125000</v>
      </c>
      <c r="AH25" s="38">
        <v>0</v>
      </c>
      <c r="AI25" s="66">
        <v>2125000</v>
      </c>
      <c r="AJ25" s="38">
        <v>0</v>
      </c>
      <c r="AK25" s="38">
        <v>2550000</v>
      </c>
      <c r="AL25" s="38">
        <f t="shared" si="3"/>
        <v>425000</v>
      </c>
      <c r="AM25" s="38" t="s">
        <v>280</v>
      </c>
      <c r="AN25" s="66">
        <v>0</v>
      </c>
      <c r="AO25" s="38" t="s">
        <v>69</v>
      </c>
      <c r="AP25" s="54">
        <f t="shared" si="4"/>
        <v>0</v>
      </c>
      <c r="AQ25" s="65">
        <f t="shared" si="2"/>
        <v>2125000</v>
      </c>
      <c r="AR25" s="30" t="s">
        <v>281</v>
      </c>
      <c r="AS25" s="133" t="s">
        <v>282</v>
      </c>
      <c r="AT25" s="32"/>
    </row>
    <row r="26" spans="1:46" ht="85.5" x14ac:dyDescent="0.25">
      <c r="A26" s="47">
        <v>2</v>
      </c>
      <c r="B26" s="63">
        <v>80111614</v>
      </c>
      <c r="C26" s="32" t="s">
        <v>283</v>
      </c>
      <c r="D26" s="29" t="s">
        <v>56</v>
      </c>
      <c r="E26" s="29" t="s">
        <v>82</v>
      </c>
      <c r="F26" s="29" t="s">
        <v>284</v>
      </c>
      <c r="G26" s="41" t="s">
        <v>59</v>
      </c>
      <c r="H26" s="41" t="s">
        <v>60</v>
      </c>
      <c r="I26" s="41">
        <v>2024</v>
      </c>
      <c r="J26" s="41">
        <v>105</v>
      </c>
      <c r="K26" s="29" t="s">
        <v>59</v>
      </c>
      <c r="L26" s="29" t="s">
        <v>3</v>
      </c>
      <c r="M26" s="32" t="s">
        <v>285</v>
      </c>
      <c r="N26" s="30" t="s">
        <v>71</v>
      </c>
      <c r="O26" s="32"/>
      <c r="P26" s="32" t="s">
        <v>64</v>
      </c>
      <c r="Q26" s="30" t="s">
        <v>286</v>
      </c>
      <c r="R26" s="32" t="s">
        <v>287</v>
      </c>
      <c r="S26" s="46" t="s">
        <v>288</v>
      </c>
      <c r="T26" s="30" t="s">
        <v>289</v>
      </c>
      <c r="U26" s="35" t="s">
        <v>69</v>
      </c>
      <c r="V26" s="68">
        <v>0</v>
      </c>
      <c r="W26" s="36">
        <v>45373</v>
      </c>
      <c r="X26" s="36">
        <v>45385</v>
      </c>
      <c r="Y26" s="36" t="s">
        <v>70</v>
      </c>
      <c r="Z26" s="36">
        <v>45646</v>
      </c>
      <c r="AA26" s="36" t="s">
        <v>70</v>
      </c>
      <c r="AB26" s="36" t="s">
        <v>71</v>
      </c>
      <c r="AC26" s="37" t="s">
        <v>72</v>
      </c>
      <c r="AD26" s="30" t="s">
        <v>290</v>
      </c>
      <c r="AE26" s="38">
        <v>84000000</v>
      </c>
      <c r="AF26" s="38">
        <v>0</v>
      </c>
      <c r="AG26" s="38">
        <f t="shared" si="5"/>
        <v>84000000</v>
      </c>
      <c r="AH26" s="38">
        <v>0</v>
      </c>
      <c r="AI26" s="66">
        <v>84000000</v>
      </c>
      <c r="AJ26" s="38">
        <v>0</v>
      </c>
      <c r="AK26" s="38">
        <v>92400000</v>
      </c>
      <c r="AL26" s="38">
        <f t="shared" si="3"/>
        <v>8400000</v>
      </c>
      <c r="AM26" s="38" t="s">
        <v>291</v>
      </c>
      <c r="AN26" s="66">
        <v>0</v>
      </c>
      <c r="AO26" s="38">
        <v>8400000</v>
      </c>
      <c r="AP26" s="54">
        <f t="shared" si="4"/>
        <v>0</v>
      </c>
      <c r="AQ26" s="65">
        <f t="shared" si="2"/>
        <v>84000000</v>
      </c>
      <c r="AR26" s="30" t="s">
        <v>292</v>
      </c>
      <c r="AS26" s="43" t="s">
        <v>293</v>
      </c>
      <c r="AT26" s="118" t="s">
        <v>294</v>
      </c>
    </row>
    <row r="27" spans="1:46" ht="135" x14ac:dyDescent="0.25">
      <c r="A27" s="47">
        <v>3</v>
      </c>
      <c r="B27" s="63">
        <v>80111614</v>
      </c>
      <c r="C27" s="32" t="s">
        <v>295</v>
      </c>
      <c r="D27" s="29" t="s">
        <v>56</v>
      </c>
      <c r="E27" s="29" t="s">
        <v>82</v>
      </c>
      <c r="F27" s="29" t="s">
        <v>296</v>
      </c>
      <c r="G27" s="41" t="s">
        <v>59</v>
      </c>
      <c r="H27" s="41" t="s">
        <v>60</v>
      </c>
      <c r="I27" s="41">
        <v>2024</v>
      </c>
      <c r="J27" s="41">
        <v>106</v>
      </c>
      <c r="K27" s="29" t="s">
        <v>59</v>
      </c>
      <c r="L27" s="29" t="s">
        <v>3</v>
      </c>
      <c r="M27" s="32" t="s">
        <v>297</v>
      </c>
      <c r="N27" s="30" t="s">
        <v>71</v>
      </c>
      <c r="O27" s="32"/>
      <c r="P27" s="32" t="s">
        <v>64</v>
      </c>
      <c r="Q27" s="30" t="s">
        <v>298</v>
      </c>
      <c r="R27" s="32" t="s">
        <v>299</v>
      </c>
      <c r="S27" s="45" t="s">
        <v>300</v>
      </c>
      <c r="T27" s="34" t="s">
        <v>301</v>
      </c>
      <c r="U27" s="35" t="s">
        <v>69</v>
      </c>
      <c r="V27" s="68">
        <v>0</v>
      </c>
      <c r="W27" s="36">
        <v>45373</v>
      </c>
      <c r="X27" s="36">
        <v>45383</v>
      </c>
      <c r="Y27" s="36" t="s">
        <v>70</v>
      </c>
      <c r="Z27" s="36">
        <v>45646</v>
      </c>
      <c r="AA27" s="36" t="s">
        <v>70</v>
      </c>
      <c r="AB27" s="36" t="s">
        <v>71</v>
      </c>
      <c r="AC27" s="37" t="s">
        <v>72</v>
      </c>
      <c r="AD27" s="30" t="s">
        <v>302</v>
      </c>
      <c r="AE27" s="38">
        <v>140000000</v>
      </c>
      <c r="AF27" s="38">
        <v>0</v>
      </c>
      <c r="AG27" s="38">
        <f t="shared" si="5"/>
        <v>140000000</v>
      </c>
      <c r="AH27" s="38">
        <v>0</v>
      </c>
      <c r="AI27" s="66">
        <v>140000000</v>
      </c>
      <c r="AJ27" s="38">
        <v>0</v>
      </c>
      <c r="AK27" s="38">
        <v>140000000</v>
      </c>
      <c r="AL27" s="38">
        <f t="shared" si="3"/>
        <v>0</v>
      </c>
      <c r="AM27" s="38"/>
      <c r="AN27" s="66">
        <v>0</v>
      </c>
      <c r="AO27" s="38">
        <v>14000000</v>
      </c>
      <c r="AP27" s="54">
        <f t="shared" si="4"/>
        <v>0</v>
      </c>
      <c r="AQ27" s="65">
        <f t="shared" si="2"/>
        <v>140000000</v>
      </c>
      <c r="AR27" s="30" t="s">
        <v>303</v>
      </c>
      <c r="AS27" s="43" t="s">
        <v>304</v>
      </c>
      <c r="AT27" s="118" t="s">
        <v>294</v>
      </c>
    </row>
    <row r="28" spans="1:46" ht="71.25" hidden="1" x14ac:dyDescent="0.25">
      <c r="A28" s="47">
        <v>19</v>
      </c>
      <c r="B28" s="63">
        <v>81111801</v>
      </c>
      <c r="C28" s="32" t="s">
        <v>283</v>
      </c>
      <c r="D28" s="29" t="s">
        <v>93</v>
      </c>
      <c r="E28" s="29" t="s">
        <v>305</v>
      </c>
      <c r="F28" s="29" t="s">
        <v>306</v>
      </c>
      <c r="G28" s="41" t="s">
        <v>59</v>
      </c>
      <c r="H28" s="41" t="s">
        <v>60</v>
      </c>
      <c r="I28" s="41">
        <v>2024</v>
      </c>
      <c r="J28" s="41">
        <v>101</v>
      </c>
      <c r="K28" s="29" t="s">
        <v>59</v>
      </c>
      <c r="L28" s="29" t="s">
        <v>3</v>
      </c>
      <c r="M28" s="32" t="s">
        <v>307</v>
      </c>
      <c r="N28" s="32" t="s">
        <v>71</v>
      </c>
      <c r="O28" s="32"/>
      <c r="P28" s="32" t="s">
        <v>64</v>
      </c>
      <c r="Q28" s="30" t="s">
        <v>308</v>
      </c>
      <c r="R28" s="32" t="s">
        <v>309</v>
      </c>
      <c r="S28" s="45" t="s">
        <v>310</v>
      </c>
      <c r="T28" s="45" t="s">
        <v>311</v>
      </c>
      <c r="U28" s="45">
        <v>127948</v>
      </c>
      <c r="V28" s="68">
        <v>0</v>
      </c>
      <c r="W28" s="36">
        <v>45411</v>
      </c>
      <c r="X28" s="134">
        <v>45414</v>
      </c>
      <c r="Y28" s="134">
        <v>45414</v>
      </c>
      <c r="Z28" s="36">
        <v>45626</v>
      </c>
      <c r="AA28" s="36" t="s">
        <v>70</v>
      </c>
      <c r="AB28" s="36" t="s">
        <v>71</v>
      </c>
      <c r="AC28" s="37" t="s">
        <v>72</v>
      </c>
      <c r="AD28" s="30" t="s">
        <v>312</v>
      </c>
      <c r="AE28" s="38">
        <v>669139863.29999995</v>
      </c>
      <c r="AF28" s="38">
        <v>0</v>
      </c>
      <c r="AG28" s="38">
        <f t="shared" si="5"/>
        <v>669139863.29999995</v>
      </c>
      <c r="AH28" s="38">
        <v>0</v>
      </c>
      <c r="AI28" s="66">
        <v>669139863.29999995</v>
      </c>
      <c r="AJ28" s="38">
        <v>0</v>
      </c>
      <c r="AK28" s="38">
        <v>700000000</v>
      </c>
      <c r="AL28" s="38">
        <f t="shared" si="3"/>
        <v>30860136.700000048</v>
      </c>
      <c r="AM28" s="38" t="s">
        <v>313</v>
      </c>
      <c r="AN28" s="66">
        <v>0</v>
      </c>
      <c r="AO28" s="38" t="s">
        <v>69</v>
      </c>
      <c r="AP28" s="54">
        <f>IF(AI28=0,0,ROUND(AN28/AI28,2))</f>
        <v>0</v>
      </c>
      <c r="AQ28" s="65">
        <f>AI28-AN28</f>
        <v>669139863.29999995</v>
      </c>
      <c r="AR28" s="30" t="s">
        <v>314</v>
      </c>
      <c r="AS28" s="43" t="s">
        <v>315</v>
      </c>
      <c r="AT28" s="32"/>
    </row>
    <row r="29" spans="1:46" ht="114" hidden="1" x14ac:dyDescent="0.25">
      <c r="A29" s="47">
        <v>6</v>
      </c>
      <c r="B29" s="63">
        <v>80111614</v>
      </c>
      <c r="C29" s="32" t="s">
        <v>283</v>
      </c>
      <c r="D29" s="29" t="s">
        <v>56</v>
      </c>
      <c r="E29" s="29" t="s">
        <v>82</v>
      </c>
      <c r="F29" s="29" t="s">
        <v>316</v>
      </c>
      <c r="G29" s="41" t="s">
        <v>59</v>
      </c>
      <c r="H29" s="41" t="s">
        <v>60</v>
      </c>
      <c r="I29" s="41">
        <v>2024</v>
      </c>
      <c r="J29" s="41">
        <v>153</v>
      </c>
      <c r="K29" s="29" t="s">
        <v>59</v>
      </c>
      <c r="L29" s="29" t="s">
        <v>3</v>
      </c>
      <c r="M29" s="32" t="s">
        <v>317</v>
      </c>
      <c r="N29" s="32" t="s">
        <v>71</v>
      </c>
      <c r="O29" s="32"/>
      <c r="P29" s="32" t="s">
        <v>64</v>
      </c>
      <c r="Q29" s="30" t="s">
        <v>318</v>
      </c>
      <c r="R29" s="32" t="s">
        <v>319</v>
      </c>
      <c r="S29" s="46" t="s">
        <v>320</v>
      </c>
      <c r="T29" s="30" t="s">
        <v>321</v>
      </c>
      <c r="U29" s="35" t="s">
        <v>69</v>
      </c>
      <c r="V29" s="68">
        <v>0</v>
      </c>
      <c r="W29" s="36">
        <v>45392</v>
      </c>
      <c r="X29" s="36">
        <v>45393</v>
      </c>
      <c r="Y29" s="36" t="s">
        <v>70</v>
      </c>
      <c r="Z29" s="36">
        <v>45575</v>
      </c>
      <c r="AA29" s="36" t="s">
        <v>70</v>
      </c>
      <c r="AB29" s="36" t="s">
        <v>71</v>
      </c>
      <c r="AC29" s="37" t="s">
        <v>72</v>
      </c>
      <c r="AD29" s="30" t="s">
        <v>302</v>
      </c>
      <c r="AE29" s="38">
        <v>51000000</v>
      </c>
      <c r="AF29" s="38">
        <v>0</v>
      </c>
      <c r="AG29" s="38">
        <f t="shared" si="5"/>
        <v>51000000</v>
      </c>
      <c r="AH29" s="38">
        <v>0</v>
      </c>
      <c r="AI29" s="66">
        <v>51000000</v>
      </c>
      <c r="AJ29" s="38">
        <v>0</v>
      </c>
      <c r="AK29" s="38">
        <v>51000000</v>
      </c>
      <c r="AL29" s="38">
        <f t="shared" si="3"/>
        <v>0</v>
      </c>
      <c r="AM29" s="38"/>
      <c r="AN29" s="66">
        <v>0</v>
      </c>
      <c r="AO29" s="38">
        <v>8500000</v>
      </c>
      <c r="AP29" s="54">
        <f>IF(AI29=0,0,ROUND(AN29/AI29,2))</f>
        <v>0</v>
      </c>
      <c r="AQ29" s="65">
        <f>AI29-AN29</f>
        <v>51000000</v>
      </c>
      <c r="AR29" s="30" t="s">
        <v>322</v>
      </c>
      <c r="AS29" s="43" t="s">
        <v>323</v>
      </c>
      <c r="AT29" s="32" t="s">
        <v>324</v>
      </c>
    </row>
    <row r="30" spans="1:46" ht="120" hidden="1" x14ac:dyDescent="0.25">
      <c r="A30" s="47">
        <v>5</v>
      </c>
      <c r="B30" s="63">
        <v>80111614</v>
      </c>
      <c r="C30" s="32" t="s">
        <v>283</v>
      </c>
      <c r="D30" s="29" t="s">
        <v>56</v>
      </c>
      <c r="E30" s="29" t="s">
        <v>82</v>
      </c>
      <c r="F30" s="29" t="s">
        <v>316</v>
      </c>
      <c r="G30" s="41" t="s">
        <v>59</v>
      </c>
      <c r="H30" s="41" t="s">
        <v>60</v>
      </c>
      <c r="I30" s="41">
        <v>2024</v>
      </c>
      <c r="J30" s="41">
        <v>152</v>
      </c>
      <c r="K30" s="29" t="s">
        <v>59</v>
      </c>
      <c r="L30" s="29" t="s">
        <v>3</v>
      </c>
      <c r="M30" s="32" t="s">
        <v>317</v>
      </c>
      <c r="N30" s="32" t="s">
        <v>71</v>
      </c>
      <c r="O30" s="32"/>
      <c r="P30" s="32" t="s">
        <v>64</v>
      </c>
      <c r="Q30" s="30" t="s">
        <v>325</v>
      </c>
      <c r="R30" s="32" t="s">
        <v>326</v>
      </c>
      <c r="S30" s="46" t="s">
        <v>327</v>
      </c>
      <c r="T30" s="30" t="s">
        <v>328</v>
      </c>
      <c r="U30" s="35" t="s">
        <v>69</v>
      </c>
      <c r="V30" s="68">
        <v>0</v>
      </c>
      <c r="W30" s="36">
        <v>45397</v>
      </c>
      <c r="X30" s="36">
        <v>45398</v>
      </c>
      <c r="Y30" s="36" t="s">
        <v>70</v>
      </c>
      <c r="Z30" s="144">
        <v>45577</v>
      </c>
      <c r="AA30" s="36" t="s">
        <v>70</v>
      </c>
      <c r="AB30" s="36" t="s">
        <v>71</v>
      </c>
      <c r="AC30" s="37" t="s">
        <v>72</v>
      </c>
      <c r="AD30" s="30" t="s">
        <v>302</v>
      </c>
      <c r="AE30" s="38">
        <v>51000000</v>
      </c>
      <c r="AF30" s="38">
        <v>0</v>
      </c>
      <c r="AG30" s="38">
        <f t="shared" si="5"/>
        <v>51000000</v>
      </c>
      <c r="AH30" s="38">
        <v>0</v>
      </c>
      <c r="AI30" s="66">
        <v>51000000</v>
      </c>
      <c r="AJ30" s="38">
        <v>0</v>
      </c>
      <c r="AK30" s="38">
        <v>51000000</v>
      </c>
      <c r="AL30" s="38">
        <f t="shared" si="3"/>
        <v>0</v>
      </c>
      <c r="AM30" s="38"/>
      <c r="AN30" s="66">
        <v>0</v>
      </c>
      <c r="AO30" s="38">
        <v>8500000</v>
      </c>
      <c r="AP30" s="54">
        <f>IF(AI30=0,0,ROUND(AN30/AI30,2))</f>
        <v>0</v>
      </c>
      <c r="AQ30" s="65">
        <f t="shared" ref="AQ30:AQ36" si="6">AI30-AN30</f>
        <v>51000000</v>
      </c>
      <c r="AR30" s="30" t="s">
        <v>329</v>
      </c>
      <c r="AS30" s="43" t="s">
        <v>330</v>
      </c>
      <c r="AT30" s="32" t="s">
        <v>324</v>
      </c>
    </row>
    <row r="31" spans="1:46" ht="150" hidden="1" x14ac:dyDescent="0.25">
      <c r="A31" s="47">
        <v>7</v>
      </c>
      <c r="B31" s="63">
        <v>80111614</v>
      </c>
      <c r="C31" s="32" t="s">
        <v>283</v>
      </c>
      <c r="D31" s="29" t="s">
        <v>56</v>
      </c>
      <c r="E31" s="29" t="s">
        <v>82</v>
      </c>
      <c r="F31" s="29" t="s">
        <v>331</v>
      </c>
      <c r="G31" s="41" t="s">
        <v>59</v>
      </c>
      <c r="H31" s="41" t="s">
        <v>60</v>
      </c>
      <c r="I31" s="41">
        <v>2024</v>
      </c>
      <c r="J31" s="41">
        <v>154</v>
      </c>
      <c r="K31" s="29" t="s">
        <v>59</v>
      </c>
      <c r="L31" s="29" t="s">
        <v>3</v>
      </c>
      <c r="M31" s="32" t="s">
        <v>317</v>
      </c>
      <c r="N31" s="32" t="s">
        <v>71</v>
      </c>
      <c r="O31" s="32"/>
      <c r="P31" s="32" t="s">
        <v>64</v>
      </c>
      <c r="Q31" s="30" t="s">
        <v>332</v>
      </c>
      <c r="R31" s="32" t="s">
        <v>333</v>
      </c>
      <c r="S31" s="46" t="s">
        <v>334</v>
      </c>
      <c r="T31" s="30" t="s">
        <v>335</v>
      </c>
      <c r="U31" s="35" t="s">
        <v>69</v>
      </c>
      <c r="V31" s="68">
        <v>0</v>
      </c>
      <c r="W31" s="36">
        <v>45397</v>
      </c>
      <c r="X31" s="36">
        <v>45400</v>
      </c>
      <c r="Y31" s="36" t="s">
        <v>70</v>
      </c>
      <c r="Z31" s="36">
        <v>45646</v>
      </c>
      <c r="AA31" s="36" t="s">
        <v>70</v>
      </c>
      <c r="AB31" s="36" t="s">
        <v>71</v>
      </c>
      <c r="AC31" s="37" t="s">
        <v>72</v>
      </c>
      <c r="AD31" s="30" t="s">
        <v>336</v>
      </c>
      <c r="AE31" s="38">
        <v>76000000</v>
      </c>
      <c r="AF31" s="38">
        <v>0</v>
      </c>
      <c r="AG31" s="38">
        <f t="shared" si="5"/>
        <v>76000000</v>
      </c>
      <c r="AH31" s="38">
        <v>0</v>
      </c>
      <c r="AI31" s="66">
        <v>76000000</v>
      </c>
      <c r="AJ31" s="38">
        <v>0</v>
      </c>
      <c r="AK31" s="38">
        <f>AI31+AJ31</f>
        <v>76000000</v>
      </c>
      <c r="AL31" s="38">
        <f t="shared" si="3"/>
        <v>0</v>
      </c>
      <c r="AM31" s="38"/>
      <c r="AN31" s="66">
        <v>0</v>
      </c>
      <c r="AO31" s="38">
        <v>9500000</v>
      </c>
      <c r="AP31" s="54">
        <f t="shared" ref="AP31:AP36" si="7">IF(AI31=0,0,ROUND(AN31/AI31,2))</f>
        <v>0</v>
      </c>
      <c r="AQ31" s="65">
        <f t="shared" si="6"/>
        <v>76000000</v>
      </c>
      <c r="AR31" s="30" t="s">
        <v>337</v>
      </c>
      <c r="AS31" s="43" t="s">
        <v>338</v>
      </c>
      <c r="AT31" s="32" t="s">
        <v>339</v>
      </c>
    </row>
    <row r="32" spans="1:46" ht="129" hidden="1" customHeight="1" x14ac:dyDescent="0.25">
      <c r="A32" s="47">
        <v>21</v>
      </c>
      <c r="B32" s="63">
        <v>80111614</v>
      </c>
      <c r="C32" s="32" t="s">
        <v>81</v>
      </c>
      <c r="D32" s="29" t="s">
        <v>56</v>
      </c>
      <c r="E32" s="29" t="s">
        <v>305</v>
      </c>
      <c r="F32" s="29" t="s">
        <v>340</v>
      </c>
      <c r="G32" s="41" t="s">
        <v>59</v>
      </c>
      <c r="H32" s="41" t="s">
        <v>60</v>
      </c>
      <c r="I32" s="41">
        <v>2024</v>
      </c>
      <c r="J32" s="41">
        <v>181</v>
      </c>
      <c r="K32" s="29" t="s">
        <v>59</v>
      </c>
      <c r="L32" s="29" t="s">
        <v>3</v>
      </c>
      <c r="M32" s="32" t="s">
        <v>195</v>
      </c>
      <c r="N32" s="32"/>
      <c r="O32" s="32"/>
      <c r="P32" s="32" t="s">
        <v>64</v>
      </c>
      <c r="Q32" s="30" t="s">
        <v>341</v>
      </c>
      <c r="R32" s="32" t="s">
        <v>342</v>
      </c>
      <c r="S32" s="57" t="s">
        <v>343</v>
      </c>
      <c r="T32" s="48" t="s">
        <v>344</v>
      </c>
      <c r="U32" s="35" t="s">
        <v>69</v>
      </c>
      <c r="V32" s="68">
        <v>0</v>
      </c>
      <c r="W32" s="36">
        <v>45427</v>
      </c>
      <c r="X32" s="36">
        <v>45428</v>
      </c>
      <c r="Y32" s="36">
        <v>45428</v>
      </c>
      <c r="Z32" s="36">
        <v>45612</v>
      </c>
      <c r="AA32" s="36" t="s">
        <v>70</v>
      </c>
      <c r="AB32" s="36" t="s">
        <v>71</v>
      </c>
      <c r="AC32" s="37" t="s">
        <v>345</v>
      </c>
      <c r="AD32" s="30" t="s">
        <v>312</v>
      </c>
      <c r="AE32" s="38">
        <v>75000000</v>
      </c>
      <c r="AF32" s="38">
        <v>0</v>
      </c>
      <c r="AG32" s="38">
        <f t="shared" si="5"/>
        <v>75000000</v>
      </c>
      <c r="AH32" s="38">
        <v>0</v>
      </c>
      <c r="AI32" s="66">
        <v>75000000</v>
      </c>
      <c r="AJ32" s="38">
        <v>0</v>
      </c>
      <c r="AK32" s="38">
        <v>75000000</v>
      </c>
      <c r="AL32" s="38">
        <f t="shared" si="3"/>
        <v>0</v>
      </c>
      <c r="AM32" s="38"/>
      <c r="AN32" s="66">
        <v>0</v>
      </c>
      <c r="AO32" s="38">
        <v>12500000</v>
      </c>
      <c r="AP32" s="54">
        <f>IF(AI32=0,0,ROUND(AN32/AI32,2))</f>
        <v>0</v>
      </c>
      <c r="AQ32" s="65">
        <f>AI32-AN32</f>
        <v>75000000</v>
      </c>
      <c r="AR32" s="30" t="s">
        <v>346</v>
      </c>
      <c r="AS32" s="43" t="s">
        <v>347</v>
      </c>
      <c r="AT32" s="32"/>
    </row>
    <row r="33" spans="1:46" ht="129" customHeight="1" x14ac:dyDescent="0.25">
      <c r="A33" s="47">
        <v>21</v>
      </c>
      <c r="B33" s="64" t="s">
        <v>348</v>
      </c>
      <c r="C33" s="52" t="s">
        <v>283</v>
      </c>
      <c r="D33" s="50" t="s">
        <v>93</v>
      </c>
      <c r="E33" s="50" t="s">
        <v>107</v>
      </c>
      <c r="F33" s="50" t="s">
        <v>349</v>
      </c>
      <c r="G33" s="51" t="s">
        <v>59</v>
      </c>
      <c r="H33" s="51" t="s">
        <v>60</v>
      </c>
      <c r="I33" s="51">
        <v>2024</v>
      </c>
      <c r="J33" s="51">
        <v>176</v>
      </c>
      <c r="K33" s="50" t="s">
        <v>59</v>
      </c>
      <c r="L33" s="50" t="s">
        <v>5</v>
      </c>
      <c r="M33" s="52" t="s">
        <v>61</v>
      </c>
      <c r="N33" s="52"/>
      <c r="O33" s="52"/>
      <c r="P33" s="52" t="s">
        <v>64</v>
      </c>
      <c r="Q33" s="53" t="s">
        <v>350</v>
      </c>
      <c r="R33" s="52" t="s">
        <v>351</v>
      </c>
      <c r="S33" s="57"/>
      <c r="T33" s="30"/>
      <c r="U33" s="35"/>
      <c r="V33" s="68">
        <v>0</v>
      </c>
      <c r="W33" s="36"/>
      <c r="X33" s="36"/>
      <c r="Y33" s="36"/>
      <c r="Z33" s="36"/>
      <c r="AA33" s="36"/>
      <c r="AB33" s="36"/>
      <c r="AC33" s="37" t="s">
        <v>345</v>
      </c>
      <c r="AD33" s="30" t="s">
        <v>312</v>
      </c>
      <c r="AE33" s="38"/>
      <c r="AF33" s="38">
        <v>0</v>
      </c>
      <c r="AG33" s="38">
        <f t="shared" si="5"/>
        <v>0</v>
      </c>
      <c r="AH33" s="38"/>
      <c r="AI33" s="38"/>
      <c r="AJ33" s="38"/>
      <c r="AK33" s="38">
        <v>1234647379</v>
      </c>
      <c r="AL33" s="38">
        <f t="shared" si="3"/>
        <v>1234647379</v>
      </c>
      <c r="AM33" s="38"/>
      <c r="AN33" s="66"/>
      <c r="AO33" s="38"/>
      <c r="AP33" s="54">
        <f>IF(AI33=0,0,ROUND(AN33/AI33,2))</f>
        <v>0</v>
      </c>
      <c r="AQ33" s="65">
        <f>AI33-AN33</f>
        <v>0</v>
      </c>
      <c r="AR33" s="30"/>
      <c r="AS33" s="30"/>
      <c r="AT33" s="32"/>
    </row>
    <row r="34" spans="1:46" ht="129" customHeight="1" x14ac:dyDescent="0.25">
      <c r="A34" s="47">
        <v>21</v>
      </c>
      <c r="B34" s="64" t="s">
        <v>348</v>
      </c>
      <c r="C34" s="52" t="s">
        <v>283</v>
      </c>
      <c r="D34" s="50" t="s">
        <v>93</v>
      </c>
      <c r="E34" s="50" t="s">
        <v>107</v>
      </c>
      <c r="F34" s="50" t="s">
        <v>352</v>
      </c>
      <c r="G34" s="51" t="s">
        <v>59</v>
      </c>
      <c r="H34" s="51" t="s">
        <v>60</v>
      </c>
      <c r="I34" s="51">
        <v>2024</v>
      </c>
      <c r="J34" s="51">
        <v>177</v>
      </c>
      <c r="K34" s="50" t="s">
        <v>59</v>
      </c>
      <c r="L34" s="50" t="s">
        <v>5</v>
      </c>
      <c r="M34" s="52" t="s">
        <v>61</v>
      </c>
      <c r="N34" s="52"/>
      <c r="O34" s="52"/>
      <c r="P34" s="52" t="s">
        <v>64</v>
      </c>
      <c r="Q34" s="53" t="s">
        <v>353</v>
      </c>
      <c r="R34" s="52" t="s">
        <v>354</v>
      </c>
      <c r="S34" s="57"/>
      <c r="T34" s="30"/>
      <c r="U34" s="35"/>
      <c r="V34" s="68">
        <v>0</v>
      </c>
      <c r="W34" s="36"/>
      <c r="X34" s="36"/>
      <c r="Y34" s="36"/>
      <c r="Z34" s="36"/>
      <c r="AA34" s="36"/>
      <c r="AB34" s="36"/>
      <c r="AC34" s="37" t="s">
        <v>72</v>
      </c>
      <c r="AD34" s="30" t="s">
        <v>312</v>
      </c>
      <c r="AE34" s="38"/>
      <c r="AF34" s="38">
        <v>0</v>
      </c>
      <c r="AG34" s="38">
        <f t="shared" si="5"/>
        <v>0</v>
      </c>
      <c r="AH34" s="38"/>
      <c r="AI34" s="38"/>
      <c r="AJ34" s="38"/>
      <c r="AK34" s="38">
        <v>1398000000</v>
      </c>
      <c r="AL34" s="38">
        <f t="shared" si="3"/>
        <v>1398000000</v>
      </c>
      <c r="AM34" s="38"/>
      <c r="AN34" s="66"/>
      <c r="AO34" s="38"/>
      <c r="AP34" s="54">
        <f>IF(AI34=0,0,ROUND(AN34/AI34,2))</f>
        <v>0</v>
      </c>
      <c r="AQ34" s="65">
        <f>AI34-AN34</f>
        <v>0</v>
      </c>
      <c r="AR34" s="30"/>
      <c r="AS34" s="30"/>
      <c r="AT34" s="32"/>
    </row>
    <row r="35" spans="1:46" ht="147" customHeight="1" x14ac:dyDescent="0.25">
      <c r="A35" s="47">
        <v>17</v>
      </c>
      <c r="B35" s="64"/>
      <c r="C35" s="52"/>
      <c r="D35" s="50" t="s">
        <v>93</v>
      </c>
      <c r="E35" s="50" t="s">
        <v>126</v>
      </c>
      <c r="F35" s="50" t="s">
        <v>355</v>
      </c>
      <c r="G35" s="51" t="s">
        <v>59</v>
      </c>
      <c r="H35" s="51" t="s">
        <v>60</v>
      </c>
      <c r="I35" s="51">
        <v>2024</v>
      </c>
      <c r="J35" s="51">
        <v>99</v>
      </c>
      <c r="K35" s="50" t="s">
        <v>59</v>
      </c>
      <c r="L35" s="50" t="s">
        <v>5</v>
      </c>
      <c r="M35" s="52" t="s">
        <v>356</v>
      </c>
      <c r="N35" s="52" t="s">
        <v>84</v>
      </c>
      <c r="O35" s="52"/>
      <c r="P35" s="52" t="s">
        <v>64</v>
      </c>
      <c r="Q35" s="53" t="s">
        <v>357</v>
      </c>
      <c r="R35" s="52" t="s">
        <v>358</v>
      </c>
      <c r="S35" s="45"/>
      <c r="T35" s="30"/>
      <c r="U35" s="35"/>
      <c r="V35" s="68">
        <v>0</v>
      </c>
      <c r="W35" s="36"/>
      <c r="X35" s="36"/>
      <c r="Y35" s="36"/>
      <c r="Z35" s="36"/>
      <c r="AA35" s="36"/>
      <c r="AB35" s="36"/>
      <c r="AC35" s="37" t="s">
        <v>72</v>
      </c>
      <c r="AD35" s="30" t="s">
        <v>359</v>
      </c>
      <c r="AE35" s="38"/>
      <c r="AF35" s="38">
        <v>0</v>
      </c>
      <c r="AG35" s="38">
        <f t="shared" si="5"/>
        <v>0</v>
      </c>
      <c r="AH35" s="38"/>
      <c r="AI35" s="38"/>
      <c r="AJ35" s="38"/>
      <c r="AK35" s="38">
        <v>2245889285</v>
      </c>
      <c r="AL35" s="38">
        <f t="shared" si="3"/>
        <v>2245889285</v>
      </c>
      <c r="AM35" s="38"/>
      <c r="AN35" s="66"/>
      <c r="AO35" s="38"/>
      <c r="AP35" s="54">
        <f t="shared" si="7"/>
        <v>0</v>
      </c>
      <c r="AQ35" s="65">
        <f t="shared" si="6"/>
        <v>0</v>
      </c>
      <c r="AR35" s="30" t="s">
        <v>360</v>
      </c>
      <c r="AS35" s="30"/>
      <c r="AT35" s="32"/>
    </row>
    <row r="36" spans="1:46" ht="192.6" customHeight="1" x14ac:dyDescent="0.25">
      <c r="A36" s="47">
        <v>18</v>
      </c>
      <c r="B36" s="64"/>
      <c r="C36" s="52"/>
      <c r="D36" s="50" t="s">
        <v>93</v>
      </c>
      <c r="E36" s="50" t="s">
        <v>361</v>
      </c>
      <c r="F36" s="50" t="s">
        <v>362</v>
      </c>
      <c r="G36" s="51" t="s">
        <v>59</v>
      </c>
      <c r="H36" s="51" t="s">
        <v>60</v>
      </c>
      <c r="I36" s="51">
        <v>2024</v>
      </c>
      <c r="J36" s="51">
        <v>100</v>
      </c>
      <c r="K36" s="50" t="s">
        <v>59</v>
      </c>
      <c r="L36" s="50" t="s">
        <v>5</v>
      </c>
      <c r="M36" s="52" t="s">
        <v>356</v>
      </c>
      <c r="N36" s="52" t="s">
        <v>84</v>
      </c>
      <c r="O36" s="52"/>
      <c r="P36" s="52" t="s">
        <v>64</v>
      </c>
      <c r="Q36" s="53" t="s">
        <v>361</v>
      </c>
      <c r="R36" s="52" t="s">
        <v>363</v>
      </c>
      <c r="S36" s="45"/>
      <c r="T36" s="34"/>
      <c r="U36" s="35"/>
      <c r="V36" s="68">
        <v>0</v>
      </c>
      <c r="W36" s="36"/>
      <c r="X36" s="36"/>
      <c r="Y36" s="36"/>
      <c r="Z36" s="36"/>
      <c r="AA36" s="36"/>
      <c r="AB36" s="36"/>
      <c r="AC36" s="37" t="s">
        <v>72</v>
      </c>
      <c r="AD36" s="30" t="s">
        <v>359</v>
      </c>
      <c r="AE36" s="38"/>
      <c r="AF36" s="38">
        <v>0</v>
      </c>
      <c r="AG36" s="38">
        <f t="shared" si="5"/>
        <v>0</v>
      </c>
      <c r="AH36" s="38"/>
      <c r="AI36" s="38"/>
      <c r="AJ36" s="38"/>
      <c r="AK36" s="38">
        <v>696150000</v>
      </c>
      <c r="AL36" s="38">
        <f t="shared" si="3"/>
        <v>696150000</v>
      </c>
      <c r="AM36" s="38"/>
      <c r="AN36" s="66"/>
      <c r="AO36" s="38"/>
      <c r="AP36" s="54">
        <f t="shared" si="7"/>
        <v>0</v>
      </c>
      <c r="AQ36" s="65">
        <f t="shared" si="6"/>
        <v>0</v>
      </c>
      <c r="AR36" s="30" t="s">
        <v>364</v>
      </c>
      <c r="AS36" s="43"/>
      <c r="AT36" s="32"/>
    </row>
    <row r="37" spans="1:46" ht="42.75" x14ac:dyDescent="0.25">
      <c r="A37" s="47">
        <v>10</v>
      </c>
      <c r="B37" s="64"/>
      <c r="C37" s="52"/>
      <c r="D37" s="50" t="s">
        <v>93</v>
      </c>
      <c r="E37" s="50" t="s">
        <v>272</v>
      </c>
      <c r="F37" s="50" t="s">
        <v>365</v>
      </c>
      <c r="G37" s="51" t="s">
        <v>59</v>
      </c>
      <c r="H37" s="51" t="s">
        <v>60</v>
      </c>
      <c r="I37" s="51">
        <v>2024</v>
      </c>
      <c r="J37" s="51">
        <v>85</v>
      </c>
      <c r="K37" s="50" t="s">
        <v>59</v>
      </c>
      <c r="L37" s="50" t="s">
        <v>5</v>
      </c>
      <c r="M37" s="52" t="s">
        <v>366</v>
      </c>
      <c r="N37" s="52" t="s">
        <v>71</v>
      </c>
      <c r="O37" s="52"/>
      <c r="P37" s="52" t="s">
        <v>64</v>
      </c>
      <c r="Q37" s="53" t="s">
        <v>367</v>
      </c>
      <c r="R37" s="52" t="s">
        <v>368</v>
      </c>
      <c r="S37" s="46"/>
      <c r="T37" s="30"/>
      <c r="U37" s="35"/>
      <c r="V37" s="68"/>
      <c r="W37" s="36"/>
      <c r="X37" s="36"/>
      <c r="Y37" s="36"/>
      <c r="Z37" s="36"/>
      <c r="AA37" s="36"/>
      <c r="AB37" s="36"/>
      <c r="AC37" s="37" t="s">
        <v>90</v>
      </c>
      <c r="AD37" s="30" t="s">
        <v>267</v>
      </c>
      <c r="AE37" s="38"/>
      <c r="AF37" s="38">
        <v>0</v>
      </c>
      <c r="AG37" s="38">
        <f t="shared" si="5"/>
        <v>0</v>
      </c>
      <c r="AH37" s="38"/>
      <c r="AI37" s="38"/>
      <c r="AJ37" s="38"/>
      <c r="AK37" s="38">
        <v>20000000</v>
      </c>
      <c r="AL37" s="38">
        <f t="shared" si="3"/>
        <v>20000000</v>
      </c>
      <c r="AM37" s="38"/>
      <c r="AN37" s="66"/>
      <c r="AO37" s="38"/>
      <c r="AP37" s="54">
        <f t="shared" si="4"/>
        <v>0</v>
      </c>
      <c r="AQ37" s="65">
        <f t="shared" si="2"/>
        <v>0</v>
      </c>
      <c r="AR37" s="30"/>
      <c r="AS37" s="30"/>
      <c r="AT37" s="32"/>
    </row>
    <row r="38" spans="1:46" ht="71.25" x14ac:dyDescent="0.25">
      <c r="A38" s="47">
        <v>20</v>
      </c>
      <c r="B38" s="64"/>
      <c r="C38" s="52"/>
      <c r="D38" s="50" t="s">
        <v>93</v>
      </c>
      <c r="E38" s="50" t="s">
        <v>369</v>
      </c>
      <c r="F38" s="50" t="s">
        <v>370</v>
      </c>
      <c r="G38" s="51" t="s">
        <v>59</v>
      </c>
      <c r="H38" s="51" t="s">
        <v>60</v>
      </c>
      <c r="I38" s="51">
        <v>2024</v>
      </c>
      <c r="J38" s="51">
        <v>102</v>
      </c>
      <c r="K38" s="50" t="s">
        <v>59</v>
      </c>
      <c r="L38" s="50" t="s">
        <v>5</v>
      </c>
      <c r="M38" s="52" t="s">
        <v>275</v>
      </c>
      <c r="N38" s="52" t="s">
        <v>71</v>
      </c>
      <c r="O38" s="52"/>
      <c r="P38" s="52" t="s">
        <v>64</v>
      </c>
      <c r="Q38" s="53" t="s">
        <v>371</v>
      </c>
      <c r="R38" s="52" t="s">
        <v>372</v>
      </c>
      <c r="S38" s="45"/>
      <c r="T38" s="44"/>
      <c r="U38" s="35"/>
      <c r="V38" s="68">
        <v>0</v>
      </c>
      <c r="W38" s="36"/>
      <c r="X38" s="36"/>
      <c r="Y38" s="36"/>
      <c r="Z38" s="36"/>
      <c r="AA38" s="36"/>
      <c r="AB38" s="36"/>
      <c r="AC38" s="37" t="s">
        <v>72</v>
      </c>
      <c r="AD38" s="30" t="s">
        <v>312</v>
      </c>
      <c r="AE38" s="38"/>
      <c r="AF38" s="38">
        <v>0</v>
      </c>
      <c r="AG38" s="38">
        <f t="shared" si="5"/>
        <v>0</v>
      </c>
      <c r="AH38" s="38"/>
      <c r="AI38" s="38"/>
      <c r="AJ38" s="38"/>
      <c r="AK38" s="38">
        <v>100000000</v>
      </c>
      <c r="AL38" s="38">
        <f t="shared" si="3"/>
        <v>100000000</v>
      </c>
      <c r="AM38" s="38"/>
      <c r="AN38" s="66"/>
      <c r="AO38" s="38"/>
      <c r="AP38" s="54">
        <f t="shared" si="4"/>
        <v>0</v>
      </c>
      <c r="AQ38" s="65">
        <f t="shared" si="2"/>
        <v>0</v>
      </c>
      <c r="AR38" s="30"/>
      <c r="AS38" s="43"/>
      <c r="AT38" s="118" t="s">
        <v>373</v>
      </c>
    </row>
    <row r="39" spans="1:46" ht="99.75" x14ac:dyDescent="0.25">
      <c r="A39" s="47">
        <v>16</v>
      </c>
      <c r="B39" s="64"/>
      <c r="C39" s="52"/>
      <c r="D39" s="50" t="s">
        <v>93</v>
      </c>
      <c r="E39" s="50" t="s">
        <v>369</v>
      </c>
      <c r="F39" s="50" t="s">
        <v>374</v>
      </c>
      <c r="G39" s="51" t="s">
        <v>59</v>
      </c>
      <c r="H39" s="51" t="s">
        <v>60</v>
      </c>
      <c r="I39" s="51">
        <v>2024</v>
      </c>
      <c r="J39" s="51">
        <v>97</v>
      </c>
      <c r="K39" s="50" t="s">
        <v>59</v>
      </c>
      <c r="L39" s="50" t="s">
        <v>5</v>
      </c>
      <c r="M39" s="52" t="s">
        <v>297</v>
      </c>
      <c r="N39" s="52" t="s">
        <v>71</v>
      </c>
      <c r="O39" s="52"/>
      <c r="P39" s="52" t="s">
        <v>64</v>
      </c>
      <c r="Q39" s="53" t="s">
        <v>375</v>
      </c>
      <c r="R39" s="52" t="s">
        <v>376</v>
      </c>
      <c r="S39" s="46"/>
      <c r="T39" s="30"/>
      <c r="U39" s="35"/>
      <c r="V39" s="68">
        <v>0</v>
      </c>
      <c r="W39" s="36"/>
      <c r="X39" s="36"/>
      <c r="Y39" s="36"/>
      <c r="Z39" s="36"/>
      <c r="AA39" s="36"/>
      <c r="AB39" s="36"/>
      <c r="AC39" s="37" t="s">
        <v>72</v>
      </c>
      <c r="AD39" s="30" t="s">
        <v>359</v>
      </c>
      <c r="AE39" s="38"/>
      <c r="AF39" s="38">
        <v>0</v>
      </c>
      <c r="AG39" s="38">
        <f t="shared" si="5"/>
        <v>0</v>
      </c>
      <c r="AH39" s="38"/>
      <c r="AI39" s="38"/>
      <c r="AJ39" s="38"/>
      <c r="AK39" s="38">
        <v>350000000</v>
      </c>
      <c r="AL39" s="38">
        <f t="shared" si="3"/>
        <v>350000000</v>
      </c>
      <c r="AM39" s="38"/>
      <c r="AN39" s="66"/>
      <c r="AO39" s="38"/>
      <c r="AP39" s="54">
        <f t="shared" si="4"/>
        <v>0</v>
      </c>
      <c r="AQ39" s="65">
        <f t="shared" si="2"/>
        <v>0</v>
      </c>
      <c r="AR39" s="30"/>
      <c r="AS39" s="30"/>
      <c r="AT39" s="118" t="s">
        <v>377</v>
      </c>
    </row>
    <row r="40" spans="1:46" ht="42.75" x14ac:dyDescent="0.25">
      <c r="A40" s="47">
        <v>9</v>
      </c>
      <c r="B40" s="64" t="s">
        <v>378</v>
      </c>
      <c r="C40" s="52" t="s">
        <v>379</v>
      </c>
      <c r="D40" s="50" t="s">
        <v>93</v>
      </c>
      <c r="E40" s="50" t="s">
        <v>305</v>
      </c>
      <c r="F40" s="50" t="s">
        <v>380</v>
      </c>
      <c r="G40" s="51" t="s">
        <v>59</v>
      </c>
      <c r="H40" s="51" t="s">
        <v>60</v>
      </c>
      <c r="I40" s="51">
        <v>2024</v>
      </c>
      <c r="J40" s="51">
        <v>84</v>
      </c>
      <c r="K40" s="50" t="s">
        <v>59</v>
      </c>
      <c r="L40" s="50" t="s">
        <v>5</v>
      </c>
      <c r="M40" s="52" t="s">
        <v>110</v>
      </c>
      <c r="N40" s="52" t="s">
        <v>71</v>
      </c>
      <c r="O40" s="52"/>
      <c r="P40" s="52" t="s">
        <v>64</v>
      </c>
      <c r="Q40" s="53"/>
      <c r="R40" s="52" t="s">
        <v>381</v>
      </c>
      <c r="S40" s="57"/>
      <c r="T40" s="30"/>
      <c r="U40" s="35"/>
      <c r="V40" s="68">
        <v>0</v>
      </c>
      <c r="W40" s="36"/>
      <c r="X40" s="36"/>
      <c r="Y40" s="36"/>
      <c r="Z40" s="36"/>
      <c r="AA40" s="36"/>
      <c r="AB40" s="36"/>
      <c r="AC40" s="37" t="s">
        <v>90</v>
      </c>
      <c r="AD40" s="30" t="s">
        <v>267</v>
      </c>
      <c r="AE40" s="38"/>
      <c r="AF40" s="38">
        <v>0</v>
      </c>
      <c r="AG40" s="38">
        <f t="shared" si="5"/>
        <v>0</v>
      </c>
      <c r="AH40" s="38"/>
      <c r="AI40" s="38"/>
      <c r="AJ40" s="38"/>
      <c r="AK40" s="38">
        <v>4500000</v>
      </c>
      <c r="AL40" s="38">
        <f t="shared" si="3"/>
        <v>4500000</v>
      </c>
      <c r="AM40" s="38"/>
      <c r="AN40" s="66"/>
      <c r="AO40" s="38"/>
      <c r="AP40" s="54">
        <f t="shared" si="4"/>
        <v>0</v>
      </c>
      <c r="AQ40" s="65">
        <f t="shared" si="2"/>
        <v>0</v>
      </c>
      <c r="AR40" s="30"/>
      <c r="AS40" s="30"/>
      <c r="AT40" s="32"/>
    </row>
    <row r="41" spans="1:46" ht="57" x14ac:dyDescent="0.25">
      <c r="A41" s="47">
        <v>11</v>
      </c>
      <c r="B41" s="64"/>
      <c r="C41" s="52"/>
      <c r="D41" s="50" t="s">
        <v>93</v>
      </c>
      <c r="E41" s="50" t="s">
        <v>272</v>
      </c>
      <c r="F41" s="50" t="s">
        <v>382</v>
      </c>
      <c r="G41" s="51" t="s">
        <v>59</v>
      </c>
      <c r="H41" s="51" t="s">
        <v>60</v>
      </c>
      <c r="I41" s="51">
        <v>2024</v>
      </c>
      <c r="J41" s="51">
        <v>87</v>
      </c>
      <c r="K41" s="50" t="s">
        <v>59</v>
      </c>
      <c r="L41" s="50" t="s">
        <v>5</v>
      </c>
      <c r="M41" s="52" t="s">
        <v>110</v>
      </c>
      <c r="N41" s="52" t="s">
        <v>71</v>
      </c>
      <c r="O41" s="52"/>
      <c r="P41" s="52" t="s">
        <v>64</v>
      </c>
      <c r="Q41" s="53"/>
      <c r="R41" s="52" t="s">
        <v>383</v>
      </c>
      <c r="S41" s="45"/>
      <c r="T41" s="30"/>
      <c r="U41" s="35"/>
      <c r="V41" s="68">
        <v>0</v>
      </c>
      <c r="W41" s="36"/>
      <c r="X41" s="36"/>
      <c r="Y41" s="36"/>
      <c r="Z41" s="36"/>
      <c r="AA41" s="36"/>
      <c r="AB41" s="36"/>
      <c r="AC41" s="37" t="s">
        <v>90</v>
      </c>
      <c r="AD41" s="30" t="s">
        <v>104</v>
      </c>
      <c r="AE41" s="38"/>
      <c r="AF41" s="38">
        <v>0</v>
      </c>
      <c r="AG41" s="38">
        <f t="shared" si="5"/>
        <v>0</v>
      </c>
      <c r="AH41" s="38"/>
      <c r="AI41" s="38"/>
      <c r="AJ41" s="38"/>
      <c r="AK41" s="38">
        <v>270000000</v>
      </c>
      <c r="AL41" s="38">
        <f t="shared" si="3"/>
        <v>270000000</v>
      </c>
      <c r="AM41" s="38"/>
      <c r="AN41" s="66"/>
      <c r="AO41" s="38"/>
      <c r="AP41" s="54">
        <f t="shared" si="4"/>
        <v>0</v>
      </c>
      <c r="AQ41" s="65">
        <f t="shared" si="2"/>
        <v>0</v>
      </c>
      <c r="AR41" s="30"/>
      <c r="AS41" s="30"/>
      <c r="AT41" s="32"/>
    </row>
    <row r="42" spans="1:46" ht="42.75" x14ac:dyDescent="0.25">
      <c r="A42" s="47">
        <v>12</v>
      </c>
      <c r="B42" s="64">
        <v>81112501</v>
      </c>
      <c r="C42" s="52" t="s">
        <v>379</v>
      </c>
      <c r="D42" s="50" t="s">
        <v>93</v>
      </c>
      <c r="E42" s="50" t="s">
        <v>272</v>
      </c>
      <c r="F42" s="50" t="s">
        <v>384</v>
      </c>
      <c r="G42" s="51" t="s">
        <v>59</v>
      </c>
      <c r="H42" s="51" t="s">
        <v>60</v>
      </c>
      <c r="I42" s="51">
        <v>2024</v>
      </c>
      <c r="J42" s="51">
        <v>88</v>
      </c>
      <c r="K42" s="50" t="s">
        <v>59</v>
      </c>
      <c r="L42" s="50" t="s">
        <v>5</v>
      </c>
      <c r="M42" s="52" t="s">
        <v>385</v>
      </c>
      <c r="N42" s="52" t="s">
        <v>71</v>
      </c>
      <c r="O42" s="52"/>
      <c r="P42" s="52" t="s">
        <v>64</v>
      </c>
      <c r="Q42" s="53"/>
      <c r="R42" s="52" t="s">
        <v>386</v>
      </c>
      <c r="S42" s="45"/>
      <c r="T42" s="34"/>
      <c r="U42" s="35"/>
      <c r="V42" s="68">
        <v>0</v>
      </c>
      <c r="W42" s="36"/>
      <c r="X42" s="36"/>
      <c r="Y42" s="36"/>
      <c r="Z42" s="36"/>
      <c r="AA42" s="36"/>
      <c r="AB42" s="36"/>
      <c r="AC42" s="37" t="s">
        <v>90</v>
      </c>
      <c r="AD42" s="30" t="s">
        <v>267</v>
      </c>
      <c r="AE42" s="38"/>
      <c r="AF42" s="38">
        <v>0</v>
      </c>
      <c r="AG42" s="38">
        <f t="shared" si="5"/>
        <v>0</v>
      </c>
      <c r="AH42" s="38"/>
      <c r="AI42" s="38"/>
      <c r="AJ42" s="38"/>
      <c r="AK42" s="38">
        <v>18000000</v>
      </c>
      <c r="AL42" s="38">
        <f t="shared" si="3"/>
        <v>18000000</v>
      </c>
      <c r="AM42" s="38"/>
      <c r="AN42" s="66"/>
      <c r="AO42" s="38"/>
      <c r="AP42" s="54">
        <f t="shared" si="4"/>
        <v>0</v>
      </c>
      <c r="AQ42" s="65">
        <f t="shared" si="2"/>
        <v>0</v>
      </c>
      <c r="AR42" s="30"/>
      <c r="AS42" s="43"/>
      <c r="AT42" s="32"/>
    </row>
    <row r="43" spans="1:46" ht="99.75" x14ac:dyDescent="0.25">
      <c r="A43" s="47">
        <v>13</v>
      </c>
      <c r="B43" s="64"/>
      <c r="C43" s="52"/>
      <c r="D43" s="50" t="s">
        <v>93</v>
      </c>
      <c r="E43" s="50" t="s">
        <v>119</v>
      </c>
      <c r="F43" s="50" t="s">
        <v>387</v>
      </c>
      <c r="G43" s="51" t="s">
        <v>59</v>
      </c>
      <c r="H43" s="51" t="s">
        <v>60</v>
      </c>
      <c r="I43" s="51">
        <v>2024</v>
      </c>
      <c r="J43" s="51">
        <v>89</v>
      </c>
      <c r="K43" s="50" t="s">
        <v>59</v>
      </c>
      <c r="L43" s="50" t="s">
        <v>5</v>
      </c>
      <c r="M43" s="52" t="s">
        <v>110</v>
      </c>
      <c r="N43" s="52" t="s">
        <v>71</v>
      </c>
      <c r="O43" s="52"/>
      <c r="P43" s="52" t="s">
        <v>112</v>
      </c>
      <c r="Q43" s="53"/>
      <c r="R43" s="52" t="s">
        <v>388</v>
      </c>
      <c r="S43" s="45"/>
      <c r="T43" s="132"/>
      <c r="U43" s="35"/>
      <c r="V43" s="68">
        <v>0</v>
      </c>
      <c r="W43" s="36"/>
      <c r="X43" s="36"/>
      <c r="Y43" s="36"/>
      <c r="Z43" s="36"/>
      <c r="AA43" s="36"/>
      <c r="AB43" s="36"/>
      <c r="AC43" s="37" t="s">
        <v>90</v>
      </c>
      <c r="AD43" s="30" t="s">
        <v>312</v>
      </c>
      <c r="AE43" s="38"/>
      <c r="AF43" s="38">
        <v>0</v>
      </c>
      <c r="AG43" s="38">
        <f t="shared" si="5"/>
        <v>0</v>
      </c>
      <c r="AH43" s="38"/>
      <c r="AI43" s="38"/>
      <c r="AJ43" s="38"/>
      <c r="AK43" s="38">
        <v>15000000</v>
      </c>
      <c r="AL43" s="38">
        <f t="shared" si="3"/>
        <v>15000000</v>
      </c>
      <c r="AM43" s="38"/>
      <c r="AN43" s="66"/>
      <c r="AO43" s="38"/>
      <c r="AP43" s="54">
        <f t="shared" si="4"/>
        <v>0</v>
      </c>
      <c r="AQ43" s="65">
        <f t="shared" si="2"/>
        <v>0</v>
      </c>
      <c r="AR43" s="30"/>
      <c r="AS43" s="30"/>
      <c r="AT43" s="32"/>
    </row>
    <row r="44" spans="1:46" ht="71.25" x14ac:dyDescent="0.25">
      <c r="A44" s="47">
        <v>14</v>
      </c>
      <c r="B44" s="64"/>
      <c r="C44" s="52"/>
      <c r="D44" s="50" t="s">
        <v>389</v>
      </c>
      <c r="E44" s="50" t="s">
        <v>212</v>
      </c>
      <c r="F44" s="50" t="s">
        <v>390</v>
      </c>
      <c r="G44" s="51" t="s">
        <v>59</v>
      </c>
      <c r="H44" s="51" t="s">
        <v>60</v>
      </c>
      <c r="I44" s="51">
        <v>2024</v>
      </c>
      <c r="J44" s="51">
        <v>93</v>
      </c>
      <c r="K44" s="50" t="s">
        <v>59</v>
      </c>
      <c r="L44" s="50" t="s">
        <v>5</v>
      </c>
      <c r="M44" s="52" t="s">
        <v>366</v>
      </c>
      <c r="N44" s="52" t="s">
        <v>71</v>
      </c>
      <c r="O44" s="52"/>
      <c r="P44" s="52" t="s">
        <v>64</v>
      </c>
      <c r="Q44" s="53"/>
      <c r="R44" s="52" t="s">
        <v>391</v>
      </c>
      <c r="S44" s="45"/>
      <c r="T44" s="44"/>
      <c r="U44" s="35"/>
      <c r="V44" s="68">
        <v>0</v>
      </c>
      <c r="W44" s="36"/>
      <c r="X44" s="36"/>
      <c r="Y44" s="36"/>
      <c r="Z44" s="36"/>
      <c r="AA44" s="36"/>
      <c r="AB44" s="36"/>
      <c r="AC44" s="37" t="s">
        <v>90</v>
      </c>
      <c r="AD44" s="30" t="s">
        <v>312</v>
      </c>
      <c r="AE44" s="38"/>
      <c r="AF44" s="38">
        <v>0</v>
      </c>
      <c r="AG44" s="38">
        <f t="shared" si="5"/>
        <v>0</v>
      </c>
      <c r="AH44" s="38"/>
      <c r="AI44" s="38"/>
      <c r="AJ44" s="38"/>
      <c r="AK44" s="38">
        <v>38023681</v>
      </c>
      <c r="AL44" s="38">
        <f t="shared" si="3"/>
        <v>38023681</v>
      </c>
      <c r="AM44" s="38"/>
      <c r="AN44" s="66"/>
      <c r="AO44" s="38"/>
      <c r="AP44" s="54">
        <f t="shared" si="4"/>
        <v>0</v>
      </c>
      <c r="AQ44" s="65">
        <f t="shared" si="2"/>
        <v>0</v>
      </c>
      <c r="AR44" s="30"/>
      <c r="AS44" s="43"/>
      <c r="AT44" s="32"/>
    </row>
    <row r="45" spans="1:46" ht="15" x14ac:dyDescent="0.25">
      <c r="A45" s="47"/>
      <c r="B45" s="61"/>
      <c r="C45" s="32"/>
      <c r="D45" s="29"/>
      <c r="E45" s="29"/>
      <c r="F45" s="29"/>
      <c r="G45" s="41"/>
      <c r="H45" s="41"/>
      <c r="I45" s="41"/>
      <c r="J45" s="41"/>
      <c r="K45" s="29"/>
      <c r="L45" s="29"/>
      <c r="M45" s="32"/>
      <c r="N45" s="32"/>
      <c r="O45" s="32"/>
      <c r="P45" s="32"/>
      <c r="Q45" s="30"/>
      <c r="R45" s="32"/>
      <c r="S45" s="46"/>
      <c r="T45" s="30"/>
      <c r="U45" s="35"/>
      <c r="V45" s="68"/>
      <c r="W45" s="36"/>
      <c r="X45" s="36"/>
      <c r="Y45" s="36"/>
      <c r="Z45" s="36"/>
      <c r="AA45" s="36"/>
      <c r="AB45" s="36"/>
      <c r="AC45" s="37"/>
      <c r="AD45" s="30"/>
      <c r="AE45" s="38"/>
      <c r="AF45" s="38"/>
      <c r="AG45" s="38"/>
      <c r="AH45" s="38"/>
      <c r="AI45" s="38"/>
      <c r="AJ45" s="38"/>
      <c r="AK45" s="38"/>
      <c r="AL45" s="38"/>
      <c r="AM45" s="38"/>
      <c r="AN45" s="66"/>
      <c r="AO45" s="38"/>
      <c r="AP45" s="39"/>
      <c r="AQ45" s="38"/>
      <c r="AR45" s="30"/>
      <c r="AS45" s="43"/>
      <c r="AT45" s="32"/>
    </row>
    <row r="46" spans="1:46" x14ac:dyDescent="0.25">
      <c r="A46" s="47"/>
      <c r="B46" s="61"/>
      <c r="C46" s="32"/>
      <c r="D46" s="29"/>
      <c r="E46" s="29"/>
      <c r="F46" s="29"/>
      <c r="G46" s="41"/>
      <c r="H46" s="41"/>
      <c r="I46" s="41"/>
      <c r="J46" s="41"/>
      <c r="K46" s="29"/>
      <c r="L46" s="29"/>
      <c r="M46" s="32"/>
      <c r="N46" s="32"/>
      <c r="O46" s="32"/>
      <c r="P46" s="32"/>
      <c r="Q46" s="30"/>
      <c r="R46" s="32"/>
      <c r="S46" s="45"/>
      <c r="T46" s="30"/>
      <c r="U46" s="35"/>
      <c r="V46" s="68"/>
      <c r="W46" s="36"/>
      <c r="X46" s="36"/>
      <c r="Y46" s="36"/>
      <c r="Z46" s="36"/>
      <c r="AA46" s="36"/>
      <c r="AB46" s="36"/>
      <c r="AC46" s="37"/>
      <c r="AD46" s="32"/>
      <c r="AE46" s="38"/>
      <c r="AF46" s="38"/>
      <c r="AG46" s="38"/>
      <c r="AH46" s="38"/>
      <c r="AI46" s="38"/>
      <c r="AJ46" s="38"/>
      <c r="AK46" s="38"/>
      <c r="AL46" s="38"/>
      <c r="AM46" s="38"/>
      <c r="AN46" s="66"/>
      <c r="AO46" s="38"/>
      <c r="AP46" s="39"/>
      <c r="AQ46" s="38"/>
      <c r="AR46" s="30"/>
      <c r="AS46" s="30"/>
      <c r="AT46" s="32"/>
    </row>
    <row r="47" spans="1:46" ht="15" x14ac:dyDescent="0.25">
      <c r="A47" s="47"/>
      <c r="B47" s="61"/>
      <c r="C47" s="32"/>
      <c r="D47" s="29"/>
      <c r="E47" s="29"/>
      <c r="F47" s="29"/>
      <c r="G47" s="41"/>
      <c r="H47" s="41"/>
      <c r="I47" s="41"/>
      <c r="J47" s="41"/>
      <c r="K47" s="29"/>
      <c r="L47" s="29"/>
      <c r="M47" s="32"/>
      <c r="N47" s="32"/>
      <c r="O47" s="32"/>
      <c r="P47" s="32"/>
      <c r="Q47" s="30"/>
      <c r="R47" s="32"/>
      <c r="S47" s="45"/>
      <c r="T47" s="30"/>
      <c r="U47" s="35"/>
      <c r="V47" s="68"/>
      <c r="W47" s="36"/>
      <c r="X47" s="36"/>
      <c r="Y47" s="36"/>
      <c r="Z47" s="36"/>
      <c r="AA47" s="36"/>
      <c r="AB47" s="36"/>
      <c r="AC47" s="37"/>
      <c r="AD47" s="30"/>
      <c r="AE47" s="38"/>
      <c r="AF47" s="38"/>
      <c r="AG47" s="38"/>
      <c r="AH47" s="38"/>
      <c r="AI47" s="38"/>
      <c r="AJ47" s="38"/>
      <c r="AK47" s="38"/>
      <c r="AL47" s="38"/>
      <c r="AM47" s="38"/>
      <c r="AN47" s="66"/>
      <c r="AO47" s="38"/>
      <c r="AP47" s="39"/>
      <c r="AQ47" s="38"/>
      <c r="AR47" s="30"/>
      <c r="AS47" s="43"/>
      <c r="AT47" s="32"/>
    </row>
    <row r="48" spans="1:46" x14ac:dyDescent="0.25">
      <c r="A48" s="47"/>
      <c r="B48" s="61"/>
      <c r="C48" s="32"/>
      <c r="D48" s="29"/>
      <c r="E48" s="29"/>
      <c r="F48" s="29"/>
      <c r="G48" s="41"/>
      <c r="H48" s="41"/>
      <c r="I48" s="41"/>
      <c r="J48" s="41"/>
      <c r="K48" s="29"/>
      <c r="L48" s="29"/>
      <c r="M48" s="32"/>
      <c r="N48" s="32"/>
      <c r="O48" s="32"/>
      <c r="P48" s="32"/>
      <c r="Q48" s="30"/>
      <c r="R48" s="32"/>
      <c r="S48" s="45"/>
      <c r="T48" s="44"/>
      <c r="U48" s="35"/>
      <c r="V48" s="68"/>
      <c r="W48" s="36"/>
      <c r="X48" s="36"/>
      <c r="Y48" s="36"/>
      <c r="Z48" s="36"/>
      <c r="AA48" s="36"/>
      <c r="AB48" s="36"/>
      <c r="AC48" s="37"/>
      <c r="AD48" s="30"/>
      <c r="AE48" s="38"/>
      <c r="AF48" s="38"/>
      <c r="AG48" s="38"/>
      <c r="AH48" s="38"/>
      <c r="AI48" s="38"/>
      <c r="AJ48" s="38"/>
      <c r="AK48" s="38"/>
      <c r="AL48" s="38"/>
      <c r="AM48" s="38"/>
      <c r="AN48" s="66"/>
      <c r="AO48" s="38"/>
      <c r="AP48" s="39"/>
      <c r="AQ48" s="38"/>
      <c r="AR48" s="30"/>
      <c r="AS48" s="30"/>
      <c r="AT48" s="32"/>
    </row>
    <row r="49" spans="1:46" ht="15" x14ac:dyDescent="0.25">
      <c r="A49" s="47"/>
      <c r="B49" s="61"/>
      <c r="C49" s="32"/>
      <c r="D49" s="29"/>
      <c r="E49" s="29"/>
      <c r="F49" s="29"/>
      <c r="G49" s="41"/>
      <c r="H49" s="41"/>
      <c r="I49" s="41"/>
      <c r="J49" s="41"/>
      <c r="K49" s="29"/>
      <c r="L49" s="29"/>
      <c r="M49" s="32"/>
      <c r="N49" s="32"/>
      <c r="O49" s="32"/>
      <c r="P49" s="32"/>
      <c r="Q49" s="30"/>
      <c r="R49" s="32"/>
      <c r="S49" s="45"/>
      <c r="T49" s="44"/>
      <c r="U49" s="35"/>
      <c r="V49" s="68"/>
      <c r="W49" s="36"/>
      <c r="X49" s="36"/>
      <c r="Y49" s="36"/>
      <c r="Z49" s="36"/>
      <c r="AA49" s="36"/>
      <c r="AB49" s="36"/>
      <c r="AC49" s="37"/>
      <c r="AD49" s="30"/>
      <c r="AE49" s="38"/>
      <c r="AF49" s="38"/>
      <c r="AG49" s="38"/>
      <c r="AH49" s="38"/>
      <c r="AI49" s="38"/>
      <c r="AJ49" s="38"/>
      <c r="AK49" s="38"/>
      <c r="AL49" s="38"/>
      <c r="AM49" s="38"/>
      <c r="AN49" s="66"/>
      <c r="AO49" s="38"/>
      <c r="AP49" s="39"/>
      <c r="AQ49" s="38"/>
      <c r="AR49" s="30"/>
      <c r="AS49" s="43"/>
      <c r="AT49" s="32"/>
    </row>
    <row r="50" spans="1:46" x14ac:dyDescent="0.25">
      <c r="A50" s="47"/>
      <c r="B50" s="61"/>
      <c r="C50" s="32"/>
      <c r="D50" s="29"/>
      <c r="E50" s="29"/>
      <c r="F50" s="29"/>
      <c r="G50" s="41"/>
      <c r="H50" s="41"/>
      <c r="I50" s="41"/>
      <c r="J50" s="41"/>
      <c r="K50" s="29"/>
      <c r="L50" s="29"/>
      <c r="M50" s="32"/>
      <c r="N50" s="32"/>
      <c r="O50" s="32"/>
      <c r="P50" s="32"/>
      <c r="Q50" s="30"/>
      <c r="R50" s="32"/>
      <c r="S50" s="57"/>
      <c r="T50" s="34"/>
      <c r="U50" s="35"/>
      <c r="V50" s="68"/>
      <c r="W50" s="36"/>
      <c r="X50" s="36"/>
      <c r="Y50" s="36"/>
      <c r="Z50" s="36"/>
      <c r="AA50" s="36"/>
      <c r="AB50" s="36"/>
      <c r="AC50" s="37"/>
      <c r="AD50" s="30"/>
      <c r="AE50" s="38"/>
      <c r="AF50" s="38"/>
      <c r="AG50" s="38"/>
      <c r="AH50" s="38"/>
      <c r="AI50" s="38"/>
      <c r="AJ50" s="38"/>
      <c r="AK50" s="38"/>
      <c r="AL50" s="38"/>
      <c r="AM50" s="38"/>
      <c r="AN50" s="66"/>
      <c r="AO50" s="38"/>
      <c r="AP50" s="39"/>
      <c r="AQ50" s="38"/>
      <c r="AR50" s="30"/>
      <c r="AS50" s="30"/>
      <c r="AT50" s="32"/>
    </row>
    <row r="51" spans="1:46" x14ac:dyDescent="0.25">
      <c r="AN51" s="67"/>
    </row>
  </sheetData>
  <autoFilter ref="A1:AT44" xr:uid="{16BEAF75-BC87-4016-80ED-79EE1CB58469}">
    <filterColumn colId="22">
      <filters blank="1">
        <dateGroupItem year="2024" month="1" dateTimeGrouping="month"/>
        <dateGroupItem year="2024" month="2" dateTimeGrouping="month"/>
        <dateGroupItem year="2024" month="3" dateTimeGrouping="month"/>
      </filters>
    </filterColumn>
  </autoFilter>
  <hyperlinks>
    <hyperlink ref="AS19" r:id="rId1" xr:uid="{34569E04-F507-4D80-B129-ED562224C1A1}"/>
    <hyperlink ref="AS7" r:id="rId2" xr:uid="{2A38D27B-18E0-4FC6-920A-F5710BC6B7FB}"/>
    <hyperlink ref="AS20" r:id="rId3" display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xr:uid="{0B61C54D-DA28-4D4D-8C51-83AC756A1F63}"/>
    <hyperlink ref="AS6" r:id="rId4" xr:uid="{A9CC4696-D7A1-4198-A4A0-DC920BA2CB4A}"/>
    <hyperlink ref="AS8" r:id="rId5" display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xr:uid="{8966F0B4-3259-4559-935E-2C25F2596DB0}"/>
    <hyperlink ref="AS22" r:id="rId6" display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xr:uid="{23124572-3825-4EC7-9147-E699EDF51A6E}"/>
    <hyperlink ref="AS10" r:id="rId7" display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xr:uid="{909038C8-4203-4E71-94F4-297791D90D46}"/>
    <hyperlink ref="AS9" r:id="rId8" display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xr:uid="{81DBFC25-AA98-4E5B-BAE5-360547BA556B}"/>
    <hyperlink ref="AS4" r:id="rId9" display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xr:uid="{CC28C7E2-FED9-423D-95E5-5FCD51E4424C}"/>
    <hyperlink ref="AS11" r:id="rId10" display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xr:uid="{D835CDA5-E911-4DA4-85F1-E3721E5DD6AD}"/>
    <hyperlink ref="AS12" r:id="rId11" display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xr:uid="{D3AA9E68-2FA4-4E34-AC33-560FE2406EF6}"/>
    <hyperlink ref="AS13" r:id="rId12" display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xr:uid="{C2F6037B-0480-4D83-802A-70932C476544}"/>
    <hyperlink ref="AS14" r:id="rId13" display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xr:uid="{65C42B46-F982-4224-A51E-761F39919B50}"/>
    <hyperlink ref="AS15" r:id="rId14" display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xr:uid="{E544FF17-ACA9-48A5-844D-AB9D4AB84568}"/>
    <hyperlink ref="AS16" r:id="rId15" display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xr:uid="{34F2718D-4000-430D-AF49-748D81853EBD}"/>
    <hyperlink ref="AS23" r:id="rId16" display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 xr:uid="{DBD8EEDD-F85F-4C4C-A9FC-284B144AB03E}"/>
    <hyperlink ref="AS2" r:id="rId17" display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xr:uid="{5D6C78E3-D8AB-460E-830E-6C2FB95FA45E}"/>
    <hyperlink ref="AS5" r:id="rId18" xr:uid="{BFE38BB8-FAAF-4994-ACE3-71405B26D287}"/>
    <hyperlink ref="AS17" r:id="rId19" display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xr:uid="{E444D719-F9E6-4448-9B2D-DB3A6892A191}"/>
    <hyperlink ref="AS3" r:id="rId20" display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xr:uid="{29035C12-7014-4975-AC23-1CC73A9344A8}"/>
    <hyperlink ref="AS24" r:id="rId21" display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xr:uid="{3F95E83C-5A43-4B73-BE2F-789D2F48AF73}"/>
    <hyperlink ref="AS25" r:id="rId22" xr:uid="{A571B2C1-40E8-4F35-A233-7EF94EE68BEB}"/>
    <hyperlink ref="AS26" r:id="rId23" display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xr:uid="{78BB73A0-5E1D-44DA-9C68-9C48AC250BFC}"/>
    <hyperlink ref="AS27" r:id="rId24" display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xr:uid="{0F7C0B6D-BBE6-4D59-87BF-B604276902A1}"/>
    <hyperlink ref="AS21" r:id="rId25" xr:uid="{FE97296F-E2CC-44B3-82C0-B4C8FA656015}"/>
    <hyperlink ref="AS28" r:id="rId26" xr:uid="{D040B169-41C4-4A18-8854-BE0A2D5E9821}"/>
    <hyperlink ref="AS29" r:id="rId27" xr:uid="{7523AEF2-5655-4FB0-935D-94FCB9A995DA}"/>
    <hyperlink ref="AS30" r:id="rId28" display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xr:uid="{F3F9F434-A37D-4392-8D54-0E67493EA016}"/>
    <hyperlink ref="AS31" r:id="rId29" display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xr:uid="{13D424F7-6CE7-4DF8-B07E-F5A7885FEE21}"/>
    <hyperlink ref="AS32" r:id="rId30" display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xr:uid="{F8F27A2A-2A5E-4601-BB9E-5E8CAC8017CF}"/>
  </hyperlinks>
  <pageMargins left="0.23622047244094491" right="0.23622047244094491" top="0.74803149606299213" bottom="0.74803149606299213" header="0.31496062992125984" footer="0.31496062992125984"/>
  <pageSetup orientation="landscape" horizontalDpi="1200" verticalDpi="1200" r:id="rId31"/>
  <legacy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8E27-0FD3-4295-9E8F-7C1EB6B8286A}">
  <sheetPr filterMode="1">
    <pageSetUpPr autoPageBreaks="0"/>
  </sheetPr>
  <dimension ref="A1:AW70"/>
  <sheetViews>
    <sheetView zoomScale="70" zoomScaleNormal="70" zoomScaleSheetLayoutView="100" workbookViewId="0">
      <pane xSplit="1" ySplit="7" topLeftCell="S14" activePane="bottomRight" state="frozen"/>
      <selection pane="topRight" activeCell="B1" sqref="B1"/>
      <selection pane="bottomLeft" activeCell="A8" sqref="A8"/>
      <selection pane="bottomRight" activeCell="W33" sqref="W33"/>
    </sheetView>
  </sheetViews>
  <sheetFormatPr baseColWidth="10" defaultColWidth="11.7109375" defaultRowHeight="14.25" x14ac:dyDescent="0.25"/>
  <cols>
    <col min="1" max="2" width="11.7109375" style="27"/>
    <col min="3" max="3" width="11.7109375" style="62"/>
    <col min="4" max="4" width="16.28515625" style="27" customWidth="1"/>
    <col min="5" max="5" width="21" style="27" customWidth="1"/>
    <col min="6" max="7" width="11.7109375" style="27" customWidth="1"/>
    <col min="8" max="13" width="11.7109375" style="42" customWidth="1"/>
    <col min="14" max="14" width="11.7109375" style="27" customWidth="1"/>
    <col min="15" max="15" width="25.28515625" style="27" customWidth="1"/>
    <col min="16" max="17" width="27.42578125" style="27" customWidth="1"/>
    <col min="18" max="18" width="11.7109375" style="27" customWidth="1"/>
    <col min="19" max="19" width="23.7109375" style="27" customWidth="1"/>
    <col min="20" max="20" width="51.7109375" style="27" customWidth="1"/>
    <col min="21" max="21" width="11.7109375" style="33" customWidth="1"/>
    <col min="22" max="23" width="11.7109375" style="27" customWidth="1"/>
    <col min="24" max="24" width="12.42578125" style="27" bestFit="1" customWidth="1"/>
    <col min="25" max="27" width="12.42578125" style="27" customWidth="1"/>
    <col min="28" max="28" width="11.7109375" style="27" customWidth="1"/>
    <col min="29" max="32" width="11.7109375" style="27" hidden="1" customWidth="1"/>
    <col min="33" max="33" width="19.7109375" style="27" customWidth="1"/>
    <col min="34" max="34" width="17.42578125" style="27" customWidth="1"/>
    <col min="35" max="35" width="19.7109375" style="27" customWidth="1"/>
    <col min="36" max="37" width="18" style="27" hidden="1" customWidth="1"/>
    <col min="38" max="38" width="20" style="27" hidden="1" customWidth="1"/>
    <col min="39" max="40" width="19.7109375" style="27" hidden="1" customWidth="1"/>
    <col min="41" max="41" width="18.7109375" style="27" customWidth="1"/>
    <col min="42" max="42" width="11.7109375" style="27" customWidth="1"/>
    <col min="43" max="43" width="22.85546875" style="27" customWidth="1"/>
    <col min="44" max="44" width="16.7109375" style="27" customWidth="1"/>
    <col min="45" max="45" width="11.7109375" style="27" customWidth="1"/>
    <col min="46" max="46" width="18" style="27" customWidth="1"/>
    <col min="47" max="47" width="25.85546875" style="27" customWidth="1"/>
    <col min="48" max="48" width="82.7109375" style="27" customWidth="1"/>
    <col min="49" max="49" width="71.5703125" style="27" customWidth="1"/>
    <col min="50" max="16384" width="11.7109375" style="27"/>
  </cols>
  <sheetData>
    <row r="1" spans="1:49" x14ac:dyDescent="0.25">
      <c r="V1" s="27">
        <v>44</v>
      </c>
    </row>
    <row r="2" spans="1:49" ht="15" x14ac:dyDescent="0.25">
      <c r="S2" s="28" t="s">
        <v>636</v>
      </c>
      <c r="T2" s="28" t="s">
        <v>620</v>
      </c>
    </row>
    <row r="3" spans="1:49" x14ac:dyDescent="0.25">
      <c r="S3" s="30"/>
      <c r="T3" s="30" t="s">
        <v>637</v>
      </c>
    </row>
    <row r="4" spans="1:49" x14ac:dyDescent="0.25">
      <c r="S4" s="151"/>
      <c r="T4" s="30" t="s">
        <v>638</v>
      </c>
    </row>
    <row r="5" spans="1:49" x14ac:dyDescent="0.25">
      <c r="S5" s="64"/>
      <c r="T5" s="30" t="s">
        <v>639</v>
      </c>
    </row>
    <row r="7" spans="1:49" ht="105" x14ac:dyDescent="0.25">
      <c r="A7" s="28" t="s">
        <v>615</v>
      </c>
      <c r="B7" s="28" t="s">
        <v>10</v>
      </c>
      <c r="C7" s="60" t="s">
        <v>11</v>
      </c>
      <c r="D7" s="28" t="s">
        <v>12</v>
      </c>
      <c r="E7" s="28" t="s">
        <v>13</v>
      </c>
      <c r="F7" s="28" t="s">
        <v>14</v>
      </c>
      <c r="G7" s="28" t="s">
        <v>15</v>
      </c>
      <c r="H7" s="40" t="s">
        <v>16</v>
      </c>
      <c r="I7" s="40" t="s">
        <v>17</v>
      </c>
      <c r="J7" s="40" t="s">
        <v>18</v>
      </c>
      <c r="K7" s="40" t="s">
        <v>19</v>
      </c>
      <c r="L7" s="40" t="s">
        <v>20</v>
      </c>
      <c r="M7" s="40" t="s">
        <v>21</v>
      </c>
      <c r="N7" s="28" t="s">
        <v>22</v>
      </c>
      <c r="O7" s="28" t="s">
        <v>23</v>
      </c>
      <c r="P7" s="28" t="s">
        <v>24</v>
      </c>
      <c r="Q7" s="28" t="s">
        <v>692</v>
      </c>
      <c r="R7" s="28" t="s">
        <v>25</v>
      </c>
      <c r="S7" s="28" t="s">
        <v>26</v>
      </c>
      <c r="T7" s="28" t="s">
        <v>27</v>
      </c>
      <c r="U7" s="40" t="s">
        <v>28</v>
      </c>
      <c r="V7" s="28" t="s">
        <v>29</v>
      </c>
      <c r="W7" s="28" t="s">
        <v>30</v>
      </c>
      <c r="X7" s="28" t="s">
        <v>32</v>
      </c>
      <c r="Y7" s="28" t="s">
        <v>33</v>
      </c>
      <c r="Z7" s="28" t="s">
        <v>34</v>
      </c>
      <c r="AA7" s="28" t="s">
        <v>35</v>
      </c>
      <c r="AB7" s="28" t="s">
        <v>36</v>
      </c>
      <c r="AC7" s="28" t="s">
        <v>37</v>
      </c>
      <c r="AD7" s="28" t="s">
        <v>38</v>
      </c>
      <c r="AE7" s="28" t="s">
        <v>616</v>
      </c>
      <c r="AF7" s="28" t="s">
        <v>39</v>
      </c>
      <c r="AG7" s="28" t="s">
        <v>40</v>
      </c>
      <c r="AH7" s="28" t="s">
        <v>41</v>
      </c>
      <c r="AI7" s="28" t="s">
        <v>42</v>
      </c>
      <c r="AJ7" s="28" t="s">
        <v>43</v>
      </c>
      <c r="AK7" s="28" t="s">
        <v>44</v>
      </c>
      <c r="AL7" s="28" t="s">
        <v>45</v>
      </c>
      <c r="AM7" s="28" t="s">
        <v>46</v>
      </c>
      <c r="AN7" s="28" t="s">
        <v>47</v>
      </c>
      <c r="AO7" s="28" t="s">
        <v>48</v>
      </c>
      <c r="AP7" s="28" t="s">
        <v>710</v>
      </c>
      <c r="AQ7" s="28" t="s">
        <v>711</v>
      </c>
      <c r="AR7" s="28" t="s">
        <v>50</v>
      </c>
      <c r="AS7" s="28" t="s">
        <v>51</v>
      </c>
      <c r="AT7" s="28" t="s">
        <v>52</v>
      </c>
      <c r="AU7" s="28" t="s">
        <v>53</v>
      </c>
      <c r="AV7" s="28" t="s">
        <v>54</v>
      </c>
      <c r="AW7" s="28" t="s">
        <v>55</v>
      </c>
    </row>
    <row r="8" spans="1:49" ht="69.599999999999994" hidden="1" customHeight="1" x14ac:dyDescent="0.25">
      <c r="A8" s="47">
        <v>1</v>
      </c>
      <c r="B8" s="47">
        <v>1</v>
      </c>
      <c r="C8" s="63">
        <v>80111614</v>
      </c>
      <c r="D8" s="3" t="s">
        <v>283</v>
      </c>
      <c r="E8" s="29" t="s">
        <v>56</v>
      </c>
      <c r="F8" s="29" t="s">
        <v>57</v>
      </c>
      <c r="G8" s="29" t="s">
        <v>58</v>
      </c>
      <c r="H8" s="41" t="s">
        <v>59</v>
      </c>
      <c r="I8" s="41" t="s">
        <v>60</v>
      </c>
      <c r="J8" s="41">
        <v>2024</v>
      </c>
      <c r="K8" s="41">
        <v>46</v>
      </c>
      <c r="L8" s="29" t="s">
        <v>59</v>
      </c>
      <c r="M8" s="29" t="s">
        <v>3</v>
      </c>
      <c r="N8" s="32" t="s">
        <v>61</v>
      </c>
      <c r="O8" s="32" t="s">
        <v>62</v>
      </c>
      <c r="P8" s="32" t="s">
        <v>63</v>
      </c>
      <c r="Q8" s="32"/>
      <c r="R8" s="32" t="s">
        <v>64</v>
      </c>
      <c r="S8" s="31" t="s">
        <v>65</v>
      </c>
      <c r="T8" s="32" t="s">
        <v>66</v>
      </c>
      <c r="U8" s="45" t="s">
        <v>67</v>
      </c>
      <c r="V8" s="30" t="s">
        <v>68</v>
      </c>
      <c r="W8" s="35" t="s">
        <v>69</v>
      </c>
      <c r="X8" s="36">
        <v>45329</v>
      </c>
      <c r="Y8" s="36">
        <v>45331</v>
      </c>
      <c r="Z8" s="36" t="s">
        <v>70</v>
      </c>
      <c r="AA8" s="36">
        <v>45504</v>
      </c>
      <c r="AB8" s="36" t="s">
        <v>70</v>
      </c>
      <c r="AC8" s="36" t="s">
        <v>71</v>
      </c>
      <c r="AD8" s="37" t="s">
        <v>72</v>
      </c>
      <c r="AE8" s="32" t="s">
        <v>73</v>
      </c>
      <c r="AF8" s="32" t="s">
        <v>73</v>
      </c>
      <c r="AG8" s="38">
        <v>47500000</v>
      </c>
      <c r="AH8" s="38">
        <v>0</v>
      </c>
      <c r="AI8" s="38">
        <f t="shared" ref="AI8:AI14" si="0">AG8+AH8</f>
        <v>47500000</v>
      </c>
      <c r="AJ8" s="38">
        <v>0</v>
      </c>
      <c r="AK8" s="66">
        <v>47500000</v>
      </c>
      <c r="AL8" s="38">
        <v>0</v>
      </c>
      <c r="AM8" s="38">
        <v>47500000</v>
      </c>
      <c r="AN8" s="38">
        <f t="shared" ref="AN8:AN48" si="1">IF(L8="Si",(AM8-AG8),0)</f>
        <v>0</v>
      </c>
      <c r="AO8" s="38"/>
      <c r="AP8" s="192">
        <v>3</v>
      </c>
      <c r="AQ8" s="66">
        <f>AR8*3</f>
        <v>35625000</v>
      </c>
      <c r="AR8" s="38">
        <v>11875000</v>
      </c>
      <c r="AS8" s="54">
        <f>IF(AK8=0,0,ROUND(AQ8/AK8,2))</f>
        <v>0.75</v>
      </c>
      <c r="AT8" s="65">
        <f t="shared" ref="AT8:AT50" si="2">AK8-AQ8</f>
        <v>11875000</v>
      </c>
      <c r="AU8" s="30" t="s">
        <v>74</v>
      </c>
      <c r="AV8" s="43" t="s">
        <v>75</v>
      </c>
      <c r="AW8" s="118" t="s">
        <v>708</v>
      </c>
    </row>
    <row r="9" spans="1:49" ht="30" hidden="1" customHeight="1" x14ac:dyDescent="0.25">
      <c r="A9" s="47">
        <v>2</v>
      </c>
      <c r="B9" s="47">
        <v>2</v>
      </c>
      <c r="C9" s="63"/>
      <c r="D9" s="32"/>
      <c r="E9" s="29" t="s">
        <v>56</v>
      </c>
      <c r="F9" s="29" t="s">
        <v>57</v>
      </c>
      <c r="G9" s="29" t="s">
        <v>58</v>
      </c>
      <c r="H9" s="41" t="s">
        <v>59</v>
      </c>
      <c r="I9" s="41" t="s">
        <v>60</v>
      </c>
      <c r="J9" s="41">
        <v>2024</v>
      </c>
      <c r="K9" s="41">
        <v>41</v>
      </c>
      <c r="L9" s="29" t="s">
        <v>59</v>
      </c>
      <c r="M9" s="29" t="s">
        <v>3</v>
      </c>
      <c r="N9" s="32" t="s">
        <v>61</v>
      </c>
      <c r="O9" s="32" t="s">
        <v>62</v>
      </c>
      <c r="P9" s="32" t="s">
        <v>63</v>
      </c>
      <c r="Q9" s="32"/>
      <c r="R9" s="32" t="s">
        <v>64</v>
      </c>
      <c r="S9" s="31" t="s">
        <v>76</v>
      </c>
      <c r="T9" s="32" t="s">
        <v>66</v>
      </c>
      <c r="U9" s="46" t="s">
        <v>77</v>
      </c>
      <c r="V9" s="30" t="s">
        <v>78</v>
      </c>
      <c r="W9" s="35" t="s">
        <v>69</v>
      </c>
      <c r="X9" s="36">
        <v>45329</v>
      </c>
      <c r="Y9" s="36">
        <v>45331</v>
      </c>
      <c r="Z9" s="36" t="s">
        <v>70</v>
      </c>
      <c r="AA9" s="36">
        <v>45519</v>
      </c>
      <c r="AB9" s="36" t="s">
        <v>70</v>
      </c>
      <c r="AC9" s="36" t="s">
        <v>71</v>
      </c>
      <c r="AD9" s="37" t="s">
        <v>72</v>
      </c>
      <c r="AE9" s="32" t="s">
        <v>73</v>
      </c>
      <c r="AF9" s="32" t="s">
        <v>73</v>
      </c>
      <c r="AG9" s="38">
        <v>47500000</v>
      </c>
      <c r="AH9" s="38">
        <v>3450000</v>
      </c>
      <c r="AI9" s="38">
        <f t="shared" si="0"/>
        <v>50950000</v>
      </c>
      <c r="AJ9" s="38">
        <v>0</v>
      </c>
      <c r="AK9" s="66">
        <v>47500000</v>
      </c>
      <c r="AL9" s="38">
        <v>0</v>
      </c>
      <c r="AM9" s="38">
        <v>47500000</v>
      </c>
      <c r="AN9" s="38">
        <f t="shared" si="1"/>
        <v>0</v>
      </c>
      <c r="AO9" s="38"/>
      <c r="AP9" s="192">
        <v>2</v>
      </c>
      <c r="AQ9" s="66">
        <f>AR9*2</f>
        <v>23750000</v>
      </c>
      <c r="AR9" s="38">
        <v>11875000</v>
      </c>
      <c r="AS9" s="54">
        <f>IF(AK9=0,0,ROUND(AQ9/AK9,2))</f>
        <v>0.5</v>
      </c>
      <c r="AT9" s="65">
        <f t="shared" si="2"/>
        <v>23750000</v>
      </c>
      <c r="AU9" s="30" t="s">
        <v>79</v>
      </c>
      <c r="AV9" s="43" t="s">
        <v>80</v>
      </c>
      <c r="AW9" s="118" t="s">
        <v>709</v>
      </c>
    </row>
    <row r="10" spans="1:49" ht="30" hidden="1" customHeight="1" x14ac:dyDescent="0.25">
      <c r="A10" s="47">
        <v>3</v>
      </c>
      <c r="B10" s="47">
        <v>3</v>
      </c>
      <c r="C10" s="63">
        <v>80111614</v>
      </c>
      <c r="D10" s="32" t="s">
        <v>81</v>
      </c>
      <c r="E10" s="29" t="s">
        <v>56</v>
      </c>
      <c r="F10" s="29" t="s">
        <v>82</v>
      </c>
      <c r="G10" s="29" t="s">
        <v>83</v>
      </c>
      <c r="H10" s="41" t="s">
        <v>59</v>
      </c>
      <c r="I10" s="41" t="s">
        <v>60</v>
      </c>
      <c r="J10" s="41">
        <v>2024</v>
      </c>
      <c r="K10" s="41">
        <v>112</v>
      </c>
      <c r="L10" s="29" t="s">
        <v>59</v>
      </c>
      <c r="M10" s="29" t="s">
        <v>3</v>
      </c>
      <c r="N10" s="32" t="s">
        <v>61</v>
      </c>
      <c r="O10" s="32" t="s">
        <v>762</v>
      </c>
      <c r="P10" s="32" t="s">
        <v>85</v>
      </c>
      <c r="Q10" s="32"/>
      <c r="R10" s="32" t="s">
        <v>64</v>
      </c>
      <c r="S10" s="30" t="s">
        <v>86</v>
      </c>
      <c r="T10" s="32" t="s">
        <v>87</v>
      </c>
      <c r="U10" s="45" t="s">
        <v>88</v>
      </c>
      <c r="V10" s="48" t="s">
        <v>89</v>
      </c>
      <c r="W10" s="35" t="s">
        <v>69</v>
      </c>
      <c r="X10" s="36">
        <v>45315</v>
      </c>
      <c r="Y10" s="36">
        <v>45315</v>
      </c>
      <c r="Z10" s="36">
        <v>45316</v>
      </c>
      <c r="AA10" s="36">
        <v>45646</v>
      </c>
      <c r="AB10" s="36" t="s">
        <v>70</v>
      </c>
      <c r="AC10" s="36" t="s">
        <v>71</v>
      </c>
      <c r="AD10" s="37" t="s">
        <v>90</v>
      </c>
      <c r="AE10" s="32" t="s">
        <v>73</v>
      </c>
      <c r="AF10" s="32" t="s">
        <v>73</v>
      </c>
      <c r="AG10" s="38">
        <v>93500000</v>
      </c>
      <c r="AH10" s="38">
        <v>0</v>
      </c>
      <c r="AI10" s="38">
        <f t="shared" si="0"/>
        <v>93500000</v>
      </c>
      <c r="AJ10" s="38">
        <v>0</v>
      </c>
      <c r="AK10" s="66">
        <v>93500000</v>
      </c>
      <c r="AL10" s="38">
        <v>0</v>
      </c>
      <c r="AM10" s="38">
        <v>93500000</v>
      </c>
      <c r="AN10" s="38">
        <f t="shared" si="1"/>
        <v>0</v>
      </c>
      <c r="AO10" s="38"/>
      <c r="AP10" s="192">
        <v>5</v>
      </c>
      <c r="AQ10" s="66">
        <f>AR10*5</f>
        <v>46750000</v>
      </c>
      <c r="AR10" s="38">
        <v>9350000</v>
      </c>
      <c r="AS10" s="54">
        <f>IF(AK10=0,0,ROUND(AQ10/AK10,2))</f>
        <v>0.5</v>
      </c>
      <c r="AT10" s="65">
        <f t="shared" si="2"/>
        <v>46750000</v>
      </c>
      <c r="AU10" s="30" t="s">
        <v>91</v>
      </c>
      <c r="AV10" s="43" t="s">
        <v>92</v>
      </c>
      <c r="AW10" s="32"/>
    </row>
    <row r="11" spans="1:49" ht="99.75" hidden="1" x14ac:dyDescent="0.25">
      <c r="A11" s="47">
        <v>4</v>
      </c>
      <c r="B11" s="47">
        <v>4</v>
      </c>
      <c r="C11" s="63"/>
      <c r="D11" s="32"/>
      <c r="E11" s="29" t="s">
        <v>647</v>
      </c>
      <c r="F11" s="29" t="s">
        <v>94</v>
      </c>
      <c r="G11" s="29" t="s">
        <v>95</v>
      </c>
      <c r="H11" s="47" t="s">
        <v>59</v>
      </c>
      <c r="I11" s="41" t="s">
        <v>60</v>
      </c>
      <c r="J11" s="41">
        <v>2024</v>
      </c>
      <c r="K11" s="41">
        <v>94</v>
      </c>
      <c r="L11" s="29" t="s">
        <v>59</v>
      </c>
      <c r="M11" s="29" t="s">
        <v>3</v>
      </c>
      <c r="N11" s="32" t="s">
        <v>61</v>
      </c>
      <c r="O11" s="32" t="s">
        <v>96</v>
      </c>
      <c r="P11" s="32" t="s">
        <v>97</v>
      </c>
      <c r="Q11" s="32"/>
      <c r="R11" s="32" t="s">
        <v>64</v>
      </c>
      <c r="S11" s="30" t="s">
        <v>98</v>
      </c>
      <c r="T11" s="32" t="s">
        <v>99</v>
      </c>
      <c r="U11" s="57" t="s">
        <v>100</v>
      </c>
      <c r="V11" s="48" t="s">
        <v>101</v>
      </c>
      <c r="W11" s="35" t="s">
        <v>69</v>
      </c>
      <c r="X11" s="36">
        <v>45331</v>
      </c>
      <c r="Y11" s="36">
        <v>45331</v>
      </c>
      <c r="Z11" s="36">
        <v>45331</v>
      </c>
      <c r="AA11" s="36">
        <v>45359</v>
      </c>
      <c r="AB11" s="58" t="s">
        <v>102</v>
      </c>
      <c r="AC11" s="58" t="s">
        <v>103</v>
      </c>
      <c r="AD11" s="37" t="s">
        <v>90</v>
      </c>
      <c r="AE11" s="32" t="s">
        <v>104</v>
      </c>
      <c r="AF11" s="32" t="s">
        <v>104</v>
      </c>
      <c r="AG11" s="38">
        <v>194118482.31999999</v>
      </c>
      <c r="AH11" s="38">
        <v>0</v>
      </c>
      <c r="AI11" s="38">
        <f t="shared" si="0"/>
        <v>194118482.31999999</v>
      </c>
      <c r="AJ11" s="38">
        <v>0</v>
      </c>
      <c r="AK11" s="66">
        <v>194118482.31999999</v>
      </c>
      <c r="AL11" s="38">
        <v>0</v>
      </c>
      <c r="AM11" s="38">
        <v>250000000</v>
      </c>
      <c r="AN11" s="38">
        <f t="shared" si="1"/>
        <v>55881517.680000007</v>
      </c>
      <c r="AO11" s="38"/>
      <c r="AP11" s="192">
        <v>1</v>
      </c>
      <c r="AQ11" s="66">
        <v>194118482.31999999</v>
      </c>
      <c r="AR11" s="38" t="s">
        <v>69</v>
      </c>
      <c r="AS11" s="54">
        <f>IF(AK11=0,0,ROUND(AQ11/AK11,2))</f>
        <v>1</v>
      </c>
      <c r="AT11" s="65">
        <f t="shared" si="2"/>
        <v>0</v>
      </c>
      <c r="AU11" s="30" t="s">
        <v>105</v>
      </c>
      <c r="AV11" s="43" t="s">
        <v>106</v>
      </c>
      <c r="AW11" s="32"/>
    </row>
    <row r="12" spans="1:49" ht="118.15" hidden="1" customHeight="1" x14ac:dyDescent="0.25">
      <c r="A12" s="47">
        <v>5</v>
      </c>
      <c r="B12" s="47">
        <v>5</v>
      </c>
      <c r="C12" s="63"/>
      <c r="D12" s="32"/>
      <c r="E12" s="29" t="s">
        <v>93</v>
      </c>
      <c r="F12" s="29" t="s">
        <v>107</v>
      </c>
      <c r="G12" s="29" t="s">
        <v>108</v>
      </c>
      <c r="H12" s="41" t="s">
        <v>59</v>
      </c>
      <c r="I12" s="41" t="s">
        <v>60</v>
      </c>
      <c r="J12" s="41">
        <v>2023</v>
      </c>
      <c r="K12" s="41">
        <v>100</v>
      </c>
      <c r="L12" s="29" t="s">
        <v>109</v>
      </c>
      <c r="M12" s="29" t="s">
        <v>2</v>
      </c>
      <c r="N12" s="32" t="s">
        <v>61</v>
      </c>
      <c r="O12" s="32" t="s">
        <v>668</v>
      </c>
      <c r="P12" s="32" t="s">
        <v>669</v>
      </c>
      <c r="Q12" s="32"/>
      <c r="R12" s="32" t="s">
        <v>112</v>
      </c>
      <c r="S12" s="31" t="s">
        <v>113</v>
      </c>
      <c r="T12" s="32" t="s">
        <v>114</v>
      </c>
      <c r="U12" s="46">
        <v>162174</v>
      </c>
      <c r="V12" s="48" t="s">
        <v>115</v>
      </c>
      <c r="W12" s="35">
        <v>121005</v>
      </c>
      <c r="X12" s="36">
        <v>45258</v>
      </c>
      <c r="Y12" s="36">
        <v>45266</v>
      </c>
      <c r="Z12" s="36">
        <v>45274</v>
      </c>
      <c r="AA12" s="36">
        <v>46013</v>
      </c>
      <c r="AB12" s="36" t="s">
        <v>70</v>
      </c>
      <c r="AC12" s="36" t="s">
        <v>71</v>
      </c>
      <c r="AD12" s="37" t="s">
        <v>90</v>
      </c>
      <c r="AE12" s="32" t="s">
        <v>116</v>
      </c>
      <c r="AF12" s="32" t="s">
        <v>116</v>
      </c>
      <c r="AG12" s="38">
        <v>120586666.84999999</v>
      </c>
      <c r="AH12" s="38">
        <v>0</v>
      </c>
      <c r="AI12" s="38">
        <f t="shared" si="0"/>
        <v>120586666.84999999</v>
      </c>
      <c r="AJ12" s="38">
        <v>6381044.4221000075</v>
      </c>
      <c r="AK12" s="66">
        <v>60293333.439999998</v>
      </c>
      <c r="AL12" s="38">
        <v>53912288.987899996</v>
      </c>
      <c r="AM12" s="38">
        <v>0</v>
      </c>
      <c r="AN12" s="38">
        <f t="shared" si="1"/>
        <v>0</v>
      </c>
      <c r="AO12" s="38"/>
      <c r="AP12" s="192">
        <v>7</v>
      </c>
      <c r="AQ12" s="66">
        <f>4222222*7</f>
        <v>29555554</v>
      </c>
      <c r="AR12" s="38">
        <v>5024444.4099999992</v>
      </c>
      <c r="AS12" s="54">
        <f>ROUND(AQ12/AK12,2)</f>
        <v>0.49</v>
      </c>
      <c r="AT12" s="65">
        <f t="shared" si="2"/>
        <v>30737779.439999998</v>
      </c>
      <c r="AU12" s="30" t="s">
        <v>117</v>
      </c>
      <c r="AV12" s="43" t="s">
        <v>118</v>
      </c>
      <c r="AW12" s="32"/>
    </row>
    <row r="13" spans="1:49" ht="99.75" hidden="1" x14ac:dyDescent="0.25">
      <c r="A13" s="47">
        <v>6</v>
      </c>
      <c r="B13" s="47">
        <v>6</v>
      </c>
      <c r="C13" s="63"/>
      <c r="D13" s="32"/>
      <c r="E13" s="29" t="s">
        <v>93</v>
      </c>
      <c r="F13" s="29" t="s">
        <v>119</v>
      </c>
      <c r="G13" s="29" t="s">
        <v>120</v>
      </c>
      <c r="H13" s="41" t="s">
        <v>59</v>
      </c>
      <c r="I13" s="41" t="s">
        <v>60</v>
      </c>
      <c r="J13" s="41">
        <v>2023</v>
      </c>
      <c r="K13" s="41">
        <v>98</v>
      </c>
      <c r="L13" s="29" t="s">
        <v>109</v>
      </c>
      <c r="M13" s="29" t="s">
        <v>2</v>
      </c>
      <c r="N13" s="32" t="s">
        <v>61</v>
      </c>
      <c r="O13" s="32" t="s">
        <v>668</v>
      </c>
      <c r="P13" s="32" t="s">
        <v>669</v>
      </c>
      <c r="Q13" s="32"/>
      <c r="R13" s="32" t="s">
        <v>112</v>
      </c>
      <c r="S13" s="31" t="s">
        <v>113</v>
      </c>
      <c r="T13" s="32" t="s">
        <v>122</v>
      </c>
      <c r="U13" s="46">
        <v>162171</v>
      </c>
      <c r="V13" s="30" t="s">
        <v>123</v>
      </c>
      <c r="W13" s="35">
        <v>120075</v>
      </c>
      <c r="X13" s="36">
        <v>45247</v>
      </c>
      <c r="Y13" s="36">
        <v>45257</v>
      </c>
      <c r="Z13" s="36">
        <v>45283</v>
      </c>
      <c r="AA13" s="36">
        <v>45603</v>
      </c>
      <c r="AB13" s="36" t="s">
        <v>70</v>
      </c>
      <c r="AC13" s="36" t="s">
        <v>71</v>
      </c>
      <c r="AD13" s="37" t="s">
        <v>90</v>
      </c>
      <c r="AE13" s="32" t="s">
        <v>116</v>
      </c>
      <c r="AF13" s="32" t="s">
        <v>116</v>
      </c>
      <c r="AG13" s="38">
        <v>52210518.659999996</v>
      </c>
      <c r="AH13" s="38">
        <v>0</v>
      </c>
      <c r="AI13" s="38">
        <f t="shared" si="0"/>
        <v>52210518.659999996</v>
      </c>
      <c r="AJ13" s="38">
        <v>5750723.7799999937</v>
      </c>
      <c r="AK13" s="66">
        <v>46459794.880000003</v>
      </c>
      <c r="AL13" s="38">
        <v>0</v>
      </c>
      <c r="AM13" s="38">
        <v>0</v>
      </c>
      <c r="AN13" s="38">
        <f t="shared" si="1"/>
        <v>0</v>
      </c>
      <c r="AO13" s="38"/>
      <c r="AP13" s="192">
        <v>7</v>
      </c>
      <c r="AQ13" s="66">
        <f>4540045*7</f>
        <v>31780315</v>
      </c>
      <c r="AR13" s="38">
        <v>4540045.0999999996</v>
      </c>
      <c r="AS13" s="54">
        <f t="shared" ref="AS13:AS50" si="3">IF(AK13=0,0,ROUND(AQ13/AK13,2))</f>
        <v>0.68</v>
      </c>
      <c r="AT13" s="65">
        <f t="shared" si="2"/>
        <v>14679479.880000003</v>
      </c>
      <c r="AU13" s="30" t="s">
        <v>124</v>
      </c>
      <c r="AV13" s="43" t="s">
        <v>125</v>
      </c>
      <c r="AW13" s="32"/>
    </row>
    <row r="14" spans="1:49" ht="142.5" x14ac:dyDescent="0.25">
      <c r="A14" s="47">
        <v>7</v>
      </c>
      <c r="B14" s="47">
        <v>7</v>
      </c>
      <c r="C14" s="63"/>
      <c r="D14" s="32"/>
      <c r="E14" s="29" t="s">
        <v>713</v>
      </c>
      <c r="F14" s="29" t="s">
        <v>126</v>
      </c>
      <c r="G14" s="29" t="s">
        <v>127</v>
      </c>
      <c r="H14" s="41" t="s">
        <v>109</v>
      </c>
      <c r="I14" s="41" t="s">
        <v>128</v>
      </c>
      <c r="J14" s="41">
        <v>2023</v>
      </c>
      <c r="K14" s="41">
        <v>120</v>
      </c>
      <c r="L14" s="29" t="s">
        <v>109</v>
      </c>
      <c r="M14" s="29" t="s">
        <v>2</v>
      </c>
      <c r="N14" s="32" t="s">
        <v>61</v>
      </c>
      <c r="O14" s="32" t="s">
        <v>129</v>
      </c>
      <c r="P14" s="32" t="s">
        <v>130</v>
      </c>
      <c r="Q14" s="32"/>
      <c r="R14" s="32" t="s">
        <v>64</v>
      </c>
      <c r="S14" s="30" t="s">
        <v>131</v>
      </c>
      <c r="T14" s="32" t="s">
        <v>132</v>
      </c>
      <c r="U14" s="45" t="s">
        <v>133</v>
      </c>
      <c r="V14" s="44" t="s">
        <v>134</v>
      </c>
      <c r="W14" s="35" t="s">
        <v>69</v>
      </c>
      <c r="X14" s="36">
        <v>45141</v>
      </c>
      <c r="Y14" s="36">
        <v>45148</v>
      </c>
      <c r="Z14" s="36">
        <v>45148</v>
      </c>
      <c r="AA14" s="36">
        <v>45565</v>
      </c>
      <c r="AB14" s="36" t="s">
        <v>70</v>
      </c>
      <c r="AC14" s="36" t="s">
        <v>71</v>
      </c>
      <c r="AD14" s="37" t="s">
        <v>72</v>
      </c>
      <c r="AE14" s="30" t="s">
        <v>135</v>
      </c>
      <c r="AF14" s="30" t="s">
        <v>135</v>
      </c>
      <c r="AG14" s="38">
        <v>1038872287</v>
      </c>
      <c r="AH14" s="38">
        <v>0</v>
      </c>
      <c r="AI14" s="38">
        <f t="shared" si="0"/>
        <v>1038872287</v>
      </c>
      <c r="AJ14" s="38">
        <v>93891229</v>
      </c>
      <c r="AK14" s="66">
        <f>281673686*3+99960000</f>
        <v>944981058</v>
      </c>
      <c r="AL14" s="38">
        <v>0</v>
      </c>
      <c r="AM14" s="38">
        <v>0</v>
      </c>
      <c r="AN14" s="38">
        <f t="shared" si="1"/>
        <v>0</v>
      </c>
      <c r="AO14" s="38"/>
      <c r="AP14" s="192">
        <v>2</v>
      </c>
      <c r="AQ14" s="66">
        <f>327405386</f>
        <v>327405386</v>
      </c>
      <c r="AR14" s="38" t="s">
        <v>69</v>
      </c>
      <c r="AS14" s="54">
        <f t="shared" si="3"/>
        <v>0.35</v>
      </c>
      <c r="AT14" s="65">
        <f t="shared" si="2"/>
        <v>617575672</v>
      </c>
      <c r="AU14" s="30" t="s">
        <v>136</v>
      </c>
      <c r="AV14" s="43" t="s">
        <v>137</v>
      </c>
      <c r="AW14" s="118" t="s">
        <v>138</v>
      </c>
    </row>
    <row r="15" spans="1:49" ht="30" hidden="1" customHeight="1" x14ac:dyDescent="0.25">
      <c r="A15" s="47">
        <v>8</v>
      </c>
      <c r="B15" s="47">
        <v>8</v>
      </c>
      <c r="C15" s="63">
        <v>80111614</v>
      </c>
      <c r="D15" s="32" t="s">
        <v>81</v>
      </c>
      <c r="E15" s="29" t="s">
        <v>56</v>
      </c>
      <c r="F15" s="29" t="s">
        <v>82</v>
      </c>
      <c r="G15" s="29" t="s">
        <v>139</v>
      </c>
      <c r="H15" s="41" t="s">
        <v>59</v>
      </c>
      <c r="I15" s="41" t="s">
        <v>60</v>
      </c>
      <c r="J15" s="41">
        <v>2024</v>
      </c>
      <c r="K15" s="41">
        <v>111</v>
      </c>
      <c r="L15" s="29" t="s">
        <v>59</v>
      </c>
      <c r="M15" s="29" t="s">
        <v>3</v>
      </c>
      <c r="N15" s="32" t="s">
        <v>61</v>
      </c>
      <c r="O15" s="32" t="s">
        <v>129</v>
      </c>
      <c r="P15" s="32" t="s">
        <v>140</v>
      </c>
      <c r="Q15" s="32"/>
      <c r="R15" s="32" t="s">
        <v>64</v>
      </c>
      <c r="S15" s="30" t="s">
        <v>141</v>
      </c>
      <c r="T15" s="32" t="s">
        <v>142</v>
      </c>
      <c r="U15" s="46" t="s">
        <v>143</v>
      </c>
      <c r="V15" s="48" t="s">
        <v>144</v>
      </c>
      <c r="W15" s="35" t="s">
        <v>69</v>
      </c>
      <c r="X15" s="36">
        <v>45310</v>
      </c>
      <c r="Y15" s="36">
        <v>45313</v>
      </c>
      <c r="Z15" s="36">
        <v>45314</v>
      </c>
      <c r="AA15" s="36">
        <v>45646</v>
      </c>
      <c r="AB15" s="36" t="s">
        <v>70</v>
      </c>
      <c r="AC15" s="36" t="s">
        <v>71</v>
      </c>
      <c r="AD15" s="37" t="s">
        <v>90</v>
      </c>
      <c r="AE15" s="32" t="s">
        <v>73</v>
      </c>
      <c r="AF15" s="32" t="s">
        <v>73</v>
      </c>
      <c r="AG15" s="38">
        <v>104183350</v>
      </c>
      <c r="AH15" s="38">
        <v>0</v>
      </c>
      <c r="AI15" s="38">
        <v>104183350</v>
      </c>
      <c r="AJ15" s="38">
        <v>0</v>
      </c>
      <c r="AK15" s="66">
        <v>104183350</v>
      </c>
      <c r="AL15" s="38">
        <v>0</v>
      </c>
      <c r="AM15" s="38">
        <v>104500000</v>
      </c>
      <c r="AN15" s="38">
        <f t="shared" si="1"/>
        <v>316650</v>
      </c>
      <c r="AO15" s="38"/>
      <c r="AP15" s="192">
        <v>7</v>
      </c>
      <c r="AQ15" s="66">
        <f>(AR15*6)+(2533333)</f>
        <v>59533333</v>
      </c>
      <c r="AR15" s="38">
        <v>9500000</v>
      </c>
      <c r="AS15" s="54">
        <f t="shared" si="3"/>
        <v>0.56999999999999995</v>
      </c>
      <c r="AT15" s="65">
        <f t="shared" si="2"/>
        <v>44650017</v>
      </c>
      <c r="AU15" s="30" t="s">
        <v>145</v>
      </c>
      <c r="AV15" s="156" t="s">
        <v>146</v>
      </c>
      <c r="AW15" s="32"/>
    </row>
    <row r="16" spans="1:49" ht="30" hidden="1" customHeight="1" x14ac:dyDescent="0.25">
      <c r="A16" s="47">
        <v>9</v>
      </c>
      <c r="B16" s="47">
        <v>9</v>
      </c>
      <c r="C16" s="63">
        <v>80111614</v>
      </c>
      <c r="D16" s="32" t="s">
        <v>81</v>
      </c>
      <c r="E16" s="29" t="s">
        <v>56</v>
      </c>
      <c r="F16" s="29" t="s">
        <v>82</v>
      </c>
      <c r="G16" s="29" t="s">
        <v>139</v>
      </c>
      <c r="H16" s="41" t="s">
        <v>59</v>
      </c>
      <c r="I16" s="41" t="s">
        <v>60</v>
      </c>
      <c r="J16" s="41">
        <v>2024</v>
      </c>
      <c r="K16" s="41">
        <v>110</v>
      </c>
      <c r="L16" s="29" t="s">
        <v>59</v>
      </c>
      <c r="M16" s="29" t="s">
        <v>3</v>
      </c>
      <c r="N16" s="32" t="s">
        <v>61</v>
      </c>
      <c r="O16" s="32" t="s">
        <v>129</v>
      </c>
      <c r="P16" s="32" t="s">
        <v>140</v>
      </c>
      <c r="Q16" s="32"/>
      <c r="R16" s="32" t="s">
        <v>64</v>
      </c>
      <c r="S16" s="30" t="s">
        <v>147</v>
      </c>
      <c r="T16" s="32" t="s">
        <v>142</v>
      </c>
      <c r="U16" s="57" t="s">
        <v>148</v>
      </c>
      <c r="V16" s="44" t="s">
        <v>149</v>
      </c>
      <c r="W16" s="35" t="s">
        <v>69</v>
      </c>
      <c r="X16" s="36">
        <v>45310</v>
      </c>
      <c r="Y16" s="36">
        <v>45313</v>
      </c>
      <c r="Z16" s="36">
        <v>45314</v>
      </c>
      <c r="AA16" s="36">
        <v>45646</v>
      </c>
      <c r="AB16" s="36" t="s">
        <v>70</v>
      </c>
      <c r="AC16" s="36" t="s">
        <v>71</v>
      </c>
      <c r="AD16" s="37" t="s">
        <v>90</v>
      </c>
      <c r="AE16" s="32" t="s">
        <v>73</v>
      </c>
      <c r="AF16" s="32" t="s">
        <v>73</v>
      </c>
      <c r="AG16" s="38">
        <v>104183350</v>
      </c>
      <c r="AH16" s="38">
        <v>0</v>
      </c>
      <c r="AI16" s="38">
        <f t="shared" ref="AI16:AI61" si="4">AG16+AH16</f>
        <v>104183350</v>
      </c>
      <c r="AJ16" s="38">
        <v>0</v>
      </c>
      <c r="AK16" s="66">
        <v>104183350</v>
      </c>
      <c r="AL16" s="38">
        <v>0</v>
      </c>
      <c r="AM16" s="38">
        <v>104500000</v>
      </c>
      <c r="AN16" s="38">
        <f t="shared" si="1"/>
        <v>316650</v>
      </c>
      <c r="AO16" s="38"/>
      <c r="AP16" s="192">
        <v>7</v>
      </c>
      <c r="AQ16" s="66">
        <f>(AR16*6)+2850000</f>
        <v>59850000</v>
      </c>
      <c r="AR16" s="38">
        <v>9500000</v>
      </c>
      <c r="AS16" s="54">
        <f t="shared" si="3"/>
        <v>0.56999999999999995</v>
      </c>
      <c r="AT16" s="65">
        <f t="shared" si="2"/>
        <v>44333350</v>
      </c>
      <c r="AU16" s="30" t="s">
        <v>150</v>
      </c>
      <c r="AV16" s="43" t="s">
        <v>151</v>
      </c>
      <c r="AW16" s="32"/>
    </row>
    <row r="17" spans="1:49" ht="66.599999999999994" hidden="1" customHeight="1" x14ac:dyDescent="0.25">
      <c r="A17" s="47">
        <v>10</v>
      </c>
      <c r="B17" s="47">
        <v>10</v>
      </c>
      <c r="C17" s="63">
        <v>80111614</v>
      </c>
      <c r="D17" s="32" t="s">
        <v>81</v>
      </c>
      <c r="E17" s="29" t="s">
        <v>56</v>
      </c>
      <c r="F17" s="29" t="s">
        <v>82</v>
      </c>
      <c r="G17" s="29" t="s">
        <v>152</v>
      </c>
      <c r="H17" s="41" t="s">
        <v>59</v>
      </c>
      <c r="I17" s="41" t="s">
        <v>60</v>
      </c>
      <c r="J17" s="41">
        <v>2024</v>
      </c>
      <c r="K17" s="41">
        <v>113</v>
      </c>
      <c r="L17" s="29" t="s">
        <v>59</v>
      </c>
      <c r="M17" s="29" t="s">
        <v>3</v>
      </c>
      <c r="N17" s="32" t="s">
        <v>61</v>
      </c>
      <c r="O17" s="32" t="s">
        <v>129</v>
      </c>
      <c r="P17" s="32" t="s">
        <v>140</v>
      </c>
      <c r="Q17" s="32"/>
      <c r="R17" s="32" t="s">
        <v>64</v>
      </c>
      <c r="S17" s="30" t="s">
        <v>153</v>
      </c>
      <c r="T17" s="32" t="s">
        <v>154</v>
      </c>
      <c r="U17" s="55" t="s">
        <v>155</v>
      </c>
      <c r="V17" s="48" t="s">
        <v>156</v>
      </c>
      <c r="W17" s="35" t="s">
        <v>69</v>
      </c>
      <c r="X17" s="36">
        <v>45308</v>
      </c>
      <c r="Y17" s="36">
        <v>45310</v>
      </c>
      <c r="Z17" s="36">
        <v>45313</v>
      </c>
      <c r="AA17" s="36">
        <v>45646</v>
      </c>
      <c r="AB17" s="36" t="s">
        <v>70</v>
      </c>
      <c r="AC17" s="36" t="s">
        <v>71</v>
      </c>
      <c r="AD17" s="37" t="s">
        <v>90</v>
      </c>
      <c r="AE17" s="32" t="s">
        <v>73</v>
      </c>
      <c r="AF17" s="32" t="s">
        <v>73</v>
      </c>
      <c r="AG17" s="38">
        <v>187000000</v>
      </c>
      <c r="AH17" s="38">
        <v>0</v>
      </c>
      <c r="AI17" s="38">
        <f t="shared" si="4"/>
        <v>187000000</v>
      </c>
      <c r="AJ17" s="38">
        <v>0</v>
      </c>
      <c r="AK17" s="66">
        <v>187000000</v>
      </c>
      <c r="AL17" s="38">
        <v>0</v>
      </c>
      <c r="AM17" s="38">
        <v>187000000</v>
      </c>
      <c r="AN17" s="38">
        <f t="shared" si="1"/>
        <v>0</v>
      </c>
      <c r="AO17" s="38"/>
      <c r="AP17" s="192">
        <v>7</v>
      </c>
      <c r="AQ17" s="66">
        <f>(AR17*6)+5100000</f>
        <v>107100000</v>
      </c>
      <c r="AR17" s="38">
        <v>17000000</v>
      </c>
      <c r="AS17" s="54">
        <f t="shared" si="3"/>
        <v>0.56999999999999995</v>
      </c>
      <c r="AT17" s="65">
        <f t="shared" si="2"/>
        <v>79900000</v>
      </c>
      <c r="AU17" s="30" t="s">
        <v>157</v>
      </c>
      <c r="AV17" s="156" t="s">
        <v>158</v>
      </c>
      <c r="AW17" s="32"/>
    </row>
    <row r="18" spans="1:49" ht="30" hidden="1" customHeight="1" x14ac:dyDescent="0.25">
      <c r="A18" s="47">
        <v>11</v>
      </c>
      <c r="B18" s="47">
        <v>11</v>
      </c>
      <c r="C18" s="63">
        <v>80111614</v>
      </c>
      <c r="D18" s="32" t="s">
        <v>81</v>
      </c>
      <c r="E18" s="29" t="s">
        <v>56</v>
      </c>
      <c r="F18" s="29" t="s">
        <v>82</v>
      </c>
      <c r="G18" s="29" t="s">
        <v>159</v>
      </c>
      <c r="H18" s="41" t="s">
        <v>59</v>
      </c>
      <c r="I18" s="41" t="s">
        <v>60</v>
      </c>
      <c r="J18" s="41">
        <v>2024</v>
      </c>
      <c r="K18" s="41">
        <v>114</v>
      </c>
      <c r="L18" s="29" t="s">
        <v>59</v>
      </c>
      <c r="M18" s="29" t="s">
        <v>3</v>
      </c>
      <c r="N18" s="32" t="s">
        <v>61</v>
      </c>
      <c r="O18" s="32" t="s">
        <v>129</v>
      </c>
      <c r="P18" s="32" t="s">
        <v>85</v>
      </c>
      <c r="Q18" s="32"/>
      <c r="R18" s="32" t="s">
        <v>64</v>
      </c>
      <c r="S18" s="30" t="s">
        <v>160</v>
      </c>
      <c r="T18" s="32" t="s">
        <v>161</v>
      </c>
      <c r="U18" s="55" t="s">
        <v>162</v>
      </c>
      <c r="V18" s="56" t="s">
        <v>163</v>
      </c>
      <c r="W18" s="35" t="s">
        <v>69</v>
      </c>
      <c r="X18" s="36">
        <v>45314</v>
      </c>
      <c r="Y18" s="36">
        <v>45315</v>
      </c>
      <c r="Z18" s="36">
        <v>45316</v>
      </c>
      <c r="AA18" s="36">
        <v>45646</v>
      </c>
      <c r="AB18" s="36" t="s">
        <v>70</v>
      </c>
      <c r="AC18" s="36" t="s">
        <v>71</v>
      </c>
      <c r="AD18" s="37" t="s">
        <v>90</v>
      </c>
      <c r="AE18" s="32" t="s">
        <v>73</v>
      </c>
      <c r="AF18" s="32" t="s">
        <v>73</v>
      </c>
      <c r="AG18" s="38">
        <v>187000000</v>
      </c>
      <c r="AH18" s="38">
        <v>0</v>
      </c>
      <c r="AI18" s="38">
        <f t="shared" si="4"/>
        <v>187000000</v>
      </c>
      <c r="AJ18" s="38">
        <v>0</v>
      </c>
      <c r="AK18" s="66">
        <v>187000000</v>
      </c>
      <c r="AL18" s="38">
        <v>0</v>
      </c>
      <c r="AM18" s="38">
        <v>187000000</v>
      </c>
      <c r="AN18" s="38">
        <f t="shared" si="1"/>
        <v>0</v>
      </c>
      <c r="AO18" s="38"/>
      <c r="AP18" s="192">
        <v>7</v>
      </c>
      <c r="AQ18" s="66">
        <f>3400000+(AR18*6)</f>
        <v>105400000</v>
      </c>
      <c r="AR18" s="38">
        <v>17000000</v>
      </c>
      <c r="AS18" s="54">
        <f t="shared" si="3"/>
        <v>0.56000000000000005</v>
      </c>
      <c r="AT18" s="65">
        <f t="shared" si="2"/>
        <v>81600000</v>
      </c>
      <c r="AU18" s="30" t="s">
        <v>164</v>
      </c>
      <c r="AV18" s="43" t="s">
        <v>165</v>
      </c>
      <c r="AW18" s="32"/>
    </row>
    <row r="19" spans="1:49" ht="30" hidden="1" customHeight="1" x14ac:dyDescent="0.25">
      <c r="A19" s="47">
        <v>12</v>
      </c>
      <c r="B19" s="47">
        <v>12</v>
      </c>
      <c r="C19" s="63"/>
      <c r="D19" s="32"/>
      <c r="E19" s="29" t="s">
        <v>56</v>
      </c>
      <c r="F19" s="29" t="s">
        <v>82</v>
      </c>
      <c r="G19" s="29" t="s">
        <v>166</v>
      </c>
      <c r="H19" s="41" t="s">
        <v>59</v>
      </c>
      <c r="I19" s="41" t="s">
        <v>60</v>
      </c>
      <c r="J19" s="41">
        <v>2024</v>
      </c>
      <c r="K19" s="41">
        <v>108</v>
      </c>
      <c r="L19" s="29" t="s">
        <v>59</v>
      </c>
      <c r="M19" s="29" t="s">
        <v>3</v>
      </c>
      <c r="N19" s="32" t="s">
        <v>61</v>
      </c>
      <c r="O19" s="32" t="s">
        <v>129</v>
      </c>
      <c r="P19" s="32" t="s">
        <v>63</v>
      </c>
      <c r="Q19" s="32"/>
      <c r="R19" s="32" t="s">
        <v>64</v>
      </c>
      <c r="S19" s="30" t="s">
        <v>167</v>
      </c>
      <c r="T19" s="32" t="s">
        <v>168</v>
      </c>
      <c r="U19" s="45" t="s">
        <v>169</v>
      </c>
      <c r="V19" s="48" t="s">
        <v>170</v>
      </c>
      <c r="W19" s="35" t="s">
        <v>69</v>
      </c>
      <c r="X19" s="36">
        <v>45323</v>
      </c>
      <c r="Y19" s="36">
        <v>45324</v>
      </c>
      <c r="Z19" s="36" t="s">
        <v>70</v>
      </c>
      <c r="AA19" s="36">
        <v>45646</v>
      </c>
      <c r="AB19" s="36" t="s">
        <v>70</v>
      </c>
      <c r="AC19" s="36" t="s">
        <v>71</v>
      </c>
      <c r="AD19" s="37" t="s">
        <v>72</v>
      </c>
      <c r="AE19" s="32" t="s">
        <v>73</v>
      </c>
      <c r="AF19" s="32" t="s">
        <v>73</v>
      </c>
      <c r="AG19" s="38">
        <v>148500000</v>
      </c>
      <c r="AH19" s="38">
        <v>0</v>
      </c>
      <c r="AI19" s="38">
        <f t="shared" si="4"/>
        <v>148500000</v>
      </c>
      <c r="AJ19" s="38">
        <v>0</v>
      </c>
      <c r="AK19" s="66">
        <v>148500000</v>
      </c>
      <c r="AL19" s="38">
        <v>0</v>
      </c>
      <c r="AM19" s="38">
        <v>148500000</v>
      </c>
      <c r="AN19" s="38">
        <f t="shared" si="1"/>
        <v>0</v>
      </c>
      <c r="AO19" s="38"/>
      <c r="AP19" s="192">
        <v>6</v>
      </c>
      <c r="AQ19" s="66">
        <f>AR19*6</f>
        <v>81000000</v>
      </c>
      <c r="AR19" s="38">
        <v>13500000</v>
      </c>
      <c r="AS19" s="54">
        <f t="shared" si="3"/>
        <v>0.55000000000000004</v>
      </c>
      <c r="AT19" s="65">
        <f t="shared" si="2"/>
        <v>67500000</v>
      </c>
      <c r="AU19" s="30" t="s">
        <v>171</v>
      </c>
      <c r="AV19" s="43" t="s">
        <v>172</v>
      </c>
      <c r="AW19" s="32"/>
    </row>
    <row r="20" spans="1:49" ht="30" hidden="1" customHeight="1" x14ac:dyDescent="0.25">
      <c r="A20" s="47">
        <v>13</v>
      </c>
      <c r="B20" s="47">
        <v>13</v>
      </c>
      <c r="C20" s="63"/>
      <c r="D20" s="32"/>
      <c r="E20" s="29" t="s">
        <v>56</v>
      </c>
      <c r="F20" s="29" t="s">
        <v>82</v>
      </c>
      <c r="G20" s="29" t="s">
        <v>173</v>
      </c>
      <c r="H20" s="41" t="s">
        <v>59</v>
      </c>
      <c r="I20" s="41" t="s">
        <v>60</v>
      </c>
      <c r="J20" s="41">
        <v>2024</v>
      </c>
      <c r="K20" s="41">
        <v>107</v>
      </c>
      <c r="L20" s="29" t="s">
        <v>59</v>
      </c>
      <c r="M20" s="29" t="s">
        <v>3</v>
      </c>
      <c r="N20" s="32" t="s">
        <v>61</v>
      </c>
      <c r="O20" s="32" t="s">
        <v>129</v>
      </c>
      <c r="P20" s="32" t="s">
        <v>63</v>
      </c>
      <c r="Q20" s="32"/>
      <c r="R20" s="32" t="s">
        <v>64</v>
      </c>
      <c r="S20" s="30" t="s">
        <v>174</v>
      </c>
      <c r="T20" s="32" t="s">
        <v>175</v>
      </c>
      <c r="U20" s="45" t="s">
        <v>176</v>
      </c>
      <c r="V20" s="56" t="s">
        <v>177</v>
      </c>
      <c r="W20" s="35" t="s">
        <v>69</v>
      </c>
      <c r="X20" s="36">
        <v>45323</v>
      </c>
      <c r="Y20" s="36">
        <v>44962</v>
      </c>
      <c r="Z20" s="36" t="s">
        <v>70</v>
      </c>
      <c r="AA20" s="36">
        <v>45646</v>
      </c>
      <c r="AB20" s="36" t="s">
        <v>70</v>
      </c>
      <c r="AC20" s="36" t="s">
        <v>71</v>
      </c>
      <c r="AD20" s="37" t="s">
        <v>72</v>
      </c>
      <c r="AE20" s="32" t="s">
        <v>73</v>
      </c>
      <c r="AF20" s="32" t="s">
        <v>73</v>
      </c>
      <c r="AG20" s="38">
        <v>148500000</v>
      </c>
      <c r="AH20" s="38">
        <v>0</v>
      </c>
      <c r="AI20" s="38">
        <f t="shared" si="4"/>
        <v>148500000</v>
      </c>
      <c r="AJ20" s="38">
        <v>0</v>
      </c>
      <c r="AK20" s="66">
        <v>148500000</v>
      </c>
      <c r="AL20" s="38">
        <v>0</v>
      </c>
      <c r="AM20" s="38">
        <v>148500000</v>
      </c>
      <c r="AN20" s="38">
        <f t="shared" si="1"/>
        <v>0</v>
      </c>
      <c r="AO20" s="38"/>
      <c r="AP20" s="192">
        <v>6</v>
      </c>
      <c r="AQ20" s="66">
        <f>AR20*6</f>
        <v>81000000</v>
      </c>
      <c r="AR20" s="38">
        <v>13500000</v>
      </c>
      <c r="AS20" s="54">
        <f t="shared" si="3"/>
        <v>0.55000000000000004</v>
      </c>
      <c r="AT20" s="65">
        <f t="shared" si="2"/>
        <v>67500000</v>
      </c>
      <c r="AU20" s="30" t="s">
        <v>178</v>
      </c>
      <c r="AV20" s="43" t="s">
        <v>179</v>
      </c>
      <c r="AW20" s="32"/>
    </row>
    <row r="21" spans="1:49" ht="30" hidden="1" customHeight="1" x14ac:dyDescent="0.25">
      <c r="A21" s="47">
        <v>14</v>
      </c>
      <c r="B21" s="47">
        <v>14</v>
      </c>
      <c r="C21" s="63"/>
      <c r="D21" s="32"/>
      <c r="E21" s="29" t="s">
        <v>56</v>
      </c>
      <c r="F21" s="29" t="s">
        <v>82</v>
      </c>
      <c r="G21" s="29" t="s">
        <v>180</v>
      </c>
      <c r="H21" s="41" t="s">
        <v>59</v>
      </c>
      <c r="I21" s="41" t="s">
        <v>60</v>
      </c>
      <c r="J21" s="41">
        <v>2024</v>
      </c>
      <c r="K21" s="41">
        <v>115</v>
      </c>
      <c r="L21" s="29" t="s">
        <v>59</v>
      </c>
      <c r="M21" s="29" t="s">
        <v>3</v>
      </c>
      <c r="N21" s="32" t="s">
        <v>61</v>
      </c>
      <c r="O21" s="32" t="s">
        <v>129</v>
      </c>
      <c r="P21" s="32" t="s">
        <v>63</v>
      </c>
      <c r="Q21" s="32"/>
      <c r="R21" s="32" t="s">
        <v>64</v>
      </c>
      <c r="S21" s="30" t="s">
        <v>181</v>
      </c>
      <c r="T21" s="32" t="s">
        <v>182</v>
      </c>
      <c r="U21" s="45" t="s">
        <v>183</v>
      </c>
      <c r="V21" s="48" t="s">
        <v>184</v>
      </c>
      <c r="W21" s="35" t="s">
        <v>69</v>
      </c>
      <c r="X21" s="36">
        <v>45323</v>
      </c>
      <c r="Y21" s="36">
        <v>44962</v>
      </c>
      <c r="Z21" s="36" t="s">
        <v>70</v>
      </c>
      <c r="AA21" s="36">
        <v>45646</v>
      </c>
      <c r="AB21" s="36" t="s">
        <v>70</v>
      </c>
      <c r="AC21" s="36" t="s">
        <v>71</v>
      </c>
      <c r="AD21" s="37" t="s">
        <v>72</v>
      </c>
      <c r="AE21" s="32" t="s">
        <v>73</v>
      </c>
      <c r="AF21" s="32" t="s">
        <v>73</v>
      </c>
      <c r="AG21" s="38">
        <v>132000000</v>
      </c>
      <c r="AH21" s="38">
        <v>0</v>
      </c>
      <c r="AI21" s="38">
        <f t="shared" si="4"/>
        <v>132000000</v>
      </c>
      <c r="AJ21" s="38">
        <v>0</v>
      </c>
      <c r="AK21" s="66">
        <v>132000000</v>
      </c>
      <c r="AL21" s="38">
        <v>0</v>
      </c>
      <c r="AM21" s="38">
        <v>132000000</v>
      </c>
      <c r="AN21" s="38">
        <f t="shared" si="1"/>
        <v>0</v>
      </c>
      <c r="AO21" s="38"/>
      <c r="AP21" s="192">
        <v>6</v>
      </c>
      <c r="AQ21" s="66">
        <f>AR21*6</f>
        <v>72000000</v>
      </c>
      <c r="AR21" s="38">
        <v>12000000</v>
      </c>
      <c r="AS21" s="54">
        <f t="shared" si="3"/>
        <v>0.55000000000000004</v>
      </c>
      <c r="AT21" s="65">
        <f t="shared" si="2"/>
        <v>60000000</v>
      </c>
      <c r="AU21" s="30" t="s">
        <v>185</v>
      </c>
      <c r="AV21" s="43" t="s">
        <v>186</v>
      </c>
      <c r="AW21" s="32"/>
    </row>
    <row r="22" spans="1:49" ht="30" hidden="1" customHeight="1" x14ac:dyDescent="0.25">
      <c r="A22" s="47">
        <v>15</v>
      </c>
      <c r="B22" s="47">
        <v>15</v>
      </c>
      <c r="C22" s="63"/>
      <c r="D22" s="32"/>
      <c r="E22" s="29" t="s">
        <v>56</v>
      </c>
      <c r="F22" s="29" t="s">
        <v>82</v>
      </c>
      <c r="G22" s="29" t="s">
        <v>187</v>
      </c>
      <c r="H22" s="41" t="s">
        <v>59</v>
      </c>
      <c r="I22" s="41" t="s">
        <v>60</v>
      </c>
      <c r="J22" s="41">
        <v>2024</v>
      </c>
      <c r="K22" s="41">
        <v>109</v>
      </c>
      <c r="L22" s="29" t="s">
        <v>59</v>
      </c>
      <c r="M22" s="29" t="s">
        <v>3</v>
      </c>
      <c r="N22" s="32" t="s">
        <v>61</v>
      </c>
      <c r="O22" s="32" t="s">
        <v>129</v>
      </c>
      <c r="P22" s="32" t="s">
        <v>63</v>
      </c>
      <c r="Q22" s="32"/>
      <c r="R22" s="32" t="s">
        <v>64</v>
      </c>
      <c r="S22" s="30" t="s">
        <v>188</v>
      </c>
      <c r="T22" s="32" t="s">
        <v>189</v>
      </c>
      <c r="U22" s="45" t="s">
        <v>190</v>
      </c>
      <c r="V22" s="56" t="s">
        <v>191</v>
      </c>
      <c r="W22" s="35" t="s">
        <v>69</v>
      </c>
      <c r="X22" s="36">
        <v>45323</v>
      </c>
      <c r="Y22" s="36">
        <v>44959</v>
      </c>
      <c r="Z22" s="36" t="s">
        <v>70</v>
      </c>
      <c r="AA22" s="36">
        <v>45646</v>
      </c>
      <c r="AB22" s="36" t="s">
        <v>70</v>
      </c>
      <c r="AC22" s="36" t="s">
        <v>71</v>
      </c>
      <c r="AD22" s="37" t="s">
        <v>72</v>
      </c>
      <c r="AE22" s="32" t="s">
        <v>73</v>
      </c>
      <c r="AF22" s="32" t="s">
        <v>73</v>
      </c>
      <c r="AG22" s="38">
        <v>121000000</v>
      </c>
      <c r="AH22" s="38">
        <v>0</v>
      </c>
      <c r="AI22" s="38">
        <f t="shared" si="4"/>
        <v>121000000</v>
      </c>
      <c r="AJ22" s="38">
        <v>0</v>
      </c>
      <c r="AK22" s="66">
        <v>121000000</v>
      </c>
      <c r="AL22" s="38">
        <v>0</v>
      </c>
      <c r="AM22" s="38">
        <v>121000000</v>
      </c>
      <c r="AN22" s="38">
        <f t="shared" si="1"/>
        <v>0</v>
      </c>
      <c r="AO22" s="38"/>
      <c r="AP22" s="192">
        <v>6</v>
      </c>
      <c r="AQ22" s="66">
        <f>AR22*6</f>
        <v>66000000</v>
      </c>
      <c r="AR22" s="38">
        <v>11000000</v>
      </c>
      <c r="AS22" s="54">
        <f t="shared" si="3"/>
        <v>0.55000000000000004</v>
      </c>
      <c r="AT22" s="65">
        <f t="shared" si="2"/>
        <v>55000000</v>
      </c>
      <c r="AU22" s="30" t="s">
        <v>192</v>
      </c>
      <c r="AV22" s="43" t="s">
        <v>193</v>
      </c>
      <c r="AW22" s="32"/>
    </row>
    <row r="23" spans="1:49" ht="30" hidden="1" customHeight="1" x14ac:dyDescent="0.25">
      <c r="A23" s="47">
        <v>16</v>
      </c>
      <c r="B23" s="47">
        <v>16</v>
      </c>
      <c r="C23" s="63"/>
      <c r="D23" s="32"/>
      <c r="E23" s="29" t="s">
        <v>56</v>
      </c>
      <c r="F23" s="29" t="s">
        <v>82</v>
      </c>
      <c r="G23" s="29" t="s">
        <v>194</v>
      </c>
      <c r="H23" s="41" t="s">
        <v>59</v>
      </c>
      <c r="I23" s="41" t="s">
        <v>60</v>
      </c>
      <c r="J23" s="41">
        <v>2024</v>
      </c>
      <c r="K23" s="41">
        <v>104</v>
      </c>
      <c r="L23" s="29" t="s">
        <v>59</v>
      </c>
      <c r="M23" s="29" t="s">
        <v>3</v>
      </c>
      <c r="N23" s="32" t="s">
        <v>195</v>
      </c>
      <c r="O23" s="32" t="s">
        <v>129</v>
      </c>
      <c r="P23" s="59"/>
      <c r="Q23" s="59"/>
      <c r="R23" s="32" t="s">
        <v>64</v>
      </c>
      <c r="S23" s="30" t="s">
        <v>426</v>
      </c>
      <c r="T23" s="32" t="s">
        <v>197</v>
      </c>
      <c r="U23" s="46" t="s">
        <v>198</v>
      </c>
      <c r="V23" s="34" t="s">
        <v>199</v>
      </c>
      <c r="W23" s="35" t="s">
        <v>69</v>
      </c>
      <c r="X23" s="36">
        <v>45335</v>
      </c>
      <c r="Y23" s="36">
        <v>45338</v>
      </c>
      <c r="Z23" s="36" t="s">
        <v>70</v>
      </c>
      <c r="AA23" s="36">
        <v>45646</v>
      </c>
      <c r="AB23" s="36" t="s">
        <v>70</v>
      </c>
      <c r="AC23" s="36" t="s">
        <v>71</v>
      </c>
      <c r="AD23" s="37" t="s">
        <v>72</v>
      </c>
      <c r="AE23" s="32" t="s">
        <v>73</v>
      </c>
      <c r="AF23" s="32" t="s">
        <v>73</v>
      </c>
      <c r="AG23" s="38">
        <v>165000000</v>
      </c>
      <c r="AH23" s="38">
        <v>0</v>
      </c>
      <c r="AI23" s="38">
        <f t="shared" si="4"/>
        <v>165000000</v>
      </c>
      <c r="AJ23" s="38">
        <v>0</v>
      </c>
      <c r="AK23" s="66">
        <v>165000000</v>
      </c>
      <c r="AL23" s="38">
        <v>0</v>
      </c>
      <c r="AM23" s="38">
        <v>165000000</v>
      </c>
      <c r="AN23" s="38">
        <f t="shared" si="1"/>
        <v>0</v>
      </c>
      <c r="AO23" s="38"/>
      <c r="AP23" s="192">
        <v>6</v>
      </c>
      <c r="AQ23" s="66">
        <f>AR23*6</f>
        <v>90000000</v>
      </c>
      <c r="AR23" s="38">
        <v>15000000</v>
      </c>
      <c r="AS23" s="54">
        <f t="shared" si="3"/>
        <v>0.55000000000000004</v>
      </c>
      <c r="AT23" s="65">
        <f t="shared" si="2"/>
        <v>75000000</v>
      </c>
      <c r="AU23" s="30" t="s">
        <v>200</v>
      </c>
      <c r="AV23" s="43" t="s">
        <v>201</v>
      </c>
      <c r="AW23" s="32"/>
    </row>
    <row r="24" spans="1:49" ht="42.75" hidden="1" x14ac:dyDescent="0.25">
      <c r="A24" s="47">
        <v>17</v>
      </c>
      <c r="B24" s="47">
        <v>17</v>
      </c>
      <c r="C24" s="63"/>
      <c r="D24" s="32"/>
      <c r="E24" s="29" t="s">
        <v>93</v>
      </c>
      <c r="F24" s="29" t="s">
        <v>202</v>
      </c>
      <c r="G24" s="29" t="s">
        <v>203</v>
      </c>
      <c r="H24" s="41" t="s">
        <v>59</v>
      </c>
      <c r="I24" s="41" t="s">
        <v>60</v>
      </c>
      <c r="J24" s="41">
        <v>2023</v>
      </c>
      <c r="K24" s="41">
        <v>226</v>
      </c>
      <c r="L24" s="29" t="s">
        <v>109</v>
      </c>
      <c r="M24" s="29" t="s">
        <v>2</v>
      </c>
      <c r="N24" s="32" t="s">
        <v>61</v>
      </c>
      <c r="O24" s="32" t="s">
        <v>204</v>
      </c>
      <c r="P24" s="32" t="s">
        <v>205</v>
      </c>
      <c r="Q24" s="32"/>
      <c r="R24" s="32" t="s">
        <v>112</v>
      </c>
      <c r="S24" s="31" t="s">
        <v>206</v>
      </c>
      <c r="T24" s="32" t="s">
        <v>207</v>
      </c>
      <c r="U24" s="45">
        <v>205529</v>
      </c>
      <c r="V24" s="30" t="s">
        <v>208</v>
      </c>
      <c r="W24" s="35">
        <v>121233</v>
      </c>
      <c r="X24" s="36">
        <v>45259</v>
      </c>
      <c r="Y24" s="36">
        <v>45265</v>
      </c>
      <c r="Z24" s="36">
        <v>45265</v>
      </c>
      <c r="AA24" s="36">
        <v>45777</v>
      </c>
      <c r="AB24" s="36" t="s">
        <v>70</v>
      </c>
      <c r="AC24" s="36" t="s">
        <v>71</v>
      </c>
      <c r="AD24" s="37" t="s">
        <v>90</v>
      </c>
      <c r="AE24" s="32" t="s">
        <v>116</v>
      </c>
      <c r="AF24" s="32" t="s">
        <v>116</v>
      </c>
      <c r="AG24" s="38">
        <v>37300074</v>
      </c>
      <c r="AH24" s="38">
        <v>0</v>
      </c>
      <c r="AI24" s="38">
        <f t="shared" si="4"/>
        <v>37300074</v>
      </c>
      <c r="AJ24" s="38">
        <v>2194122</v>
      </c>
      <c r="AK24" s="66">
        <v>26329464</v>
      </c>
      <c r="AL24" s="38">
        <v>8776488</v>
      </c>
      <c r="AM24" s="38">
        <v>0</v>
      </c>
      <c r="AN24" s="38">
        <f t="shared" si="1"/>
        <v>0</v>
      </c>
      <c r="AO24" s="38"/>
      <c r="AP24" s="192">
        <v>7</v>
      </c>
      <c r="AQ24" s="66">
        <f>1314970.23+(2015826.68*6)</f>
        <v>13409930.310000001</v>
      </c>
      <c r="AR24" s="38">
        <v>2194122</v>
      </c>
      <c r="AS24" s="54">
        <f t="shared" si="3"/>
        <v>0.51</v>
      </c>
      <c r="AT24" s="65">
        <f t="shared" si="2"/>
        <v>12919533.689999999</v>
      </c>
      <c r="AU24" s="30" t="s">
        <v>209</v>
      </c>
      <c r="AV24" s="30" t="s">
        <v>210</v>
      </c>
      <c r="AW24" s="32"/>
    </row>
    <row r="25" spans="1:49" ht="85.5" hidden="1" x14ac:dyDescent="0.25">
      <c r="A25" s="47">
        <v>18</v>
      </c>
      <c r="B25" s="47">
        <v>18</v>
      </c>
      <c r="C25" s="63"/>
      <c r="D25" s="32"/>
      <c r="E25" s="29" t="s">
        <v>93</v>
      </c>
      <c r="F25" s="29" t="s">
        <v>212</v>
      </c>
      <c r="G25" s="29" t="s">
        <v>213</v>
      </c>
      <c r="H25" s="41" t="s">
        <v>59</v>
      </c>
      <c r="I25" s="41" t="s">
        <v>60</v>
      </c>
      <c r="J25" s="41">
        <v>2023</v>
      </c>
      <c r="K25" s="41">
        <v>95</v>
      </c>
      <c r="L25" s="29" t="s">
        <v>109</v>
      </c>
      <c r="M25" s="29" t="s">
        <v>2</v>
      </c>
      <c r="N25" s="32" t="s">
        <v>61</v>
      </c>
      <c r="O25" s="32" t="s">
        <v>204</v>
      </c>
      <c r="P25" s="32" t="s">
        <v>214</v>
      </c>
      <c r="Q25" s="32"/>
      <c r="R25" s="32" t="s">
        <v>112</v>
      </c>
      <c r="S25" s="30" t="s">
        <v>215</v>
      </c>
      <c r="T25" s="32" t="s">
        <v>216</v>
      </c>
      <c r="U25" s="45">
        <v>163259</v>
      </c>
      <c r="V25" s="48" t="s">
        <v>217</v>
      </c>
      <c r="W25" s="35">
        <v>121992</v>
      </c>
      <c r="X25" s="36">
        <v>45267</v>
      </c>
      <c r="Y25" s="36">
        <v>45273</v>
      </c>
      <c r="Z25" s="36">
        <v>45273</v>
      </c>
      <c r="AA25" s="36">
        <v>45639</v>
      </c>
      <c r="AB25" s="36" t="s">
        <v>70</v>
      </c>
      <c r="AC25" s="36" t="s">
        <v>71</v>
      </c>
      <c r="AD25" s="37" t="s">
        <v>90</v>
      </c>
      <c r="AE25" s="30" t="s">
        <v>116</v>
      </c>
      <c r="AF25" s="30" t="s">
        <v>116</v>
      </c>
      <c r="AG25" s="38">
        <v>547593718.28999996</v>
      </c>
      <c r="AH25" s="38">
        <f>-10857905.7+62899991.32-0.06</f>
        <v>52042085.560000002</v>
      </c>
      <c r="AI25" s="38">
        <f t="shared" si="4"/>
        <v>599635803.8499999</v>
      </c>
      <c r="AJ25" s="38">
        <v>15609124.010000002</v>
      </c>
      <c r="AK25" s="66">
        <v>584026679.84000003</v>
      </c>
      <c r="AL25" s="38">
        <v>0</v>
      </c>
      <c r="AM25" s="38">
        <v>0</v>
      </c>
      <c r="AN25" s="38">
        <f t="shared" si="1"/>
        <v>0</v>
      </c>
      <c r="AO25" s="38"/>
      <c r="AP25" s="192">
        <v>6</v>
      </c>
      <c r="AQ25" s="66">
        <f>253157382.85-15609124.01+51140690.04</f>
        <v>288688948.88</v>
      </c>
      <c r="AR25" s="38">
        <v>51140690.039999999</v>
      </c>
      <c r="AS25" s="54">
        <f t="shared" si="3"/>
        <v>0.49</v>
      </c>
      <c r="AT25" s="65">
        <f t="shared" si="2"/>
        <v>295337730.96000004</v>
      </c>
      <c r="AU25" s="30" t="s">
        <v>218</v>
      </c>
      <c r="AV25" s="43" t="s">
        <v>219</v>
      </c>
      <c r="AW25" s="32"/>
    </row>
    <row r="26" spans="1:49" ht="99.75" x14ac:dyDescent="0.25">
      <c r="A26" s="47">
        <v>19</v>
      </c>
      <c r="B26" s="47">
        <v>19</v>
      </c>
      <c r="C26" s="63"/>
      <c r="D26" s="32"/>
      <c r="E26" s="29" t="s">
        <v>221</v>
      </c>
      <c r="F26" s="29" t="s">
        <v>221</v>
      </c>
      <c r="G26" s="29" t="s">
        <v>222</v>
      </c>
      <c r="H26" s="41" t="s">
        <v>59</v>
      </c>
      <c r="I26" s="41" t="s">
        <v>60</v>
      </c>
      <c r="J26" s="41">
        <v>2023</v>
      </c>
      <c r="K26" s="41">
        <v>246</v>
      </c>
      <c r="L26" s="29" t="s">
        <v>109</v>
      </c>
      <c r="M26" s="29" t="s">
        <v>2</v>
      </c>
      <c r="N26" s="32" t="s">
        <v>223</v>
      </c>
      <c r="O26" s="32" t="s">
        <v>204</v>
      </c>
      <c r="P26" s="32" t="s">
        <v>224</v>
      </c>
      <c r="Q26" s="32"/>
      <c r="R26" s="32" t="s">
        <v>64</v>
      </c>
      <c r="S26" s="30" t="s">
        <v>225</v>
      </c>
      <c r="T26" s="32" t="s">
        <v>226</v>
      </c>
      <c r="U26" s="45" t="s">
        <v>227</v>
      </c>
      <c r="V26" s="44" t="s">
        <v>228</v>
      </c>
      <c r="W26" s="35" t="s">
        <v>69</v>
      </c>
      <c r="X26" s="36">
        <v>45260</v>
      </c>
      <c r="Y26" s="36">
        <v>45265</v>
      </c>
      <c r="Z26" s="36" t="s">
        <v>70</v>
      </c>
      <c r="AA26" s="36">
        <v>45539</v>
      </c>
      <c r="AB26" s="36" t="s">
        <v>70</v>
      </c>
      <c r="AC26" s="36" t="s">
        <v>71</v>
      </c>
      <c r="AD26" s="37" t="s">
        <v>72</v>
      </c>
      <c r="AE26" s="30" t="s">
        <v>135</v>
      </c>
      <c r="AF26" s="30" t="s">
        <v>135</v>
      </c>
      <c r="AG26" s="38">
        <v>1272271483</v>
      </c>
      <c r="AH26" s="38">
        <v>0</v>
      </c>
      <c r="AI26" s="38">
        <f t="shared" si="4"/>
        <v>1272271483</v>
      </c>
      <c r="AJ26" s="38">
        <v>868916461</v>
      </c>
      <c r="AK26" s="66">
        <v>403355022</v>
      </c>
      <c r="AL26" s="38">
        <v>0</v>
      </c>
      <c r="AM26" s="38">
        <v>0</v>
      </c>
      <c r="AN26" s="38">
        <f t="shared" si="1"/>
        <v>0</v>
      </c>
      <c r="AO26" s="38"/>
      <c r="AP26" s="192">
        <v>0</v>
      </c>
      <c r="AQ26" s="66">
        <v>0</v>
      </c>
      <c r="AR26" s="38" t="s">
        <v>69</v>
      </c>
      <c r="AS26" s="54">
        <f t="shared" si="3"/>
        <v>0</v>
      </c>
      <c r="AT26" s="65">
        <f t="shared" si="2"/>
        <v>403355022</v>
      </c>
      <c r="AU26" s="30" t="s">
        <v>229</v>
      </c>
      <c r="AV26" s="43" t="s">
        <v>230</v>
      </c>
      <c r="AW26" s="118" t="s">
        <v>634</v>
      </c>
    </row>
    <row r="27" spans="1:49" ht="45" hidden="1" x14ac:dyDescent="0.25">
      <c r="A27" s="47">
        <v>20</v>
      </c>
      <c r="B27" s="47">
        <v>20</v>
      </c>
      <c r="C27" s="63"/>
      <c r="D27" s="32"/>
      <c r="E27" s="29" t="s">
        <v>93</v>
      </c>
      <c r="F27" s="29" t="s">
        <v>202</v>
      </c>
      <c r="G27" s="29" t="s">
        <v>231</v>
      </c>
      <c r="H27" s="41" t="s">
        <v>59</v>
      </c>
      <c r="I27" s="41" t="s">
        <v>60</v>
      </c>
      <c r="J27" s="41">
        <v>2023</v>
      </c>
      <c r="K27" s="41">
        <v>245</v>
      </c>
      <c r="L27" s="29" t="s">
        <v>109</v>
      </c>
      <c r="M27" s="29" t="s">
        <v>2</v>
      </c>
      <c r="N27" s="32" t="s">
        <v>61</v>
      </c>
      <c r="O27" s="32" t="s">
        <v>204</v>
      </c>
      <c r="P27" s="32" t="s">
        <v>232</v>
      </c>
      <c r="Q27" s="32"/>
      <c r="R27" s="32" t="s">
        <v>112</v>
      </c>
      <c r="S27" s="30" t="s">
        <v>233</v>
      </c>
      <c r="T27" s="32" t="s">
        <v>234</v>
      </c>
      <c r="U27" s="57">
        <v>206721</v>
      </c>
      <c r="V27" s="48" t="s">
        <v>235</v>
      </c>
      <c r="W27" s="35">
        <v>122184</v>
      </c>
      <c r="X27" s="36">
        <v>45271</v>
      </c>
      <c r="Y27" s="36">
        <v>45275</v>
      </c>
      <c r="Z27" s="36">
        <v>45275</v>
      </c>
      <c r="AA27" s="36">
        <v>45983</v>
      </c>
      <c r="AB27" s="36" t="s">
        <v>70</v>
      </c>
      <c r="AC27" s="36" t="s">
        <v>71</v>
      </c>
      <c r="AD27" s="37" t="s">
        <v>90</v>
      </c>
      <c r="AE27" s="30" t="s">
        <v>116</v>
      </c>
      <c r="AF27" s="30" t="s">
        <v>116</v>
      </c>
      <c r="AG27" s="38">
        <v>120685506.48</v>
      </c>
      <c r="AH27" s="38">
        <v>0</v>
      </c>
      <c r="AI27" s="38">
        <f t="shared" si="4"/>
        <v>120685506.48</v>
      </c>
      <c r="AJ27" s="38">
        <v>2742852.42</v>
      </c>
      <c r="AK27" s="66">
        <v>65828458.079999998</v>
      </c>
      <c r="AL27" s="38">
        <v>52114195.980000004</v>
      </c>
      <c r="AM27" s="38">
        <v>0</v>
      </c>
      <c r="AN27" s="38">
        <f t="shared" si="1"/>
        <v>0</v>
      </c>
      <c r="AO27" s="38"/>
      <c r="AP27" s="192">
        <v>6</v>
      </c>
      <c r="AQ27" s="66">
        <f>5485704.84*6</f>
        <v>32914229.039999999</v>
      </c>
      <c r="AR27" s="38">
        <v>5485704.8399999999</v>
      </c>
      <c r="AS27" s="54">
        <f t="shared" si="3"/>
        <v>0.5</v>
      </c>
      <c r="AT27" s="65">
        <f t="shared" si="2"/>
        <v>32914229.039999999</v>
      </c>
      <c r="AU27" s="30" t="s">
        <v>236</v>
      </c>
      <c r="AV27" s="43" t="s">
        <v>237</v>
      </c>
      <c r="AW27" s="32"/>
    </row>
    <row r="28" spans="1:49" ht="30" hidden="1" customHeight="1" x14ac:dyDescent="0.25">
      <c r="A28" s="47">
        <v>21</v>
      </c>
      <c r="B28" s="47">
        <v>21</v>
      </c>
      <c r="C28" s="63">
        <v>80111614</v>
      </c>
      <c r="D28" s="32" t="s">
        <v>81</v>
      </c>
      <c r="E28" s="29" t="s">
        <v>56</v>
      </c>
      <c r="F28" s="29" t="s">
        <v>238</v>
      </c>
      <c r="G28" s="29" t="s">
        <v>239</v>
      </c>
      <c r="H28" s="41" t="s">
        <v>59</v>
      </c>
      <c r="I28" s="41" t="s">
        <v>60</v>
      </c>
      <c r="J28" s="41">
        <v>2024</v>
      </c>
      <c r="K28" s="41">
        <v>83</v>
      </c>
      <c r="L28" s="29" t="s">
        <v>59</v>
      </c>
      <c r="M28" s="29" t="s">
        <v>3</v>
      </c>
      <c r="N28" s="32" t="s">
        <v>61</v>
      </c>
      <c r="O28" s="32" t="s">
        <v>204</v>
      </c>
      <c r="P28" s="32" t="s">
        <v>240</v>
      </c>
      <c r="Q28" s="32"/>
      <c r="R28" s="32" t="s">
        <v>64</v>
      </c>
      <c r="S28" s="30" t="s">
        <v>241</v>
      </c>
      <c r="T28" s="32" t="s">
        <v>242</v>
      </c>
      <c r="U28" s="45" t="s">
        <v>243</v>
      </c>
      <c r="V28" s="44" t="s">
        <v>244</v>
      </c>
      <c r="W28" s="35" t="s">
        <v>69</v>
      </c>
      <c r="X28" s="36">
        <v>45314</v>
      </c>
      <c r="Y28" s="36">
        <v>45315</v>
      </c>
      <c r="Z28" s="36">
        <v>45315</v>
      </c>
      <c r="AA28" s="36">
        <v>45646</v>
      </c>
      <c r="AB28" s="36" t="s">
        <v>70</v>
      </c>
      <c r="AC28" s="36" t="s">
        <v>71</v>
      </c>
      <c r="AD28" s="37" t="s">
        <v>90</v>
      </c>
      <c r="AE28" s="32" t="s">
        <v>73</v>
      </c>
      <c r="AF28" s="32" t="s">
        <v>73</v>
      </c>
      <c r="AG28" s="38">
        <v>101790360</v>
      </c>
      <c r="AH28" s="38">
        <v>0</v>
      </c>
      <c r="AI28" s="38">
        <f t="shared" si="4"/>
        <v>101790360</v>
      </c>
      <c r="AJ28" s="38">
        <v>0</v>
      </c>
      <c r="AK28" s="66">
        <v>101790360</v>
      </c>
      <c r="AL28" s="38">
        <v>0</v>
      </c>
      <c r="AM28" s="38">
        <v>101790360.76000001</v>
      </c>
      <c r="AN28" s="38">
        <f t="shared" si="1"/>
        <v>0.76000000536441803</v>
      </c>
      <c r="AO28" s="38"/>
      <c r="AP28" s="192">
        <v>6</v>
      </c>
      <c r="AQ28" s="66">
        <f>2159189.43+(AR28*5)</f>
        <v>48427534.43</v>
      </c>
      <c r="AR28" s="38">
        <v>9253669</v>
      </c>
      <c r="AS28" s="54">
        <f t="shared" si="3"/>
        <v>0.48</v>
      </c>
      <c r="AT28" s="65">
        <f t="shared" si="2"/>
        <v>53362825.57</v>
      </c>
      <c r="AU28" s="30" t="s">
        <v>245</v>
      </c>
      <c r="AV28" s="43" t="s">
        <v>246</v>
      </c>
      <c r="AW28" s="32"/>
    </row>
    <row r="29" spans="1:49" ht="99.75" hidden="1" x14ac:dyDescent="0.25">
      <c r="A29" s="47">
        <v>22</v>
      </c>
      <c r="B29" s="47">
        <v>22</v>
      </c>
      <c r="C29" s="63">
        <v>81112501</v>
      </c>
      <c r="D29" s="32" t="s">
        <v>258</v>
      </c>
      <c r="E29" s="29" t="s">
        <v>93</v>
      </c>
      <c r="F29" s="29" t="s">
        <v>259</v>
      </c>
      <c r="G29" s="29" t="s">
        <v>260</v>
      </c>
      <c r="H29" s="41" t="s">
        <v>59</v>
      </c>
      <c r="I29" s="41" t="s">
        <v>60</v>
      </c>
      <c r="J29" s="41">
        <v>2024</v>
      </c>
      <c r="K29" s="41">
        <v>86</v>
      </c>
      <c r="L29" s="29" t="s">
        <v>59</v>
      </c>
      <c r="M29" s="29" t="s">
        <v>3</v>
      </c>
      <c r="N29" s="32" t="s">
        <v>261</v>
      </c>
      <c r="O29" s="30" t="s">
        <v>71</v>
      </c>
      <c r="P29" s="126"/>
      <c r="Q29" s="126"/>
      <c r="R29" s="32" t="s">
        <v>64</v>
      </c>
      <c r="S29" s="30" t="s">
        <v>262</v>
      </c>
      <c r="T29" s="32" t="s">
        <v>263</v>
      </c>
      <c r="U29" s="46" t="s">
        <v>264</v>
      </c>
      <c r="V29" s="30" t="s">
        <v>265</v>
      </c>
      <c r="W29" s="35" t="s">
        <v>69</v>
      </c>
      <c r="X29" s="36">
        <v>45353</v>
      </c>
      <c r="Y29" s="36">
        <v>45357</v>
      </c>
      <c r="Z29" s="36">
        <v>45362</v>
      </c>
      <c r="AA29" s="36">
        <v>45641</v>
      </c>
      <c r="AB29" s="36" t="s">
        <v>266</v>
      </c>
      <c r="AC29" s="36">
        <v>46356</v>
      </c>
      <c r="AD29" s="37" t="s">
        <v>90</v>
      </c>
      <c r="AE29" s="30" t="s">
        <v>267</v>
      </c>
      <c r="AF29" s="30" t="s">
        <v>267</v>
      </c>
      <c r="AG29" s="38">
        <v>2427600</v>
      </c>
      <c r="AH29" s="38">
        <v>0</v>
      </c>
      <c r="AI29" s="38">
        <f t="shared" si="4"/>
        <v>2427600</v>
      </c>
      <c r="AJ29" s="38">
        <v>0</v>
      </c>
      <c r="AK29" s="66">
        <v>2427600</v>
      </c>
      <c r="AL29" s="38">
        <v>0</v>
      </c>
      <c r="AM29" s="38">
        <v>18371251</v>
      </c>
      <c r="AN29" s="38">
        <f t="shared" si="1"/>
        <v>15943651</v>
      </c>
      <c r="AO29" s="38" t="s">
        <v>268</v>
      </c>
      <c r="AP29" s="192">
        <v>4</v>
      </c>
      <c r="AQ29" s="66">
        <v>2427600</v>
      </c>
      <c r="AR29" s="38" t="s">
        <v>69</v>
      </c>
      <c r="AS29" s="54">
        <f t="shared" si="3"/>
        <v>1</v>
      </c>
      <c r="AT29" s="65">
        <f t="shared" si="2"/>
        <v>0</v>
      </c>
      <c r="AU29" s="30" t="s">
        <v>643</v>
      </c>
      <c r="AV29" s="43" t="s">
        <v>269</v>
      </c>
      <c r="AW29" s="118" t="s">
        <v>270</v>
      </c>
    </row>
    <row r="30" spans="1:49" ht="156.75" hidden="1" x14ac:dyDescent="0.25">
      <c r="A30" s="47">
        <v>23</v>
      </c>
      <c r="B30" s="47">
        <v>23</v>
      </c>
      <c r="C30" s="63" t="s">
        <v>271</v>
      </c>
      <c r="D30" s="32"/>
      <c r="E30" s="29" t="s">
        <v>647</v>
      </c>
      <c r="F30" s="29" t="s">
        <v>272</v>
      </c>
      <c r="G30" s="29" t="s">
        <v>273</v>
      </c>
      <c r="H30" s="41" t="s">
        <v>109</v>
      </c>
      <c r="I30" s="41" t="s">
        <v>274</v>
      </c>
      <c r="J30" s="41">
        <v>2024</v>
      </c>
      <c r="K30" s="41">
        <v>76</v>
      </c>
      <c r="L30" s="29" t="s">
        <v>59</v>
      </c>
      <c r="M30" s="29" t="s">
        <v>3</v>
      </c>
      <c r="N30" s="32" t="s">
        <v>275</v>
      </c>
      <c r="O30" s="30" t="s">
        <v>71</v>
      </c>
      <c r="P30" s="126">
        <v>45370</v>
      </c>
      <c r="Q30" s="126"/>
      <c r="R30" s="32" t="s">
        <v>64</v>
      </c>
      <c r="S30" s="30" t="s">
        <v>673</v>
      </c>
      <c r="T30" s="32" t="s">
        <v>277</v>
      </c>
      <c r="U30" s="45" t="s">
        <v>278</v>
      </c>
      <c r="V30" s="30" t="s">
        <v>279</v>
      </c>
      <c r="W30" s="35" t="s">
        <v>69</v>
      </c>
      <c r="X30" s="36">
        <v>45369</v>
      </c>
      <c r="Y30" s="36">
        <v>45370</v>
      </c>
      <c r="Z30" s="36">
        <v>45371</v>
      </c>
      <c r="AA30" s="36">
        <v>45385</v>
      </c>
      <c r="AB30" s="36">
        <v>45373</v>
      </c>
      <c r="AC30" s="36">
        <v>45738</v>
      </c>
      <c r="AD30" s="37" t="s">
        <v>90</v>
      </c>
      <c r="AE30" s="30" t="s">
        <v>267</v>
      </c>
      <c r="AF30" s="30" t="s">
        <v>267</v>
      </c>
      <c r="AG30" s="38">
        <v>2125000</v>
      </c>
      <c r="AH30" s="38">
        <v>0</v>
      </c>
      <c r="AI30" s="38">
        <f t="shared" si="4"/>
        <v>2125000</v>
      </c>
      <c r="AJ30" s="38">
        <v>0</v>
      </c>
      <c r="AK30" s="66">
        <v>2125000</v>
      </c>
      <c r="AL30" s="38">
        <v>0</v>
      </c>
      <c r="AM30" s="38">
        <v>2550000</v>
      </c>
      <c r="AN30" s="38">
        <f t="shared" si="1"/>
        <v>425000</v>
      </c>
      <c r="AO30" s="38" t="s">
        <v>280</v>
      </c>
      <c r="AP30" s="192">
        <v>1</v>
      </c>
      <c r="AQ30" s="66">
        <v>2125000</v>
      </c>
      <c r="AR30" s="38" t="s">
        <v>69</v>
      </c>
      <c r="AS30" s="54">
        <f t="shared" si="3"/>
        <v>1</v>
      </c>
      <c r="AT30" s="65">
        <f t="shared" si="2"/>
        <v>0</v>
      </c>
      <c r="AU30" s="30" t="s">
        <v>281</v>
      </c>
      <c r="AV30" s="133" t="s">
        <v>282</v>
      </c>
      <c r="AW30" s="32"/>
    </row>
    <row r="31" spans="1:49" ht="30" hidden="1" customHeight="1" x14ac:dyDescent="0.25">
      <c r="A31" s="47">
        <v>24</v>
      </c>
      <c r="B31" s="47">
        <v>24</v>
      </c>
      <c r="C31" s="63">
        <v>80111614</v>
      </c>
      <c r="D31" s="32" t="s">
        <v>283</v>
      </c>
      <c r="E31" s="29" t="s">
        <v>56</v>
      </c>
      <c r="F31" s="29" t="s">
        <v>82</v>
      </c>
      <c r="G31" s="29" t="s">
        <v>284</v>
      </c>
      <c r="H31" s="41" t="s">
        <v>59</v>
      </c>
      <c r="I31" s="41" t="s">
        <v>60</v>
      </c>
      <c r="J31" s="41">
        <v>2024</v>
      </c>
      <c r="K31" s="41">
        <v>105</v>
      </c>
      <c r="L31" s="29" t="s">
        <v>59</v>
      </c>
      <c r="M31" s="29" t="s">
        <v>3</v>
      </c>
      <c r="N31" s="32" t="s">
        <v>61</v>
      </c>
      <c r="O31" s="30" t="s">
        <v>675</v>
      </c>
      <c r="P31" s="32" t="s">
        <v>674</v>
      </c>
      <c r="Q31" s="32"/>
      <c r="R31" s="32" t="s">
        <v>64</v>
      </c>
      <c r="S31" s="30" t="s">
        <v>286</v>
      </c>
      <c r="T31" s="32" t="s">
        <v>287</v>
      </c>
      <c r="U31" s="46" t="s">
        <v>288</v>
      </c>
      <c r="V31" s="30" t="s">
        <v>289</v>
      </c>
      <c r="W31" s="35" t="s">
        <v>69</v>
      </c>
      <c r="X31" s="36">
        <v>45373</v>
      </c>
      <c r="Y31" s="36">
        <v>45385</v>
      </c>
      <c r="Z31" s="36" t="s">
        <v>70</v>
      </c>
      <c r="AA31" s="36">
        <v>45646</v>
      </c>
      <c r="AB31" s="36" t="s">
        <v>70</v>
      </c>
      <c r="AC31" s="36" t="s">
        <v>71</v>
      </c>
      <c r="AD31" s="37" t="s">
        <v>72</v>
      </c>
      <c r="AE31" s="32" t="s">
        <v>73</v>
      </c>
      <c r="AF31" s="30" t="s">
        <v>290</v>
      </c>
      <c r="AG31" s="38">
        <v>84000000</v>
      </c>
      <c r="AH31" s="38">
        <v>0</v>
      </c>
      <c r="AI31" s="38">
        <f t="shared" si="4"/>
        <v>84000000</v>
      </c>
      <c r="AJ31" s="38">
        <v>0</v>
      </c>
      <c r="AK31" s="66">
        <v>84000000</v>
      </c>
      <c r="AL31" s="38">
        <v>0</v>
      </c>
      <c r="AM31" s="38">
        <v>92400000</v>
      </c>
      <c r="AN31" s="38">
        <f t="shared" si="1"/>
        <v>8400000</v>
      </c>
      <c r="AO31" s="38" t="s">
        <v>291</v>
      </c>
      <c r="AP31" s="192">
        <v>4</v>
      </c>
      <c r="AQ31" s="66">
        <f>AR31*4</f>
        <v>33600000</v>
      </c>
      <c r="AR31" s="38">
        <v>8400000</v>
      </c>
      <c r="AS31" s="54">
        <f t="shared" si="3"/>
        <v>0.4</v>
      </c>
      <c r="AT31" s="65">
        <f t="shared" si="2"/>
        <v>50400000</v>
      </c>
      <c r="AU31" s="30" t="s">
        <v>292</v>
      </c>
      <c r="AV31" s="43" t="s">
        <v>293</v>
      </c>
      <c r="AW31" s="118" t="s">
        <v>665</v>
      </c>
    </row>
    <row r="32" spans="1:49" ht="30" hidden="1" customHeight="1" x14ac:dyDescent="0.25">
      <c r="A32" s="47">
        <v>25</v>
      </c>
      <c r="B32" s="47">
        <v>25</v>
      </c>
      <c r="C32" s="63">
        <v>80111614</v>
      </c>
      <c r="D32" s="32" t="s">
        <v>295</v>
      </c>
      <c r="E32" s="29" t="s">
        <v>56</v>
      </c>
      <c r="F32" s="29" t="s">
        <v>82</v>
      </c>
      <c r="G32" s="29" t="s">
        <v>296</v>
      </c>
      <c r="H32" s="41" t="s">
        <v>59</v>
      </c>
      <c r="I32" s="41" t="s">
        <v>60</v>
      </c>
      <c r="J32" s="41">
        <v>2024</v>
      </c>
      <c r="K32" s="41">
        <v>106</v>
      </c>
      <c r="L32" s="29" t="s">
        <v>59</v>
      </c>
      <c r="M32" s="29" t="s">
        <v>3</v>
      </c>
      <c r="N32" s="32" t="s">
        <v>297</v>
      </c>
      <c r="O32" s="30" t="s">
        <v>71</v>
      </c>
      <c r="P32" s="32"/>
      <c r="Q32" s="32"/>
      <c r="R32" s="32" t="s">
        <v>64</v>
      </c>
      <c r="S32" s="30" t="s">
        <v>298</v>
      </c>
      <c r="T32" s="32" t="s">
        <v>299</v>
      </c>
      <c r="U32" s="45" t="s">
        <v>300</v>
      </c>
      <c r="V32" s="34" t="s">
        <v>301</v>
      </c>
      <c r="W32" s="35" t="s">
        <v>69</v>
      </c>
      <c r="X32" s="36">
        <v>45373</v>
      </c>
      <c r="Y32" s="36">
        <v>45383</v>
      </c>
      <c r="Z32" s="36" t="s">
        <v>70</v>
      </c>
      <c r="AA32" s="36">
        <v>45646</v>
      </c>
      <c r="AB32" s="36" t="s">
        <v>70</v>
      </c>
      <c r="AC32" s="36" t="s">
        <v>71</v>
      </c>
      <c r="AD32" s="37" t="s">
        <v>72</v>
      </c>
      <c r="AE32" s="32" t="s">
        <v>73</v>
      </c>
      <c r="AF32" s="30" t="s">
        <v>302</v>
      </c>
      <c r="AG32" s="38">
        <v>140000000</v>
      </c>
      <c r="AH32" s="38">
        <v>0</v>
      </c>
      <c r="AI32" s="38">
        <f t="shared" si="4"/>
        <v>140000000</v>
      </c>
      <c r="AJ32" s="38">
        <v>0</v>
      </c>
      <c r="AK32" s="66">
        <v>140000000</v>
      </c>
      <c r="AL32" s="38">
        <v>0</v>
      </c>
      <c r="AM32" s="38">
        <v>140000000</v>
      </c>
      <c r="AN32" s="38">
        <f t="shared" si="1"/>
        <v>0</v>
      </c>
      <c r="AO32" s="38"/>
      <c r="AP32" s="192">
        <v>4</v>
      </c>
      <c r="AQ32" s="66">
        <f>AR32*4</f>
        <v>56000000</v>
      </c>
      <c r="AR32" s="38">
        <v>14000000</v>
      </c>
      <c r="AS32" s="54">
        <f t="shared" si="3"/>
        <v>0.4</v>
      </c>
      <c r="AT32" s="65">
        <f t="shared" si="2"/>
        <v>84000000</v>
      </c>
      <c r="AU32" s="30" t="s">
        <v>303</v>
      </c>
      <c r="AV32" s="43" t="s">
        <v>304</v>
      </c>
      <c r="AW32" s="118" t="s">
        <v>294</v>
      </c>
    </row>
    <row r="33" spans="1:49" ht="85.5" x14ac:dyDescent="0.25">
      <c r="A33" s="47">
        <v>26</v>
      </c>
      <c r="B33" s="47">
        <v>26</v>
      </c>
      <c r="C33" s="63">
        <v>81111801</v>
      </c>
      <c r="D33" s="32" t="s">
        <v>283</v>
      </c>
      <c r="E33" s="29" t="s">
        <v>305</v>
      </c>
      <c r="F33" s="29" t="s">
        <v>305</v>
      </c>
      <c r="G33" s="29" t="s">
        <v>306</v>
      </c>
      <c r="H33" s="41" t="s">
        <v>59</v>
      </c>
      <c r="I33" s="41" t="s">
        <v>60</v>
      </c>
      <c r="J33" s="41">
        <v>2024</v>
      </c>
      <c r="K33" s="41">
        <v>101</v>
      </c>
      <c r="L33" s="29" t="s">
        <v>59</v>
      </c>
      <c r="M33" s="29" t="s">
        <v>3</v>
      </c>
      <c r="N33" s="32" t="s">
        <v>307</v>
      </c>
      <c r="O33" s="32" t="s">
        <v>676</v>
      </c>
      <c r="P33" s="118" t="s">
        <v>671</v>
      </c>
      <c r="Q33" s="118"/>
      <c r="R33" s="32" t="s">
        <v>64</v>
      </c>
      <c r="S33" s="30" t="s">
        <v>308</v>
      </c>
      <c r="T33" s="32" t="s">
        <v>309</v>
      </c>
      <c r="U33" s="45" t="s">
        <v>310</v>
      </c>
      <c r="V33" s="45" t="s">
        <v>428</v>
      </c>
      <c r="W33" s="45" t="s">
        <v>311</v>
      </c>
      <c r="X33" s="36">
        <v>45411</v>
      </c>
      <c r="Y33" s="36">
        <v>45420</v>
      </c>
      <c r="Z33" s="36">
        <v>45420</v>
      </c>
      <c r="AA33" s="36">
        <v>45626</v>
      </c>
      <c r="AB33" s="36" t="s">
        <v>70</v>
      </c>
      <c r="AC33" s="36" t="s">
        <v>71</v>
      </c>
      <c r="AD33" s="37" t="s">
        <v>72</v>
      </c>
      <c r="AE33" s="30" t="s">
        <v>116</v>
      </c>
      <c r="AF33" s="30" t="s">
        <v>116</v>
      </c>
      <c r="AG33" s="38">
        <v>669139863.29999995</v>
      </c>
      <c r="AH33" s="38">
        <v>0</v>
      </c>
      <c r="AI33" s="38">
        <f t="shared" si="4"/>
        <v>669139863.29999995</v>
      </c>
      <c r="AJ33" s="38">
        <v>0</v>
      </c>
      <c r="AK33" s="66">
        <v>669139863.29999995</v>
      </c>
      <c r="AL33" s="38">
        <v>0</v>
      </c>
      <c r="AM33" s="38">
        <v>700000000</v>
      </c>
      <c r="AN33" s="38">
        <f t="shared" si="1"/>
        <v>30860136.700000048</v>
      </c>
      <c r="AO33" s="38" t="s">
        <v>313</v>
      </c>
      <c r="AP33" s="192">
        <v>2</v>
      </c>
      <c r="AQ33" s="66">
        <f>420202623.83+50893109.13</f>
        <v>471095732.95999998</v>
      </c>
      <c r="AR33" s="38" t="s">
        <v>69</v>
      </c>
      <c r="AS33" s="54">
        <f t="shared" si="3"/>
        <v>0.7</v>
      </c>
      <c r="AT33" s="65">
        <f t="shared" si="2"/>
        <v>198044130.33999997</v>
      </c>
      <c r="AU33" s="30" t="s">
        <v>314</v>
      </c>
      <c r="AV33" s="43" t="s">
        <v>315</v>
      </c>
      <c r="AW33" s="32"/>
    </row>
    <row r="34" spans="1:49" ht="30" hidden="1" customHeight="1" x14ac:dyDescent="0.25">
      <c r="A34" s="47">
        <v>28</v>
      </c>
      <c r="B34" s="47">
        <v>28</v>
      </c>
      <c r="C34" s="63">
        <v>80111614</v>
      </c>
      <c r="D34" s="32" t="s">
        <v>283</v>
      </c>
      <c r="E34" s="29" t="s">
        <v>56</v>
      </c>
      <c r="F34" s="29" t="s">
        <v>82</v>
      </c>
      <c r="G34" s="29" t="s">
        <v>331</v>
      </c>
      <c r="H34" s="41" t="s">
        <v>59</v>
      </c>
      <c r="I34" s="41" t="s">
        <v>60</v>
      </c>
      <c r="J34" s="41">
        <v>2024</v>
      </c>
      <c r="K34" s="41">
        <v>154</v>
      </c>
      <c r="L34" s="29" t="s">
        <v>59</v>
      </c>
      <c r="M34" s="29" t="s">
        <v>3</v>
      </c>
      <c r="N34" s="32" t="s">
        <v>61</v>
      </c>
      <c r="O34" s="30" t="s">
        <v>675</v>
      </c>
      <c r="P34" s="32" t="s">
        <v>674</v>
      </c>
      <c r="Q34" s="32"/>
      <c r="R34" s="32" t="s">
        <v>64</v>
      </c>
      <c r="S34" s="30" t="s">
        <v>332</v>
      </c>
      <c r="T34" s="32" t="s">
        <v>333</v>
      </c>
      <c r="U34" s="46" t="s">
        <v>334</v>
      </c>
      <c r="V34" s="30" t="s">
        <v>335</v>
      </c>
      <c r="W34" s="35" t="s">
        <v>69</v>
      </c>
      <c r="X34" s="36">
        <v>45397</v>
      </c>
      <c r="Y34" s="36">
        <v>45400</v>
      </c>
      <c r="Z34" s="36" t="s">
        <v>70</v>
      </c>
      <c r="AA34" s="36">
        <v>45646</v>
      </c>
      <c r="AB34" s="36" t="s">
        <v>70</v>
      </c>
      <c r="AC34" s="36" t="s">
        <v>71</v>
      </c>
      <c r="AD34" s="37" t="s">
        <v>72</v>
      </c>
      <c r="AE34" s="32" t="s">
        <v>73</v>
      </c>
      <c r="AF34" s="30" t="s">
        <v>336</v>
      </c>
      <c r="AG34" s="38">
        <v>76000000</v>
      </c>
      <c r="AH34" s="38">
        <v>0</v>
      </c>
      <c r="AI34" s="38">
        <f t="shared" si="4"/>
        <v>76000000</v>
      </c>
      <c r="AJ34" s="38">
        <v>0</v>
      </c>
      <c r="AK34" s="66">
        <v>76000000</v>
      </c>
      <c r="AL34" s="38">
        <v>0</v>
      </c>
      <c r="AM34" s="38">
        <f>AK34+AL34</f>
        <v>76000000</v>
      </c>
      <c r="AN34" s="38">
        <f t="shared" si="1"/>
        <v>0</v>
      </c>
      <c r="AO34" s="38"/>
      <c r="AP34" s="192">
        <v>2</v>
      </c>
      <c r="AQ34" s="66">
        <f>AR34*2</f>
        <v>19000000</v>
      </c>
      <c r="AR34" s="38">
        <v>9500000</v>
      </c>
      <c r="AS34" s="54">
        <f t="shared" si="3"/>
        <v>0.25</v>
      </c>
      <c r="AT34" s="65">
        <f t="shared" si="2"/>
        <v>57000000</v>
      </c>
      <c r="AU34" s="30" t="s">
        <v>337</v>
      </c>
      <c r="AV34" s="43" t="s">
        <v>338</v>
      </c>
      <c r="AW34" s="32" t="s">
        <v>666</v>
      </c>
    </row>
    <row r="35" spans="1:49" ht="30" hidden="1" customHeight="1" x14ac:dyDescent="0.25">
      <c r="A35" s="47">
        <v>29</v>
      </c>
      <c r="B35" s="47">
        <v>29</v>
      </c>
      <c r="C35" s="63">
        <v>80111614</v>
      </c>
      <c r="D35" s="32" t="s">
        <v>81</v>
      </c>
      <c r="E35" s="29" t="s">
        <v>56</v>
      </c>
      <c r="F35" s="29" t="s">
        <v>305</v>
      </c>
      <c r="G35" s="29" t="s">
        <v>340</v>
      </c>
      <c r="H35" s="41" t="s">
        <v>59</v>
      </c>
      <c r="I35" s="41" t="s">
        <v>60</v>
      </c>
      <c r="J35" s="41">
        <v>2024</v>
      </c>
      <c r="K35" s="41">
        <v>181</v>
      </c>
      <c r="L35" s="29" t="s">
        <v>59</v>
      </c>
      <c r="M35" s="29" t="s">
        <v>3</v>
      </c>
      <c r="N35" s="32" t="s">
        <v>195</v>
      </c>
      <c r="O35" s="32" t="s">
        <v>676</v>
      </c>
      <c r="P35" s="32" t="s">
        <v>670</v>
      </c>
      <c r="Q35" s="32"/>
      <c r="R35" s="32" t="s">
        <v>64</v>
      </c>
      <c r="S35" s="30" t="s">
        <v>341</v>
      </c>
      <c r="T35" s="32" t="s">
        <v>342</v>
      </c>
      <c r="U35" s="57" t="s">
        <v>343</v>
      </c>
      <c r="V35" s="48" t="s">
        <v>344</v>
      </c>
      <c r="W35" s="35" t="s">
        <v>69</v>
      </c>
      <c r="X35" s="36">
        <v>45427</v>
      </c>
      <c r="Y35" s="36">
        <v>45428</v>
      </c>
      <c r="Z35" s="36">
        <v>45428</v>
      </c>
      <c r="AA35" s="36">
        <v>45644</v>
      </c>
      <c r="AB35" s="36" t="s">
        <v>70</v>
      </c>
      <c r="AC35" s="36" t="s">
        <v>71</v>
      </c>
      <c r="AD35" s="37" t="s">
        <v>90</v>
      </c>
      <c r="AE35" s="32" t="s">
        <v>73</v>
      </c>
      <c r="AF35" s="30" t="s">
        <v>511</v>
      </c>
      <c r="AG35" s="38">
        <v>75000000</v>
      </c>
      <c r="AH35" s="38">
        <v>13750000</v>
      </c>
      <c r="AI35" s="38">
        <f t="shared" si="4"/>
        <v>88750000</v>
      </c>
      <c r="AJ35" s="38">
        <v>0</v>
      </c>
      <c r="AK35" s="66">
        <v>88750000</v>
      </c>
      <c r="AL35" s="38">
        <v>0</v>
      </c>
      <c r="AM35" s="38">
        <v>75000000</v>
      </c>
      <c r="AN35" s="38">
        <f t="shared" si="1"/>
        <v>0</v>
      </c>
      <c r="AO35" s="38"/>
      <c r="AP35" s="192">
        <v>3</v>
      </c>
      <c r="AQ35" s="66">
        <f>6250000+(AR35*2)</f>
        <v>31250000</v>
      </c>
      <c r="AR35" s="38">
        <v>12500000</v>
      </c>
      <c r="AS35" s="54">
        <f t="shared" si="3"/>
        <v>0.35</v>
      </c>
      <c r="AT35" s="65">
        <f t="shared" si="2"/>
        <v>57500000</v>
      </c>
      <c r="AU35" s="30" t="s">
        <v>346</v>
      </c>
      <c r="AV35" s="43" t="s">
        <v>347</v>
      </c>
      <c r="AW35" s="32"/>
    </row>
    <row r="36" spans="1:49" ht="101.45" hidden="1" customHeight="1" x14ac:dyDescent="0.25">
      <c r="A36" s="47">
        <v>30</v>
      </c>
      <c r="B36" s="47">
        <v>30</v>
      </c>
      <c r="C36" s="63">
        <v>81112200</v>
      </c>
      <c r="D36" s="32" t="s">
        <v>258</v>
      </c>
      <c r="E36" s="29" t="s">
        <v>647</v>
      </c>
      <c r="F36" s="29" t="s">
        <v>272</v>
      </c>
      <c r="G36" s="29" t="s">
        <v>365</v>
      </c>
      <c r="H36" s="41" t="s">
        <v>59</v>
      </c>
      <c r="I36" s="41" t="s">
        <v>60</v>
      </c>
      <c r="J36" s="41">
        <v>2024</v>
      </c>
      <c r="K36" s="41">
        <v>85</v>
      </c>
      <c r="L36" s="29" t="s">
        <v>59</v>
      </c>
      <c r="M36" s="29" t="s">
        <v>5</v>
      </c>
      <c r="N36" s="32" t="s">
        <v>61</v>
      </c>
      <c r="O36" s="32" t="s">
        <v>366</v>
      </c>
      <c r="P36" s="32" t="s">
        <v>587</v>
      </c>
      <c r="Q36" s="32"/>
      <c r="R36" s="32" t="s">
        <v>64</v>
      </c>
      <c r="S36" s="30" t="s">
        <v>633</v>
      </c>
      <c r="T36" s="32" t="s">
        <v>368</v>
      </c>
      <c r="U36" s="46" t="s">
        <v>588</v>
      </c>
      <c r="V36" s="48" t="s">
        <v>590</v>
      </c>
      <c r="W36" s="35" t="s">
        <v>69</v>
      </c>
      <c r="X36" s="36">
        <v>45451</v>
      </c>
      <c r="Y36" s="36">
        <v>45457</v>
      </c>
      <c r="Z36" s="36">
        <v>45462</v>
      </c>
      <c r="AA36" s="36">
        <v>45476</v>
      </c>
      <c r="AB36" s="36">
        <v>45464</v>
      </c>
      <c r="AC36" s="36">
        <v>45829</v>
      </c>
      <c r="AD36" s="37" t="s">
        <v>90</v>
      </c>
      <c r="AE36" s="30" t="s">
        <v>267</v>
      </c>
      <c r="AF36" s="30" t="s">
        <v>267</v>
      </c>
      <c r="AG36" s="38">
        <v>9591400</v>
      </c>
      <c r="AH36" s="38">
        <v>0</v>
      </c>
      <c r="AI36" s="38">
        <f t="shared" si="4"/>
        <v>9591400</v>
      </c>
      <c r="AJ36" s="38">
        <v>0</v>
      </c>
      <c r="AK36" s="66">
        <f>AI36+AJ36</f>
        <v>9591400</v>
      </c>
      <c r="AL36" s="38">
        <v>0</v>
      </c>
      <c r="AM36" s="38">
        <v>20000000</v>
      </c>
      <c r="AN36" s="38">
        <f t="shared" si="1"/>
        <v>10408600</v>
      </c>
      <c r="AO36" s="157" t="s">
        <v>586</v>
      </c>
      <c r="AP36" s="192">
        <v>1</v>
      </c>
      <c r="AQ36" s="66">
        <v>9591400</v>
      </c>
      <c r="AR36" s="38" t="s">
        <v>69</v>
      </c>
      <c r="AS36" s="54">
        <f t="shared" si="3"/>
        <v>1</v>
      </c>
      <c r="AT36" s="65">
        <f t="shared" si="2"/>
        <v>0</v>
      </c>
      <c r="AU36" s="30" t="s">
        <v>430</v>
      </c>
      <c r="AV36" s="43" t="s">
        <v>589</v>
      </c>
      <c r="AW36" s="32"/>
    </row>
    <row r="37" spans="1:49" ht="90" x14ac:dyDescent="0.25">
      <c r="A37" s="47">
        <v>31</v>
      </c>
      <c r="B37" s="47">
        <v>31</v>
      </c>
      <c r="C37" s="63">
        <v>81111801</v>
      </c>
      <c r="D37" s="32" t="s">
        <v>660</v>
      </c>
      <c r="E37" s="29" t="s">
        <v>371</v>
      </c>
      <c r="F37" s="29" t="s">
        <v>369</v>
      </c>
      <c r="G37" s="29" t="s">
        <v>370</v>
      </c>
      <c r="H37" s="41" t="s">
        <v>59</v>
      </c>
      <c r="I37" s="41" t="s">
        <v>60</v>
      </c>
      <c r="J37" s="41">
        <v>2024</v>
      </c>
      <c r="K37" s="41">
        <v>102</v>
      </c>
      <c r="L37" s="29" t="s">
        <v>59</v>
      </c>
      <c r="M37" s="29" t="s">
        <v>5</v>
      </c>
      <c r="N37" s="32" t="s">
        <v>61</v>
      </c>
      <c r="O37" s="32" t="s">
        <v>275</v>
      </c>
      <c r="P37" s="32"/>
      <c r="Q37" s="32"/>
      <c r="R37" s="32" t="s">
        <v>64</v>
      </c>
      <c r="S37" s="30" t="s">
        <v>308</v>
      </c>
      <c r="T37" s="32" t="s">
        <v>372</v>
      </c>
      <c r="U37" s="45" t="s">
        <v>659</v>
      </c>
      <c r="V37" s="56" t="s">
        <v>662</v>
      </c>
      <c r="W37" s="35" t="s">
        <v>69</v>
      </c>
      <c r="X37" s="36">
        <v>45485</v>
      </c>
      <c r="Y37" s="36">
        <v>45491</v>
      </c>
      <c r="Z37" s="36" t="s">
        <v>70</v>
      </c>
      <c r="AA37" s="36">
        <v>45639</v>
      </c>
      <c r="AB37" s="36" t="s">
        <v>70</v>
      </c>
      <c r="AC37" s="36" t="s">
        <v>71</v>
      </c>
      <c r="AD37" s="37" t="s">
        <v>72</v>
      </c>
      <c r="AE37" s="30" t="s">
        <v>135</v>
      </c>
      <c r="AF37" s="30" t="s">
        <v>302</v>
      </c>
      <c r="AG37" s="38">
        <v>99651170</v>
      </c>
      <c r="AH37" s="38">
        <v>0</v>
      </c>
      <c r="AI37" s="38">
        <f>AG37+AH37</f>
        <v>99651170</v>
      </c>
      <c r="AJ37" s="38">
        <v>0</v>
      </c>
      <c r="AK37" s="66">
        <f>AI37</f>
        <v>99651170</v>
      </c>
      <c r="AL37" s="38">
        <v>0</v>
      </c>
      <c r="AM37" s="38">
        <v>100000000</v>
      </c>
      <c r="AN37" s="38">
        <f t="shared" si="1"/>
        <v>348830</v>
      </c>
      <c r="AO37" s="38" t="s">
        <v>667</v>
      </c>
      <c r="AP37" s="192">
        <v>0</v>
      </c>
      <c r="AQ37" s="66">
        <v>0</v>
      </c>
      <c r="AR37" s="38" t="s">
        <v>69</v>
      </c>
      <c r="AS37" s="54">
        <f t="shared" si="3"/>
        <v>0</v>
      </c>
      <c r="AT37" s="65">
        <f t="shared" si="2"/>
        <v>99651170</v>
      </c>
      <c r="AU37" s="30" t="s">
        <v>663</v>
      </c>
      <c r="AV37" s="43" t="s">
        <v>661</v>
      </c>
      <c r="AW37" s="118"/>
    </row>
    <row r="38" spans="1:49" ht="129" customHeight="1" x14ac:dyDescent="0.25">
      <c r="A38" s="47">
        <v>32</v>
      </c>
      <c r="B38" s="47">
        <v>32</v>
      </c>
      <c r="C38" s="63" t="s">
        <v>348</v>
      </c>
      <c r="D38" s="32" t="s">
        <v>283</v>
      </c>
      <c r="E38" s="29" t="s">
        <v>714</v>
      </c>
      <c r="F38" s="29" t="s">
        <v>107</v>
      </c>
      <c r="G38" s="29" t="s">
        <v>352</v>
      </c>
      <c r="H38" s="41" t="s">
        <v>59</v>
      </c>
      <c r="I38" s="41" t="s">
        <v>60</v>
      </c>
      <c r="J38" s="41">
        <v>2024</v>
      </c>
      <c r="K38" s="41">
        <v>177</v>
      </c>
      <c r="L38" s="29" t="s">
        <v>59</v>
      </c>
      <c r="M38" s="29" t="s">
        <v>3</v>
      </c>
      <c r="N38" s="32" t="s">
        <v>61</v>
      </c>
      <c r="O38" s="32" t="s">
        <v>195</v>
      </c>
      <c r="P38" s="32" t="s">
        <v>684</v>
      </c>
      <c r="Q38" s="32"/>
      <c r="R38" s="32" t="s">
        <v>64</v>
      </c>
      <c r="S38" s="30" t="s">
        <v>683</v>
      </c>
      <c r="T38" s="32" t="s">
        <v>354</v>
      </c>
      <c r="U38" s="30" t="s">
        <v>679</v>
      </c>
      <c r="V38" s="27" t="s">
        <v>682</v>
      </c>
      <c r="W38" s="68">
        <v>131057</v>
      </c>
      <c r="X38" s="36">
        <v>45492</v>
      </c>
      <c r="Y38" s="36">
        <v>45496</v>
      </c>
      <c r="Z38" s="198">
        <v>45498</v>
      </c>
      <c r="AA38" s="36">
        <v>45653</v>
      </c>
      <c r="AB38" s="36" t="s">
        <v>70</v>
      </c>
      <c r="AC38" s="36" t="s">
        <v>71</v>
      </c>
      <c r="AD38" s="37" t="s">
        <v>72</v>
      </c>
      <c r="AE38" s="30" t="s">
        <v>312</v>
      </c>
      <c r="AF38" s="30" t="s">
        <v>312</v>
      </c>
      <c r="AG38" s="38">
        <v>997302719.26999998</v>
      </c>
      <c r="AH38" s="38">
        <v>0</v>
      </c>
      <c r="AI38" s="38">
        <f>AG38+AH38</f>
        <v>997302719.26999998</v>
      </c>
      <c r="AJ38" s="38">
        <v>0</v>
      </c>
      <c r="AK38" s="66">
        <v>997302719.26999998</v>
      </c>
      <c r="AL38" s="38">
        <v>0</v>
      </c>
      <c r="AM38" s="38">
        <v>1398000000</v>
      </c>
      <c r="AN38" s="38">
        <f t="shared" si="1"/>
        <v>400697280.73000002</v>
      </c>
      <c r="AO38" s="38" t="s">
        <v>746</v>
      </c>
      <c r="AP38" s="68">
        <v>0</v>
      </c>
      <c r="AQ38" s="66">
        <v>0</v>
      </c>
      <c r="AR38" s="38" t="s">
        <v>69</v>
      </c>
      <c r="AS38" s="54">
        <f t="shared" si="3"/>
        <v>0</v>
      </c>
      <c r="AT38" s="65">
        <f t="shared" si="2"/>
        <v>997302719.26999998</v>
      </c>
      <c r="AU38" s="30" t="s">
        <v>677</v>
      </c>
      <c r="AV38" s="43" t="s">
        <v>678</v>
      </c>
      <c r="AW38" s="32"/>
    </row>
    <row r="39" spans="1:49" ht="99.75" x14ac:dyDescent="0.25">
      <c r="A39" s="47">
        <v>36</v>
      </c>
      <c r="B39" s="47">
        <v>1</v>
      </c>
      <c r="C39" s="63">
        <v>80111614</v>
      </c>
      <c r="D39" s="32">
        <v>80111614</v>
      </c>
      <c r="E39" s="29" t="s">
        <v>369</v>
      </c>
      <c r="F39" s="29" t="s">
        <v>369</v>
      </c>
      <c r="G39" s="29" t="s">
        <v>374</v>
      </c>
      <c r="H39" s="41" t="s">
        <v>59</v>
      </c>
      <c r="I39" s="41" t="s">
        <v>60</v>
      </c>
      <c r="J39" s="41">
        <v>2024</v>
      </c>
      <c r="K39" s="41">
        <v>97</v>
      </c>
      <c r="L39" s="29" t="s">
        <v>59</v>
      </c>
      <c r="M39" s="29" t="s">
        <v>3</v>
      </c>
      <c r="N39" s="32" t="s">
        <v>61</v>
      </c>
      <c r="O39" s="32" t="s">
        <v>307</v>
      </c>
      <c r="P39" s="32" t="s">
        <v>763</v>
      </c>
      <c r="Q39" s="32"/>
      <c r="R39" s="32" t="s">
        <v>64</v>
      </c>
      <c r="S39" s="30" t="s">
        <v>680</v>
      </c>
      <c r="T39" s="32" t="s">
        <v>376</v>
      </c>
      <c r="U39" s="46" t="s">
        <v>679</v>
      </c>
      <c r="V39" s="30" t="s">
        <v>748</v>
      </c>
      <c r="W39" s="35" t="s">
        <v>69</v>
      </c>
      <c r="X39" s="36">
        <v>45526</v>
      </c>
      <c r="Y39" s="36">
        <v>45531</v>
      </c>
      <c r="Z39" s="36">
        <v>45531</v>
      </c>
      <c r="AA39" s="36">
        <v>45646</v>
      </c>
      <c r="AB39" s="36" t="s">
        <v>70</v>
      </c>
      <c r="AC39" s="36" t="s">
        <v>70</v>
      </c>
      <c r="AD39" s="37" t="s">
        <v>72</v>
      </c>
      <c r="AE39" s="30" t="s">
        <v>135</v>
      </c>
      <c r="AF39" s="30" t="s">
        <v>359</v>
      </c>
      <c r="AG39" s="38">
        <v>349914578</v>
      </c>
      <c r="AH39" s="38">
        <v>0</v>
      </c>
      <c r="AI39" s="38">
        <f>AG39+AH39</f>
        <v>349914578</v>
      </c>
      <c r="AJ39" s="38">
        <v>0</v>
      </c>
      <c r="AK39" s="66">
        <v>349914578</v>
      </c>
      <c r="AL39" s="38">
        <v>0</v>
      </c>
      <c r="AM39" s="38">
        <v>350000000</v>
      </c>
      <c r="AN39" s="38">
        <f t="shared" si="1"/>
        <v>85422</v>
      </c>
      <c r="AO39" s="38"/>
      <c r="AP39" s="68">
        <v>0</v>
      </c>
      <c r="AQ39" s="66"/>
      <c r="AR39" s="38"/>
      <c r="AS39" s="54">
        <f t="shared" si="3"/>
        <v>0</v>
      </c>
      <c r="AT39" s="65">
        <f>AK39-AQ39</f>
        <v>349914578</v>
      </c>
      <c r="AU39" s="30" t="s">
        <v>664</v>
      </c>
      <c r="AV39" s="43" t="s">
        <v>747</v>
      </c>
      <c r="AW39" s="118"/>
    </row>
    <row r="40" spans="1:49" ht="147" customHeight="1" x14ac:dyDescent="0.25">
      <c r="A40" s="47">
        <v>44</v>
      </c>
      <c r="B40" s="47">
        <v>9</v>
      </c>
      <c r="C40" s="63">
        <v>43231500</v>
      </c>
      <c r="D40" s="32" t="s">
        <v>283</v>
      </c>
      <c r="E40" s="29" t="s">
        <v>126</v>
      </c>
      <c r="F40" s="29" t="s">
        <v>126</v>
      </c>
      <c r="G40" s="29" t="s">
        <v>355</v>
      </c>
      <c r="H40" s="41" t="s">
        <v>59</v>
      </c>
      <c r="I40" s="41" t="s">
        <v>60</v>
      </c>
      <c r="J40" s="41">
        <v>2024</v>
      </c>
      <c r="K40" s="41">
        <v>99</v>
      </c>
      <c r="L40" s="29" t="s">
        <v>59</v>
      </c>
      <c r="M40" s="29" t="s">
        <v>3</v>
      </c>
      <c r="N40" s="32" t="s">
        <v>755</v>
      </c>
      <c r="O40" s="32" t="s">
        <v>749</v>
      </c>
      <c r="P40" s="208">
        <v>45564</v>
      </c>
      <c r="Q40" s="32"/>
      <c r="R40" s="32" t="s">
        <v>64</v>
      </c>
      <c r="S40" s="30" t="s">
        <v>750</v>
      </c>
      <c r="T40" s="32" t="s">
        <v>751</v>
      </c>
      <c r="U40" s="45" t="s">
        <v>753</v>
      </c>
      <c r="V40" s="27" t="s">
        <v>754</v>
      </c>
      <c r="W40" s="35" t="s">
        <v>69</v>
      </c>
      <c r="X40" s="36">
        <v>45558</v>
      </c>
      <c r="Y40" s="36">
        <v>45561</v>
      </c>
      <c r="Z40" s="36">
        <v>45568</v>
      </c>
      <c r="AA40" s="36">
        <v>45930</v>
      </c>
      <c r="AB40" s="36" t="s">
        <v>70</v>
      </c>
      <c r="AC40" s="36" t="s">
        <v>71</v>
      </c>
      <c r="AD40" s="37" t="s">
        <v>72</v>
      </c>
      <c r="AE40" s="30" t="s">
        <v>135</v>
      </c>
      <c r="AF40" s="30" t="s">
        <v>359</v>
      </c>
      <c r="AG40" s="38">
        <v>3081000000</v>
      </c>
      <c r="AH40" s="38">
        <v>0</v>
      </c>
      <c r="AI40" s="38">
        <f>AG40+AH40</f>
        <v>3081000000</v>
      </c>
      <c r="AJ40" s="38">
        <v>0</v>
      </c>
      <c r="AK40" s="66">
        <v>924300000</v>
      </c>
      <c r="AL40" s="38">
        <v>2156700000</v>
      </c>
      <c r="AM40" s="38">
        <v>2245889285</v>
      </c>
      <c r="AN40" s="38">
        <f t="shared" si="1"/>
        <v>-835110715</v>
      </c>
      <c r="AO40" s="213">
        <v>45532</v>
      </c>
      <c r="AP40" s="68">
        <v>0</v>
      </c>
      <c r="AQ40" s="66"/>
      <c r="AR40" s="38"/>
      <c r="AS40" s="54">
        <f t="shared" si="3"/>
        <v>0</v>
      </c>
      <c r="AT40" s="65">
        <f>AK40-AQ40</f>
        <v>924300000</v>
      </c>
      <c r="AU40" s="30" t="s">
        <v>360</v>
      </c>
      <c r="AV40" s="43" t="s">
        <v>752</v>
      </c>
      <c r="AW40" s="32" t="s">
        <v>761</v>
      </c>
    </row>
    <row r="41" spans="1:49" ht="192.6" customHeight="1" x14ac:dyDescent="0.25">
      <c r="A41" s="47">
        <v>45</v>
      </c>
      <c r="B41" s="47">
        <v>10</v>
      </c>
      <c r="C41" s="63">
        <v>80101600</v>
      </c>
      <c r="D41" s="32" t="s">
        <v>283</v>
      </c>
      <c r="E41" s="29" t="s">
        <v>361</v>
      </c>
      <c r="F41" s="29" t="s">
        <v>361</v>
      </c>
      <c r="G41" s="29" t="s">
        <v>362</v>
      </c>
      <c r="H41" s="41" t="s">
        <v>59</v>
      </c>
      <c r="I41" s="41" t="s">
        <v>60</v>
      </c>
      <c r="J41" s="41">
        <v>2024</v>
      </c>
      <c r="K41" s="41">
        <v>100</v>
      </c>
      <c r="L41" s="29" t="s">
        <v>59</v>
      </c>
      <c r="M41" s="29" t="s">
        <v>3</v>
      </c>
      <c r="N41" s="210" t="s">
        <v>755</v>
      </c>
      <c r="O41" s="210" t="s">
        <v>749</v>
      </c>
      <c r="P41" s="211">
        <v>45566</v>
      </c>
      <c r="Q41" s="32"/>
      <c r="R41" s="32" t="s">
        <v>64</v>
      </c>
      <c r="S41" s="30" t="s">
        <v>756</v>
      </c>
      <c r="T41" s="32" t="s">
        <v>363</v>
      </c>
      <c r="U41" s="45" t="s">
        <v>758</v>
      </c>
      <c r="V41" s="212" t="s">
        <v>757</v>
      </c>
      <c r="W41" s="35" t="s">
        <v>69</v>
      </c>
      <c r="X41" s="36">
        <v>45561</v>
      </c>
      <c r="Y41" s="36">
        <v>45562</v>
      </c>
      <c r="Z41" s="36">
        <v>45568</v>
      </c>
      <c r="AA41" s="36">
        <v>45596</v>
      </c>
      <c r="AB41" s="36" t="s">
        <v>70</v>
      </c>
      <c r="AC41" s="36" t="s">
        <v>71</v>
      </c>
      <c r="AD41" s="37" t="s">
        <v>72</v>
      </c>
      <c r="AE41" s="30" t="s">
        <v>135</v>
      </c>
      <c r="AF41" s="30" t="s">
        <v>359</v>
      </c>
      <c r="AG41" s="38">
        <v>1057872578</v>
      </c>
      <c r="AH41" s="38">
        <v>0</v>
      </c>
      <c r="AI41" s="38">
        <f t="shared" ref="AI41:AI42" si="5">AG41+AH41</f>
        <v>1057872578</v>
      </c>
      <c r="AJ41" s="38">
        <v>0</v>
      </c>
      <c r="AK41" s="66">
        <v>302249308</v>
      </c>
      <c r="AL41" s="38">
        <v>755623270</v>
      </c>
      <c r="AM41" s="38">
        <v>696150000</v>
      </c>
      <c r="AN41" s="38">
        <f t="shared" si="1"/>
        <v>-361722578</v>
      </c>
      <c r="AO41" s="209">
        <v>45520</v>
      </c>
      <c r="AP41" s="68">
        <v>0</v>
      </c>
      <c r="AQ41" s="66"/>
      <c r="AR41" s="38"/>
      <c r="AS41" s="54">
        <f t="shared" si="3"/>
        <v>0</v>
      </c>
      <c r="AT41" s="65">
        <f>AK41-AQ41</f>
        <v>302249308</v>
      </c>
      <c r="AU41" s="30" t="s">
        <v>364</v>
      </c>
      <c r="AV41" s="43" t="s">
        <v>759</v>
      </c>
      <c r="AW41" s="32" t="s">
        <v>760</v>
      </c>
    </row>
    <row r="42" spans="1:49" ht="192.6" hidden="1" customHeight="1" x14ac:dyDescent="0.25">
      <c r="A42" s="47"/>
      <c r="B42" s="47"/>
      <c r="C42" s="3">
        <v>80111614</v>
      </c>
      <c r="D42" s="32" t="s">
        <v>81</v>
      </c>
      <c r="E42" s="29" t="s">
        <v>56</v>
      </c>
      <c r="F42" s="29" t="s">
        <v>765</v>
      </c>
      <c r="G42" s="29" t="s">
        <v>766</v>
      </c>
      <c r="H42" s="41" t="s">
        <v>59</v>
      </c>
      <c r="I42" s="41" t="s">
        <v>60</v>
      </c>
      <c r="J42" s="41">
        <v>2024</v>
      </c>
      <c r="K42" s="41">
        <v>238</v>
      </c>
      <c r="L42" s="29" t="s">
        <v>59</v>
      </c>
      <c r="M42" s="29" t="s">
        <v>3</v>
      </c>
      <c r="N42" s="210" t="s">
        <v>61</v>
      </c>
      <c r="O42" s="210" t="s">
        <v>307</v>
      </c>
      <c r="P42" s="211">
        <v>45564</v>
      </c>
      <c r="Q42" s="32"/>
      <c r="R42" s="32" t="s">
        <v>64</v>
      </c>
      <c r="S42" s="30" t="s">
        <v>767</v>
      </c>
      <c r="T42" s="3" t="s">
        <v>764</v>
      </c>
      <c r="U42" s="45" t="s">
        <v>770</v>
      </c>
      <c r="V42" s="27" t="s">
        <v>768</v>
      </c>
      <c r="W42" s="35" t="s">
        <v>69</v>
      </c>
      <c r="X42" s="36">
        <v>45562</v>
      </c>
      <c r="Y42" s="36">
        <v>45562</v>
      </c>
      <c r="Z42" s="36">
        <v>45566</v>
      </c>
      <c r="AA42" s="36">
        <v>45646</v>
      </c>
      <c r="AB42" s="36" t="s">
        <v>70</v>
      </c>
      <c r="AC42" s="36" t="s">
        <v>71</v>
      </c>
      <c r="AD42" s="37" t="s">
        <v>90</v>
      </c>
      <c r="AE42" s="32" t="s">
        <v>73</v>
      </c>
      <c r="AF42" s="30" t="s">
        <v>511</v>
      </c>
      <c r="AG42" s="38">
        <v>33000000</v>
      </c>
      <c r="AH42" s="38">
        <v>0</v>
      </c>
      <c r="AI42" s="38">
        <f t="shared" si="5"/>
        <v>33000000</v>
      </c>
      <c r="AJ42" s="38">
        <v>0</v>
      </c>
      <c r="AK42" s="66">
        <v>33000000</v>
      </c>
      <c r="AL42" s="38">
        <v>0</v>
      </c>
      <c r="AM42" s="38">
        <v>33000000</v>
      </c>
      <c r="AN42" s="38">
        <f t="shared" si="1"/>
        <v>0</v>
      </c>
      <c r="AO42" s="209"/>
      <c r="AP42" s="68">
        <v>0</v>
      </c>
      <c r="AQ42" s="66"/>
      <c r="AR42" s="38">
        <v>9000000</v>
      </c>
      <c r="AS42" s="54">
        <f t="shared" si="3"/>
        <v>0</v>
      </c>
      <c r="AT42" s="65">
        <f>AK42-AQ42</f>
        <v>33000000</v>
      </c>
      <c r="AU42" s="47">
        <v>202400008633</v>
      </c>
      <c r="AV42" s="43" t="s">
        <v>769</v>
      </c>
      <c r="AW42" s="32"/>
    </row>
    <row r="43" spans="1:49" ht="120" hidden="1" x14ac:dyDescent="0.25">
      <c r="A43" s="47">
        <v>37</v>
      </c>
      <c r="B43" s="47">
        <v>2</v>
      </c>
      <c r="C43" s="63" t="s">
        <v>378</v>
      </c>
      <c r="D43" s="32" t="s">
        <v>379</v>
      </c>
      <c r="E43" s="29" t="s">
        <v>647</v>
      </c>
      <c r="F43" s="29" t="s">
        <v>305</v>
      </c>
      <c r="G43" s="29" t="s">
        <v>380</v>
      </c>
      <c r="H43" s="41" t="s">
        <v>59</v>
      </c>
      <c r="I43" s="41" t="s">
        <v>60</v>
      </c>
      <c r="J43" s="41">
        <v>2024</v>
      </c>
      <c r="K43" s="41">
        <v>84</v>
      </c>
      <c r="L43" s="29" t="s">
        <v>59</v>
      </c>
      <c r="M43" s="29" t="s">
        <v>3</v>
      </c>
      <c r="N43" s="32" t="s">
        <v>699</v>
      </c>
      <c r="O43" s="32" t="s">
        <v>71</v>
      </c>
      <c r="P43" s="32" t="s">
        <v>704</v>
      </c>
      <c r="Q43" s="32"/>
      <c r="R43" s="32" t="s">
        <v>64</v>
      </c>
      <c r="S43" s="30" t="s">
        <v>786</v>
      </c>
      <c r="T43" s="32" t="s">
        <v>381</v>
      </c>
      <c r="U43" s="57" t="s">
        <v>787</v>
      </c>
      <c r="V43" s="30" t="s">
        <v>788</v>
      </c>
      <c r="W43" s="35" t="s">
        <v>69</v>
      </c>
      <c r="X43" s="36">
        <v>45538</v>
      </c>
      <c r="Y43" s="36">
        <v>45539</v>
      </c>
      <c r="Z43" s="36">
        <v>45539</v>
      </c>
      <c r="AA43" s="36">
        <v>45571</v>
      </c>
      <c r="AB43" s="36" t="s">
        <v>70</v>
      </c>
      <c r="AC43" s="36" t="s">
        <v>70</v>
      </c>
      <c r="AD43" s="37" t="s">
        <v>90</v>
      </c>
      <c r="AE43" s="30" t="s">
        <v>267</v>
      </c>
      <c r="AF43" s="30" t="s">
        <v>267</v>
      </c>
      <c r="AG43" s="38">
        <v>3520000</v>
      </c>
      <c r="AH43" s="38">
        <v>0</v>
      </c>
      <c r="AI43" s="38">
        <f>AG43+AH43</f>
        <v>3520000</v>
      </c>
      <c r="AJ43" s="38">
        <v>0</v>
      </c>
      <c r="AK43" s="66">
        <v>4500000</v>
      </c>
      <c r="AL43" s="38">
        <v>0</v>
      </c>
      <c r="AM43" s="38">
        <v>4500000</v>
      </c>
      <c r="AN43" s="38">
        <f t="shared" si="1"/>
        <v>980000</v>
      </c>
      <c r="AO43" s="209">
        <v>45544</v>
      </c>
      <c r="AP43" s="68">
        <v>0</v>
      </c>
      <c r="AQ43" s="66">
        <v>3520000</v>
      </c>
      <c r="AR43" s="38">
        <v>3520000</v>
      </c>
      <c r="AS43" s="54">
        <f t="shared" si="3"/>
        <v>0.78</v>
      </c>
      <c r="AT43" s="65">
        <f>AK43-AQ43</f>
        <v>980000</v>
      </c>
      <c r="AU43" s="30" t="s">
        <v>789</v>
      </c>
      <c r="AV43" s="218" t="s">
        <v>745</v>
      </c>
      <c r="AW43" s="118" t="s">
        <v>672</v>
      </c>
    </row>
    <row r="44" spans="1:49" ht="85.5" hidden="1" x14ac:dyDescent="0.25">
      <c r="A44" s="47">
        <v>42</v>
      </c>
      <c r="B44" s="47">
        <v>7</v>
      </c>
      <c r="C44" s="63">
        <v>80111614</v>
      </c>
      <c r="D44" s="32" t="s">
        <v>283</v>
      </c>
      <c r="E44" s="29" t="s">
        <v>56</v>
      </c>
      <c r="F44" s="29" t="s">
        <v>82</v>
      </c>
      <c r="G44" s="29" t="s">
        <v>331</v>
      </c>
      <c r="H44" s="41" t="s">
        <v>59</v>
      </c>
      <c r="I44" s="41" t="s">
        <v>60</v>
      </c>
      <c r="J44" s="41">
        <v>2024</v>
      </c>
      <c r="K44" s="41">
        <v>202</v>
      </c>
      <c r="L44" s="29" t="s">
        <v>59</v>
      </c>
      <c r="M44" s="29" t="s">
        <v>3</v>
      </c>
      <c r="N44" s="32" t="s">
        <v>61</v>
      </c>
      <c r="O44" s="32" t="s">
        <v>71</v>
      </c>
      <c r="P44" s="32" t="s">
        <v>697</v>
      </c>
      <c r="Q44" s="32"/>
      <c r="R44" s="32" t="s">
        <v>64</v>
      </c>
      <c r="S44" s="30" t="s">
        <v>791</v>
      </c>
      <c r="T44" s="32" t="s">
        <v>609</v>
      </c>
      <c r="U44" s="33" t="s">
        <v>792</v>
      </c>
      <c r="V44" s="46" t="s">
        <v>790</v>
      </c>
      <c r="W44" s="35" t="s">
        <v>69</v>
      </c>
      <c r="X44" s="36">
        <v>45534</v>
      </c>
      <c r="Y44" s="36">
        <v>45539</v>
      </c>
      <c r="Z44" s="36">
        <v>45539</v>
      </c>
      <c r="AA44" s="36">
        <v>45646</v>
      </c>
      <c r="AB44" s="36" t="s">
        <v>70</v>
      </c>
      <c r="AC44" s="36" t="s">
        <v>70</v>
      </c>
      <c r="AD44" s="37" t="s">
        <v>72</v>
      </c>
      <c r="AE44" s="32" t="s">
        <v>73</v>
      </c>
      <c r="AF44" s="30" t="s">
        <v>302</v>
      </c>
      <c r="AG44" s="38">
        <v>69000000</v>
      </c>
      <c r="AH44" s="38">
        <v>0</v>
      </c>
      <c r="AI44" s="38">
        <f t="shared" ref="AI44:AI45" si="6">AG44+AH44</f>
        <v>69000000</v>
      </c>
      <c r="AJ44" s="38">
        <v>0</v>
      </c>
      <c r="AK44" s="66">
        <v>69000000</v>
      </c>
      <c r="AL44" s="38">
        <v>0</v>
      </c>
      <c r="AM44" s="38">
        <v>86000000</v>
      </c>
      <c r="AN44" s="38">
        <f t="shared" si="1"/>
        <v>17000000</v>
      </c>
      <c r="AO44" s="209">
        <v>45520</v>
      </c>
      <c r="AP44" s="68">
        <v>0</v>
      </c>
      <c r="AQ44" s="38">
        <v>0</v>
      </c>
      <c r="AR44" s="38">
        <v>17000000</v>
      </c>
      <c r="AS44" s="54">
        <f t="shared" si="3"/>
        <v>0</v>
      </c>
      <c r="AT44" s="38">
        <v>0</v>
      </c>
      <c r="AU44" s="47">
        <v>202400002938</v>
      </c>
      <c r="AV44" s="219" t="s">
        <v>793</v>
      </c>
      <c r="AW44" s="32" t="s">
        <v>794</v>
      </c>
    </row>
    <row r="45" spans="1:49" ht="105" hidden="1" x14ac:dyDescent="0.25">
      <c r="A45" s="47">
        <v>43</v>
      </c>
      <c r="B45" s="47">
        <v>8</v>
      </c>
      <c r="C45" s="63">
        <v>80111614</v>
      </c>
      <c r="D45" s="32" t="s">
        <v>613</v>
      </c>
      <c r="E45" s="29" t="s">
        <v>56</v>
      </c>
      <c r="F45" s="29" t="s">
        <v>82</v>
      </c>
      <c r="G45" s="29" t="s">
        <v>331</v>
      </c>
      <c r="H45" s="41" t="s">
        <v>59</v>
      </c>
      <c r="I45" s="41" t="s">
        <v>60</v>
      </c>
      <c r="J45" s="41">
        <v>2024</v>
      </c>
      <c r="K45" s="41">
        <v>203</v>
      </c>
      <c r="L45" s="29" t="s">
        <v>59</v>
      </c>
      <c r="M45" s="29" t="s">
        <v>3</v>
      </c>
      <c r="N45" s="32" t="s">
        <v>61</v>
      </c>
      <c r="O45" s="32" t="s">
        <v>71</v>
      </c>
      <c r="P45" s="32" t="s">
        <v>696</v>
      </c>
      <c r="Q45" s="32"/>
      <c r="R45" s="32" t="s">
        <v>64</v>
      </c>
      <c r="S45" s="30" t="s">
        <v>795</v>
      </c>
      <c r="T45" s="32" t="s">
        <v>610</v>
      </c>
      <c r="U45" s="46" t="s">
        <v>796</v>
      </c>
      <c r="V45" s="46" t="s">
        <v>797</v>
      </c>
      <c r="W45" s="35" t="s">
        <v>69</v>
      </c>
      <c r="X45" s="36">
        <v>45547</v>
      </c>
      <c r="Y45" s="36">
        <v>45547</v>
      </c>
      <c r="Z45" s="36">
        <v>45547</v>
      </c>
      <c r="AA45" s="36">
        <v>45646</v>
      </c>
      <c r="AB45" s="36" t="s">
        <v>70</v>
      </c>
      <c r="AC45" s="36" t="s">
        <v>70</v>
      </c>
      <c r="AD45" s="37" t="s">
        <v>72</v>
      </c>
      <c r="AE45" s="32" t="s">
        <v>73</v>
      </c>
      <c r="AF45" s="30" t="s">
        <v>336</v>
      </c>
      <c r="AG45" s="38">
        <v>69000000</v>
      </c>
      <c r="AH45" s="38">
        <v>0</v>
      </c>
      <c r="AI45" s="38">
        <f t="shared" si="6"/>
        <v>69000000</v>
      </c>
      <c r="AJ45" s="38">
        <v>0</v>
      </c>
      <c r="AK45" s="66">
        <v>69000000</v>
      </c>
      <c r="AL45" s="38">
        <v>0</v>
      </c>
      <c r="AM45" s="38">
        <v>86000000</v>
      </c>
      <c r="AN45" s="38">
        <f t="shared" si="1"/>
        <v>17000000</v>
      </c>
      <c r="AO45" s="209">
        <v>45520</v>
      </c>
      <c r="AP45" s="68">
        <v>0</v>
      </c>
      <c r="AQ45" s="38">
        <v>0</v>
      </c>
      <c r="AR45" s="38">
        <v>17000000</v>
      </c>
      <c r="AS45" s="54">
        <f t="shared" si="3"/>
        <v>0</v>
      </c>
      <c r="AT45" s="38">
        <v>0</v>
      </c>
      <c r="AU45" s="30" t="s">
        <v>799</v>
      </c>
      <c r="AV45" s="218" t="s">
        <v>798</v>
      </c>
      <c r="AW45" s="32" t="s">
        <v>794</v>
      </c>
    </row>
    <row r="46" spans="1:49" ht="42.75" hidden="1" x14ac:dyDescent="0.25">
      <c r="A46" s="47">
        <v>46</v>
      </c>
      <c r="B46" s="47">
        <v>11</v>
      </c>
      <c r="C46" s="63">
        <v>81112501</v>
      </c>
      <c r="D46" s="32" t="s">
        <v>379</v>
      </c>
      <c r="E46" s="29" t="s">
        <v>647</v>
      </c>
      <c r="F46" s="29" t="s">
        <v>272</v>
      </c>
      <c r="G46" s="29" t="s">
        <v>384</v>
      </c>
      <c r="H46" s="41" t="s">
        <v>59</v>
      </c>
      <c r="I46" s="41" t="s">
        <v>60</v>
      </c>
      <c r="J46" s="41">
        <v>2024</v>
      </c>
      <c r="K46" s="41">
        <v>88</v>
      </c>
      <c r="L46" s="29" t="s">
        <v>59</v>
      </c>
      <c r="M46" s="29" t="s">
        <v>3</v>
      </c>
      <c r="N46" s="32" t="s">
        <v>699</v>
      </c>
      <c r="O46" s="32" t="s">
        <v>71</v>
      </c>
      <c r="P46" s="32" t="s">
        <v>702</v>
      </c>
      <c r="Q46" s="32"/>
      <c r="R46" s="32" t="s">
        <v>64</v>
      </c>
      <c r="S46" s="30" t="s">
        <v>801</v>
      </c>
      <c r="T46" s="32" t="s">
        <v>386</v>
      </c>
      <c r="U46" s="45"/>
      <c r="V46" s="34" t="s">
        <v>802</v>
      </c>
      <c r="W46" s="35" t="s">
        <v>69</v>
      </c>
      <c r="X46" s="36">
        <v>45596</v>
      </c>
      <c r="Y46" s="36">
        <v>45602</v>
      </c>
      <c r="Z46" s="36">
        <v>45604</v>
      </c>
      <c r="AA46" s="36">
        <v>45634</v>
      </c>
      <c r="AB46" s="36" t="s">
        <v>70</v>
      </c>
      <c r="AC46" s="36" t="s">
        <v>71</v>
      </c>
      <c r="AD46" s="37" t="s">
        <v>90</v>
      </c>
      <c r="AE46" s="30" t="s">
        <v>267</v>
      </c>
      <c r="AF46" s="30" t="s">
        <v>267</v>
      </c>
      <c r="AG46" s="38">
        <v>13527900</v>
      </c>
      <c r="AH46" s="38">
        <v>0</v>
      </c>
      <c r="AI46" s="38">
        <f>AG46+AH46</f>
        <v>13527900</v>
      </c>
      <c r="AJ46" s="38">
        <v>0</v>
      </c>
      <c r="AK46" s="38">
        <v>18000000</v>
      </c>
      <c r="AL46" s="38">
        <v>0</v>
      </c>
      <c r="AM46" s="38">
        <v>18000000</v>
      </c>
      <c r="AN46" s="38">
        <f>IF(L46="Si",(AM46-AG46),0)</f>
        <v>4472100</v>
      </c>
      <c r="AO46" s="209">
        <v>45609</v>
      </c>
      <c r="AP46" s="68">
        <v>0</v>
      </c>
      <c r="AQ46" s="38">
        <v>13527900</v>
      </c>
      <c r="AR46" s="38">
        <v>13527900</v>
      </c>
      <c r="AS46" s="54">
        <f>IF(AK46=0,0,ROUND(AQ46/AK46,2))</f>
        <v>0.75</v>
      </c>
      <c r="AT46" s="65">
        <f>AK46-AQ46</f>
        <v>4472100</v>
      </c>
      <c r="AU46" s="30"/>
      <c r="AV46" s="218"/>
      <c r="AW46" s="32" t="s">
        <v>803</v>
      </c>
    </row>
    <row r="47" spans="1:49" ht="72" hidden="1" customHeight="1" x14ac:dyDescent="0.25">
      <c r="A47" s="47">
        <v>27</v>
      </c>
      <c r="B47" s="47">
        <v>27</v>
      </c>
      <c r="C47" s="151">
        <v>80111614</v>
      </c>
      <c r="D47" s="152" t="s">
        <v>283</v>
      </c>
      <c r="E47" s="153" t="s">
        <v>56</v>
      </c>
      <c r="F47" s="153" t="s">
        <v>82</v>
      </c>
      <c r="G47" s="153" t="s">
        <v>316</v>
      </c>
      <c r="H47" s="154" t="s">
        <v>59</v>
      </c>
      <c r="I47" s="154" t="s">
        <v>60</v>
      </c>
      <c r="J47" s="154">
        <v>2024</v>
      </c>
      <c r="K47" s="154">
        <v>153</v>
      </c>
      <c r="L47" s="153" t="s">
        <v>59</v>
      </c>
      <c r="M47" s="153" t="s">
        <v>3</v>
      </c>
      <c r="N47" s="152" t="s">
        <v>61</v>
      </c>
      <c r="O47" s="155" t="s">
        <v>675</v>
      </c>
      <c r="P47" s="152" t="s">
        <v>674</v>
      </c>
      <c r="Q47" s="152"/>
      <c r="R47" s="152" t="s">
        <v>64</v>
      </c>
      <c r="S47" s="155" t="s">
        <v>318</v>
      </c>
      <c r="T47" s="152" t="s">
        <v>319</v>
      </c>
      <c r="U47" s="46" t="s">
        <v>320</v>
      </c>
      <c r="V47" s="30" t="s">
        <v>321</v>
      </c>
      <c r="W47" s="35" t="s">
        <v>69</v>
      </c>
      <c r="X47" s="36">
        <v>45392</v>
      </c>
      <c r="Y47" s="36">
        <v>45393</v>
      </c>
      <c r="Z47" s="36" t="s">
        <v>70</v>
      </c>
      <c r="AA47" s="36">
        <v>45575</v>
      </c>
      <c r="AB47" s="36" t="s">
        <v>70</v>
      </c>
      <c r="AC47" s="36" t="s">
        <v>71</v>
      </c>
      <c r="AD47" s="37" t="s">
        <v>72</v>
      </c>
      <c r="AE47" s="32" t="s">
        <v>73</v>
      </c>
      <c r="AF47" s="30" t="s">
        <v>302</v>
      </c>
      <c r="AG47" s="38">
        <v>51000000</v>
      </c>
      <c r="AH47" s="38">
        <v>-17000000</v>
      </c>
      <c r="AI47" s="38">
        <f>AG47+AH47</f>
        <v>34000000</v>
      </c>
      <c r="AJ47" s="38">
        <v>0</v>
      </c>
      <c r="AK47" s="66">
        <v>34000000</v>
      </c>
      <c r="AL47" s="38">
        <v>0</v>
      </c>
      <c r="AM47" s="38">
        <v>51000000</v>
      </c>
      <c r="AN47" s="38">
        <f t="shared" si="1"/>
        <v>0</v>
      </c>
      <c r="AO47" s="38"/>
      <c r="AP47" s="192">
        <v>2</v>
      </c>
      <c r="AQ47" s="66">
        <f>AR47*2</f>
        <v>17000000</v>
      </c>
      <c r="AR47" s="38">
        <v>8500000</v>
      </c>
      <c r="AS47" s="54">
        <f t="shared" si="3"/>
        <v>0.5</v>
      </c>
      <c r="AT47" s="65">
        <f>AK47-AQ47</f>
        <v>17000000</v>
      </c>
      <c r="AU47" s="30" t="s">
        <v>322</v>
      </c>
      <c r="AV47" s="43" t="s">
        <v>323</v>
      </c>
      <c r="AW47" s="32" t="s">
        <v>719</v>
      </c>
    </row>
    <row r="48" spans="1:49" ht="120" hidden="1" x14ac:dyDescent="0.25">
      <c r="A48" s="47">
        <v>33</v>
      </c>
      <c r="B48" s="47">
        <v>33</v>
      </c>
      <c r="C48" s="151">
        <v>80111614</v>
      </c>
      <c r="D48" s="152" t="s">
        <v>283</v>
      </c>
      <c r="E48" s="153" t="s">
        <v>56</v>
      </c>
      <c r="F48" s="153" t="s">
        <v>82</v>
      </c>
      <c r="G48" s="153" t="s">
        <v>316</v>
      </c>
      <c r="H48" s="154" t="s">
        <v>59</v>
      </c>
      <c r="I48" s="154" t="s">
        <v>60</v>
      </c>
      <c r="J48" s="154">
        <v>2024</v>
      </c>
      <c r="K48" s="154">
        <v>152</v>
      </c>
      <c r="L48" s="153" t="s">
        <v>59</v>
      </c>
      <c r="M48" s="153" t="s">
        <v>3</v>
      </c>
      <c r="N48" s="152" t="s">
        <v>317</v>
      </c>
      <c r="O48" s="152" t="s">
        <v>71</v>
      </c>
      <c r="P48" s="152"/>
      <c r="Q48" s="152"/>
      <c r="R48" s="152" t="s">
        <v>64</v>
      </c>
      <c r="S48" s="155" t="s">
        <v>325</v>
      </c>
      <c r="T48" s="152" t="s">
        <v>326</v>
      </c>
      <c r="U48" s="46" t="s">
        <v>327</v>
      </c>
      <c r="V48" s="30" t="s">
        <v>328</v>
      </c>
      <c r="W48" s="35" t="s">
        <v>69</v>
      </c>
      <c r="X48" s="36">
        <v>45397</v>
      </c>
      <c r="Y48" s="36">
        <v>45398</v>
      </c>
      <c r="Z48" s="36" t="s">
        <v>70</v>
      </c>
      <c r="AA48" s="144">
        <v>45577</v>
      </c>
      <c r="AB48" s="36" t="s">
        <v>70</v>
      </c>
      <c r="AC48" s="36" t="s">
        <v>71</v>
      </c>
      <c r="AD48" s="37" t="s">
        <v>72</v>
      </c>
      <c r="AE48" s="32" t="s">
        <v>73</v>
      </c>
      <c r="AF48" s="30" t="s">
        <v>302</v>
      </c>
      <c r="AG48" s="38">
        <v>51000000</v>
      </c>
      <c r="AH48" s="38">
        <v>-42500000</v>
      </c>
      <c r="AI48" s="38">
        <f t="shared" si="4"/>
        <v>8500000</v>
      </c>
      <c r="AJ48" s="38">
        <v>0</v>
      </c>
      <c r="AK48" s="66">
        <v>8500000</v>
      </c>
      <c r="AL48" s="38">
        <v>0</v>
      </c>
      <c r="AM48" s="38">
        <v>51000000</v>
      </c>
      <c r="AN48" s="38">
        <f t="shared" si="1"/>
        <v>0</v>
      </c>
      <c r="AO48" s="38" t="s">
        <v>614</v>
      </c>
      <c r="AP48" s="192">
        <v>0</v>
      </c>
      <c r="AQ48" s="66">
        <v>8500000</v>
      </c>
      <c r="AR48" s="38">
        <v>8500000</v>
      </c>
      <c r="AS48" s="54">
        <f t="shared" si="3"/>
        <v>1</v>
      </c>
      <c r="AT48" s="65">
        <f t="shared" si="2"/>
        <v>0</v>
      </c>
      <c r="AU48" s="30" t="s">
        <v>329</v>
      </c>
      <c r="AV48" s="43" t="s">
        <v>330</v>
      </c>
      <c r="AW48" s="118" t="s">
        <v>429</v>
      </c>
    </row>
    <row r="49" spans="1:49" ht="75" hidden="1" x14ac:dyDescent="0.25">
      <c r="A49" s="47">
        <v>34</v>
      </c>
      <c r="B49" s="47">
        <v>34</v>
      </c>
      <c r="C49" s="151">
        <v>80111614</v>
      </c>
      <c r="D49" s="152" t="s">
        <v>283</v>
      </c>
      <c r="E49" s="153" t="s">
        <v>56</v>
      </c>
      <c r="F49" s="153" t="s">
        <v>57</v>
      </c>
      <c r="G49" s="153" t="s">
        <v>58</v>
      </c>
      <c r="H49" s="154" t="s">
        <v>59</v>
      </c>
      <c r="I49" s="154" t="s">
        <v>60</v>
      </c>
      <c r="J49" s="154">
        <v>2024</v>
      </c>
      <c r="K49" s="154">
        <v>38</v>
      </c>
      <c r="L49" s="153" t="s">
        <v>59</v>
      </c>
      <c r="M49" s="153" t="s">
        <v>3</v>
      </c>
      <c r="N49" s="152" t="s">
        <v>61</v>
      </c>
      <c r="O49" s="152" t="s">
        <v>62</v>
      </c>
      <c r="P49" s="152" t="s">
        <v>63</v>
      </c>
      <c r="Q49" s="152"/>
      <c r="R49" s="152" t="s">
        <v>64</v>
      </c>
      <c r="S49" s="153" t="s">
        <v>431</v>
      </c>
      <c r="T49" s="152" t="s">
        <v>66</v>
      </c>
      <c r="U49" s="46" t="s">
        <v>432</v>
      </c>
      <c r="V49" s="30" t="s">
        <v>433</v>
      </c>
      <c r="W49" s="35" t="s">
        <v>69</v>
      </c>
      <c r="X49" s="36">
        <v>45329</v>
      </c>
      <c r="Y49" s="36">
        <v>45330</v>
      </c>
      <c r="Z49" s="36" t="s">
        <v>70</v>
      </c>
      <c r="AA49" s="36">
        <v>45473</v>
      </c>
      <c r="AB49" s="36" t="s">
        <v>70</v>
      </c>
      <c r="AC49" s="36" t="s">
        <v>71</v>
      </c>
      <c r="AD49" s="37" t="s">
        <v>72</v>
      </c>
      <c r="AE49" s="32" t="s">
        <v>73</v>
      </c>
      <c r="AF49" s="32" t="s">
        <v>73</v>
      </c>
      <c r="AG49" s="38">
        <v>47500000</v>
      </c>
      <c r="AH49" s="38">
        <v>-47500000</v>
      </c>
      <c r="AI49" s="38">
        <f t="shared" si="4"/>
        <v>0</v>
      </c>
      <c r="AJ49" s="38">
        <v>0</v>
      </c>
      <c r="AK49" s="66">
        <v>0</v>
      </c>
      <c r="AL49" s="38">
        <v>0</v>
      </c>
      <c r="AM49" s="38">
        <v>0</v>
      </c>
      <c r="AN49" s="38">
        <f>AI49-AM49</f>
        <v>0</v>
      </c>
      <c r="AO49" s="38"/>
      <c r="AP49" s="192">
        <v>0</v>
      </c>
      <c r="AQ49" s="66">
        <v>0</v>
      </c>
      <c r="AR49" s="38">
        <v>11875000</v>
      </c>
      <c r="AS49" s="54">
        <f t="shared" si="3"/>
        <v>0</v>
      </c>
      <c r="AT49" s="65">
        <f t="shared" si="2"/>
        <v>0</v>
      </c>
      <c r="AU49" s="30" t="s">
        <v>434</v>
      </c>
      <c r="AV49" s="43" t="s">
        <v>435</v>
      </c>
      <c r="AW49" s="32" t="s">
        <v>436</v>
      </c>
    </row>
    <row r="50" spans="1:49" ht="150" hidden="1" x14ac:dyDescent="0.25">
      <c r="A50" s="47">
        <v>35</v>
      </c>
      <c r="B50" s="47">
        <v>35</v>
      </c>
      <c r="C50" s="151"/>
      <c r="D50" s="152"/>
      <c r="E50" s="153" t="s">
        <v>56</v>
      </c>
      <c r="F50" s="153" t="s">
        <v>57</v>
      </c>
      <c r="G50" s="153" t="s">
        <v>58</v>
      </c>
      <c r="H50" s="154" t="s">
        <v>59</v>
      </c>
      <c r="I50" s="154" t="s">
        <v>60</v>
      </c>
      <c r="J50" s="154">
        <v>2024</v>
      </c>
      <c r="K50" s="154">
        <v>52</v>
      </c>
      <c r="L50" s="153" t="s">
        <v>59</v>
      </c>
      <c r="M50" s="153" t="s">
        <v>3</v>
      </c>
      <c r="N50" s="152" t="s">
        <v>61</v>
      </c>
      <c r="O50" s="152" t="s">
        <v>62</v>
      </c>
      <c r="P50" s="152" t="s">
        <v>63</v>
      </c>
      <c r="Q50" s="152"/>
      <c r="R50" s="152" t="s">
        <v>64</v>
      </c>
      <c r="S50" s="155" t="s">
        <v>437</v>
      </c>
      <c r="T50" s="152" t="s">
        <v>66</v>
      </c>
      <c r="U50" s="45" t="s">
        <v>438</v>
      </c>
      <c r="V50" s="30" t="s">
        <v>439</v>
      </c>
      <c r="W50" s="35" t="s">
        <v>69</v>
      </c>
      <c r="X50" s="36">
        <v>45329</v>
      </c>
      <c r="Y50" s="36">
        <v>45331</v>
      </c>
      <c r="Z50" s="36" t="s">
        <v>70</v>
      </c>
      <c r="AA50" s="36">
        <v>45473</v>
      </c>
      <c r="AB50" s="36" t="s">
        <v>70</v>
      </c>
      <c r="AC50" s="36" t="s">
        <v>71</v>
      </c>
      <c r="AD50" s="37" t="s">
        <v>72</v>
      </c>
      <c r="AE50" s="32" t="s">
        <v>73</v>
      </c>
      <c r="AF50" s="32" t="s">
        <v>73</v>
      </c>
      <c r="AG50" s="38">
        <v>47500000</v>
      </c>
      <c r="AH50" s="38">
        <v>-47500000</v>
      </c>
      <c r="AI50" s="38">
        <f t="shared" si="4"/>
        <v>0</v>
      </c>
      <c r="AJ50" s="38">
        <v>0</v>
      </c>
      <c r="AK50" s="66">
        <v>0</v>
      </c>
      <c r="AL50" s="38">
        <v>0</v>
      </c>
      <c r="AM50" s="38">
        <v>0</v>
      </c>
      <c r="AN50" s="38">
        <f>AI50-AM50</f>
        <v>0</v>
      </c>
      <c r="AO50" s="38"/>
      <c r="AP50" s="192">
        <v>0</v>
      </c>
      <c r="AQ50" s="66">
        <v>0</v>
      </c>
      <c r="AR50" s="38">
        <v>11875000</v>
      </c>
      <c r="AS50" s="54">
        <f t="shared" si="3"/>
        <v>0</v>
      </c>
      <c r="AT50" s="65">
        <f t="shared" si="2"/>
        <v>0</v>
      </c>
      <c r="AU50" s="30" t="s">
        <v>440</v>
      </c>
      <c r="AV50" s="43" t="s">
        <v>441</v>
      </c>
      <c r="AW50" s="32" t="s">
        <v>436</v>
      </c>
    </row>
    <row r="51" spans="1:49" ht="105" hidden="1" x14ac:dyDescent="0.25">
      <c r="A51" s="28" t="s">
        <v>615</v>
      </c>
      <c r="B51" s="28" t="s">
        <v>10</v>
      </c>
      <c r="C51" s="60" t="s">
        <v>11</v>
      </c>
      <c r="D51" s="28" t="s">
        <v>12</v>
      </c>
      <c r="E51" s="28" t="s">
        <v>13</v>
      </c>
      <c r="F51" s="28" t="s">
        <v>14</v>
      </c>
      <c r="G51" s="28" t="s">
        <v>15</v>
      </c>
      <c r="H51" s="40" t="s">
        <v>16</v>
      </c>
      <c r="I51" s="40" t="s">
        <v>17</v>
      </c>
      <c r="J51" s="40" t="s">
        <v>18</v>
      </c>
      <c r="K51" s="40" t="s">
        <v>19</v>
      </c>
      <c r="L51" s="40" t="s">
        <v>20</v>
      </c>
      <c r="M51" s="40" t="s">
        <v>21</v>
      </c>
      <c r="N51" s="28" t="s">
        <v>22</v>
      </c>
      <c r="O51" s="28" t="s">
        <v>23</v>
      </c>
      <c r="P51" s="28" t="s">
        <v>24</v>
      </c>
      <c r="Q51" s="28" t="s">
        <v>692</v>
      </c>
      <c r="R51" s="28" t="s">
        <v>25</v>
      </c>
      <c r="S51" s="28" t="s">
        <v>26</v>
      </c>
      <c r="T51" s="28" t="s">
        <v>27</v>
      </c>
      <c r="U51" s="40" t="s">
        <v>28</v>
      </c>
      <c r="V51" s="28" t="s">
        <v>29</v>
      </c>
      <c r="W51" s="28" t="s">
        <v>30</v>
      </c>
      <c r="X51" s="28" t="s">
        <v>32</v>
      </c>
      <c r="Y51" s="28" t="s">
        <v>33</v>
      </c>
      <c r="Z51" s="28" t="s">
        <v>34</v>
      </c>
      <c r="AA51" s="28" t="s">
        <v>35</v>
      </c>
      <c r="AB51" s="28" t="s">
        <v>36</v>
      </c>
      <c r="AC51" s="28" t="s">
        <v>37</v>
      </c>
      <c r="AD51" s="28" t="s">
        <v>38</v>
      </c>
      <c r="AE51" s="28" t="s">
        <v>616</v>
      </c>
      <c r="AF51" s="28" t="s">
        <v>39</v>
      </c>
      <c r="AG51" s="28" t="s">
        <v>40</v>
      </c>
      <c r="AH51" s="28" t="s">
        <v>41</v>
      </c>
      <c r="AI51" s="28" t="s">
        <v>42</v>
      </c>
      <c r="AJ51" s="28" t="s">
        <v>43</v>
      </c>
      <c r="AK51" s="28" t="s">
        <v>44</v>
      </c>
      <c r="AL51" s="28" t="s">
        <v>45</v>
      </c>
      <c r="AM51" s="28" t="s">
        <v>46</v>
      </c>
      <c r="AN51" s="28" t="s">
        <v>47</v>
      </c>
      <c r="AO51" s="28" t="s">
        <v>48</v>
      </c>
      <c r="AP51" s="28" t="s">
        <v>31</v>
      </c>
      <c r="AQ51" s="28" t="s">
        <v>49</v>
      </c>
      <c r="AR51" s="28" t="s">
        <v>50</v>
      </c>
      <c r="AS51" s="28" t="s">
        <v>51</v>
      </c>
      <c r="AT51" s="28" t="s">
        <v>52</v>
      </c>
      <c r="AU51" s="28" t="s">
        <v>53</v>
      </c>
      <c r="AV51" s="28" t="s">
        <v>54</v>
      </c>
      <c r="AW51" s="28" t="s">
        <v>55</v>
      </c>
    </row>
    <row r="52" spans="1:49" ht="57" hidden="1" x14ac:dyDescent="0.25">
      <c r="A52" s="47">
        <v>38</v>
      </c>
      <c r="B52" s="47">
        <v>3</v>
      </c>
      <c r="C52" s="64" t="s">
        <v>379</v>
      </c>
      <c r="D52" s="64">
        <v>81112501</v>
      </c>
      <c r="E52" s="50" t="s">
        <v>647</v>
      </c>
      <c r="F52" s="50" t="s">
        <v>272</v>
      </c>
      <c r="G52" s="50" t="s">
        <v>382</v>
      </c>
      <c r="H52" s="51" t="s">
        <v>59</v>
      </c>
      <c r="I52" s="51" t="s">
        <v>60</v>
      </c>
      <c r="J52" s="51">
        <v>2024</v>
      </c>
      <c r="K52" s="51">
        <v>87</v>
      </c>
      <c r="L52" s="50" t="s">
        <v>59</v>
      </c>
      <c r="M52" s="50" t="s">
        <v>5</v>
      </c>
      <c r="N52" s="52" t="s">
        <v>705</v>
      </c>
      <c r="O52" s="52" t="s">
        <v>71</v>
      </c>
      <c r="P52" s="52" t="s">
        <v>703</v>
      </c>
      <c r="Q52" s="52"/>
      <c r="R52" s="52" t="s">
        <v>64</v>
      </c>
      <c r="S52" s="53"/>
      <c r="T52" s="52" t="s">
        <v>383</v>
      </c>
      <c r="U52" s="45"/>
      <c r="V52" s="30"/>
      <c r="W52" s="35"/>
      <c r="X52" s="36"/>
      <c r="Y52" s="36"/>
      <c r="Z52" s="36"/>
      <c r="AA52" s="36"/>
      <c r="AB52" s="36"/>
      <c r="AC52" s="36"/>
      <c r="AD52" s="37" t="s">
        <v>90</v>
      </c>
      <c r="AE52" s="30" t="s">
        <v>104</v>
      </c>
      <c r="AF52" s="30" t="s">
        <v>104</v>
      </c>
      <c r="AG52" s="38"/>
      <c r="AH52" s="38">
        <v>0</v>
      </c>
      <c r="AI52" s="38">
        <f t="shared" si="4"/>
        <v>0</v>
      </c>
      <c r="AJ52" s="38"/>
      <c r="AK52" s="66"/>
      <c r="AL52" s="38"/>
      <c r="AM52" s="38">
        <v>270000000</v>
      </c>
      <c r="AN52" s="38">
        <f t="shared" ref="AN52:AN54" si="7">IF(L52="Si",(AM52-AG52),0)</f>
        <v>270000000</v>
      </c>
      <c r="AO52" s="38"/>
      <c r="AP52" s="68">
        <v>0</v>
      </c>
      <c r="AQ52" s="66"/>
      <c r="AR52" s="38"/>
      <c r="AS52" s="54">
        <f t="shared" ref="AS52:AS63" si="8">IF(AK52=0,0,ROUND(AQ52/AK52,2))</f>
        <v>0</v>
      </c>
      <c r="AT52" s="65">
        <f t="shared" ref="AT52:AT63" si="9">AK52-AQ52</f>
        <v>0</v>
      </c>
      <c r="AU52" s="30"/>
      <c r="AV52" s="30"/>
      <c r="AW52" s="118" t="s">
        <v>681</v>
      </c>
    </row>
    <row r="53" spans="1:49" ht="99.75" hidden="1" x14ac:dyDescent="0.25">
      <c r="A53" s="47">
        <v>47</v>
      </c>
      <c r="B53" s="47">
        <v>12</v>
      </c>
      <c r="C53" s="64">
        <v>81112101</v>
      </c>
      <c r="D53" s="52" t="s">
        <v>258</v>
      </c>
      <c r="E53" s="50" t="s">
        <v>93</v>
      </c>
      <c r="F53" s="50" t="s">
        <v>119</v>
      </c>
      <c r="G53" s="50" t="s">
        <v>387</v>
      </c>
      <c r="H53" s="51" t="s">
        <v>59</v>
      </c>
      <c r="I53" s="51" t="s">
        <v>60</v>
      </c>
      <c r="J53" s="51">
        <v>2024</v>
      </c>
      <c r="K53" s="51">
        <v>89</v>
      </c>
      <c r="L53" s="50" t="s">
        <v>59</v>
      </c>
      <c r="M53" s="50" t="s">
        <v>5</v>
      </c>
      <c r="N53" s="52" t="s">
        <v>699</v>
      </c>
      <c r="O53" s="52" t="s">
        <v>71</v>
      </c>
      <c r="P53" s="52" t="s">
        <v>706</v>
      </c>
      <c r="Q53" s="52"/>
      <c r="R53" s="52" t="s">
        <v>112</v>
      </c>
      <c r="S53" s="53" t="s">
        <v>701</v>
      </c>
      <c r="T53" s="52" t="s">
        <v>388</v>
      </c>
      <c r="U53" s="45"/>
      <c r="V53" s="132"/>
      <c r="W53" s="35"/>
      <c r="X53" s="36"/>
      <c r="Y53" s="36"/>
      <c r="Z53" s="36"/>
      <c r="AA53" s="36"/>
      <c r="AB53" s="36"/>
      <c r="AC53" s="36"/>
      <c r="AD53" s="37" t="s">
        <v>90</v>
      </c>
      <c r="AE53" s="30" t="s">
        <v>312</v>
      </c>
      <c r="AF53" s="30" t="s">
        <v>312</v>
      </c>
      <c r="AG53" s="38"/>
      <c r="AH53" s="38">
        <v>0</v>
      </c>
      <c r="AI53" s="38">
        <f t="shared" si="4"/>
        <v>0</v>
      </c>
      <c r="AJ53" s="38"/>
      <c r="AK53" s="66"/>
      <c r="AL53" s="38"/>
      <c r="AM53" s="38">
        <v>26480232</v>
      </c>
      <c r="AN53" s="38">
        <f t="shared" si="7"/>
        <v>26480232</v>
      </c>
      <c r="AO53" s="38"/>
      <c r="AP53" s="68">
        <v>0</v>
      </c>
      <c r="AQ53" s="66"/>
      <c r="AR53" s="38"/>
      <c r="AS53" s="54">
        <f t="shared" si="8"/>
        <v>0</v>
      </c>
      <c r="AT53" s="65">
        <f t="shared" si="9"/>
        <v>0</v>
      </c>
      <c r="AU53" s="30"/>
      <c r="AV53" s="30"/>
      <c r="AW53" s="32"/>
    </row>
    <row r="54" spans="1:49" ht="71.25" hidden="1" x14ac:dyDescent="0.25">
      <c r="A54" s="47">
        <v>48</v>
      </c>
      <c r="B54" s="47">
        <v>13</v>
      </c>
      <c r="C54" s="64" t="s">
        <v>635</v>
      </c>
      <c r="D54" s="52" t="s">
        <v>81</v>
      </c>
      <c r="E54" s="50" t="s">
        <v>389</v>
      </c>
      <c r="F54" s="50" t="s">
        <v>212</v>
      </c>
      <c r="G54" s="50" t="s">
        <v>390</v>
      </c>
      <c r="H54" s="51" t="s">
        <v>59</v>
      </c>
      <c r="I54" s="51" t="s">
        <v>60</v>
      </c>
      <c r="J54" s="51">
        <v>2024</v>
      </c>
      <c r="K54" s="51">
        <v>93</v>
      </c>
      <c r="L54" s="50" t="s">
        <v>59</v>
      </c>
      <c r="M54" s="50" t="s">
        <v>5</v>
      </c>
      <c r="N54" s="52" t="s">
        <v>366</v>
      </c>
      <c r="O54" s="52" t="s">
        <v>71</v>
      </c>
      <c r="P54" s="52" t="s">
        <v>707</v>
      </c>
      <c r="Q54" s="52"/>
      <c r="R54" s="52" t="s">
        <v>64</v>
      </c>
      <c r="S54" s="53"/>
      <c r="T54" s="52" t="s">
        <v>391</v>
      </c>
      <c r="U54" s="45"/>
      <c r="V54" s="44"/>
      <c r="W54" s="35"/>
      <c r="X54" s="36"/>
      <c r="Y54" s="36"/>
      <c r="Z54" s="36"/>
      <c r="AA54" s="36"/>
      <c r="AB54" s="36"/>
      <c r="AC54" s="36"/>
      <c r="AD54" s="37" t="s">
        <v>90</v>
      </c>
      <c r="AE54" s="30" t="s">
        <v>312</v>
      </c>
      <c r="AF54" s="30" t="s">
        <v>312</v>
      </c>
      <c r="AG54" s="38"/>
      <c r="AH54" s="38">
        <v>0</v>
      </c>
      <c r="AI54" s="38">
        <f t="shared" si="4"/>
        <v>0</v>
      </c>
      <c r="AJ54" s="38"/>
      <c r="AK54" s="66"/>
      <c r="AL54" s="38"/>
      <c r="AM54" s="38">
        <v>37305521</v>
      </c>
      <c r="AN54" s="38">
        <f t="shared" si="7"/>
        <v>37305521</v>
      </c>
      <c r="AO54" s="38"/>
      <c r="AP54" s="68">
        <v>0</v>
      </c>
      <c r="AQ54" s="66"/>
      <c r="AR54" s="38"/>
      <c r="AS54" s="54">
        <f t="shared" si="8"/>
        <v>0</v>
      </c>
      <c r="AT54" s="65">
        <f t="shared" si="9"/>
        <v>0</v>
      </c>
      <c r="AU54" s="30"/>
      <c r="AV54" s="43"/>
      <c r="AW54" s="32"/>
    </row>
    <row r="55" spans="1:49" ht="42.75" hidden="1" x14ac:dyDescent="0.25">
      <c r="A55" s="47"/>
      <c r="B55" s="47"/>
      <c r="C55" s="64">
        <v>81111801</v>
      </c>
      <c r="D55" s="52" t="s">
        <v>283</v>
      </c>
      <c r="E55" s="50" t="s">
        <v>305</v>
      </c>
      <c r="F55" s="50" t="s">
        <v>305</v>
      </c>
      <c r="G55" s="50" t="s">
        <v>306</v>
      </c>
      <c r="H55" s="51" t="s">
        <v>59</v>
      </c>
      <c r="I55" s="51" t="s">
        <v>60</v>
      </c>
      <c r="J55" s="51">
        <v>2024</v>
      </c>
      <c r="K55" s="51">
        <v>236</v>
      </c>
      <c r="L55" s="50" t="s">
        <v>59</v>
      </c>
      <c r="M55" s="50" t="s">
        <v>5</v>
      </c>
      <c r="N55" s="52" t="s">
        <v>705</v>
      </c>
      <c r="O55" s="52" t="s">
        <v>71</v>
      </c>
      <c r="P55" s="52"/>
      <c r="Q55" s="52"/>
      <c r="R55" s="52"/>
      <c r="S55" s="53"/>
      <c r="T55" s="50" t="s">
        <v>306</v>
      </c>
      <c r="U55" s="45"/>
      <c r="V55" s="44"/>
      <c r="W55" s="35"/>
      <c r="X55" s="36"/>
      <c r="Y55" s="36"/>
      <c r="Z55" s="36"/>
      <c r="AA55" s="36"/>
      <c r="AB55" s="36"/>
      <c r="AC55" s="36"/>
      <c r="AD55" s="37"/>
      <c r="AE55" s="30"/>
      <c r="AF55" s="30"/>
      <c r="AG55" s="38"/>
      <c r="AH55" s="38"/>
      <c r="AI55" s="38"/>
      <c r="AJ55" s="38"/>
      <c r="AK55" s="66"/>
      <c r="AL55" s="38"/>
      <c r="AM55" s="38"/>
      <c r="AN55" s="38"/>
      <c r="AO55" s="38"/>
      <c r="AP55" s="68"/>
      <c r="AQ55" s="66"/>
      <c r="AR55" s="38"/>
      <c r="AS55" s="54"/>
      <c r="AT55" s="65"/>
      <c r="AU55" s="30"/>
      <c r="AV55" s="43"/>
      <c r="AW55" s="32"/>
    </row>
    <row r="56" spans="1:49" ht="71.25" hidden="1" x14ac:dyDescent="0.25">
      <c r="A56" s="47">
        <v>39</v>
      </c>
      <c r="B56" s="47">
        <v>4</v>
      </c>
      <c r="C56" s="127">
        <v>80111614</v>
      </c>
      <c r="D56" s="128" t="s">
        <v>611</v>
      </c>
      <c r="E56" s="129" t="s">
        <v>56</v>
      </c>
      <c r="F56" s="129" t="s">
        <v>82</v>
      </c>
      <c r="G56" s="129" t="s">
        <v>331</v>
      </c>
      <c r="H56" s="130" t="s">
        <v>59</v>
      </c>
      <c r="I56" s="130" t="s">
        <v>60</v>
      </c>
      <c r="J56" s="130">
        <v>2024</v>
      </c>
      <c r="K56" s="130">
        <v>186</v>
      </c>
      <c r="L56" s="129" t="s">
        <v>59</v>
      </c>
      <c r="M56" s="129" t="s">
        <v>5</v>
      </c>
      <c r="N56" s="128" t="s">
        <v>61</v>
      </c>
      <c r="O56" s="128" t="s">
        <v>71</v>
      </c>
      <c r="P56" s="128" t="s">
        <v>693</v>
      </c>
      <c r="Q56" s="128"/>
      <c r="R56" s="128" t="s">
        <v>64</v>
      </c>
      <c r="S56" s="131" t="s">
        <v>686</v>
      </c>
      <c r="T56" s="128" t="s">
        <v>606</v>
      </c>
      <c r="U56" s="150"/>
      <c r="V56" s="131"/>
      <c r="W56" s="146"/>
      <c r="X56" s="144"/>
      <c r="Y56" s="144"/>
      <c r="Z56" s="144"/>
      <c r="AA56" s="144"/>
      <c r="AB56" s="144"/>
      <c r="AC56" s="144"/>
      <c r="AD56" s="148" t="s">
        <v>72</v>
      </c>
      <c r="AE56" s="128" t="s">
        <v>73</v>
      </c>
      <c r="AF56" s="131" t="s">
        <v>302</v>
      </c>
      <c r="AG56" s="149"/>
      <c r="AH56" s="149">
        <v>0</v>
      </c>
      <c r="AI56" s="149">
        <f t="shared" ref="AI56:AI58" si="10">AG56+AH56</f>
        <v>0</v>
      </c>
      <c r="AJ56" s="149">
        <v>0</v>
      </c>
      <c r="AK56" s="149"/>
      <c r="AL56" s="149">
        <v>0</v>
      </c>
      <c r="AM56" s="149">
        <v>42500000</v>
      </c>
      <c r="AN56" s="149">
        <f>IF(L56="Si",(AM56-AG56),0)</f>
        <v>42500000</v>
      </c>
      <c r="AO56" s="149"/>
      <c r="AP56" s="147">
        <v>0</v>
      </c>
      <c r="AQ56" s="38">
        <v>0</v>
      </c>
      <c r="AR56" s="38"/>
      <c r="AS56" s="54">
        <f>IF(AK56=0,0,ROUND(AQ56/AK56,2))</f>
        <v>0</v>
      </c>
      <c r="AT56" s="38">
        <f>AK56-AQ56</f>
        <v>0</v>
      </c>
      <c r="AU56" s="30"/>
      <c r="AV56" s="218"/>
      <c r="AW56" s="32"/>
    </row>
    <row r="57" spans="1:49" ht="71.25" hidden="1" x14ac:dyDescent="0.25">
      <c r="A57" s="47">
        <v>40</v>
      </c>
      <c r="B57" s="47">
        <v>5</v>
      </c>
      <c r="C57" s="127">
        <v>80111614</v>
      </c>
      <c r="D57" s="128" t="s">
        <v>283</v>
      </c>
      <c r="E57" s="129" t="s">
        <v>56</v>
      </c>
      <c r="F57" s="129" t="s">
        <v>82</v>
      </c>
      <c r="G57" s="129" t="s">
        <v>331</v>
      </c>
      <c r="H57" s="130" t="s">
        <v>59</v>
      </c>
      <c r="I57" s="130" t="s">
        <v>60</v>
      </c>
      <c r="J57" s="130">
        <v>2024</v>
      </c>
      <c r="K57" s="130">
        <v>200</v>
      </c>
      <c r="L57" s="129" t="s">
        <v>59</v>
      </c>
      <c r="M57" s="129" t="s">
        <v>5</v>
      </c>
      <c r="N57" s="128" t="s">
        <v>61</v>
      </c>
      <c r="O57" s="128" t="s">
        <v>71</v>
      </c>
      <c r="P57" s="128" t="s">
        <v>695</v>
      </c>
      <c r="Q57" s="128"/>
      <c r="R57" s="128" t="s">
        <v>64</v>
      </c>
      <c r="S57" s="131" t="s">
        <v>694</v>
      </c>
      <c r="T57" s="128" t="s">
        <v>607</v>
      </c>
      <c r="U57" s="150"/>
      <c r="V57" s="131"/>
      <c r="W57" s="146"/>
      <c r="X57" s="144"/>
      <c r="Y57" s="144"/>
      <c r="Z57" s="144"/>
      <c r="AA57" s="144"/>
      <c r="AB57" s="144"/>
      <c r="AC57" s="144"/>
      <c r="AD57" s="148" t="s">
        <v>72</v>
      </c>
      <c r="AE57" s="128" t="s">
        <v>73</v>
      </c>
      <c r="AF57" s="131" t="s">
        <v>302</v>
      </c>
      <c r="AG57" s="149"/>
      <c r="AH57" s="149">
        <v>0</v>
      </c>
      <c r="AI57" s="149">
        <f t="shared" si="10"/>
        <v>0</v>
      </c>
      <c r="AJ57" s="149">
        <v>0</v>
      </c>
      <c r="AK57" s="149"/>
      <c r="AL57" s="149">
        <v>0</v>
      </c>
      <c r="AM57" s="149">
        <v>51000000</v>
      </c>
      <c r="AN57" s="149">
        <f>IF(L57="Si",(AM57-AG57),0)</f>
        <v>51000000</v>
      </c>
      <c r="AO57" s="149"/>
      <c r="AP57" s="147">
        <v>0</v>
      </c>
      <c r="AQ57" s="38">
        <v>0</v>
      </c>
      <c r="AR57" s="38"/>
      <c r="AS57" s="54">
        <f>IF(AK57=0,0,ROUND(AQ57/AK57,2))</f>
        <v>0</v>
      </c>
      <c r="AT57" s="38">
        <f>AK57-AQ57</f>
        <v>0</v>
      </c>
      <c r="AU57" s="30"/>
      <c r="AV57" s="218"/>
      <c r="AW57" s="32"/>
    </row>
    <row r="58" spans="1:49" ht="71.25" hidden="1" x14ac:dyDescent="0.25">
      <c r="A58" s="47">
        <v>41</v>
      </c>
      <c r="B58" s="47">
        <v>6</v>
      </c>
      <c r="C58" s="127">
        <v>80111614</v>
      </c>
      <c r="D58" s="128" t="s">
        <v>612</v>
      </c>
      <c r="E58" s="129" t="s">
        <v>56</v>
      </c>
      <c r="F58" s="129" t="s">
        <v>82</v>
      </c>
      <c r="G58" s="129" t="s">
        <v>331</v>
      </c>
      <c r="H58" s="130" t="s">
        <v>59</v>
      </c>
      <c r="I58" s="130" t="s">
        <v>60</v>
      </c>
      <c r="J58" s="130">
        <v>2024</v>
      </c>
      <c r="K58" s="130">
        <v>201</v>
      </c>
      <c r="L58" s="129" t="s">
        <v>59</v>
      </c>
      <c r="M58" s="129" t="s">
        <v>5</v>
      </c>
      <c r="N58" s="128" t="s">
        <v>61</v>
      </c>
      <c r="O58" s="128" t="s">
        <v>71</v>
      </c>
      <c r="P58" s="128" t="s">
        <v>698</v>
      </c>
      <c r="Q58" s="128"/>
      <c r="R58" s="128" t="s">
        <v>64</v>
      </c>
      <c r="S58" s="131" t="s">
        <v>685</v>
      </c>
      <c r="T58" s="128" t="s">
        <v>608</v>
      </c>
      <c r="U58" s="150"/>
      <c r="V58" s="131"/>
      <c r="W58" s="146"/>
      <c r="X58" s="144"/>
      <c r="Y58" s="144"/>
      <c r="Z58" s="144"/>
      <c r="AA58" s="144"/>
      <c r="AB58" s="144"/>
      <c r="AC58" s="144"/>
      <c r="AD58" s="148" t="s">
        <v>72</v>
      </c>
      <c r="AE58" s="128" t="s">
        <v>73</v>
      </c>
      <c r="AF58" s="131" t="s">
        <v>302</v>
      </c>
      <c r="AG58" s="149"/>
      <c r="AH58" s="149">
        <v>0</v>
      </c>
      <c r="AI58" s="149">
        <f t="shared" si="10"/>
        <v>0</v>
      </c>
      <c r="AJ58" s="149">
        <v>0</v>
      </c>
      <c r="AK58" s="149"/>
      <c r="AL58" s="149">
        <v>0</v>
      </c>
      <c r="AM58" s="149">
        <v>51000000</v>
      </c>
      <c r="AN58" s="149">
        <f>IF(L58="Si",(AM58-AG58),0)</f>
        <v>51000000</v>
      </c>
      <c r="AO58" s="149"/>
      <c r="AP58" s="147">
        <v>0</v>
      </c>
      <c r="AQ58" s="38">
        <v>0</v>
      </c>
      <c r="AR58" s="38"/>
      <c r="AS58" s="54">
        <f>IF(AK58=0,0,ROUND(AQ58/AK58,2))</f>
        <v>0</v>
      </c>
      <c r="AT58" s="38">
        <f>AK58-AQ58</f>
        <v>0</v>
      </c>
      <c r="AU58" s="30"/>
      <c r="AV58" s="218"/>
      <c r="AW58" s="32"/>
    </row>
    <row r="59" spans="1:49" ht="129" hidden="1" customHeight="1" x14ac:dyDescent="0.25">
      <c r="A59" s="47">
        <v>44</v>
      </c>
      <c r="B59" s="47">
        <v>1</v>
      </c>
      <c r="C59" s="127" t="s">
        <v>348</v>
      </c>
      <c r="D59" s="128" t="s">
        <v>283</v>
      </c>
      <c r="E59" s="129" t="s">
        <v>93</v>
      </c>
      <c r="F59" s="129" t="s">
        <v>107</v>
      </c>
      <c r="G59" s="129" t="s">
        <v>349</v>
      </c>
      <c r="H59" s="130" t="s">
        <v>59</v>
      </c>
      <c r="I59" s="130" t="s">
        <v>60</v>
      </c>
      <c r="J59" s="130">
        <v>2024</v>
      </c>
      <c r="K59" s="130">
        <v>176</v>
      </c>
      <c r="L59" s="129" t="s">
        <v>59</v>
      </c>
      <c r="M59" s="129" t="s">
        <v>5</v>
      </c>
      <c r="N59" s="128" t="s">
        <v>61</v>
      </c>
      <c r="O59" s="128"/>
      <c r="P59" s="128"/>
      <c r="Q59" s="128"/>
      <c r="R59" s="128" t="s">
        <v>64</v>
      </c>
      <c r="S59" s="131" t="s">
        <v>350</v>
      </c>
      <c r="T59" s="128" t="s">
        <v>351</v>
      </c>
      <c r="U59" s="145"/>
      <c r="V59" s="131"/>
      <c r="W59" s="146"/>
      <c r="X59" s="144"/>
      <c r="Y59" s="144"/>
      <c r="Z59" s="144"/>
      <c r="AA59" s="144"/>
      <c r="AB59" s="144"/>
      <c r="AC59" s="144"/>
      <c r="AD59" s="148" t="s">
        <v>345</v>
      </c>
      <c r="AE59" s="131" t="s">
        <v>312</v>
      </c>
      <c r="AF59" s="131" t="s">
        <v>312</v>
      </c>
      <c r="AG59" s="149"/>
      <c r="AH59" s="149">
        <v>0</v>
      </c>
      <c r="AI59" s="149">
        <f>AG59+AH59</f>
        <v>0</v>
      </c>
      <c r="AJ59" s="149"/>
      <c r="AK59" s="149"/>
      <c r="AL59" s="149"/>
      <c r="AM59" s="149">
        <v>0</v>
      </c>
      <c r="AN59" s="149">
        <v>0</v>
      </c>
      <c r="AO59" s="149"/>
      <c r="AP59" s="147">
        <v>0</v>
      </c>
      <c r="AQ59" s="66"/>
      <c r="AR59" s="38"/>
      <c r="AS59" s="54">
        <f t="shared" si="8"/>
        <v>0</v>
      </c>
      <c r="AT59" s="65">
        <f t="shared" si="9"/>
        <v>0</v>
      </c>
      <c r="AU59" s="30"/>
      <c r="AV59" s="30"/>
      <c r="AW59" s="118" t="s">
        <v>687</v>
      </c>
    </row>
    <row r="60" spans="1:49" ht="142.5" x14ac:dyDescent="0.25">
      <c r="A60" s="47">
        <v>50</v>
      </c>
      <c r="B60" s="47">
        <v>2</v>
      </c>
      <c r="C60" s="127"/>
      <c r="D60" s="128"/>
      <c r="E60" s="129" t="s">
        <v>93</v>
      </c>
      <c r="F60" s="129" t="s">
        <v>369</v>
      </c>
      <c r="G60" s="129" t="s">
        <v>442</v>
      </c>
      <c r="H60" s="130" t="s">
        <v>59</v>
      </c>
      <c r="I60" s="130" t="s">
        <v>60</v>
      </c>
      <c r="J60" s="130">
        <v>2024</v>
      </c>
      <c r="K60" s="130">
        <v>116</v>
      </c>
      <c r="L60" s="129" t="s">
        <v>59</v>
      </c>
      <c r="M60" s="129" t="s">
        <v>5</v>
      </c>
      <c r="N60" s="128" t="s">
        <v>195</v>
      </c>
      <c r="O60" s="128" t="s">
        <v>71</v>
      </c>
      <c r="P60" s="128"/>
      <c r="Q60" s="128"/>
      <c r="R60" s="128" t="s">
        <v>64</v>
      </c>
      <c r="S60" s="131" t="s">
        <v>443</v>
      </c>
      <c r="T60" s="128" t="s">
        <v>408</v>
      </c>
      <c r="U60" s="145"/>
      <c r="V60" s="131"/>
      <c r="W60" s="146"/>
      <c r="X60" s="144"/>
      <c r="Y60" s="144"/>
      <c r="Z60" s="144"/>
      <c r="AA60" s="144"/>
      <c r="AB60" s="144"/>
      <c r="AC60" s="144"/>
      <c r="AD60" s="148" t="s">
        <v>72</v>
      </c>
      <c r="AE60" s="131" t="s">
        <v>135</v>
      </c>
      <c r="AF60" s="131" t="s">
        <v>444</v>
      </c>
      <c r="AG60" s="149"/>
      <c r="AH60" s="149">
        <v>0</v>
      </c>
      <c r="AI60" s="149">
        <f t="shared" si="4"/>
        <v>0</v>
      </c>
      <c r="AJ60" s="149"/>
      <c r="AK60" s="149"/>
      <c r="AL60" s="149"/>
      <c r="AM60" s="149">
        <v>0</v>
      </c>
      <c r="AN60" s="149">
        <f>IF(L60="Si",(AM60-AG60),0)</f>
        <v>0</v>
      </c>
      <c r="AO60" s="149"/>
      <c r="AP60" s="147">
        <v>0</v>
      </c>
      <c r="AQ60" s="66"/>
      <c r="AR60" s="38"/>
      <c r="AS60" s="54">
        <f t="shared" si="8"/>
        <v>0</v>
      </c>
      <c r="AT60" s="65">
        <f t="shared" si="9"/>
        <v>0</v>
      </c>
      <c r="AU60" s="30"/>
      <c r="AV60" s="30" t="s">
        <v>445</v>
      </c>
      <c r="AW60" s="32"/>
    </row>
    <row r="61" spans="1:49" ht="99.75" hidden="1" x14ac:dyDescent="0.25">
      <c r="A61" s="47">
        <v>51</v>
      </c>
      <c r="B61" s="47">
        <v>3</v>
      </c>
      <c r="C61" s="127"/>
      <c r="D61" s="128"/>
      <c r="E61" s="129" t="s">
        <v>93</v>
      </c>
      <c r="F61" s="129" t="s">
        <v>406</v>
      </c>
      <c r="G61" s="129" t="s">
        <v>446</v>
      </c>
      <c r="H61" s="130" t="s">
        <v>59</v>
      </c>
      <c r="I61" s="130" t="s">
        <v>60</v>
      </c>
      <c r="J61" s="130">
        <v>2024</v>
      </c>
      <c r="K61" s="130">
        <v>96</v>
      </c>
      <c r="L61" s="129" t="s">
        <v>59</v>
      </c>
      <c r="M61" s="129" t="s">
        <v>5</v>
      </c>
      <c r="N61" s="128" t="s">
        <v>447</v>
      </c>
      <c r="O61" s="128" t="s">
        <v>71</v>
      </c>
      <c r="P61" s="128" t="s">
        <v>406</v>
      </c>
      <c r="Q61" s="128"/>
      <c r="R61" s="128" t="s">
        <v>64</v>
      </c>
      <c r="S61" s="131" t="s">
        <v>448</v>
      </c>
      <c r="T61" s="128" t="s">
        <v>405</v>
      </c>
      <c r="U61" s="150"/>
      <c r="V61" s="131"/>
      <c r="W61" s="146"/>
      <c r="X61" s="144"/>
      <c r="Y61" s="144"/>
      <c r="Z61" s="144"/>
      <c r="AA61" s="144"/>
      <c r="AB61" s="144"/>
      <c r="AC61" s="144"/>
      <c r="AD61" s="148" t="s">
        <v>90</v>
      </c>
      <c r="AE61" s="131" t="s">
        <v>104</v>
      </c>
      <c r="AF61" s="131" t="s">
        <v>104</v>
      </c>
      <c r="AG61" s="149"/>
      <c r="AH61" s="149">
        <v>0</v>
      </c>
      <c r="AI61" s="149">
        <f t="shared" si="4"/>
        <v>0</v>
      </c>
      <c r="AJ61" s="149"/>
      <c r="AK61" s="149"/>
      <c r="AL61" s="149"/>
      <c r="AM61" s="149">
        <v>0</v>
      </c>
      <c r="AN61" s="149">
        <f>IF(L61="Si",(AM61-AG61),0)</f>
        <v>0</v>
      </c>
      <c r="AO61" s="149"/>
      <c r="AP61" s="147">
        <v>0</v>
      </c>
      <c r="AQ61" s="66"/>
      <c r="AR61" s="38"/>
      <c r="AS61" s="54">
        <f t="shared" si="8"/>
        <v>0</v>
      </c>
      <c r="AT61" s="65">
        <f t="shared" si="9"/>
        <v>0</v>
      </c>
      <c r="AU61" s="30"/>
      <c r="AV61" s="30" t="s">
        <v>449</v>
      </c>
      <c r="AW61" s="32"/>
    </row>
    <row r="62" spans="1:49" ht="129" hidden="1" customHeight="1" x14ac:dyDescent="0.25">
      <c r="A62" s="47">
        <v>52</v>
      </c>
      <c r="B62" s="47">
        <v>4</v>
      </c>
      <c r="C62" s="127" t="s">
        <v>348</v>
      </c>
      <c r="D62" s="128" t="s">
        <v>379</v>
      </c>
      <c r="E62" s="129" t="s">
        <v>93</v>
      </c>
      <c r="F62" s="129" t="s">
        <v>107</v>
      </c>
      <c r="G62" s="129" t="s">
        <v>352</v>
      </c>
      <c r="H62" s="130" t="s">
        <v>59</v>
      </c>
      <c r="I62" s="130" t="s">
        <v>60</v>
      </c>
      <c r="J62" s="130">
        <v>2024</v>
      </c>
      <c r="K62" s="130">
        <v>103</v>
      </c>
      <c r="L62" s="129" t="s">
        <v>59</v>
      </c>
      <c r="M62" s="129" t="s">
        <v>5</v>
      </c>
      <c r="N62" s="128" t="s">
        <v>61</v>
      </c>
      <c r="O62" s="128" t="s">
        <v>450</v>
      </c>
      <c r="P62" s="128" t="s">
        <v>107</v>
      </c>
      <c r="Q62" s="128"/>
      <c r="R62" s="128" t="s">
        <v>64</v>
      </c>
      <c r="S62" s="131" t="s">
        <v>353</v>
      </c>
      <c r="T62" s="128" t="s">
        <v>407</v>
      </c>
      <c r="U62" s="145"/>
      <c r="V62" s="131"/>
      <c r="W62" s="146"/>
      <c r="X62" s="144"/>
      <c r="Y62" s="144"/>
      <c r="Z62" s="144"/>
      <c r="AA62" s="144"/>
      <c r="AB62" s="144"/>
      <c r="AC62" s="144"/>
      <c r="AD62" s="148" t="s">
        <v>90</v>
      </c>
      <c r="AE62" s="131" t="s">
        <v>312</v>
      </c>
      <c r="AF62" s="131" t="s">
        <v>312</v>
      </c>
      <c r="AG62" s="149"/>
      <c r="AH62" s="149">
        <v>0</v>
      </c>
      <c r="AI62" s="149">
        <f>AG62+AH62</f>
        <v>0</v>
      </c>
      <c r="AJ62" s="149"/>
      <c r="AK62" s="149"/>
      <c r="AL62" s="149"/>
      <c r="AM62" s="149">
        <v>0</v>
      </c>
      <c r="AN62" s="149">
        <f>IF(L62="Si",(AM62-AG62),0)</f>
        <v>0</v>
      </c>
      <c r="AO62" s="149"/>
      <c r="AP62" s="147">
        <v>0</v>
      </c>
      <c r="AQ62" s="66"/>
      <c r="AR62" s="38"/>
      <c r="AS62" s="54">
        <f t="shared" si="8"/>
        <v>0</v>
      </c>
      <c r="AT62" s="65">
        <f t="shared" si="9"/>
        <v>0</v>
      </c>
      <c r="AU62" s="30"/>
      <c r="AV62" s="30" t="s">
        <v>445</v>
      </c>
      <c r="AW62" s="32"/>
    </row>
    <row r="63" spans="1:49" ht="99.75" hidden="1" x14ac:dyDescent="0.25">
      <c r="A63" s="47">
        <v>53</v>
      </c>
      <c r="B63" s="47">
        <v>5</v>
      </c>
      <c r="C63" s="127">
        <v>80111614</v>
      </c>
      <c r="D63" s="128" t="s">
        <v>283</v>
      </c>
      <c r="E63" s="129" t="s">
        <v>56</v>
      </c>
      <c r="F63" s="129" t="s">
        <v>82</v>
      </c>
      <c r="G63" s="129" t="s">
        <v>331</v>
      </c>
      <c r="H63" s="130" t="s">
        <v>59</v>
      </c>
      <c r="I63" s="130" t="s">
        <v>60</v>
      </c>
      <c r="J63" s="130">
        <v>2024</v>
      </c>
      <c r="K63" s="130">
        <v>155</v>
      </c>
      <c r="L63" s="129" t="s">
        <v>59</v>
      </c>
      <c r="M63" s="129" t="s">
        <v>451</v>
      </c>
      <c r="N63" s="128" t="s">
        <v>61</v>
      </c>
      <c r="O63" s="128" t="s">
        <v>317</v>
      </c>
      <c r="P63" s="128"/>
      <c r="Q63" s="128"/>
      <c r="R63" s="128" t="s">
        <v>64</v>
      </c>
      <c r="S63" s="131" t="s">
        <v>452</v>
      </c>
      <c r="T63" s="128" t="s">
        <v>333</v>
      </c>
      <c r="U63" s="150"/>
      <c r="V63" s="131"/>
      <c r="W63" s="146"/>
      <c r="X63" s="144"/>
      <c r="Y63" s="144"/>
      <c r="Z63" s="144"/>
      <c r="AA63" s="144"/>
      <c r="AB63" s="144"/>
      <c r="AC63" s="144"/>
      <c r="AD63" s="148" t="s">
        <v>72</v>
      </c>
      <c r="AE63" s="131" t="s">
        <v>73</v>
      </c>
      <c r="AF63" s="131" t="s">
        <v>336</v>
      </c>
      <c r="AG63" s="149"/>
      <c r="AH63" s="149">
        <v>0</v>
      </c>
      <c r="AI63" s="149">
        <f>AG63+AH63</f>
        <v>0</v>
      </c>
      <c r="AJ63" s="149"/>
      <c r="AK63" s="149"/>
      <c r="AL63" s="149"/>
      <c r="AM63" s="149">
        <v>0</v>
      </c>
      <c r="AN63" s="149">
        <f>IF(L63="Si",(AM63-AG63),0)</f>
        <v>0</v>
      </c>
      <c r="AO63" s="149"/>
      <c r="AP63" s="147">
        <v>0</v>
      </c>
      <c r="AQ63" s="66"/>
      <c r="AR63" s="38"/>
      <c r="AS63" s="54">
        <f t="shared" si="8"/>
        <v>0</v>
      </c>
      <c r="AT63" s="65">
        <f t="shared" si="9"/>
        <v>0</v>
      </c>
      <c r="AU63" s="30"/>
      <c r="AV63" s="30" t="s">
        <v>453</v>
      </c>
      <c r="AW63" s="118" t="s">
        <v>454</v>
      </c>
    </row>
    <row r="64" spans="1:49" ht="15" x14ac:dyDescent="0.25">
      <c r="A64" s="47"/>
      <c r="B64" s="47"/>
      <c r="C64" s="61"/>
      <c r="D64" s="32"/>
      <c r="E64" s="29"/>
      <c r="F64" s="29"/>
      <c r="G64" s="29"/>
      <c r="H64" s="41"/>
      <c r="I64" s="41"/>
      <c r="J64" s="41"/>
      <c r="K64" s="41"/>
      <c r="L64" s="29"/>
      <c r="M64" s="29"/>
      <c r="N64" s="32"/>
      <c r="O64" s="32"/>
      <c r="P64" s="32"/>
      <c r="Q64" s="32"/>
      <c r="R64" s="32"/>
      <c r="S64" s="30"/>
      <c r="T64" s="32"/>
      <c r="U64" s="46"/>
      <c r="V64" s="30"/>
      <c r="W64" s="35"/>
      <c r="X64" s="36"/>
      <c r="Y64" s="36"/>
      <c r="Z64" s="36"/>
      <c r="AA64" s="36"/>
      <c r="AB64" s="36"/>
      <c r="AC64" s="36"/>
      <c r="AD64" s="37"/>
      <c r="AE64" s="30"/>
      <c r="AF64" s="30"/>
      <c r="AG64" s="38"/>
      <c r="AH64" s="38"/>
      <c r="AI64" s="38"/>
      <c r="AJ64" s="38"/>
      <c r="AK64" s="38"/>
      <c r="AL64" s="38"/>
      <c r="AM64" s="38"/>
      <c r="AN64" s="38"/>
      <c r="AO64" s="38"/>
      <c r="AP64" s="68"/>
      <c r="AQ64" s="66"/>
      <c r="AR64" s="38"/>
      <c r="AS64" s="39"/>
      <c r="AT64" s="38"/>
      <c r="AU64" s="30"/>
      <c r="AV64" s="43"/>
      <c r="AW64" s="32"/>
    </row>
    <row r="65" spans="1:49" x14ac:dyDescent="0.25">
      <c r="A65" s="47"/>
      <c r="B65" s="47"/>
      <c r="C65" s="61"/>
      <c r="D65" s="32"/>
      <c r="E65" s="29"/>
      <c r="F65" s="29"/>
      <c r="G65" s="29"/>
      <c r="H65" s="41"/>
      <c r="I65" s="41"/>
      <c r="J65" s="41"/>
      <c r="K65" s="41"/>
      <c r="L65" s="29"/>
      <c r="M65" s="29"/>
      <c r="N65" s="32"/>
      <c r="O65" s="32"/>
      <c r="P65" s="32"/>
      <c r="Q65" s="32"/>
      <c r="R65" s="32"/>
      <c r="S65" s="30"/>
      <c r="T65" s="32"/>
      <c r="U65" s="45"/>
      <c r="V65" s="30"/>
      <c r="W65" s="35"/>
      <c r="X65" s="36"/>
      <c r="Y65" s="36"/>
      <c r="Z65" s="36"/>
      <c r="AA65" s="36"/>
      <c r="AB65" s="36"/>
      <c r="AC65" s="36"/>
      <c r="AD65" s="37"/>
      <c r="AE65" s="32"/>
      <c r="AF65" s="32"/>
      <c r="AG65" s="38"/>
      <c r="AH65" s="38"/>
      <c r="AI65" s="38"/>
      <c r="AJ65" s="38"/>
      <c r="AK65" s="38"/>
      <c r="AL65" s="38"/>
      <c r="AM65" s="38"/>
      <c r="AN65" s="38"/>
      <c r="AO65" s="38"/>
      <c r="AP65" s="68"/>
      <c r="AQ65" s="66"/>
      <c r="AR65" s="38"/>
      <c r="AS65" s="39"/>
      <c r="AT65" s="38"/>
      <c r="AU65" s="30"/>
      <c r="AV65" s="30"/>
      <c r="AW65" s="32"/>
    </row>
    <row r="66" spans="1:49" ht="15" x14ac:dyDescent="0.25">
      <c r="A66" s="47"/>
      <c r="B66" s="47"/>
      <c r="C66" s="61"/>
      <c r="D66" s="32"/>
      <c r="E66" s="29"/>
      <c r="F66" s="29"/>
      <c r="G66" s="29"/>
      <c r="H66" s="41"/>
      <c r="I66" s="41"/>
      <c r="J66" s="41"/>
      <c r="K66" s="41"/>
      <c r="L66" s="29"/>
      <c r="M66" s="29"/>
      <c r="N66" s="32"/>
      <c r="O66" s="32"/>
      <c r="P66" s="32"/>
      <c r="Q66" s="32"/>
      <c r="R66" s="32"/>
      <c r="S66" s="30"/>
      <c r="T66" s="32"/>
      <c r="U66" s="45"/>
      <c r="V66" s="30"/>
      <c r="W66" s="35"/>
      <c r="X66" s="36"/>
      <c r="Y66" s="36"/>
      <c r="Z66" s="36"/>
      <c r="AA66" s="36"/>
      <c r="AB66" s="36"/>
      <c r="AC66" s="36"/>
      <c r="AD66" s="37"/>
      <c r="AE66" s="30"/>
      <c r="AF66" s="30"/>
      <c r="AG66" s="38"/>
      <c r="AH66" s="38"/>
      <c r="AI66" s="38"/>
      <c r="AJ66" s="38"/>
      <c r="AK66" s="38"/>
      <c r="AL66" s="38"/>
      <c r="AM66" s="38"/>
      <c r="AN66" s="38"/>
      <c r="AO66" s="38"/>
      <c r="AP66" s="68"/>
      <c r="AQ66" s="66"/>
      <c r="AR66" s="38"/>
      <c r="AS66" s="39"/>
      <c r="AT66" s="38"/>
      <c r="AU66" s="30"/>
      <c r="AV66" s="43"/>
      <c r="AW66" s="32"/>
    </row>
    <row r="67" spans="1:49" x14ac:dyDescent="0.25">
      <c r="A67" s="47"/>
      <c r="B67" s="47"/>
      <c r="C67" s="61"/>
      <c r="D67" s="32"/>
      <c r="E67" s="29"/>
      <c r="F67" s="29"/>
      <c r="G67" s="29"/>
      <c r="H67" s="41"/>
      <c r="I67" s="41"/>
      <c r="J67" s="41"/>
      <c r="K67" s="41"/>
      <c r="L67" s="29"/>
      <c r="M67" s="29"/>
      <c r="N67" s="32"/>
      <c r="O67" s="32"/>
      <c r="P67" s="32"/>
      <c r="Q67" s="32"/>
      <c r="R67" s="32"/>
      <c r="S67" s="30"/>
      <c r="T67" s="32"/>
      <c r="U67" s="45"/>
      <c r="V67" s="44"/>
      <c r="W67" s="35"/>
      <c r="X67" s="36"/>
      <c r="Y67" s="36"/>
      <c r="Z67" s="36"/>
      <c r="AA67" s="36"/>
      <c r="AB67" s="36"/>
      <c r="AC67" s="36"/>
      <c r="AD67" s="37"/>
      <c r="AE67" s="30"/>
      <c r="AF67" s="30"/>
      <c r="AG67" s="38"/>
      <c r="AH67" s="38"/>
      <c r="AI67" s="38"/>
      <c r="AJ67" s="38"/>
      <c r="AK67" s="38"/>
      <c r="AL67" s="38"/>
      <c r="AM67" s="38"/>
      <c r="AN67" s="38"/>
      <c r="AO67" s="38"/>
      <c r="AP67" s="68"/>
      <c r="AQ67" s="66"/>
      <c r="AR67" s="38"/>
      <c r="AS67" s="39"/>
      <c r="AT67" s="38"/>
      <c r="AU67" s="30"/>
      <c r="AV67" s="30"/>
      <c r="AW67" s="32"/>
    </row>
    <row r="68" spans="1:49" ht="15" x14ac:dyDescent="0.25">
      <c r="A68" s="47"/>
      <c r="B68" s="47"/>
      <c r="C68" s="61"/>
      <c r="D68" s="32"/>
      <c r="E68" s="29"/>
      <c r="F68" s="29"/>
      <c r="G68" s="29"/>
      <c r="H68" s="41"/>
      <c r="I68" s="41"/>
      <c r="J68" s="41"/>
      <c r="K68" s="41"/>
      <c r="L68" s="29"/>
      <c r="M68" s="29"/>
      <c r="N68" s="32"/>
      <c r="O68" s="32"/>
      <c r="P68" s="32"/>
      <c r="Q68" s="32"/>
      <c r="R68" s="32"/>
      <c r="S68" s="30"/>
      <c r="T68" s="32"/>
      <c r="U68" s="45"/>
      <c r="V68" s="44"/>
      <c r="W68" s="35"/>
      <c r="X68" s="36"/>
      <c r="Y68" s="36"/>
      <c r="Z68" s="36"/>
      <c r="AA68" s="36"/>
      <c r="AB68" s="36"/>
      <c r="AC68" s="36"/>
      <c r="AD68" s="37"/>
      <c r="AE68" s="30"/>
      <c r="AF68" s="30"/>
      <c r="AG68" s="38"/>
      <c r="AH68" s="38"/>
      <c r="AI68" s="38"/>
      <c r="AJ68" s="38"/>
      <c r="AK68" s="38"/>
      <c r="AL68" s="38"/>
      <c r="AM68" s="38"/>
      <c r="AN68" s="38"/>
      <c r="AO68" s="38"/>
      <c r="AP68" s="68"/>
      <c r="AQ68" s="66"/>
      <c r="AR68" s="38"/>
      <c r="AS68" s="39"/>
      <c r="AT68" s="38"/>
      <c r="AU68" s="30"/>
      <c r="AV68" s="43"/>
      <c r="AW68" s="32"/>
    </row>
    <row r="69" spans="1:49" x14ac:dyDescent="0.25">
      <c r="A69" s="47"/>
      <c r="B69" s="47"/>
      <c r="C69" s="61"/>
      <c r="D69" s="32"/>
      <c r="E69" s="29"/>
      <c r="F69" s="29"/>
      <c r="G69" s="29"/>
      <c r="H69" s="41"/>
      <c r="I69" s="41"/>
      <c r="J69" s="41"/>
      <c r="K69" s="41"/>
      <c r="L69" s="29"/>
      <c r="M69" s="29"/>
      <c r="N69" s="32"/>
      <c r="O69" s="32"/>
      <c r="P69" s="32"/>
      <c r="Q69" s="32"/>
      <c r="R69" s="32"/>
      <c r="S69" s="30"/>
      <c r="T69" s="32"/>
      <c r="U69" s="57"/>
      <c r="V69" s="34"/>
      <c r="W69" s="35"/>
      <c r="X69" s="36"/>
      <c r="Y69" s="36"/>
      <c r="Z69" s="36"/>
      <c r="AA69" s="36"/>
      <c r="AB69" s="36"/>
      <c r="AC69" s="36"/>
      <c r="AD69" s="37"/>
      <c r="AE69" s="30"/>
      <c r="AF69" s="30"/>
      <c r="AG69" s="38"/>
      <c r="AH69" s="38"/>
      <c r="AI69" s="38"/>
      <c r="AJ69" s="38"/>
      <c r="AK69" s="38"/>
      <c r="AL69" s="38"/>
      <c r="AM69" s="38"/>
      <c r="AN69" s="38"/>
      <c r="AO69" s="38"/>
      <c r="AP69" s="68"/>
      <c r="AQ69" s="66"/>
      <c r="AR69" s="38"/>
      <c r="AS69" s="39"/>
      <c r="AT69" s="38"/>
      <c r="AU69" s="30"/>
      <c r="AV69" s="30"/>
      <c r="AW69" s="32"/>
    </row>
    <row r="70" spans="1:49" x14ac:dyDescent="0.25">
      <c r="AQ70" s="67"/>
    </row>
  </sheetData>
  <autoFilter ref="A7:AW63" xr:uid="{00000000-0001-0000-0400-000000000000}">
    <filterColumn colId="4">
      <filters>
        <filter val="Conciliaciones extrajudiciales"/>
        <filter val="Consultoría"/>
        <filter val="CRM"/>
        <filter val="Fábrica de software"/>
        <filter val="Fichas de conciliación"/>
        <filter val="Gestión Documental"/>
        <filter val="Interventoría"/>
        <filter val="Seguridad"/>
        <filter val="Servicios Tecnológicos"/>
      </filters>
    </filterColumn>
    <filterColumn colId="29">
      <filters>
        <filter val="Inversión BID"/>
      </filters>
    </filterColumn>
  </autoFilter>
  <hyperlinks>
    <hyperlink ref="AV25" r:id="rId1" xr:uid="{A7CA8BBB-1926-4923-8C6C-ADF5440A504B}"/>
    <hyperlink ref="AV13" r:id="rId2" xr:uid="{BB463A4D-3A46-48C4-850C-C62E13F39277}"/>
    <hyperlink ref="AV26" r:id="rId3" display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xr:uid="{1C5A05B5-DAE9-443E-B1B5-7B379739DE0C}"/>
    <hyperlink ref="AV12" r:id="rId4" xr:uid="{A7E3A52B-B0F8-4AB0-80B9-C112D3EAEC09}"/>
    <hyperlink ref="AV14" r:id="rId5" display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xr:uid="{46B1EA78-BCAC-4EA0-BC37-F96EF3F53D5D}"/>
    <hyperlink ref="AV28" r:id="rId6" display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xr:uid="{58C4BAF5-3511-4F03-AF4E-2E6D6B431CBB}"/>
    <hyperlink ref="AV16" r:id="rId7" display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xr:uid="{9BF1110B-7284-4609-95AB-2AACFBEF8C01}"/>
    <hyperlink ref="AV15" r:id="rId8" display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xr:uid="{20AEE7C1-59C4-4C96-AA56-AD13AD83397A}"/>
    <hyperlink ref="AV10" r:id="rId9" display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xr:uid="{88EDCB16-0CD4-4D79-B447-7586562F8452}"/>
    <hyperlink ref="AV17" r:id="rId10" display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xr:uid="{F0BB698C-22C3-45EC-B42C-B3814D1A57EA}"/>
    <hyperlink ref="AV18" r:id="rId11" display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xr:uid="{2FBFC6A8-B0C9-495C-8183-38F670F716B5}"/>
    <hyperlink ref="AV19" r:id="rId12" display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xr:uid="{416D06D2-EB56-4B66-BC60-14D2F1F8F265}"/>
    <hyperlink ref="AV20" r:id="rId13" display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xr:uid="{8BD2BC5E-18CE-4E69-B9A5-57508C96EB78}"/>
    <hyperlink ref="AV21" r:id="rId14" display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xr:uid="{19187DD0-B5AA-40FF-8E7F-367877FB4647}"/>
    <hyperlink ref="AV22" r:id="rId15" display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xr:uid="{7413669B-A161-49A0-ADD7-AA041580933C}"/>
    <hyperlink ref="AV49" r:id="rId16" display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xr:uid="{120A16DF-27AD-4265-991E-C39882F3283D}"/>
    <hyperlink ref="AV8" r:id="rId17" display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xr:uid="{1FF3D4B4-95FD-4531-A901-AF23E09B45DE}"/>
    <hyperlink ref="AV50" r:id="rId18" display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xr:uid="{5A3D2AA4-55EB-499D-BA5C-4F387F6CEAF2}"/>
    <hyperlink ref="AV11" r:id="rId19" xr:uid="{DCF2755B-5C13-45D0-B11D-BCE4CD4DFFCC}"/>
    <hyperlink ref="AV23" r:id="rId20" display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xr:uid="{35EF8A58-4F1D-450A-9B96-FA32CADBC2BD}"/>
    <hyperlink ref="AV9" r:id="rId21" display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xr:uid="{FAEE16AC-70E8-41B1-BEA7-DDB65342CE9A}"/>
    <hyperlink ref="AV29" r:id="rId22" display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xr:uid="{B9F9B6CF-B8B3-4780-AD57-A06CDE795A55}"/>
    <hyperlink ref="AV30" r:id="rId23" xr:uid="{C82D893A-0F12-467D-A14B-08FD2B99E5E5}"/>
    <hyperlink ref="AV31" r:id="rId24" display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xr:uid="{4339306E-E95A-4DA8-8E0D-393F133ABE7F}"/>
    <hyperlink ref="AV32" r:id="rId25" display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xr:uid="{A623D9F5-6510-4F00-9FB6-2D837E2D1635}"/>
    <hyperlink ref="AV27" r:id="rId26" xr:uid="{79347146-4F03-4E05-86C1-A61B7AACBB0B}"/>
    <hyperlink ref="AV33" r:id="rId27" xr:uid="{45BDE7D6-99B9-4119-B80B-D13CF92D3F8D}"/>
    <hyperlink ref="AV47" r:id="rId28" xr:uid="{803B5501-4383-4B2B-9841-120A1B75BC03}"/>
    <hyperlink ref="AV48" r:id="rId29" display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xr:uid="{16B07B76-DA7F-4BEA-8E4F-99D186AAB9A1}"/>
    <hyperlink ref="AV34" r:id="rId30" display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xr:uid="{856BBB8C-F517-47A4-ACCE-A0DD55FAFAE6}"/>
    <hyperlink ref="AV35" r:id="rId31" display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xr:uid="{1019322A-5BA3-40C0-BB11-693183607774}"/>
    <hyperlink ref="AV36" r:id="rId32" xr:uid="{B9992C54-09F5-4D82-9101-BEAA83A45B24}"/>
    <hyperlink ref="AV37" r:id="rId33" display="https://community.secop.gov.co/STS/users/issue.aspx?wa=wsignin1.0&amp;wtrealm=https%3a%2f%2fwww.secop.gov.co%2fCO1ContractsManagement&amp;wctx=rm%3d0%26id%3dpassive%26ru%3d%252fCO1ContractsManagement%252fTendering%252fProcurementContractEdit%252fView%253fdocUniqueIdentifier%253dCO1.PCCNTR.6474022%2526awardUniqueIdentifier%253d%2526buyerDossierUniqueIdentifier%253dCO1.BDOS.6312453%2526id%253d3730492&amp;wct=2024-07-16T16%3a12%3a14Z" xr:uid="{2AEC86EE-3FB8-4DC5-B0CF-1031E21EA73E}"/>
    <hyperlink ref="AV38" r:id="rId34" xr:uid="{C7E0FF80-4A44-40DD-A157-3A08B101E5A0}"/>
    <hyperlink ref="AV43" r:id="rId35" display="https://www.secop.gov.co/CO1BusinessLine/Tendering/BuyerWorkArea/Index?docUniqueIdentifier=CO1.BDOS.6512542&amp;prevCtxUrl=https%3a%2f%2fwww.secop.gov.co%2fCO1BusinessLine%2fTendering%2fBuyerDossierWorkspace%2fIndex%3fcreateDateFrom%3d09%2f02%2f2024+20%3a43%3a48%26createDateTo%3d09%2f08%2f2024+20%3a43%3a48%26filteringState%3d2%26sortingState%3dLastModifiedDESC%26showAdvancedSearch%3dFalse%26showAdvancedSearchFields%3dFalse%26folderCode%3dALL%26selectedDossier%3dCO1.BDOS.6512542%26selectedRequest%3dCO1.REQ.6637958%26&amp;prevCtxLbl=Procesos+de+la+Entidad+Estatal" xr:uid="{92E09D6C-6EDF-4D8E-9DCD-A3CA0736D5EE}"/>
    <hyperlink ref="AV39" r:id="rId36" display="https://www.secop.gov.co/CO1ContractsManagement/Tendering/ProcurementContractEdit/View?docUniqueIdentifier=CO1.PCCNTR.6583413&amp;prevCtxUrl=https%3a%2f%2fwww.secop.gov.co%3a443%2fCO1ContractsManagement%2fTendering%2fProcurementContractManagement%2fIndex&amp;prevCtxLbl=Contratos+" xr:uid="{8DD3951B-7CC5-45A1-8772-D2D3484070A4}"/>
    <hyperlink ref="AV40" r:id="rId37" display="https://www.secop.gov.co/CO1ContractsManagement/Tendering/ProcurementContractEdit/Update?ProfileName=CCE-11-Procedimiento_Publicidad&amp;PPI=CO1.PPI.31157857&amp;DocUniqueName=ContratoDeCompra&amp;DocTypeName=NextWay.Entities.Marketplace.Tendering.ProcurementContract&amp;ProfileVersion=12&amp;DocUniqueIdentifier=CO1.PCCNTR.6795741&amp;prevCtxUrl=https%3a%2f%2fwww.secop.gov.co%3a443%2fCO1ContractsManagement%2fTendering%2fProcurementContractManagement%2fIndex&amp;prevCtxLbl=Contratos+" xr:uid="{B9449AD7-5C27-4A8B-A90F-2808407C6867}"/>
    <hyperlink ref="AV41" r:id="rId38" display="https://www.secop.gov.co/CO1ContractsManagement/Tendering/ProcurementContractEdit/Update?ProfileName=CCE-11-Procedimiento_Publicidad&amp;PPI=CO1.PPI.34524333&amp;DocUniqueName=ContratoDeCompra&amp;DocTypeName=NextWay.Entities.Marketplace.Tendering.ProcurementContract&amp;ProfileVersion=12&amp;DocUniqueIdentifier=CO1.PCCNTR.6809307&amp;prevCtxUrl=https%3a%2f%2fwww.secop.gov.co%3a443%2fCO1ContractsManagement%2fTendering%2fProcurementContractManagement%2fIndex&amp;prevCtxLbl=Contratos+" xr:uid="{0AFE9DC2-D13C-4437-A20E-9B378296C445}"/>
    <hyperlink ref="AV42" r:id="rId39" display="https://www.secop.gov.co/CO1ContractsManagement/Tendering/ProcurementContractEdit/View?docUniqueIdentifier=CO1.PCCNTR.6801344&amp;prevCtxUrl=https%3a%2f%2fwww.secop.gov.co%3a443%2fCO1ContractsManagement%2fTendering%2fProcurementContractManagement%2fIndex&amp;prevCtxLbl=Contratos+" xr:uid="{BAD1F6A0-944A-457E-82BA-4BD8D1180CC0}"/>
    <hyperlink ref="AV44" r:id="rId40" display="https://www.secop.gov.co/CO1ContractsManagement/Tendering/ProcurementContractEdit/View?docUniqueIdentifier=CO1.PCCNTR.6688746&amp;prevCtxUrl=https%3a%2f%2fwww.secop.gov.co%3a443%2fCO1ContractsManagement%2fTendering%2fProcurementContractManagement%2fIndex&amp;prevCtxLbl=Contratos+" xr:uid="{D5379CE8-2591-4093-962F-5BC862950629}"/>
    <hyperlink ref="AV45" r:id="rId41" display="https://www.secop.gov.co/CO1ContractsManagement/Tendering/ProcurementContractEdit/Update?ProfileName=CCE-11-Procedimiento_Publicidad&amp;PPI=CO1.PPI.34089495&amp;DocUniqueName=ContratoDeCompra&amp;DocTypeName=NextWay.Entities.Marketplace.Tendering.ProcurementContract&amp;ProfileVersion=12&amp;DocUniqueIdentifier=CO1.PCCNTR.6726484&amp;prevCtxUrl=https%3a%2f%2fwww.secop.gov.co%3a443%2fCO1ContractsManagement%2fTendering%2fProcurementContractManagement%2fIndex&amp;prevCtxLbl=Contratos+" xr:uid="{A0545D7A-2AD6-4748-9E48-C36D62A6D16E}"/>
  </hyperlinks>
  <pageMargins left="0.23622047244094491" right="0.23622047244094491" top="0.74803149606299213" bottom="0.74803149606299213" header="0.31496062992125984" footer="0.31496062992125984"/>
  <pageSetup orientation="landscape" horizontalDpi="1200" verticalDpi="1200" r:id="rId42"/>
  <legacyDrawing r:id="rId4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8342-D105-402C-8BF2-CBFEDCEE1FA3}">
  <sheetPr>
    <pageSetUpPr autoPageBreaks="0"/>
  </sheetPr>
  <dimension ref="A1:AX69"/>
  <sheetViews>
    <sheetView zoomScale="70" zoomScaleNormal="70" zoomScaleSheetLayoutView="100" workbookViewId="0">
      <pane xSplit="1" ySplit="7" topLeftCell="B14" activePane="bottomRight" state="frozen"/>
      <selection pane="topRight" activeCell="B1" sqref="B1"/>
      <selection pane="bottomLeft" activeCell="A8" sqref="A8"/>
      <selection pane="bottomRight" activeCell="C7" sqref="C7"/>
    </sheetView>
  </sheetViews>
  <sheetFormatPr baseColWidth="10" defaultColWidth="11.7109375" defaultRowHeight="14.25" x14ac:dyDescent="0.25"/>
  <cols>
    <col min="1" max="2" width="11.7109375" style="27"/>
    <col min="3" max="3" width="11.7109375" style="62"/>
    <col min="4" max="4" width="16.28515625" style="27" customWidth="1"/>
    <col min="5" max="5" width="21" style="27" customWidth="1"/>
    <col min="6" max="7" width="11.7109375" style="27" customWidth="1"/>
    <col min="8" max="13" width="11.7109375" style="42" hidden="1" customWidth="1"/>
    <col min="14" max="14" width="11.7109375" style="27" hidden="1" customWidth="1"/>
    <col min="15" max="15" width="25.28515625" style="27" hidden="1" customWidth="1"/>
    <col min="16" max="17" width="27.42578125" style="27" hidden="1" customWidth="1"/>
    <col min="18" max="18" width="11.7109375" style="27" customWidth="1"/>
    <col min="19" max="19" width="23.7109375" style="27" customWidth="1"/>
    <col min="20" max="20" width="23.7109375" style="27" hidden="1" customWidth="1"/>
    <col min="21" max="21" width="51.7109375" style="27" hidden="1" customWidth="1"/>
    <col min="22" max="22" width="11.7109375" style="33" hidden="1" customWidth="1"/>
    <col min="23" max="23" width="11.7109375" style="27" customWidth="1"/>
    <col min="24" max="24" width="11.7109375" style="27" hidden="1" customWidth="1"/>
    <col min="25" max="28" width="12.42578125" style="27" hidden="1" customWidth="1"/>
    <col min="29" max="30" width="11.7109375" style="27" hidden="1" customWidth="1"/>
    <col min="31" max="31" width="11.7109375" style="27" customWidth="1"/>
    <col min="32" max="33" width="11.7109375" style="27" hidden="1" customWidth="1"/>
    <col min="34" max="34" width="19.7109375" style="27" hidden="1" customWidth="1"/>
    <col min="35" max="35" width="17.42578125" style="27" hidden="1" customWidth="1"/>
    <col min="36" max="36" width="19.7109375" style="27" hidden="1" customWidth="1"/>
    <col min="37" max="38" width="18" style="27" hidden="1" customWidth="1"/>
    <col min="39" max="39" width="20" style="27" hidden="1" customWidth="1"/>
    <col min="40" max="41" width="19.7109375" style="27" hidden="1" customWidth="1"/>
    <col min="42" max="42" width="18.7109375" style="27" hidden="1" customWidth="1"/>
    <col min="43" max="43" width="11.7109375" style="27" hidden="1" customWidth="1"/>
    <col min="44" max="44" width="22.85546875" style="27" hidden="1" customWidth="1"/>
    <col min="45" max="45" width="16.7109375" style="27" customWidth="1"/>
    <col min="46" max="46" width="11.7109375" style="27" customWidth="1"/>
    <col min="47" max="47" width="18" style="27" customWidth="1"/>
    <col min="48" max="48" width="25.85546875" style="27" customWidth="1"/>
    <col min="49" max="49" width="82.7109375" style="27" customWidth="1"/>
    <col min="50" max="50" width="71.5703125" style="27" customWidth="1"/>
    <col min="51" max="16384" width="11.7109375" style="27"/>
  </cols>
  <sheetData>
    <row r="1" spans="1:50" x14ac:dyDescent="0.25">
      <c r="W1" s="27">
        <v>44</v>
      </c>
    </row>
    <row r="2" spans="1:50" ht="15" x14ac:dyDescent="0.25">
      <c r="S2" s="28" t="s">
        <v>636</v>
      </c>
      <c r="T2" s="28"/>
      <c r="U2" s="28" t="s">
        <v>620</v>
      </c>
    </row>
    <row r="3" spans="1:50" x14ac:dyDescent="0.25">
      <c r="S3" s="30"/>
      <c r="T3" s="30"/>
      <c r="U3" s="30" t="s">
        <v>637</v>
      </c>
    </row>
    <row r="4" spans="1:50" x14ac:dyDescent="0.25">
      <c r="S4" s="151"/>
      <c r="T4" s="151"/>
      <c r="U4" s="30" t="s">
        <v>638</v>
      </c>
    </row>
    <row r="5" spans="1:50" x14ac:dyDescent="0.25">
      <c r="S5" s="64"/>
      <c r="T5" s="64"/>
      <c r="U5" s="30" t="s">
        <v>639</v>
      </c>
    </row>
    <row r="7" spans="1:50" ht="105" x14ac:dyDescent="0.25">
      <c r="A7" s="28" t="s">
        <v>615</v>
      </c>
      <c r="B7" s="28" t="s">
        <v>10</v>
      </c>
      <c r="C7" s="60" t="s">
        <v>11</v>
      </c>
      <c r="D7" s="28" t="s">
        <v>12</v>
      </c>
      <c r="E7" s="28" t="s">
        <v>13</v>
      </c>
      <c r="F7" s="28" t="s">
        <v>14</v>
      </c>
      <c r="G7" s="28" t="s">
        <v>15</v>
      </c>
      <c r="H7" s="40" t="s">
        <v>16</v>
      </c>
      <c r="I7" s="40" t="s">
        <v>17</v>
      </c>
      <c r="J7" s="40" t="s">
        <v>18</v>
      </c>
      <c r="K7" s="40" t="s">
        <v>19</v>
      </c>
      <c r="L7" s="40" t="s">
        <v>20</v>
      </c>
      <c r="M7" s="40" t="s">
        <v>21</v>
      </c>
      <c r="N7" s="28" t="s">
        <v>22</v>
      </c>
      <c r="O7" s="28" t="s">
        <v>23</v>
      </c>
      <c r="P7" s="28" t="s">
        <v>24</v>
      </c>
      <c r="Q7" s="28" t="s">
        <v>692</v>
      </c>
      <c r="R7" s="28" t="s">
        <v>25</v>
      </c>
      <c r="S7" s="28" t="s">
        <v>26</v>
      </c>
      <c r="T7" s="28"/>
      <c r="U7" s="28" t="s">
        <v>27</v>
      </c>
      <c r="V7" s="40" t="s">
        <v>28</v>
      </c>
      <c r="W7" s="28" t="s">
        <v>29</v>
      </c>
      <c r="X7" s="28" t="s">
        <v>30</v>
      </c>
      <c r="Y7" s="28" t="s">
        <v>32</v>
      </c>
      <c r="Z7" s="28" t="s">
        <v>33</v>
      </c>
      <c r="AA7" s="28" t="s">
        <v>34</v>
      </c>
      <c r="AB7" s="28" t="s">
        <v>35</v>
      </c>
      <c r="AC7" s="28" t="s">
        <v>36</v>
      </c>
      <c r="AD7" s="28" t="s">
        <v>37</v>
      </c>
      <c r="AE7" s="28" t="s">
        <v>38</v>
      </c>
      <c r="AF7" s="28" t="s">
        <v>616</v>
      </c>
      <c r="AG7" s="28" t="s">
        <v>39</v>
      </c>
      <c r="AH7" s="28" t="s">
        <v>40</v>
      </c>
      <c r="AI7" s="28" t="s">
        <v>41</v>
      </c>
      <c r="AJ7" s="28" t="s">
        <v>42</v>
      </c>
      <c r="AK7" s="28" t="s">
        <v>43</v>
      </c>
      <c r="AL7" s="28" t="s">
        <v>44</v>
      </c>
      <c r="AM7" s="28" t="s">
        <v>45</v>
      </c>
      <c r="AN7" s="28" t="s">
        <v>46</v>
      </c>
      <c r="AO7" s="28" t="s">
        <v>47</v>
      </c>
      <c r="AP7" s="28" t="s">
        <v>48</v>
      </c>
      <c r="AQ7" s="28" t="s">
        <v>710</v>
      </c>
      <c r="AR7" s="28" t="s">
        <v>711</v>
      </c>
      <c r="AS7" s="28" t="s">
        <v>50</v>
      </c>
      <c r="AT7" s="28" t="s">
        <v>51</v>
      </c>
      <c r="AU7" s="28" t="s">
        <v>52</v>
      </c>
      <c r="AV7" s="28" t="s">
        <v>53</v>
      </c>
      <c r="AW7" s="28" t="s">
        <v>54</v>
      </c>
      <c r="AX7" s="28" t="s">
        <v>55</v>
      </c>
    </row>
    <row r="8" spans="1:50" ht="69.599999999999994" customHeight="1" x14ac:dyDescent="0.25">
      <c r="A8" s="47">
        <v>1</v>
      </c>
      <c r="B8" s="47">
        <v>1</v>
      </c>
      <c r="C8" s="63">
        <v>80111614</v>
      </c>
      <c r="D8" s="3" t="s">
        <v>283</v>
      </c>
      <c r="E8" s="29" t="s">
        <v>56</v>
      </c>
      <c r="F8" s="29" t="s">
        <v>57</v>
      </c>
      <c r="G8" s="29" t="s">
        <v>58</v>
      </c>
      <c r="H8" s="41" t="s">
        <v>59</v>
      </c>
      <c r="I8" s="41" t="s">
        <v>60</v>
      </c>
      <c r="J8" s="41">
        <v>2024</v>
      </c>
      <c r="K8" s="41">
        <v>46</v>
      </c>
      <c r="L8" s="29" t="s">
        <v>59</v>
      </c>
      <c r="M8" s="29" t="s">
        <v>3</v>
      </c>
      <c r="N8" s="32" t="s">
        <v>61</v>
      </c>
      <c r="O8" s="32" t="s">
        <v>62</v>
      </c>
      <c r="P8" s="32" t="s">
        <v>63</v>
      </c>
      <c r="Q8" s="32"/>
      <c r="R8" s="32" t="s">
        <v>64</v>
      </c>
      <c r="S8" s="216" t="s">
        <v>65</v>
      </c>
      <c r="T8" s="31"/>
      <c r="U8" s="32" t="s">
        <v>66</v>
      </c>
      <c r="V8" s="45" t="s">
        <v>67</v>
      </c>
      <c r="W8" s="30" t="s">
        <v>68</v>
      </c>
      <c r="X8" s="35" t="s">
        <v>69</v>
      </c>
      <c r="Y8" s="36">
        <v>45329</v>
      </c>
      <c r="Z8" s="36">
        <v>45331</v>
      </c>
      <c r="AA8" s="36" t="s">
        <v>70</v>
      </c>
      <c r="AB8" s="36">
        <v>45504</v>
      </c>
      <c r="AC8" s="36" t="s">
        <v>70</v>
      </c>
      <c r="AD8" s="36" t="s">
        <v>71</v>
      </c>
      <c r="AE8" s="37" t="s">
        <v>72</v>
      </c>
      <c r="AF8" s="32" t="s">
        <v>73</v>
      </c>
      <c r="AG8" s="32" t="s">
        <v>73</v>
      </c>
      <c r="AH8" s="38">
        <v>47500000</v>
      </c>
      <c r="AI8" s="38">
        <v>0</v>
      </c>
      <c r="AJ8" s="38">
        <f t="shared" ref="AJ8:AJ14" si="0">AH8+AI8</f>
        <v>47500000</v>
      </c>
      <c r="AK8" s="38">
        <v>0</v>
      </c>
      <c r="AL8" s="66">
        <v>47500000</v>
      </c>
      <c r="AM8" s="38">
        <v>0</v>
      </c>
      <c r="AN8" s="38">
        <v>47500000</v>
      </c>
      <c r="AO8" s="38">
        <f t="shared" ref="AO8:AO44" si="1">IF(L8="Si",(AN8-AH8),0)</f>
        <v>0</v>
      </c>
      <c r="AP8" s="38"/>
      <c r="AQ8" s="192">
        <v>3</v>
      </c>
      <c r="AR8" s="66">
        <f>AS8*3</f>
        <v>35625000</v>
      </c>
      <c r="AS8" s="38">
        <v>11875000</v>
      </c>
      <c r="AT8" s="54">
        <f>IF(AL8=0,0,ROUND(AR8/AL8,2))</f>
        <v>0.75</v>
      </c>
      <c r="AU8" s="65">
        <f t="shared" ref="AU8:AU46" si="2">AL8-AR8</f>
        <v>11875000</v>
      </c>
      <c r="AV8" s="30" t="s">
        <v>74</v>
      </c>
      <c r="AW8" s="43" t="s">
        <v>75</v>
      </c>
      <c r="AX8" s="118" t="s">
        <v>708</v>
      </c>
    </row>
    <row r="9" spans="1:50" ht="30" customHeight="1" x14ac:dyDescent="0.25">
      <c r="A9" s="47">
        <v>2</v>
      </c>
      <c r="B9" s="47">
        <v>2</v>
      </c>
      <c r="C9" s="63"/>
      <c r="D9" s="32"/>
      <c r="E9" s="29" t="s">
        <v>56</v>
      </c>
      <c r="F9" s="29" t="s">
        <v>57</v>
      </c>
      <c r="G9" s="29" t="s">
        <v>58</v>
      </c>
      <c r="H9" s="41" t="s">
        <v>59</v>
      </c>
      <c r="I9" s="41" t="s">
        <v>60</v>
      </c>
      <c r="J9" s="41">
        <v>2024</v>
      </c>
      <c r="K9" s="41">
        <v>41</v>
      </c>
      <c r="L9" s="29" t="s">
        <v>59</v>
      </c>
      <c r="M9" s="29" t="s">
        <v>3</v>
      </c>
      <c r="N9" s="32" t="s">
        <v>61</v>
      </c>
      <c r="O9" s="32" t="s">
        <v>62</v>
      </c>
      <c r="P9" s="32" t="s">
        <v>63</v>
      </c>
      <c r="Q9" s="32"/>
      <c r="R9" s="32" t="s">
        <v>64</v>
      </c>
      <c r="S9" s="31" t="s">
        <v>76</v>
      </c>
      <c r="T9" s="31"/>
      <c r="U9" s="32" t="s">
        <v>66</v>
      </c>
      <c r="V9" s="46" t="s">
        <v>77</v>
      </c>
      <c r="W9" s="30" t="s">
        <v>78</v>
      </c>
      <c r="X9" s="35" t="s">
        <v>69</v>
      </c>
      <c r="Y9" s="36">
        <v>45329</v>
      </c>
      <c r="Z9" s="36">
        <v>45331</v>
      </c>
      <c r="AA9" s="36" t="s">
        <v>70</v>
      </c>
      <c r="AB9" s="36">
        <v>45519</v>
      </c>
      <c r="AC9" s="36" t="s">
        <v>70</v>
      </c>
      <c r="AD9" s="36" t="s">
        <v>71</v>
      </c>
      <c r="AE9" s="37" t="s">
        <v>72</v>
      </c>
      <c r="AF9" s="32" t="s">
        <v>73</v>
      </c>
      <c r="AG9" s="32" t="s">
        <v>73</v>
      </c>
      <c r="AH9" s="38">
        <v>47500000</v>
      </c>
      <c r="AI9" s="38">
        <v>3450000</v>
      </c>
      <c r="AJ9" s="38">
        <f t="shared" si="0"/>
        <v>50950000</v>
      </c>
      <c r="AK9" s="38">
        <v>0</v>
      </c>
      <c r="AL9" s="66">
        <v>47500000</v>
      </c>
      <c r="AM9" s="38">
        <v>0</v>
      </c>
      <c r="AN9" s="38">
        <v>47500000</v>
      </c>
      <c r="AO9" s="38">
        <f t="shared" si="1"/>
        <v>0</v>
      </c>
      <c r="AP9" s="38"/>
      <c r="AQ9" s="192">
        <v>2</v>
      </c>
      <c r="AR9" s="66">
        <f>AS9*2</f>
        <v>23750000</v>
      </c>
      <c r="AS9" s="38">
        <v>11875000</v>
      </c>
      <c r="AT9" s="54">
        <f>IF(AL9=0,0,ROUND(AR9/AL9,2))</f>
        <v>0.5</v>
      </c>
      <c r="AU9" s="65">
        <f t="shared" si="2"/>
        <v>23750000</v>
      </c>
      <c r="AV9" s="30" t="s">
        <v>79</v>
      </c>
      <c r="AW9" s="43" t="s">
        <v>80</v>
      </c>
      <c r="AX9" s="118" t="s">
        <v>709</v>
      </c>
    </row>
    <row r="10" spans="1:50" ht="30" customHeight="1" x14ac:dyDescent="0.25">
      <c r="A10" s="47">
        <v>3</v>
      </c>
      <c r="B10" s="47">
        <v>3</v>
      </c>
      <c r="C10" s="63">
        <v>80111614</v>
      </c>
      <c r="D10" s="32" t="s">
        <v>81</v>
      </c>
      <c r="E10" s="29" t="s">
        <v>56</v>
      </c>
      <c r="F10" s="29" t="s">
        <v>82</v>
      </c>
      <c r="G10" s="29" t="s">
        <v>83</v>
      </c>
      <c r="H10" s="41" t="s">
        <v>59</v>
      </c>
      <c r="I10" s="41" t="s">
        <v>60</v>
      </c>
      <c r="J10" s="41">
        <v>2024</v>
      </c>
      <c r="K10" s="41">
        <v>112</v>
      </c>
      <c r="L10" s="29" t="s">
        <v>59</v>
      </c>
      <c r="M10" s="29" t="s">
        <v>3</v>
      </c>
      <c r="N10" s="32" t="s">
        <v>61</v>
      </c>
      <c r="O10" s="32" t="s">
        <v>762</v>
      </c>
      <c r="P10" s="32" t="s">
        <v>85</v>
      </c>
      <c r="Q10" s="32"/>
      <c r="R10" s="32" t="s">
        <v>64</v>
      </c>
      <c r="S10" s="30" t="s">
        <v>86</v>
      </c>
      <c r="T10" s="30"/>
      <c r="U10" s="32" t="s">
        <v>87</v>
      </c>
      <c r="V10" s="45" t="s">
        <v>88</v>
      </c>
      <c r="W10" s="48" t="s">
        <v>89</v>
      </c>
      <c r="X10" s="35" t="s">
        <v>69</v>
      </c>
      <c r="Y10" s="36">
        <v>45315</v>
      </c>
      <c r="Z10" s="36">
        <v>45315</v>
      </c>
      <c r="AA10" s="36">
        <v>45316</v>
      </c>
      <c r="AB10" s="36">
        <v>45646</v>
      </c>
      <c r="AC10" s="36" t="s">
        <v>70</v>
      </c>
      <c r="AD10" s="36" t="s">
        <v>71</v>
      </c>
      <c r="AE10" s="37" t="s">
        <v>90</v>
      </c>
      <c r="AF10" s="32" t="s">
        <v>73</v>
      </c>
      <c r="AG10" s="32" t="s">
        <v>73</v>
      </c>
      <c r="AH10" s="38">
        <v>93500000</v>
      </c>
      <c r="AI10" s="38">
        <v>0</v>
      </c>
      <c r="AJ10" s="38">
        <f t="shared" si="0"/>
        <v>93500000</v>
      </c>
      <c r="AK10" s="38">
        <v>0</v>
      </c>
      <c r="AL10" s="66">
        <v>93500000</v>
      </c>
      <c r="AM10" s="38">
        <v>0</v>
      </c>
      <c r="AN10" s="38">
        <v>93500000</v>
      </c>
      <c r="AO10" s="38">
        <f t="shared" si="1"/>
        <v>0</v>
      </c>
      <c r="AP10" s="38"/>
      <c r="AQ10" s="192">
        <v>5</v>
      </c>
      <c r="AR10" s="66">
        <f>AS10*5</f>
        <v>46750000</v>
      </c>
      <c r="AS10" s="38">
        <v>9350000</v>
      </c>
      <c r="AT10" s="54">
        <f>IF(AL10=0,0,ROUND(AR10/AL10,2))</f>
        <v>0.5</v>
      </c>
      <c r="AU10" s="65">
        <f t="shared" si="2"/>
        <v>46750000</v>
      </c>
      <c r="AV10" s="30" t="s">
        <v>91</v>
      </c>
      <c r="AW10" s="43" t="s">
        <v>92</v>
      </c>
      <c r="AX10" s="32"/>
    </row>
    <row r="11" spans="1:50" ht="99.75" x14ac:dyDescent="0.25">
      <c r="A11" s="47">
        <v>4</v>
      </c>
      <c r="B11" s="47">
        <v>4</v>
      </c>
      <c r="C11" s="63"/>
      <c r="D11" s="32"/>
      <c r="E11" s="29" t="s">
        <v>647</v>
      </c>
      <c r="F11" s="29" t="s">
        <v>94</v>
      </c>
      <c r="G11" s="29" t="s">
        <v>95</v>
      </c>
      <c r="H11" s="47" t="s">
        <v>59</v>
      </c>
      <c r="I11" s="41" t="s">
        <v>60</v>
      </c>
      <c r="J11" s="41">
        <v>2024</v>
      </c>
      <c r="K11" s="41">
        <v>94</v>
      </c>
      <c r="L11" s="29" t="s">
        <v>59</v>
      </c>
      <c r="M11" s="29" t="s">
        <v>3</v>
      </c>
      <c r="N11" s="32" t="s">
        <v>61</v>
      </c>
      <c r="O11" s="32" t="s">
        <v>96</v>
      </c>
      <c r="P11" s="32" t="s">
        <v>97</v>
      </c>
      <c r="Q11" s="32"/>
      <c r="R11" s="32" t="s">
        <v>64</v>
      </c>
      <c r="S11" s="30" t="s">
        <v>98</v>
      </c>
      <c r="T11" s="30"/>
      <c r="U11" s="32" t="s">
        <v>99</v>
      </c>
      <c r="V11" s="57" t="s">
        <v>100</v>
      </c>
      <c r="W11" s="48" t="s">
        <v>101</v>
      </c>
      <c r="X11" s="35" t="s">
        <v>69</v>
      </c>
      <c r="Y11" s="36">
        <v>45331</v>
      </c>
      <c r="Z11" s="36">
        <v>45331</v>
      </c>
      <c r="AA11" s="36">
        <v>45331</v>
      </c>
      <c r="AB11" s="36">
        <v>45359</v>
      </c>
      <c r="AC11" s="58" t="s">
        <v>102</v>
      </c>
      <c r="AD11" s="58" t="s">
        <v>103</v>
      </c>
      <c r="AE11" s="37" t="s">
        <v>90</v>
      </c>
      <c r="AF11" s="32" t="s">
        <v>104</v>
      </c>
      <c r="AG11" s="32" t="s">
        <v>104</v>
      </c>
      <c r="AH11" s="38">
        <v>194118482.31999999</v>
      </c>
      <c r="AI11" s="38">
        <v>0</v>
      </c>
      <c r="AJ11" s="38">
        <f t="shared" si="0"/>
        <v>194118482.31999999</v>
      </c>
      <c r="AK11" s="38">
        <v>0</v>
      </c>
      <c r="AL11" s="66">
        <v>194118482.31999999</v>
      </c>
      <c r="AM11" s="38">
        <v>0</v>
      </c>
      <c r="AN11" s="38">
        <v>250000000</v>
      </c>
      <c r="AO11" s="38">
        <f t="shared" si="1"/>
        <v>55881517.680000007</v>
      </c>
      <c r="AP11" s="38"/>
      <c r="AQ11" s="192">
        <v>1</v>
      </c>
      <c r="AR11" s="66">
        <v>194118482.31999999</v>
      </c>
      <c r="AS11" s="38" t="s">
        <v>69</v>
      </c>
      <c r="AT11" s="54">
        <f>IF(AL11=0,0,ROUND(AR11/AL11,2))</f>
        <v>1</v>
      </c>
      <c r="AU11" s="65">
        <f t="shared" si="2"/>
        <v>0</v>
      </c>
      <c r="AV11" s="30" t="s">
        <v>105</v>
      </c>
      <c r="AW11" s="43" t="s">
        <v>106</v>
      </c>
      <c r="AX11" s="32"/>
    </row>
    <row r="12" spans="1:50" ht="118.15" customHeight="1" x14ac:dyDescent="0.25">
      <c r="A12" s="47">
        <v>5</v>
      </c>
      <c r="B12" s="47">
        <v>5</v>
      </c>
      <c r="C12" s="63"/>
      <c r="D12" s="32"/>
      <c r="E12" s="29" t="s">
        <v>93</v>
      </c>
      <c r="F12" s="29" t="s">
        <v>107</v>
      </c>
      <c r="G12" s="29" t="s">
        <v>108</v>
      </c>
      <c r="H12" s="41" t="s">
        <v>59</v>
      </c>
      <c r="I12" s="41" t="s">
        <v>60</v>
      </c>
      <c r="J12" s="41">
        <v>2023</v>
      </c>
      <c r="K12" s="41">
        <v>100</v>
      </c>
      <c r="L12" s="29" t="s">
        <v>109</v>
      </c>
      <c r="M12" s="29" t="s">
        <v>2</v>
      </c>
      <c r="N12" s="32" t="s">
        <v>61</v>
      </c>
      <c r="O12" s="32" t="s">
        <v>668</v>
      </c>
      <c r="P12" s="32" t="s">
        <v>669</v>
      </c>
      <c r="Q12" s="32"/>
      <c r="R12" s="32" t="s">
        <v>112</v>
      </c>
      <c r="S12" s="31" t="s">
        <v>113</v>
      </c>
      <c r="T12" s="31"/>
      <c r="U12" s="32" t="s">
        <v>114</v>
      </c>
      <c r="V12" s="46">
        <v>162174</v>
      </c>
      <c r="W12" s="48" t="s">
        <v>115</v>
      </c>
      <c r="X12" s="35">
        <v>121005</v>
      </c>
      <c r="Y12" s="36">
        <v>45258</v>
      </c>
      <c r="Z12" s="36">
        <v>45266</v>
      </c>
      <c r="AA12" s="36">
        <v>45274</v>
      </c>
      <c r="AB12" s="36">
        <v>46013</v>
      </c>
      <c r="AC12" s="36" t="s">
        <v>70</v>
      </c>
      <c r="AD12" s="36" t="s">
        <v>71</v>
      </c>
      <c r="AE12" s="37" t="s">
        <v>90</v>
      </c>
      <c r="AF12" s="32" t="s">
        <v>116</v>
      </c>
      <c r="AG12" s="32" t="s">
        <v>116</v>
      </c>
      <c r="AH12" s="38">
        <v>120586666.84999999</v>
      </c>
      <c r="AI12" s="38">
        <v>0</v>
      </c>
      <c r="AJ12" s="38">
        <f t="shared" si="0"/>
        <v>120586666.84999999</v>
      </c>
      <c r="AK12" s="38">
        <v>6381044.4221000075</v>
      </c>
      <c r="AL12" s="66">
        <v>60293333.439999998</v>
      </c>
      <c r="AM12" s="38">
        <v>53912288.987899996</v>
      </c>
      <c r="AN12" s="38">
        <v>0</v>
      </c>
      <c r="AO12" s="38">
        <f t="shared" si="1"/>
        <v>0</v>
      </c>
      <c r="AP12" s="38"/>
      <c r="AQ12" s="192">
        <v>7</v>
      </c>
      <c r="AR12" s="66">
        <f>4222222*7</f>
        <v>29555554</v>
      </c>
      <c r="AS12" s="38">
        <v>5024444.4099999992</v>
      </c>
      <c r="AT12" s="54">
        <f>ROUND(AR12/AL12,2)</f>
        <v>0.49</v>
      </c>
      <c r="AU12" s="65">
        <f t="shared" si="2"/>
        <v>30737779.439999998</v>
      </c>
      <c r="AV12" s="30" t="s">
        <v>117</v>
      </c>
      <c r="AW12" s="43" t="s">
        <v>118</v>
      </c>
      <c r="AX12" s="32"/>
    </row>
    <row r="13" spans="1:50" ht="99.75" x14ac:dyDescent="0.25">
      <c r="A13" s="47">
        <v>6</v>
      </c>
      <c r="B13" s="47">
        <v>6</v>
      </c>
      <c r="C13" s="63"/>
      <c r="D13" s="32"/>
      <c r="E13" s="29" t="s">
        <v>93</v>
      </c>
      <c r="F13" s="29" t="s">
        <v>119</v>
      </c>
      <c r="G13" s="29" t="s">
        <v>120</v>
      </c>
      <c r="H13" s="41" t="s">
        <v>59</v>
      </c>
      <c r="I13" s="41" t="s">
        <v>60</v>
      </c>
      <c r="J13" s="41">
        <v>2023</v>
      </c>
      <c r="K13" s="41">
        <v>98</v>
      </c>
      <c r="L13" s="29" t="s">
        <v>109</v>
      </c>
      <c r="M13" s="29" t="s">
        <v>2</v>
      </c>
      <c r="N13" s="32" t="s">
        <v>61</v>
      </c>
      <c r="O13" s="32" t="s">
        <v>668</v>
      </c>
      <c r="P13" s="32" t="s">
        <v>669</v>
      </c>
      <c r="Q13" s="32"/>
      <c r="R13" s="32" t="s">
        <v>112</v>
      </c>
      <c r="S13" s="31" t="s">
        <v>113</v>
      </c>
      <c r="T13" s="31"/>
      <c r="U13" s="32" t="s">
        <v>122</v>
      </c>
      <c r="V13" s="46">
        <v>162171</v>
      </c>
      <c r="W13" s="30" t="s">
        <v>123</v>
      </c>
      <c r="X13" s="35">
        <v>120075</v>
      </c>
      <c r="Y13" s="36">
        <v>45247</v>
      </c>
      <c r="Z13" s="36">
        <v>45257</v>
      </c>
      <c r="AA13" s="36">
        <v>45283</v>
      </c>
      <c r="AB13" s="36">
        <v>45603</v>
      </c>
      <c r="AC13" s="36" t="s">
        <v>70</v>
      </c>
      <c r="AD13" s="36" t="s">
        <v>71</v>
      </c>
      <c r="AE13" s="37" t="s">
        <v>90</v>
      </c>
      <c r="AF13" s="32" t="s">
        <v>116</v>
      </c>
      <c r="AG13" s="32" t="s">
        <v>116</v>
      </c>
      <c r="AH13" s="38">
        <v>52210518.659999996</v>
      </c>
      <c r="AI13" s="38">
        <v>0</v>
      </c>
      <c r="AJ13" s="38">
        <f t="shared" si="0"/>
        <v>52210518.659999996</v>
      </c>
      <c r="AK13" s="38">
        <v>5750723.7799999937</v>
      </c>
      <c r="AL13" s="66">
        <v>46459794.880000003</v>
      </c>
      <c r="AM13" s="38">
        <v>0</v>
      </c>
      <c r="AN13" s="38">
        <v>0</v>
      </c>
      <c r="AO13" s="38">
        <f t="shared" si="1"/>
        <v>0</v>
      </c>
      <c r="AP13" s="38"/>
      <c r="AQ13" s="192">
        <v>7</v>
      </c>
      <c r="AR13" s="66">
        <f>4540045*7</f>
        <v>31780315</v>
      </c>
      <c r="AS13" s="38">
        <v>4540045.0999999996</v>
      </c>
      <c r="AT13" s="54">
        <f t="shared" ref="AT13:AT46" si="3">IF(AL13=0,0,ROUND(AR13/AL13,2))</f>
        <v>0.68</v>
      </c>
      <c r="AU13" s="65">
        <f t="shared" si="2"/>
        <v>14679479.880000003</v>
      </c>
      <c r="AV13" s="30" t="s">
        <v>124</v>
      </c>
      <c r="AW13" s="43" t="s">
        <v>125</v>
      </c>
      <c r="AX13" s="32"/>
    </row>
    <row r="14" spans="1:50" ht="142.5" x14ac:dyDescent="0.25">
      <c r="A14" s="47">
        <v>7</v>
      </c>
      <c r="B14" s="47">
        <v>7</v>
      </c>
      <c r="C14" s="63"/>
      <c r="D14" s="32"/>
      <c r="E14" s="29" t="s">
        <v>713</v>
      </c>
      <c r="F14" s="29" t="s">
        <v>126</v>
      </c>
      <c r="G14" s="29" t="s">
        <v>127</v>
      </c>
      <c r="H14" s="41" t="s">
        <v>109</v>
      </c>
      <c r="I14" s="41" t="s">
        <v>128</v>
      </c>
      <c r="J14" s="41">
        <v>2023</v>
      </c>
      <c r="K14" s="41">
        <v>120</v>
      </c>
      <c r="L14" s="29" t="s">
        <v>109</v>
      </c>
      <c r="M14" s="29" t="s">
        <v>2</v>
      </c>
      <c r="N14" s="32" t="s">
        <v>61</v>
      </c>
      <c r="O14" s="32" t="s">
        <v>129</v>
      </c>
      <c r="P14" s="32" t="s">
        <v>130</v>
      </c>
      <c r="Q14" s="32"/>
      <c r="R14" s="32" t="s">
        <v>64</v>
      </c>
      <c r="S14" s="30" t="s">
        <v>131</v>
      </c>
      <c r="T14" s="30"/>
      <c r="U14" s="32" t="s">
        <v>132</v>
      </c>
      <c r="V14" s="45" t="s">
        <v>133</v>
      </c>
      <c r="W14" s="44" t="s">
        <v>134</v>
      </c>
      <c r="X14" s="35" t="s">
        <v>69</v>
      </c>
      <c r="Y14" s="36">
        <v>45141</v>
      </c>
      <c r="Z14" s="36">
        <v>45148</v>
      </c>
      <c r="AA14" s="36">
        <v>45148</v>
      </c>
      <c r="AB14" s="36">
        <v>45565</v>
      </c>
      <c r="AC14" s="36" t="s">
        <v>70</v>
      </c>
      <c r="AD14" s="36" t="s">
        <v>71</v>
      </c>
      <c r="AE14" s="37" t="s">
        <v>72</v>
      </c>
      <c r="AF14" s="30" t="s">
        <v>135</v>
      </c>
      <c r="AG14" s="30" t="s">
        <v>135</v>
      </c>
      <c r="AH14" s="38">
        <v>1038872287</v>
      </c>
      <c r="AI14" s="38">
        <v>0</v>
      </c>
      <c r="AJ14" s="38">
        <f t="shared" si="0"/>
        <v>1038872287</v>
      </c>
      <c r="AK14" s="38">
        <v>93891229</v>
      </c>
      <c r="AL14" s="66">
        <f>281673686*3+99960000</f>
        <v>944981058</v>
      </c>
      <c r="AM14" s="38">
        <v>0</v>
      </c>
      <c r="AN14" s="38">
        <v>0</v>
      </c>
      <c r="AO14" s="38">
        <f t="shared" si="1"/>
        <v>0</v>
      </c>
      <c r="AP14" s="38"/>
      <c r="AQ14" s="192">
        <v>2</v>
      </c>
      <c r="AR14" s="66">
        <f>327405386</f>
        <v>327405386</v>
      </c>
      <c r="AS14" s="38" t="s">
        <v>69</v>
      </c>
      <c r="AT14" s="54">
        <f t="shared" si="3"/>
        <v>0.35</v>
      </c>
      <c r="AU14" s="65">
        <f t="shared" si="2"/>
        <v>617575672</v>
      </c>
      <c r="AV14" s="30" t="s">
        <v>136</v>
      </c>
      <c r="AW14" s="43" t="s">
        <v>137</v>
      </c>
      <c r="AX14" s="118" t="s">
        <v>138</v>
      </c>
    </row>
    <row r="15" spans="1:50" ht="30" customHeight="1" x14ac:dyDescent="0.25">
      <c r="A15" s="47">
        <v>8</v>
      </c>
      <c r="B15" s="47">
        <v>8</v>
      </c>
      <c r="C15" s="63">
        <v>80111614</v>
      </c>
      <c r="D15" s="32" t="s">
        <v>81</v>
      </c>
      <c r="E15" s="29" t="s">
        <v>56</v>
      </c>
      <c r="F15" s="29" t="s">
        <v>82</v>
      </c>
      <c r="G15" s="29" t="s">
        <v>139</v>
      </c>
      <c r="H15" s="41" t="s">
        <v>59</v>
      </c>
      <c r="I15" s="41" t="s">
        <v>60</v>
      </c>
      <c r="J15" s="41">
        <v>2024</v>
      </c>
      <c r="K15" s="41">
        <v>111</v>
      </c>
      <c r="L15" s="29" t="s">
        <v>59</v>
      </c>
      <c r="M15" s="29" t="s">
        <v>3</v>
      </c>
      <c r="N15" s="32" t="s">
        <v>61</v>
      </c>
      <c r="O15" s="32" t="s">
        <v>129</v>
      </c>
      <c r="P15" s="32" t="s">
        <v>140</v>
      </c>
      <c r="Q15" s="32"/>
      <c r="R15" s="32" t="s">
        <v>64</v>
      </c>
      <c r="S15" s="30" t="s">
        <v>141</v>
      </c>
      <c r="T15" s="30"/>
      <c r="U15" s="32" t="s">
        <v>142</v>
      </c>
      <c r="V15" s="46" t="s">
        <v>143</v>
      </c>
      <c r="W15" s="48" t="s">
        <v>144</v>
      </c>
      <c r="X15" s="35" t="s">
        <v>69</v>
      </c>
      <c r="Y15" s="36">
        <v>45310</v>
      </c>
      <c r="Z15" s="36">
        <v>45313</v>
      </c>
      <c r="AA15" s="36">
        <v>45314</v>
      </c>
      <c r="AB15" s="36">
        <v>45646</v>
      </c>
      <c r="AC15" s="36" t="s">
        <v>70</v>
      </c>
      <c r="AD15" s="36" t="s">
        <v>71</v>
      </c>
      <c r="AE15" s="37" t="s">
        <v>90</v>
      </c>
      <c r="AF15" s="32" t="s">
        <v>73</v>
      </c>
      <c r="AG15" s="32" t="s">
        <v>73</v>
      </c>
      <c r="AH15" s="38">
        <v>104183350</v>
      </c>
      <c r="AI15" s="38">
        <v>0</v>
      </c>
      <c r="AJ15" s="38">
        <v>104183350</v>
      </c>
      <c r="AK15" s="38">
        <v>0</v>
      </c>
      <c r="AL15" s="66">
        <v>104183350</v>
      </c>
      <c r="AM15" s="38">
        <v>0</v>
      </c>
      <c r="AN15" s="38">
        <v>104500000</v>
      </c>
      <c r="AO15" s="38">
        <f t="shared" si="1"/>
        <v>316650</v>
      </c>
      <c r="AP15" s="38"/>
      <c r="AQ15" s="192">
        <v>7</v>
      </c>
      <c r="AR15" s="66">
        <f>(AS15*6)+(2533333)</f>
        <v>59533333</v>
      </c>
      <c r="AS15" s="38">
        <v>9500000</v>
      </c>
      <c r="AT15" s="54">
        <f t="shared" si="3"/>
        <v>0.56999999999999995</v>
      </c>
      <c r="AU15" s="65">
        <f t="shared" si="2"/>
        <v>44650017</v>
      </c>
      <c r="AV15" s="30" t="s">
        <v>145</v>
      </c>
      <c r="AW15" s="156" t="s">
        <v>146</v>
      </c>
      <c r="AX15" s="32"/>
    </row>
    <row r="16" spans="1:50" ht="30" customHeight="1" x14ac:dyDescent="0.25">
      <c r="A16" s="47">
        <v>9</v>
      </c>
      <c r="B16" s="47">
        <v>9</v>
      </c>
      <c r="C16" s="63">
        <v>80111614</v>
      </c>
      <c r="D16" s="32" t="s">
        <v>81</v>
      </c>
      <c r="E16" s="29" t="s">
        <v>56</v>
      </c>
      <c r="F16" s="29" t="s">
        <v>82</v>
      </c>
      <c r="G16" s="29" t="s">
        <v>139</v>
      </c>
      <c r="H16" s="41" t="s">
        <v>59</v>
      </c>
      <c r="I16" s="41" t="s">
        <v>60</v>
      </c>
      <c r="J16" s="41">
        <v>2024</v>
      </c>
      <c r="K16" s="41">
        <v>110</v>
      </c>
      <c r="L16" s="29" t="s">
        <v>59</v>
      </c>
      <c r="M16" s="29" t="s">
        <v>3</v>
      </c>
      <c r="N16" s="32" t="s">
        <v>61</v>
      </c>
      <c r="O16" s="32" t="s">
        <v>129</v>
      </c>
      <c r="P16" s="32" t="s">
        <v>140</v>
      </c>
      <c r="Q16" s="32"/>
      <c r="R16" s="32" t="s">
        <v>64</v>
      </c>
      <c r="S16" s="30" t="s">
        <v>147</v>
      </c>
      <c r="T16" s="30"/>
      <c r="U16" s="32" t="s">
        <v>142</v>
      </c>
      <c r="V16" s="57" t="s">
        <v>148</v>
      </c>
      <c r="W16" s="44" t="s">
        <v>149</v>
      </c>
      <c r="X16" s="35" t="s">
        <v>69</v>
      </c>
      <c r="Y16" s="36">
        <v>45310</v>
      </c>
      <c r="Z16" s="36">
        <v>45313</v>
      </c>
      <c r="AA16" s="36">
        <v>45314</v>
      </c>
      <c r="AB16" s="36">
        <v>45646</v>
      </c>
      <c r="AC16" s="36" t="s">
        <v>70</v>
      </c>
      <c r="AD16" s="36" t="s">
        <v>71</v>
      </c>
      <c r="AE16" s="37" t="s">
        <v>90</v>
      </c>
      <c r="AF16" s="32" t="s">
        <v>73</v>
      </c>
      <c r="AG16" s="32" t="s">
        <v>73</v>
      </c>
      <c r="AH16" s="38">
        <v>104183350</v>
      </c>
      <c r="AI16" s="38">
        <v>0</v>
      </c>
      <c r="AJ16" s="38">
        <f t="shared" ref="AJ16:AJ60" si="4">AH16+AI16</f>
        <v>104183350</v>
      </c>
      <c r="AK16" s="38">
        <v>0</v>
      </c>
      <c r="AL16" s="66">
        <v>104183350</v>
      </c>
      <c r="AM16" s="38">
        <v>0</v>
      </c>
      <c r="AN16" s="38">
        <v>104500000</v>
      </c>
      <c r="AO16" s="38">
        <f t="shared" si="1"/>
        <v>316650</v>
      </c>
      <c r="AP16" s="38"/>
      <c r="AQ16" s="192">
        <v>7</v>
      </c>
      <c r="AR16" s="66">
        <f>(AS16*6)+2850000</f>
        <v>59850000</v>
      </c>
      <c r="AS16" s="38">
        <v>9500000</v>
      </c>
      <c r="AT16" s="54">
        <f t="shared" si="3"/>
        <v>0.56999999999999995</v>
      </c>
      <c r="AU16" s="65">
        <f t="shared" si="2"/>
        <v>44333350</v>
      </c>
      <c r="AV16" s="30" t="s">
        <v>150</v>
      </c>
      <c r="AW16" s="43" t="s">
        <v>151</v>
      </c>
      <c r="AX16" s="32"/>
    </row>
    <row r="17" spans="1:50" ht="66.599999999999994" customHeight="1" x14ac:dyDescent="0.25">
      <c r="A17" s="47">
        <v>10</v>
      </c>
      <c r="B17" s="47">
        <v>10</v>
      </c>
      <c r="C17" s="63">
        <v>80111614</v>
      </c>
      <c r="D17" s="32" t="s">
        <v>81</v>
      </c>
      <c r="E17" s="29" t="s">
        <v>56</v>
      </c>
      <c r="F17" s="29" t="s">
        <v>82</v>
      </c>
      <c r="G17" s="29" t="s">
        <v>152</v>
      </c>
      <c r="H17" s="41" t="s">
        <v>59</v>
      </c>
      <c r="I17" s="41" t="s">
        <v>60</v>
      </c>
      <c r="J17" s="41">
        <v>2024</v>
      </c>
      <c r="K17" s="41">
        <v>113</v>
      </c>
      <c r="L17" s="29" t="s">
        <v>59</v>
      </c>
      <c r="M17" s="29" t="s">
        <v>3</v>
      </c>
      <c r="N17" s="32" t="s">
        <v>61</v>
      </c>
      <c r="O17" s="32" t="s">
        <v>129</v>
      </c>
      <c r="P17" s="32" t="s">
        <v>140</v>
      </c>
      <c r="Q17" s="32"/>
      <c r="R17" s="32" t="s">
        <v>64</v>
      </c>
      <c r="S17" s="30" t="s">
        <v>153</v>
      </c>
      <c r="T17" s="30"/>
      <c r="U17" s="32" t="s">
        <v>154</v>
      </c>
      <c r="V17" s="55" t="s">
        <v>155</v>
      </c>
      <c r="W17" s="48" t="s">
        <v>156</v>
      </c>
      <c r="X17" s="35" t="s">
        <v>69</v>
      </c>
      <c r="Y17" s="36">
        <v>45308</v>
      </c>
      <c r="Z17" s="36">
        <v>45310</v>
      </c>
      <c r="AA17" s="36">
        <v>45313</v>
      </c>
      <c r="AB17" s="36">
        <v>45646</v>
      </c>
      <c r="AC17" s="36" t="s">
        <v>70</v>
      </c>
      <c r="AD17" s="36" t="s">
        <v>71</v>
      </c>
      <c r="AE17" s="37" t="s">
        <v>90</v>
      </c>
      <c r="AF17" s="32" t="s">
        <v>73</v>
      </c>
      <c r="AG17" s="32" t="s">
        <v>73</v>
      </c>
      <c r="AH17" s="38">
        <v>187000000</v>
      </c>
      <c r="AI17" s="38">
        <v>0</v>
      </c>
      <c r="AJ17" s="38">
        <f t="shared" si="4"/>
        <v>187000000</v>
      </c>
      <c r="AK17" s="38">
        <v>0</v>
      </c>
      <c r="AL17" s="66">
        <v>187000000</v>
      </c>
      <c r="AM17" s="38">
        <v>0</v>
      </c>
      <c r="AN17" s="38">
        <v>187000000</v>
      </c>
      <c r="AO17" s="38">
        <f t="shared" si="1"/>
        <v>0</v>
      </c>
      <c r="AP17" s="38"/>
      <c r="AQ17" s="192">
        <v>7</v>
      </c>
      <c r="AR17" s="66">
        <f>(AS17*6)+5100000</f>
        <v>107100000</v>
      </c>
      <c r="AS17" s="38">
        <v>17000000</v>
      </c>
      <c r="AT17" s="54">
        <f t="shared" si="3"/>
        <v>0.56999999999999995</v>
      </c>
      <c r="AU17" s="65">
        <f t="shared" si="2"/>
        <v>79900000</v>
      </c>
      <c r="AV17" s="30" t="s">
        <v>157</v>
      </c>
      <c r="AW17" s="156" t="s">
        <v>158</v>
      </c>
      <c r="AX17" s="32"/>
    </row>
    <row r="18" spans="1:50" ht="30" customHeight="1" x14ac:dyDescent="0.25">
      <c r="A18" s="47">
        <v>11</v>
      </c>
      <c r="B18" s="47">
        <v>11</v>
      </c>
      <c r="C18" s="63">
        <v>80111614</v>
      </c>
      <c r="D18" s="32" t="s">
        <v>81</v>
      </c>
      <c r="E18" s="29" t="s">
        <v>56</v>
      </c>
      <c r="F18" s="29" t="s">
        <v>82</v>
      </c>
      <c r="G18" s="29" t="s">
        <v>159</v>
      </c>
      <c r="H18" s="41" t="s">
        <v>59</v>
      </c>
      <c r="I18" s="41" t="s">
        <v>60</v>
      </c>
      <c r="J18" s="41">
        <v>2024</v>
      </c>
      <c r="K18" s="41">
        <v>114</v>
      </c>
      <c r="L18" s="29" t="s">
        <v>59</v>
      </c>
      <c r="M18" s="29" t="s">
        <v>3</v>
      </c>
      <c r="N18" s="32" t="s">
        <v>61</v>
      </c>
      <c r="O18" s="32" t="s">
        <v>129</v>
      </c>
      <c r="P18" s="32" t="s">
        <v>85</v>
      </c>
      <c r="Q18" s="32"/>
      <c r="R18" s="32" t="s">
        <v>64</v>
      </c>
      <c r="S18" s="30" t="s">
        <v>160</v>
      </c>
      <c r="T18" s="30"/>
      <c r="U18" s="32" t="s">
        <v>161</v>
      </c>
      <c r="V18" s="55" t="s">
        <v>162</v>
      </c>
      <c r="W18" s="56" t="s">
        <v>163</v>
      </c>
      <c r="X18" s="35" t="s">
        <v>69</v>
      </c>
      <c r="Y18" s="36">
        <v>45314</v>
      </c>
      <c r="Z18" s="36">
        <v>45315</v>
      </c>
      <c r="AA18" s="36">
        <v>45316</v>
      </c>
      <c r="AB18" s="36">
        <v>45646</v>
      </c>
      <c r="AC18" s="36" t="s">
        <v>70</v>
      </c>
      <c r="AD18" s="36" t="s">
        <v>71</v>
      </c>
      <c r="AE18" s="37" t="s">
        <v>90</v>
      </c>
      <c r="AF18" s="32" t="s">
        <v>73</v>
      </c>
      <c r="AG18" s="32" t="s">
        <v>73</v>
      </c>
      <c r="AH18" s="38">
        <v>187000000</v>
      </c>
      <c r="AI18" s="38">
        <v>0</v>
      </c>
      <c r="AJ18" s="38">
        <f t="shared" si="4"/>
        <v>187000000</v>
      </c>
      <c r="AK18" s="38">
        <v>0</v>
      </c>
      <c r="AL18" s="66">
        <v>187000000</v>
      </c>
      <c r="AM18" s="38">
        <v>0</v>
      </c>
      <c r="AN18" s="38">
        <v>187000000</v>
      </c>
      <c r="AO18" s="38">
        <f t="shared" si="1"/>
        <v>0</v>
      </c>
      <c r="AP18" s="38"/>
      <c r="AQ18" s="192">
        <v>7</v>
      </c>
      <c r="AR18" s="66">
        <f>3400000+(AS18*6)</f>
        <v>105400000</v>
      </c>
      <c r="AS18" s="38">
        <v>17000000</v>
      </c>
      <c r="AT18" s="54">
        <f t="shared" si="3"/>
        <v>0.56000000000000005</v>
      </c>
      <c r="AU18" s="65">
        <f t="shared" si="2"/>
        <v>81600000</v>
      </c>
      <c r="AV18" s="30" t="s">
        <v>164</v>
      </c>
      <c r="AW18" s="43" t="s">
        <v>165</v>
      </c>
      <c r="AX18" s="32"/>
    </row>
    <row r="19" spans="1:50" ht="30" customHeight="1" x14ac:dyDescent="0.25">
      <c r="A19" s="47">
        <v>12</v>
      </c>
      <c r="B19" s="47">
        <v>12</v>
      </c>
      <c r="C19" s="63"/>
      <c r="D19" s="32"/>
      <c r="E19" s="29" t="s">
        <v>56</v>
      </c>
      <c r="F19" s="29" t="s">
        <v>82</v>
      </c>
      <c r="G19" s="29" t="s">
        <v>166</v>
      </c>
      <c r="H19" s="41" t="s">
        <v>59</v>
      </c>
      <c r="I19" s="41" t="s">
        <v>60</v>
      </c>
      <c r="J19" s="41">
        <v>2024</v>
      </c>
      <c r="K19" s="41">
        <v>108</v>
      </c>
      <c r="L19" s="29" t="s">
        <v>59</v>
      </c>
      <c r="M19" s="29" t="s">
        <v>3</v>
      </c>
      <c r="N19" s="32" t="s">
        <v>61</v>
      </c>
      <c r="O19" s="32" t="s">
        <v>129</v>
      </c>
      <c r="P19" s="32" t="s">
        <v>63</v>
      </c>
      <c r="Q19" s="32"/>
      <c r="R19" s="32" t="s">
        <v>64</v>
      </c>
      <c r="S19" s="30" t="s">
        <v>167</v>
      </c>
      <c r="T19" s="30"/>
      <c r="U19" s="32" t="s">
        <v>168</v>
      </c>
      <c r="V19" s="45" t="s">
        <v>169</v>
      </c>
      <c r="W19" s="48" t="s">
        <v>170</v>
      </c>
      <c r="X19" s="35" t="s">
        <v>69</v>
      </c>
      <c r="Y19" s="36">
        <v>45323</v>
      </c>
      <c r="Z19" s="36">
        <v>45324</v>
      </c>
      <c r="AA19" s="36" t="s">
        <v>70</v>
      </c>
      <c r="AB19" s="36">
        <v>45646</v>
      </c>
      <c r="AC19" s="36" t="s">
        <v>70</v>
      </c>
      <c r="AD19" s="36" t="s">
        <v>71</v>
      </c>
      <c r="AE19" s="37" t="s">
        <v>72</v>
      </c>
      <c r="AF19" s="32" t="s">
        <v>73</v>
      </c>
      <c r="AG19" s="32" t="s">
        <v>73</v>
      </c>
      <c r="AH19" s="38">
        <v>148500000</v>
      </c>
      <c r="AI19" s="38">
        <v>0</v>
      </c>
      <c r="AJ19" s="38">
        <f t="shared" si="4"/>
        <v>148500000</v>
      </c>
      <c r="AK19" s="38">
        <v>0</v>
      </c>
      <c r="AL19" s="66">
        <v>148500000</v>
      </c>
      <c r="AM19" s="38">
        <v>0</v>
      </c>
      <c r="AN19" s="38">
        <v>148500000</v>
      </c>
      <c r="AO19" s="38">
        <f t="shared" si="1"/>
        <v>0</v>
      </c>
      <c r="AP19" s="38"/>
      <c r="AQ19" s="192">
        <v>6</v>
      </c>
      <c r="AR19" s="66">
        <f>AS19*6</f>
        <v>81000000</v>
      </c>
      <c r="AS19" s="38">
        <v>13500000</v>
      </c>
      <c r="AT19" s="54">
        <f t="shared" si="3"/>
        <v>0.55000000000000004</v>
      </c>
      <c r="AU19" s="65">
        <f t="shared" si="2"/>
        <v>67500000</v>
      </c>
      <c r="AV19" s="30" t="s">
        <v>171</v>
      </c>
      <c r="AW19" s="43" t="s">
        <v>172</v>
      </c>
      <c r="AX19" s="32"/>
    </row>
    <row r="20" spans="1:50" ht="30" customHeight="1" x14ac:dyDescent="0.25">
      <c r="A20" s="47">
        <v>13</v>
      </c>
      <c r="B20" s="47">
        <v>13</v>
      </c>
      <c r="C20" s="63"/>
      <c r="D20" s="32"/>
      <c r="E20" s="29" t="s">
        <v>56</v>
      </c>
      <c r="F20" s="29" t="s">
        <v>82</v>
      </c>
      <c r="G20" s="29" t="s">
        <v>173</v>
      </c>
      <c r="H20" s="41" t="s">
        <v>59</v>
      </c>
      <c r="I20" s="41" t="s">
        <v>60</v>
      </c>
      <c r="J20" s="41">
        <v>2024</v>
      </c>
      <c r="K20" s="41">
        <v>107</v>
      </c>
      <c r="L20" s="29" t="s">
        <v>59</v>
      </c>
      <c r="M20" s="29" t="s">
        <v>3</v>
      </c>
      <c r="N20" s="32" t="s">
        <v>61</v>
      </c>
      <c r="O20" s="32" t="s">
        <v>129</v>
      </c>
      <c r="P20" s="32" t="s">
        <v>63</v>
      </c>
      <c r="Q20" s="32"/>
      <c r="R20" s="32" t="s">
        <v>64</v>
      </c>
      <c r="S20" s="30" t="s">
        <v>174</v>
      </c>
      <c r="T20" s="30"/>
      <c r="U20" s="32" t="s">
        <v>175</v>
      </c>
      <c r="V20" s="45" t="s">
        <v>176</v>
      </c>
      <c r="W20" s="56" t="s">
        <v>177</v>
      </c>
      <c r="X20" s="35" t="s">
        <v>69</v>
      </c>
      <c r="Y20" s="36">
        <v>45323</v>
      </c>
      <c r="Z20" s="36">
        <v>44962</v>
      </c>
      <c r="AA20" s="36" t="s">
        <v>70</v>
      </c>
      <c r="AB20" s="36">
        <v>45646</v>
      </c>
      <c r="AC20" s="36" t="s">
        <v>70</v>
      </c>
      <c r="AD20" s="36" t="s">
        <v>71</v>
      </c>
      <c r="AE20" s="37" t="s">
        <v>72</v>
      </c>
      <c r="AF20" s="32" t="s">
        <v>73</v>
      </c>
      <c r="AG20" s="32" t="s">
        <v>73</v>
      </c>
      <c r="AH20" s="38">
        <v>148500000</v>
      </c>
      <c r="AI20" s="38">
        <v>0</v>
      </c>
      <c r="AJ20" s="38">
        <f t="shared" si="4"/>
        <v>148500000</v>
      </c>
      <c r="AK20" s="38">
        <v>0</v>
      </c>
      <c r="AL20" s="66">
        <v>148500000</v>
      </c>
      <c r="AM20" s="38">
        <v>0</v>
      </c>
      <c r="AN20" s="38">
        <v>148500000</v>
      </c>
      <c r="AO20" s="38">
        <f t="shared" si="1"/>
        <v>0</v>
      </c>
      <c r="AP20" s="38"/>
      <c r="AQ20" s="192">
        <v>6</v>
      </c>
      <c r="AR20" s="66">
        <f>AS20*6</f>
        <v>81000000</v>
      </c>
      <c r="AS20" s="38">
        <v>13500000</v>
      </c>
      <c r="AT20" s="54">
        <f t="shared" si="3"/>
        <v>0.55000000000000004</v>
      </c>
      <c r="AU20" s="65">
        <f t="shared" si="2"/>
        <v>67500000</v>
      </c>
      <c r="AV20" s="30" t="s">
        <v>178</v>
      </c>
      <c r="AW20" s="43" t="s">
        <v>179</v>
      </c>
      <c r="AX20" s="32"/>
    </row>
    <row r="21" spans="1:50" ht="30" customHeight="1" x14ac:dyDescent="0.25">
      <c r="A21" s="47">
        <v>14</v>
      </c>
      <c r="B21" s="47">
        <v>14</v>
      </c>
      <c r="C21" s="63"/>
      <c r="D21" s="32"/>
      <c r="E21" s="29" t="s">
        <v>56</v>
      </c>
      <c r="F21" s="29" t="s">
        <v>82</v>
      </c>
      <c r="G21" s="29" t="s">
        <v>180</v>
      </c>
      <c r="H21" s="41" t="s">
        <v>59</v>
      </c>
      <c r="I21" s="41" t="s">
        <v>60</v>
      </c>
      <c r="J21" s="41">
        <v>2024</v>
      </c>
      <c r="K21" s="41">
        <v>115</v>
      </c>
      <c r="L21" s="29" t="s">
        <v>59</v>
      </c>
      <c r="M21" s="29" t="s">
        <v>3</v>
      </c>
      <c r="N21" s="32" t="s">
        <v>61</v>
      </c>
      <c r="O21" s="32" t="s">
        <v>129</v>
      </c>
      <c r="P21" s="32" t="s">
        <v>63</v>
      </c>
      <c r="Q21" s="32"/>
      <c r="R21" s="32" t="s">
        <v>64</v>
      </c>
      <c r="S21" s="30" t="s">
        <v>181</v>
      </c>
      <c r="T21" s="30"/>
      <c r="U21" s="32" t="s">
        <v>182</v>
      </c>
      <c r="V21" s="45" t="s">
        <v>183</v>
      </c>
      <c r="W21" s="48" t="s">
        <v>184</v>
      </c>
      <c r="X21" s="35" t="s">
        <v>69</v>
      </c>
      <c r="Y21" s="36">
        <v>45323</v>
      </c>
      <c r="Z21" s="36">
        <v>44962</v>
      </c>
      <c r="AA21" s="36" t="s">
        <v>70</v>
      </c>
      <c r="AB21" s="36">
        <v>45646</v>
      </c>
      <c r="AC21" s="36" t="s">
        <v>70</v>
      </c>
      <c r="AD21" s="36" t="s">
        <v>71</v>
      </c>
      <c r="AE21" s="37" t="s">
        <v>72</v>
      </c>
      <c r="AF21" s="32" t="s">
        <v>73</v>
      </c>
      <c r="AG21" s="32" t="s">
        <v>73</v>
      </c>
      <c r="AH21" s="38">
        <v>132000000</v>
      </c>
      <c r="AI21" s="38">
        <v>0</v>
      </c>
      <c r="AJ21" s="38">
        <f t="shared" si="4"/>
        <v>132000000</v>
      </c>
      <c r="AK21" s="38">
        <v>0</v>
      </c>
      <c r="AL21" s="66">
        <v>132000000</v>
      </c>
      <c r="AM21" s="38">
        <v>0</v>
      </c>
      <c r="AN21" s="38">
        <v>132000000</v>
      </c>
      <c r="AO21" s="38">
        <f t="shared" si="1"/>
        <v>0</v>
      </c>
      <c r="AP21" s="38"/>
      <c r="AQ21" s="192">
        <v>6</v>
      </c>
      <c r="AR21" s="66">
        <f>AS21*6</f>
        <v>72000000</v>
      </c>
      <c r="AS21" s="38">
        <v>12000000</v>
      </c>
      <c r="AT21" s="54">
        <f t="shared" si="3"/>
        <v>0.55000000000000004</v>
      </c>
      <c r="AU21" s="65">
        <f t="shared" si="2"/>
        <v>60000000</v>
      </c>
      <c r="AV21" s="30" t="s">
        <v>185</v>
      </c>
      <c r="AW21" s="43" t="s">
        <v>186</v>
      </c>
      <c r="AX21" s="32"/>
    </row>
    <row r="22" spans="1:50" ht="30" customHeight="1" x14ac:dyDescent="0.25">
      <c r="A22" s="47">
        <v>15</v>
      </c>
      <c r="B22" s="47">
        <v>15</v>
      </c>
      <c r="C22" s="63"/>
      <c r="D22" s="32"/>
      <c r="E22" s="29" t="s">
        <v>56</v>
      </c>
      <c r="F22" s="29" t="s">
        <v>82</v>
      </c>
      <c r="G22" s="29" t="s">
        <v>187</v>
      </c>
      <c r="H22" s="41" t="s">
        <v>59</v>
      </c>
      <c r="I22" s="41" t="s">
        <v>60</v>
      </c>
      <c r="J22" s="41">
        <v>2024</v>
      </c>
      <c r="K22" s="41">
        <v>109</v>
      </c>
      <c r="L22" s="29" t="s">
        <v>59</v>
      </c>
      <c r="M22" s="29" t="s">
        <v>3</v>
      </c>
      <c r="N22" s="32" t="s">
        <v>61</v>
      </c>
      <c r="O22" s="32" t="s">
        <v>129</v>
      </c>
      <c r="P22" s="32" t="s">
        <v>63</v>
      </c>
      <c r="Q22" s="32"/>
      <c r="R22" s="32" t="s">
        <v>64</v>
      </c>
      <c r="S22" s="30" t="s">
        <v>188</v>
      </c>
      <c r="T22" s="30"/>
      <c r="U22" s="32" t="s">
        <v>189</v>
      </c>
      <c r="V22" s="45" t="s">
        <v>190</v>
      </c>
      <c r="W22" s="56" t="s">
        <v>191</v>
      </c>
      <c r="X22" s="35" t="s">
        <v>69</v>
      </c>
      <c r="Y22" s="36">
        <v>45323</v>
      </c>
      <c r="Z22" s="36">
        <v>44959</v>
      </c>
      <c r="AA22" s="36" t="s">
        <v>70</v>
      </c>
      <c r="AB22" s="36">
        <v>45646</v>
      </c>
      <c r="AC22" s="36" t="s">
        <v>70</v>
      </c>
      <c r="AD22" s="36" t="s">
        <v>71</v>
      </c>
      <c r="AE22" s="37" t="s">
        <v>72</v>
      </c>
      <c r="AF22" s="32" t="s">
        <v>73</v>
      </c>
      <c r="AG22" s="32" t="s">
        <v>73</v>
      </c>
      <c r="AH22" s="38">
        <v>121000000</v>
      </c>
      <c r="AI22" s="38">
        <v>0</v>
      </c>
      <c r="AJ22" s="38">
        <f t="shared" si="4"/>
        <v>121000000</v>
      </c>
      <c r="AK22" s="38">
        <v>0</v>
      </c>
      <c r="AL22" s="66">
        <v>121000000</v>
      </c>
      <c r="AM22" s="38">
        <v>0</v>
      </c>
      <c r="AN22" s="38">
        <v>121000000</v>
      </c>
      <c r="AO22" s="38">
        <f t="shared" si="1"/>
        <v>0</v>
      </c>
      <c r="AP22" s="38"/>
      <c r="AQ22" s="192">
        <v>6</v>
      </c>
      <c r="AR22" s="66">
        <f>AS22*6</f>
        <v>66000000</v>
      </c>
      <c r="AS22" s="38">
        <v>11000000</v>
      </c>
      <c r="AT22" s="54">
        <f t="shared" si="3"/>
        <v>0.55000000000000004</v>
      </c>
      <c r="AU22" s="65">
        <f t="shared" si="2"/>
        <v>55000000</v>
      </c>
      <c r="AV22" s="30" t="s">
        <v>192</v>
      </c>
      <c r="AW22" s="43" t="s">
        <v>193</v>
      </c>
      <c r="AX22" s="32"/>
    </row>
    <row r="23" spans="1:50" ht="30" customHeight="1" x14ac:dyDescent="0.25">
      <c r="A23" s="47">
        <v>16</v>
      </c>
      <c r="B23" s="47">
        <v>16</v>
      </c>
      <c r="C23" s="63"/>
      <c r="D23" s="32"/>
      <c r="E23" s="29" t="s">
        <v>56</v>
      </c>
      <c r="F23" s="29" t="s">
        <v>82</v>
      </c>
      <c r="G23" s="29" t="s">
        <v>194</v>
      </c>
      <c r="H23" s="41" t="s">
        <v>59</v>
      </c>
      <c r="I23" s="41" t="s">
        <v>60</v>
      </c>
      <c r="J23" s="41">
        <v>2024</v>
      </c>
      <c r="K23" s="41">
        <v>104</v>
      </c>
      <c r="L23" s="29" t="s">
        <v>59</v>
      </c>
      <c r="M23" s="29" t="s">
        <v>3</v>
      </c>
      <c r="N23" s="32" t="s">
        <v>195</v>
      </c>
      <c r="O23" s="32" t="s">
        <v>129</v>
      </c>
      <c r="P23" s="59"/>
      <c r="Q23" s="59"/>
      <c r="R23" s="32" t="s">
        <v>64</v>
      </c>
      <c r="S23" s="30" t="s">
        <v>426</v>
      </c>
      <c r="T23" s="30"/>
      <c r="U23" s="32" t="s">
        <v>197</v>
      </c>
      <c r="V23" s="46" t="s">
        <v>198</v>
      </c>
      <c r="W23" s="34" t="s">
        <v>199</v>
      </c>
      <c r="X23" s="35" t="s">
        <v>69</v>
      </c>
      <c r="Y23" s="36">
        <v>45335</v>
      </c>
      <c r="Z23" s="36">
        <v>45338</v>
      </c>
      <c r="AA23" s="36" t="s">
        <v>70</v>
      </c>
      <c r="AB23" s="36">
        <v>45646</v>
      </c>
      <c r="AC23" s="36" t="s">
        <v>70</v>
      </c>
      <c r="AD23" s="36" t="s">
        <v>71</v>
      </c>
      <c r="AE23" s="37" t="s">
        <v>72</v>
      </c>
      <c r="AF23" s="32" t="s">
        <v>73</v>
      </c>
      <c r="AG23" s="32" t="s">
        <v>73</v>
      </c>
      <c r="AH23" s="38">
        <v>165000000</v>
      </c>
      <c r="AI23" s="38">
        <v>0</v>
      </c>
      <c r="AJ23" s="38">
        <f t="shared" si="4"/>
        <v>165000000</v>
      </c>
      <c r="AK23" s="38">
        <v>0</v>
      </c>
      <c r="AL23" s="66">
        <v>165000000</v>
      </c>
      <c r="AM23" s="38">
        <v>0</v>
      </c>
      <c r="AN23" s="38">
        <v>165000000</v>
      </c>
      <c r="AO23" s="38">
        <f t="shared" si="1"/>
        <v>0</v>
      </c>
      <c r="AP23" s="38"/>
      <c r="AQ23" s="192">
        <v>6</v>
      </c>
      <c r="AR23" s="66">
        <f>AS23*6</f>
        <v>90000000</v>
      </c>
      <c r="AS23" s="38">
        <v>15000000</v>
      </c>
      <c r="AT23" s="54">
        <f t="shared" si="3"/>
        <v>0.55000000000000004</v>
      </c>
      <c r="AU23" s="65">
        <f t="shared" si="2"/>
        <v>75000000</v>
      </c>
      <c r="AV23" s="30" t="s">
        <v>200</v>
      </c>
      <c r="AW23" s="43" t="s">
        <v>201</v>
      </c>
      <c r="AX23" s="32"/>
    </row>
    <row r="24" spans="1:50" ht="42.75" x14ac:dyDescent="0.25">
      <c r="A24" s="47">
        <v>17</v>
      </c>
      <c r="B24" s="47">
        <v>17</v>
      </c>
      <c r="C24" s="63"/>
      <c r="D24" s="32"/>
      <c r="E24" s="29" t="s">
        <v>93</v>
      </c>
      <c r="F24" s="29" t="s">
        <v>202</v>
      </c>
      <c r="G24" s="29" t="s">
        <v>203</v>
      </c>
      <c r="H24" s="41" t="s">
        <v>59</v>
      </c>
      <c r="I24" s="41" t="s">
        <v>60</v>
      </c>
      <c r="J24" s="41">
        <v>2023</v>
      </c>
      <c r="K24" s="41">
        <v>226</v>
      </c>
      <c r="L24" s="29" t="s">
        <v>109</v>
      </c>
      <c r="M24" s="29" t="s">
        <v>2</v>
      </c>
      <c r="N24" s="32" t="s">
        <v>61</v>
      </c>
      <c r="O24" s="32" t="s">
        <v>204</v>
      </c>
      <c r="P24" s="32" t="s">
        <v>205</v>
      </c>
      <c r="Q24" s="32"/>
      <c r="R24" s="32" t="s">
        <v>112</v>
      </c>
      <c r="S24" s="31" t="s">
        <v>206</v>
      </c>
      <c r="T24" s="31"/>
      <c r="U24" s="32" t="s">
        <v>207</v>
      </c>
      <c r="V24" s="45">
        <v>205529</v>
      </c>
      <c r="W24" s="30" t="s">
        <v>208</v>
      </c>
      <c r="X24" s="35">
        <v>121233</v>
      </c>
      <c r="Y24" s="36">
        <v>45259</v>
      </c>
      <c r="Z24" s="36">
        <v>45265</v>
      </c>
      <c r="AA24" s="36">
        <v>45265</v>
      </c>
      <c r="AB24" s="36">
        <v>45777</v>
      </c>
      <c r="AC24" s="36" t="s">
        <v>70</v>
      </c>
      <c r="AD24" s="36" t="s">
        <v>71</v>
      </c>
      <c r="AE24" s="37" t="s">
        <v>90</v>
      </c>
      <c r="AF24" s="32" t="s">
        <v>116</v>
      </c>
      <c r="AG24" s="32" t="s">
        <v>116</v>
      </c>
      <c r="AH24" s="38">
        <v>37300074</v>
      </c>
      <c r="AI24" s="38">
        <v>0</v>
      </c>
      <c r="AJ24" s="38">
        <f t="shared" si="4"/>
        <v>37300074</v>
      </c>
      <c r="AK24" s="38">
        <v>2194122</v>
      </c>
      <c r="AL24" s="66">
        <v>26329464</v>
      </c>
      <c r="AM24" s="38">
        <v>8776488</v>
      </c>
      <c r="AN24" s="38">
        <v>0</v>
      </c>
      <c r="AO24" s="38">
        <f t="shared" si="1"/>
        <v>0</v>
      </c>
      <c r="AP24" s="38"/>
      <c r="AQ24" s="192">
        <v>7</v>
      </c>
      <c r="AR24" s="66">
        <f>1314970.23+(2015826.68*6)</f>
        <v>13409930.310000001</v>
      </c>
      <c r="AS24" s="38">
        <v>2194122</v>
      </c>
      <c r="AT24" s="54">
        <f t="shared" si="3"/>
        <v>0.51</v>
      </c>
      <c r="AU24" s="65">
        <f t="shared" si="2"/>
        <v>12919533.689999999</v>
      </c>
      <c r="AV24" s="30" t="s">
        <v>209</v>
      </c>
      <c r="AW24" s="30" t="s">
        <v>210</v>
      </c>
      <c r="AX24" s="32"/>
    </row>
    <row r="25" spans="1:50" ht="85.5" x14ac:dyDescent="0.25">
      <c r="A25" s="47">
        <v>18</v>
      </c>
      <c r="B25" s="47">
        <v>18</v>
      </c>
      <c r="C25" s="63"/>
      <c r="D25" s="32"/>
      <c r="E25" s="29" t="s">
        <v>93</v>
      </c>
      <c r="F25" s="29" t="s">
        <v>212</v>
      </c>
      <c r="G25" s="29" t="s">
        <v>213</v>
      </c>
      <c r="H25" s="41" t="s">
        <v>59</v>
      </c>
      <c r="I25" s="41" t="s">
        <v>60</v>
      </c>
      <c r="J25" s="41">
        <v>2023</v>
      </c>
      <c r="K25" s="41">
        <v>95</v>
      </c>
      <c r="L25" s="29" t="s">
        <v>109</v>
      </c>
      <c r="M25" s="29" t="s">
        <v>2</v>
      </c>
      <c r="N25" s="32" t="s">
        <v>61</v>
      </c>
      <c r="O25" s="32" t="s">
        <v>204</v>
      </c>
      <c r="P25" s="32" t="s">
        <v>214</v>
      </c>
      <c r="Q25" s="32"/>
      <c r="R25" s="32" t="s">
        <v>112</v>
      </c>
      <c r="S25" s="30" t="s">
        <v>215</v>
      </c>
      <c r="T25" s="30"/>
      <c r="U25" s="32" t="s">
        <v>216</v>
      </c>
      <c r="V25" s="45">
        <v>163259</v>
      </c>
      <c r="W25" s="48" t="s">
        <v>217</v>
      </c>
      <c r="X25" s="35">
        <v>121992</v>
      </c>
      <c r="Y25" s="36">
        <v>45267</v>
      </c>
      <c r="Z25" s="36">
        <v>45273</v>
      </c>
      <c r="AA25" s="36">
        <v>45273</v>
      </c>
      <c r="AB25" s="36">
        <v>45639</v>
      </c>
      <c r="AC25" s="36" t="s">
        <v>70</v>
      </c>
      <c r="AD25" s="36" t="s">
        <v>71</v>
      </c>
      <c r="AE25" s="37" t="s">
        <v>90</v>
      </c>
      <c r="AF25" s="30" t="s">
        <v>116</v>
      </c>
      <c r="AG25" s="30" t="s">
        <v>116</v>
      </c>
      <c r="AH25" s="38">
        <v>547593718.28999996</v>
      </c>
      <c r="AI25" s="38">
        <f>-10857905.7+62899991.32-0.06</f>
        <v>52042085.560000002</v>
      </c>
      <c r="AJ25" s="38">
        <f t="shared" si="4"/>
        <v>599635803.8499999</v>
      </c>
      <c r="AK25" s="38">
        <v>15609124.010000002</v>
      </c>
      <c r="AL25" s="66">
        <v>584026679.84000003</v>
      </c>
      <c r="AM25" s="38">
        <v>0</v>
      </c>
      <c r="AN25" s="38">
        <v>0</v>
      </c>
      <c r="AO25" s="38">
        <f t="shared" si="1"/>
        <v>0</v>
      </c>
      <c r="AP25" s="38"/>
      <c r="AQ25" s="192">
        <v>6</v>
      </c>
      <c r="AR25" s="66">
        <f>253157382.85-15609124.01+51140690.04</f>
        <v>288688948.88</v>
      </c>
      <c r="AS25" s="38">
        <v>51140690.039999999</v>
      </c>
      <c r="AT25" s="54">
        <f t="shared" si="3"/>
        <v>0.49</v>
      </c>
      <c r="AU25" s="65">
        <f t="shared" si="2"/>
        <v>295337730.96000004</v>
      </c>
      <c r="AV25" s="30" t="s">
        <v>218</v>
      </c>
      <c r="AW25" s="43" t="s">
        <v>219</v>
      </c>
      <c r="AX25" s="32"/>
    </row>
    <row r="26" spans="1:50" ht="99.75" x14ac:dyDescent="0.25">
      <c r="A26" s="47">
        <v>19</v>
      </c>
      <c r="B26" s="47">
        <v>19</v>
      </c>
      <c r="C26" s="63"/>
      <c r="D26" s="32"/>
      <c r="E26" s="29" t="s">
        <v>221</v>
      </c>
      <c r="F26" s="29" t="s">
        <v>221</v>
      </c>
      <c r="G26" s="29" t="s">
        <v>222</v>
      </c>
      <c r="H26" s="41" t="s">
        <v>59</v>
      </c>
      <c r="I26" s="41" t="s">
        <v>60</v>
      </c>
      <c r="J26" s="41">
        <v>2023</v>
      </c>
      <c r="K26" s="41">
        <v>246</v>
      </c>
      <c r="L26" s="29" t="s">
        <v>109</v>
      </c>
      <c r="M26" s="29" t="s">
        <v>2</v>
      </c>
      <c r="N26" s="32" t="s">
        <v>223</v>
      </c>
      <c r="O26" s="32" t="s">
        <v>204</v>
      </c>
      <c r="P26" s="32" t="s">
        <v>224</v>
      </c>
      <c r="Q26" s="32"/>
      <c r="R26" s="32" t="s">
        <v>64</v>
      </c>
      <c r="S26" s="30" t="s">
        <v>225</v>
      </c>
      <c r="T26" s="30"/>
      <c r="U26" s="32" t="s">
        <v>226</v>
      </c>
      <c r="V26" s="45" t="s">
        <v>227</v>
      </c>
      <c r="W26" s="44" t="s">
        <v>228</v>
      </c>
      <c r="X26" s="35" t="s">
        <v>69</v>
      </c>
      <c r="Y26" s="36">
        <v>45260</v>
      </c>
      <c r="Z26" s="36">
        <v>45265</v>
      </c>
      <c r="AA26" s="36" t="s">
        <v>70</v>
      </c>
      <c r="AB26" s="36">
        <v>45539</v>
      </c>
      <c r="AC26" s="36" t="s">
        <v>70</v>
      </c>
      <c r="AD26" s="36" t="s">
        <v>71</v>
      </c>
      <c r="AE26" s="37" t="s">
        <v>72</v>
      </c>
      <c r="AF26" s="30" t="s">
        <v>135</v>
      </c>
      <c r="AG26" s="30" t="s">
        <v>135</v>
      </c>
      <c r="AH26" s="38">
        <v>1272271483</v>
      </c>
      <c r="AI26" s="38">
        <v>0</v>
      </c>
      <c r="AJ26" s="38">
        <f t="shared" si="4"/>
        <v>1272271483</v>
      </c>
      <c r="AK26" s="38">
        <v>868916461</v>
      </c>
      <c r="AL26" s="66">
        <v>403355022</v>
      </c>
      <c r="AM26" s="38">
        <v>0</v>
      </c>
      <c r="AN26" s="38">
        <v>0</v>
      </c>
      <c r="AO26" s="38">
        <f t="shared" si="1"/>
        <v>0</v>
      </c>
      <c r="AP26" s="38"/>
      <c r="AQ26" s="192">
        <v>0</v>
      </c>
      <c r="AR26" s="66">
        <v>0</v>
      </c>
      <c r="AS26" s="38" t="s">
        <v>69</v>
      </c>
      <c r="AT26" s="54">
        <f t="shared" si="3"/>
        <v>0</v>
      </c>
      <c r="AU26" s="65">
        <f t="shared" si="2"/>
        <v>403355022</v>
      </c>
      <c r="AV26" s="30" t="s">
        <v>229</v>
      </c>
      <c r="AW26" s="43" t="s">
        <v>230</v>
      </c>
      <c r="AX26" s="118" t="s">
        <v>634</v>
      </c>
    </row>
    <row r="27" spans="1:50" ht="45" x14ac:dyDescent="0.25">
      <c r="A27" s="47">
        <v>20</v>
      </c>
      <c r="B27" s="47">
        <v>20</v>
      </c>
      <c r="C27" s="63"/>
      <c r="D27" s="32"/>
      <c r="E27" s="29" t="s">
        <v>93</v>
      </c>
      <c r="F27" s="29" t="s">
        <v>202</v>
      </c>
      <c r="G27" s="29" t="s">
        <v>231</v>
      </c>
      <c r="H27" s="41" t="s">
        <v>59</v>
      </c>
      <c r="I27" s="41" t="s">
        <v>60</v>
      </c>
      <c r="J27" s="41">
        <v>2023</v>
      </c>
      <c r="K27" s="41">
        <v>245</v>
      </c>
      <c r="L27" s="29" t="s">
        <v>109</v>
      </c>
      <c r="M27" s="29" t="s">
        <v>2</v>
      </c>
      <c r="N27" s="32" t="s">
        <v>61</v>
      </c>
      <c r="O27" s="32" t="s">
        <v>204</v>
      </c>
      <c r="P27" s="32" t="s">
        <v>232</v>
      </c>
      <c r="Q27" s="32"/>
      <c r="R27" s="32" t="s">
        <v>112</v>
      </c>
      <c r="S27" s="30" t="s">
        <v>233</v>
      </c>
      <c r="T27" s="30"/>
      <c r="U27" s="32" t="s">
        <v>234</v>
      </c>
      <c r="V27" s="57">
        <v>206721</v>
      </c>
      <c r="W27" s="48" t="s">
        <v>235</v>
      </c>
      <c r="X27" s="35">
        <v>122184</v>
      </c>
      <c r="Y27" s="36">
        <v>45271</v>
      </c>
      <c r="Z27" s="36">
        <v>45275</v>
      </c>
      <c r="AA27" s="36">
        <v>45275</v>
      </c>
      <c r="AB27" s="36">
        <v>45983</v>
      </c>
      <c r="AC27" s="36" t="s">
        <v>70</v>
      </c>
      <c r="AD27" s="36" t="s">
        <v>71</v>
      </c>
      <c r="AE27" s="37" t="s">
        <v>90</v>
      </c>
      <c r="AF27" s="30" t="s">
        <v>116</v>
      </c>
      <c r="AG27" s="30" t="s">
        <v>116</v>
      </c>
      <c r="AH27" s="38">
        <v>120685506.48</v>
      </c>
      <c r="AI27" s="38">
        <v>0</v>
      </c>
      <c r="AJ27" s="38">
        <f t="shared" si="4"/>
        <v>120685506.48</v>
      </c>
      <c r="AK27" s="38">
        <v>2742852.42</v>
      </c>
      <c r="AL27" s="66">
        <v>65828458.079999998</v>
      </c>
      <c r="AM27" s="38">
        <v>52114195.980000004</v>
      </c>
      <c r="AN27" s="38">
        <v>0</v>
      </c>
      <c r="AO27" s="38">
        <f t="shared" si="1"/>
        <v>0</v>
      </c>
      <c r="AP27" s="38"/>
      <c r="AQ27" s="192">
        <v>6</v>
      </c>
      <c r="AR27" s="66">
        <f>5485704.84*6</f>
        <v>32914229.039999999</v>
      </c>
      <c r="AS27" s="38">
        <v>5485704.8399999999</v>
      </c>
      <c r="AT27" s="54">
        <f t="shared" si="3"/>
        <v>0.5</v>
      </c>
      <c r="AU27" s="65">
        <f t="shared" si="2"/>
        <v>32914229.039999999</v>
      </c>
      <c r="AV27" s="30" t="s">
        <v>236</v>
      </c>
      <c r="AW27" s="43" t="s">
        <v>237</v>
      </c>
      <c r="AX27" s="32"/>
    </row>
    <row r="28" spans="1:50" ht="30" customHeight="1" x14ac:dyDescent="0.25">
      <c r="A28" s="47">
        <v>21</v>
      </c>
      <c r="B28" s="47">
        <v>21</v>
      </c>
      <c r="C28" s="63">
        <v>80111614</v>
      </c>
      <c r="D28" s="32" t="s">
        <v>81</v>
      </c>
      <c r="E28" s="29" t="s">
        <v>56</v>
      </c>
      <c r="F28" s="29" t="s">
        <v>238</v>
      </c>
      <c r="G28" s="29" t="s">
        <v>239</v>
      </c>
      <c r="H28" s="41" t="s">
        <v>59</v>
      </c>
      <c r="I28" s="41" t="s">
        <v>60</v>
      </c>
      <c r="J28" s="41">
        <v>2024</v>
      </c>
      <c r="K28" s="41">
        <v>83</v>
      </c>
      <c r="L28" s="29" t="s">
        <v>59</v>
      </c>
      <c r="M28" s="29" t="s">
        <v>3</v>
      </c>
      <c r="N28" s="32" t="s">
        <v>61</v>
      </c>
      <c r="O28" s="32" t="s">
        <v>204</v>
      </c>
      <c r="P28" s="32" t="s">
        <v>240</v>
      </c>
      <c r="Q28" s="32"/>
      <c r="R28" s="32" t="s">
        <v>64</v>
      </c>
      <c r="S28" s="30" t="s">
        <v>241</v>
      </c>
      <c r="T28" s="30"/>
      <c r="U28" s="32" t="s">
        <v>242</v>
      </c>
      <c r="V28" s="45" t="s">
        <v>243</v>
      </c>
      <c r="W28" s="44" t="s">
        <v>244</v>
      </c>
      <c r="X28" s="35" t="s">
        <v>69</v>
      </c>
      <c r="Y28" s="36">
        <v>45314</v>
      </c>
      <c r="Z28" s="36">
        <v>45315</v>
      </c>
      <c r="AA28" s="36">
        <v>45315</v>
      </c>
      <c r="AB28" s="36">
        <v>45646</v>
      </c>
      <c r="AC28" s="36" t="s">
        <v>70</v>
      </c>
      <c r="AD28" s="36" t="s">
        <v>71</v>
      </c>
      <c r="AE28" s="37" t="s">
        <v>90</v>
      </c>
      <c r="AF28" s="32" t="s">
        <v>73</v>
      </c>
      <c r="AG28" s="32" t="s">
        <v>73</v>
      </c>
      <c r="AH28" s="38">
        <v>101790360</v>
      </c>
      <c r="AI28" s="38">
        <v>0</v>
      </c>
      <c r="AJ28" s="38">
        <f t="shared" si="4"/>
        <v>101790360</v>
      </c>
      <c r="AK28" s="38">
        <v>0</v>
      </c>
      <c r="AL28" s="66">
        <v>101790360</v>
      </c>
      <c r="AM28" s="38">
        <v>0</v>
      </c>
      <c r="AN28" s="38">
        <v>101790360.76000001</v>
      </c>
      <c r="AO28" s="38">
        <f t="shared" si="1"/>
        <v>0.76000000536441803</v>
      </c>
      <c r="AP28" s="38"/>
      <c r="AQ28" s="192">
        <v>6</v>
      </c>
      <c r="AR28" s="66">
        <f>2159189.43+(AS28*5)</f>
        <v>48427534.43</v>
      </c>
      <c r="AS28" s="38">
        <v>9253669</v>
      </c>
      <c r="AT28" s="54">
        <f t="shared" si="3"/>
        <v>0.48</v>
      </c>
      <c r="AU28" s="65">
        <f t="shared" si="2"/>
        <v>53362825.57</v>
      </c>
      <c r="AV28" s="30" t="s">
        <v>245</v>
      </c>
      <c r="AW28" s="43" t="s">
        <v>246</v>
      </c>
      <c r="AX28" s="32"/>
    </row>
    <row r="29" spans="1:50" ht="99.75" x14ac:dyDescent="0.25">
      <c r="A29" s="47">
        <v>22</v>
      </c>
      <c r="B29" s="47">
        <v>22</v>
      </c>
      <c r="C29" s="63">
        <v>81112501</v>
      </c>
      <c r="D29" s="32" t="s">
        <v>258</v>
      </c>
      <c r="E29" s="29" t="s">
        <v>93</v>
      </c>
      <c r="F29" s="29" t="s">
        <v>259</v>
      </c>
      <c r="G29" s="29" t="s">
        <v>260</v>
      </c>
      <c r="H29" s="41" t="s">
        <v>59</v>
      </c>
      <c r="I29" s="41" t="s">
        <v>60</v>
      </c>
      <c r="J29" s="41">
        <v>2024</v>
      </c>
      <c r="K29" s="41">
        <v>86</v>
      </c>
      <c r="L29" s="29" t="s">
        <v>59</v>
      </c>
      <c r="M29" s="29" t="s">
        <v>3</v>
      </c>
      <c r="N29" s="32" t="s">
        <v>261</v>
      </c>
      <c r="O29" s="30" t="s">
        <v>71</v>
      </c>
      <c r="P29" s="126"/>
      <c r="Q29" s="126"/>
      <c r="R29" s="32" t="s">
        <v>64</v>
      </c>
      <c r="S29" s="30" t="s">
        <v>262</v>
      </c>
      <c r="T29" s="30"/>
      <c r="U29" s="32" t="s">
        <v>263</v>
      </c>
      <c r="V29" s="46" t="s">
        <v>264</v>
      </c>
      <c r="W29" s="30" t="s">
        <v>265</v>
      </c>
      <c r="X29" s="35" t="s">
        <v>69</v>
      </c>
      <c r="Y29" s="36">
        <v>45353</v>
      </c>
      <c r="Z29" s="36">
        <v>45357</v>
      </c>
      <c r="AA29" s="36">
        <v>45362</v>
      </c>
      <c r="AB29" s="36">
        <v>45641</v>
      </c>
      <c r="AC29" s="36" t="s">
        <v>266</v>
      </c>
      <c r="AD29" s="36">
        <v>46356</v>
      </c>
      <c r="AE29" s="37" t="s">
        <v>90</v>
      </c>
      <c r="AF29" s="30" t="s">
        <v>267</v>
      </c>
      <c r="AG29" s="30" t="s">
        <v>267</v>
      </c>
      <c r="AH29" s="38">
        <v>2427600</v>
      </c>
      <c r="AI29" s="38">
        <v>0</v>
      </c>
      <c r="AJ29" s="38">
        <f t="shared" si="4"/>
        <v>2427600</v>
      </c>
      <c r="AK29" s="38">
        <v>0</v>
      </c>
      <c r="AL29" s="66">
        <v>2427600</v>
      </c>
      <c r="AM29" s="38">
        <v>0</v>
      </c>
      <c r="AN29" s="38">
        <v>18371251</v>
      </c>
      <c r="AO29" s="38">
        <f t="shared" si="1"/>
        <v>15943651</v>
      </c>
      <c r="AP29" s="38" t="s">
        <v>268</v>
      </c>
      <c r="AQ29" s="192">
        <v>4</v>
      </c>
      <c r="AR29" s="66">
        <v>2427600</v>
      </c>
      <c r="AS29" s="38" t="s">
        <v>69</v>
      </c>
      <c r="AT29" s="54">
        <f t="shared" si="3"/>
        <v>1</v>
      </c>
      <c r="AU29" s="65">
        <f t="shared" si="2"/>
        <v>0</v>
      </c>
      <c r="AV29" s="30" t="s">
        <v>643</v>
      </c>
      <c r="AW29" s="43" t="s">
        <v>269</v>
      </c>
      <c r="AX29" s="118" t="s">
        <v>270</v>
      </c>
    </row>
    <row r="30" spans="1:50" ht="156.75" x14ac:dyDescent="0.25">
      <c r="A30" s="47">
        <v>23</v>
      </c>
      <c r="B30" s="47">
        <v>23</v>
      </c>
      <c r="C30" s="63" t="s">
        <v>271</v>
      </c>
      <c r="D30" s="32"/>
      <c r="E30" s="29" t="s">
        <v>647</v>
      </c>
      <c r="F30" s="29" t="s">
        <v>272</v>
      </c>
      <c r="G30" s="29" t="s">
        <v>273</v>
      </c>
      <c r="H30" s="41" t="s">
        <v>109</v>
      </c>
      <c r="I30" s="41" t="s">
        <v>274</v>
      </c>
      <c r="J30" s="41">
        <v>2024</v>
      </c>
      <c r="K30" s="41">
        <v>76</v>
      </c>
      <c r="L30" s="29" t="s">
        <v>59</v>
      </c>
      <c r="M30" s="29" t="s">
        <v>3</v>
      </c>
      <c r="N30" s="32" t="s">
        <v>275</v>
      </c>
      <c r="O30" s="30" t="s">
        <v>71</v>
      </c>
      <c r="P30" s="126">
        <v>45370</v>
      </c>
      <c r="Q30" s="126"/>
      <c r="R30" s="32" t="s">
        <v>64</v>
      </c>
      <c r="S30" s="30" t="s">
        <v>673</v>
      </c>
      <c r="T30" s="30"/>
      <c r="U30" s="32" t="s">
        <v>277</v>
      </c>
      <c r="V30" s="45" t="s">
        <v>278</v>
      </c>
      <c r="W30" s="30" t="s">
        <v>279</v>
      </c>
      <c r="X30" s="35" t="s">
        <v>69</v>
      </c>
      <c r="Y30" s="36">
        <v>45369</v>
      </c>
      <c r="Z30" s="36">
        <v>45370</v>
      </c>
      <c r="AA30" s="36">
        <v>45371</v>
      </c>
      <c r="AB30" s="36">
        <v>45385</v>
      </c>
      <c r="AC30" s="36">
        <v>45373</v>
      </c>
      <c r="AD30" s="36">
        <v>45738</v>
      </c>
      <c r="AE30" s="37" t="s">
        <v>90</v>
      </c>
      <c r="AF30" s="30" t="s">
        <v>267</v>
      </c>
      <c r="AG30" s="30" t="s">
        <v>267</v>
      </c>
      <c r="AH30" s="38">
        <v>2125000</v>
      </c>
      <c r="AI30" s="38">
        <v>0</v>
      </c>
      <c r="AJ30" s="38">
        <f t="shared" si="4"/>
        <v>2125000</v>
      </c>
      <c r="AK30" s="38">
        <v>0</v>
      </c>
      <c r="AL30" s="66">
        <v>2125000</v>
      </c>
      <c r="AM30" s="38">
        <v>0</v>
      </c>
      <c r="AN30" s="38">
        <v>2550000</v>
      </c>
      <c r="AO30" s="38">
        <f t="shared" si="1"/>
        <v>425000</v>
      </c>
      <c r="AP30" s="38" t="s">
        <v>280</v>
      </c>
      <c r="AQ30" s="192">
        <v>1</v>
      </c>
      <c r="AR30" s="66">
        <v>2125000</v>
      </c>
      <c r="AS30" s="38" t="s">
        <v>69</v>
      </c>
      <c r="AT30" s="54">
        <f t="shared" si="3"/>
        <v>1</v>
      </c>
      <c r="AU30" s="65">
        <f t="shared" si="2"/>
        <v>0</v>
      </c>
      <c r="AV30" s="30" t="s">
        <v>281</v>
      </c>
      <c r="AW30" s="133" t="s">
        <v>282</v>
      </c>
      <c r="AX30" s="32"/>
    </row>
    <row r="31" spans="1:50" ht="30" customHeight="1" x14ac:dyDescent="0.25">
      <c r="A31" s="47">
        <v>24</v>
      </c>
      <c r="B31" s="47">
        <v>24</v>
      </c>
      <c r="C31" s="63">
        <v>80111614</v>
      </c>
      <c r="D31" s="32" t="s">
        <v>283</v>
      </c>
      <c r="E31" s="29" t="s">
        <v>56</v>
      </c>
      <c r="F31" s="29" t="s">
        <v>82</v>
      </c>
      <c r="G31" s="29" t="s">
        <v>284</v>
      </c>
      <c r="H31" s="41" t="s">
        <v>59</v>
      </c>
      <c r="I31" s="41" t="s">
        <v>60</v>
      </c>
      <c r="J31" s="41">
        <v>2024</v>
      </c>
      <c r="K31" s="41">
        <v>105</v>
      </c>
      <c r="L31" s="29" t="s">
        <v>59</v>
      </c>
      <c r="M31" s="29" t="s">
        <v>3</v>
      </c>
      <c r="N31" s="32" t="s">
        <v>61</v>
      </c>
      <c r="O31" s="30" t="s">
        <v>675</v>
      </c>
      <c r="P31" s="32" t="s">
        <v>674</v>
      </c>
      <c r="Q31" s="32"/>
      <c r="R31" s="32" t="s">
        <v>64</v>
      </c>
      <c r="S31" s="30" t="s">
        <v>286</v>
      </c>
      <c r="T31" s="30"/>
      <c r="U31" s="32" t="s">
        <v>287</v>
      </c>
      <c r="V31" s="46" t="s">
        <v>288</v>
      </c>
      <c r="W31" s="30" t="s">
        <v>289</v>
      </c>
      <c r="X31" s="35" t="s">
        <v>69</v>
      </c>
      <c r="Y31" s="36">
        <v>45373</v>
      </c>
      <c r="Z31" s="36">
        <v>45385</v>
      </c>
      <c r="AA31" s="36" t="s">
        <v>70</v>
      </c>
      <c r="AB31" s="36">
        <v>45646</v>
      </c>
      <c r="AC31" s="36" t="s">
        <v>70</v>
      </c>
      <c r="AD31" s="36" t="s">
        <v>71</v>
      </c>
      <c r="AE31" s="37" t="s">
        <v>72</v>
      </c>
      <c r="AF31" s="32" t="s">
        <v>73</v>
      </c>
      <c r="AG31" s="30" t="s">
        <v>290</v>
      </c>
      <c r="AH31" s="38">
        <v>84000000</v>
      </c>
      <c r="AI31" s="38">
        <v>0</v>
      </c>
      <c r="AJ31" s="38">
        <f t="shared" si="4"/>
        <v>84000000</v>
      </c>
      <c r="AK31" s="38">
        <v>0</v>
      </c>
      <c r="AL31" s="66">
        <v>84000000</v>
      </c>
      <c r="AM31" s="38">
        <v>0</v>
      </c>
      <c r="AN31" s="38">
        <v>92400000</v>
      </c>
      <c r="AO31" s="38">
        <f t="shared" si="1"/>
        <v>8400000</v>
      </c>
      <c r="AP31" s="38" t="s">
        <v>291</v>
      </c>
      <c r="AQ31" s="192">
        <v>4</v>
      </c>
      <c r="AR31" s="66">
        <f>AS31*4</f>
        <v>33600000</v>
      </c>
      <c r="AS31" s="38">
        <v>8400000</v>
      </c>
      <c r="AT31" s="54">
        <f t="shared" si="3"/>
        <v>0.4</v>
      </c>
      <c r="AU31" s="65">
        <f t="shared" si="2"/>
        <v>50400000</v>
      </c>
      <c r="AV31" s="30" t="s">
        <v>292</v>
      </c>
      <c r="AW31" s="43" t="s">
        <v>293</v>
      </c>
      <c r="AX31" s="118" t="s">
        <v>665</v>
      </c>
    </row>
    <row r="32" spans="1:50" ht="30" customHeight="1" x14ac:dyDescent="0.25">
      <c r="A32" s="47">
        <v>25</v>
      </c>
      <c r="B32" s="47">
        <v>25</v>
      </c>
      <c r="C32" s="63">
        <v>80111614</v>
      </c>
      <c r="D32" s="32" t="s">
        <v>295</v>
      </c>
      <c r="E32" s="29" t="s">
        <v>56</v>
      </c>
      <c r="F32" s="29" t="s">
        <v>82</v>
      </c>
      <c r="G32" s="29" t="s">
        <v>296</v>
      </c>
      <c r="H32" s="41" t="s">
        <v>59</v>
      </c>
      <c r="I32" s="41" t="s">
        <v>60</v>
      </c>
      <c r="J32" s="41">
        <v>2024</v>
      </c>
      <c r="K32" s="41">
        <v>106</v>
      </c>
      <c r="L32" s="29" t="s">
        <v>59</v>
      </c>
      <c r="M32" s="29" t="s">
        <v>3</v>
      </c>
      <c r="N32" s="32" t="s">
        <v>297</v>
      </c>
      <c r="O32" s="30" t="s">
        <v>71</v>
      </c>
      <c r="P32" s="32"/>
      <c r="Q32" s="32"/>
      <c r="R32" s="32" t="s">
        <v>64</v>
      </c>
      <c r="S32" s="30" t="s">
        <v>298</v>
      </c>
      <c r="T32" s="30"/>
      <c r="U32" s="32" t="s">
        <v>299</v>
      </c>
      <c r="V32" s="45" t="s">
        <v>300</v>
      </c>
      <c r="W32" s="34" t="s">
        <v>301</v>
      </c>
      <c r="X32" s="35" t="s">
        <v>69</v>
      </c>
      <c r="Y32" s="36">
        <v>45373</v>
      </c>
      <c r="Z32" s="36">
        <v>45383</v>
      </c>
      <c r="AA32" s="36" t="s">
        <v>70</v>
      </c>
      <c r="AB32" s="36">
        <v>45646</v>
      </c>
      <c r="AC32" s="36" t="s">
        <v>70</v>
      </c>
      <c r="AD32" s="36" t="s">
        <v>71</v>
      </c>
      <c r="AE32" s="37" t="s">
        <v>72</v>
      </c>
      <c r="AF32" s="32" t="s">
        <v>73</v>
      </c>
      <c r="AG32" s="30" t="s">
        <v>302</v>
      </c>
      <c r="AH32" s="38">
        <v>140000000</v>
      </c>
      <c r="AI32" s="38">
        <v>0</v>
      </c>
      <c r="AJ32" s="38">
        <f t="shared" si="4"/>
        <v>140000000</v>
      </c>
      <c r="AK32" s="38">
        <v>0</v>
      </c>
      <c r="AL32" s="66">
        <v>140000000</v>
      </c>
      <c r="AM32" s="38">
        <v>0</v>
      </c>
      <c r="AN32" s="38">
        <v>140000000</v>
      </c>
      <c r="AO32" s="38">
        <f t="shared" si="1"/>
        <v>0</v>
      </c>
      <c r="AP32" s="38"/>
      <c r="AQ32" s="192">
        <v>4</v>
      </c>
      <c r="AR32" s="66">
        <f>AS32*4</f>
        <v>56000000</v>
      </c>
      <c r="AS32" s="38">
        <v>14000000</v>
      </c>
      <c r="AT32" s="54">
        <f t="shared" si="3"/>
        <v>0.4</v>
      </c>
      <c r="AU32" s="65">
        <f t="shared" si="2"/>
        <v>84000000</v>
      </c>
      <c r="AV32" s="30" t="s">
        <v>303</v>
      </c>
      <c r="AW32" s="43" t="s">
        <v>304</v>
      </c>
      <c r="AX32" s="118" t="s">
        <v>294</v>
      </c>
    </row>
    <row r="33" spans="1:50" ht="85.5" x14ac:dyDescent="0.25">
      <c r="A33" s="47">
        <v>26</v>
      </c>
      <c r="B33" s="47">
        <v>26</v>
      </c>
      <c r="C33" s="63">
        <v>81111801</v>
      </c>
      <c r="D33" s="32" t="s">
        <v>283</v>
      </c>
      <c r="E33" s="29" t="s">
        <v>305</v>
      </c>
      <c r="F33" s="29" t="s">
        <v>305</v>
      </c>
      <c r="G33" s="29" t="s">
        <v>306</v>
      </c>
      <c r="H33" s="41" t="s">
        <v>59</v>
      </c>
      <c r="I33" s="41" t="s">
        <v>60</v>
      </c>
      <c r="J33" s="41">
        <v>2024</v>
      </c>
      <c r="K33" s="41">
        <v>101</v>
      </c>
      <c r="L33" s="29" t="s">
        <v>59</v>
      </c>
      <c r="M33" s="29" t="s">
        <v>3</v>
      </c>
      <c r="N33" s="32" t="s">
        <v>307</v>
      </c>
      <c r="O33" s="32" t="s">
        <v>676</v>
      </c>
      <c r="P33" s="118" t="s">
        <v>671</v>
      </c>
      <c r="Q33" s="118"/>
      <c r="R33" s="32" t="s">
        <v>64</v>
      </c>
      <c r="S33" s="30" t="s">
        <v>308</v>
      </c>
      <c r="T33" s="30"/>
      <c r="U33" s="32" t="s">
        <v>309</v>
      </c>
      <c r="V33" s="45" t="s">
        <v>310</v>
      </c>
      <c r="W33" s="45" t="s">
        <v>428</v>
      </c>
      <c r="X33" s="45" t="s">
        <v>311</v>
      </c>
      <c r="Y33" s="36">
        <v>45411</v>
      </c>
      <c r="Z33" s="36">
        <v>45420</v>
      </c>
      <c r="AA33" s="36">
        <v>45420</v>
      </c>
      <c r="AB33" s="36">
        <v>45626</v>
      </c>
      <c r="AC33" s="36" t="s">
        <v>70</v>
      </c>
      <c r="AD33" s="36" t="s">
        <v>71</v>
      </c>
      <c r="AE33" s="37" t="s">
        <v>72</v>
      </c>
      <c r="AF33" s="30" t="s">
        <v>116</v>
      </c>
      <c r="AG33" s="30" t="s">
        <v>116</v>
      </c>
      <c r="AH33" s="38">
        <v>669139863.29999995</v>
      </c>
      <c r="AI33" s="38">
        <v>0</v>
      </c>
      <c r="AJ33" s="38">
        <f t="shared" si="4"/>
        <v>669139863.29999995</v>
      </c>
      <c r="AK33" s="38">
        <v>0</v>
      </c>
      <c r="AL33" s="66">
        <v>669139863.29999995</v>
      </c>
      <c r="AM33" s="38">
        <v>0</v>
      </c>
      <c r="AN33" s="38">
        <v>700000000</v>
      </c>
      <c r="AO33" s="38">
        <f t="shared" si="1"/>
        <v>30860136.700000048</v>
      </c>
      <c r="AP33" s="38" t="s">
        <v>313</v>
      </c>
      <c r="AQ33" s="192">
        <v>2</v>
      </c>
      <c r="AR33" s="66">
        <f>420202623.83+50893109.13</f>
        <v>471095732.95999998</v>
      </c>
      <c r="AS33" s="38" t="s">
        <v>69</v>
      </c>
      <c r="AT33" s="54">
        <f t="shared" si="3"/>
        <v>0.7</v>
      </c>
      <c r="AU33" s="65">
        <f t="shared" si="2"/>
        <v>198044130.33999997</v>
      </c>
      <c r="AV33" s="30" t="s">
        <v>314</v>
      </c>
      <c r="AW33" s="43" t="s">
        <v>315</v>
      </c>
      <c r="AX33" s="32"/>
    </row>
    <row r="34" spans="1:50" ht="30" customHeight="1" x14ac:dyDescent="0.25">
      <c r="A34" s="47">
        <v>28</v>
      </c>
      <c r="B34" s="47">
        <v>28</v>
      </c>
      <c r="C34" s="63">
        <v>80111614</v>
      </c>
      <c r="D34" s="32" t="s">
        <v>283</v>
      </c>
      <c r="E34" s="29" t="s">
        <v>56</v>
      </c>
      <c r="F34" s="29" t="s">
        <v>82</v>
      </c>
      <c r="G34" s="29" t="s">
        <v>331</v>
      </c>
      <c r="H34" s="41" t="s">
        <v>59</v>
      </c>
      <c r="I34" s="41" t="s">
        <v>60</v>
      </c>
      <c r="J34" s="41">
        <v>2024</v>
      </c>
      <c r="K34" s="41">
        <v>154</v>
      </c>
      <c r="L34" s="29" t="s">
        <v>59</v>
      </c>
      <c r="M34" s="29" t="s">
        <v>3</v>
      </c>
      <c r="N34" s="32" t="s">
        <v>61</v>
      </c>
      <c r="O34" s="30" t="s">
        <v>675</v>
      </c>
      <c r="P34" s="32" t="s">
        <v>674</v>
      </c>
      <c r="Q34" s="32"/>
      <c r="R34" s="32" t="s">
        <v>64</v>
      </c>
      <c r="S34" s="30" t="s">
        <v>332</v>
      </c>
      <c r="T34" s="30"/>
      <c r="U34" s="32" t="s">
        <v>333</v>
      </c>
      <c r="V34" s="46" t="s">
        <v>334</v>
      </c>
      <c r="W34" s="30" t="s">
        <v>335</v>
      </c>
      <c r="X34" s="35" t="s">
        <v>69</v>
      </c>
      <c r="Y34" s="36">
        <v>45397</v>
      </c>
      <c r="Z34" s="36">
        <v>45400</v>
      </c>
      <c r="AA34" s="36" t="s">
        <v>70</v>
      </c>
      <c r="AB34" s="36">
        <v>45646</v>
      </c>
      <c r="AC34" s="36" t="s">
        <v>70</v>
      </c>
      <c r="AD34" s="36" t="s">
        <v>71</v>
      </c>
      <c r="AE34" s="37" t="s">
        <v>72</v>
      </c>
      <c r="AF34" s="32" t="s">
        <v>73</v>
      </c>
      <c r="AG34" s="30" t="s">
        <v>336</v>
      </c>
      <c r="AH34" s="38">
        <v>76000000</v>
      </c>
      <c r="AI34" s="38">
        <v>0</v>
      </c>
      <c r="AJ34" s="38">
        <f t="shared" si="4"/>
        <v>76000000</v>
      </c>
      <c r="AK34" s="38">
        <v>0</v>
      </c>
      <c r="AL34" s="66">
        <v>76000000</v>
      </c>
      <c r="AM34" s="38">
        <v>0</v>
      </c>
      <c r="AN34" s="38">
        <f>AL34+AM34</f>
        <v>76000000</v>
      </c>
      <c r="AO34" s="38">
        <f t="shared" si="1"/>
        <v>0</v>
      </c>
      <c r="AP34" s="38"/>
      <c r="AQ34" s="192">
        <v>2</v>
      </c>
      <c r="AR34" s="66">
        <f>AS34*2</f>
        <v>19000000</v>
      </c>
      <c r="AS34" s="38">
        <v>9500000</v>
      </c>
      <c r="AT34" s="54">
        <f t="shared" si="3"/>
        <v>0.25</v>
      </c>
      <c r="AU34" s="65">
        <f t="shared" si="2"/>
        <v>57000000</v>
      </c>
      <c r="AV34" s="30" t="s">
        <v>337</v>
      </c>
      <c r="AW34" s="43" t="s">
        <v>338</v>
      </c>
      <c r="AX34" s="32" t="s">
        <v>666</v>
      </c>
    </row>
    <row r="35" spans="1:50" ht="30" customHeight="1" x14ac:dyDescent="0.25">
      <c r="A35" s="47">
        <v>29</v>
      </c>
      <c r="B35" s="47">
        <v>29</v>
      </c>
      <c r="C35" s="63">
        <v>80111614</v>
      </c>
      <c r="D35" s="32" t="s">
        <v>81</v>
      </c>
      <c r="E35" s="29" t="s">
        <v>56</v>
      </c>
      <c r="F35" s="29" t="s">
        <v>305</v>
      </c>
      <c r="G35" s="29" t="s">
        <v>340</v>
      </c>
      <c r="H35" s="41" t="s">
        <v>59</v>
      </c>
      <c r="I35" s="41" t="s">
        <v>60</v>
      </c>
      <c r="J35" s="41">
        <v>2024</v>
      </c>
      <c r="K35" s="41">
        <v>181</v>
      </c>
      <c r="L35" s="29" t="s">
        <v>59</v>
      </c>
      <c r="M35" s="29" t="s">
        <v>3</v>
      </c>
      <c r="N35" s="32" t="s">
        <v>195</v>
      </c>
      <c r="O35" s="32" t="s">
        <v>676</v>
      </c>
      <c r="P35" s="32" t="s">
        <v>670</v>
      </c>
      <c r="Q35" s="32"/>
      <c r="R35" s="32" t="s">
        <v>64</v>
      </c>
      <c r="S35" s="30" t="s">
        <v>341</v>
      </c>
      <c r="T35" s="30"/>
      <c r="U35" s="32" t="s">
        <v>342</v>
      </c>
      <c r="V35" s="57" t="s">
        <v>343</v>
      </c>
      <c r="W35" s="48" t="s">
        <v>344</v>
      </c>
      <c r="X35" s="35" t="s">
        <v>69</v>
      </c>
      <c r="Y35" s="36">
        <v>45427</v>
      </c>
      <c r="Z35" s="36">
        <v>45428</v>
      </c>
      <c r="AA35" s="36">
        <v>45428</v>
      </c>
      <c r="AB35" s="36">
        <v>45644</v>
      </c>
      <c r="AC35" s="36" t="s">
        <v>70</v>
      </c>
      <c r="AD35" s="36" t="s">
        <v>71</v>
      </c>
      <c r="AE35" s="37" t="s">
        <v>90</v>
      </c>
      <c r="AF35" s="32" t="s">
        <v>73</v>
      </c>
      <c r="AG35" s="30" t="s">
        <v>511</v>
      </c>
      <c r="AH35" s="38">
        <v>75000000</v>
      </c>
      <c r="AI35" s="38">
        <v>13750000</v>
      </c>
      <c r="AJ35" s="38">
        <f t="shared" si="4"/>
        <v>88750000</v>
      </c>
      <c r="AK35" s="38">
        <v>0</v>
      </c>
      <c r="AL35" s="66">
        <v>88750000</v>
      </c>
      <c r="AM35" s="38">
        <v>0</v>
      </c>
      <c r="AN35" s="38">
        <v>75000000</v>
      </c>
      <c r="AO35" s="38">
        <f t="shared" si="1"/>
        <v>0</v>
      </c>
      <c r="AP35" s="38"/>
      <c r="AQ35" s="192">
        <v>3</v>
      </c>
      <c r="AR35" s="66">
        <f>6250000+(AS35*2)</f>
        <v>31250000</v>
      </c>
      <c r="AS35" s="38">
        <v>12500000</v>
      </c>
      <c r="AT35" s="54">
        <f t="shared" si="3"/>
        <v>0.35</v>
      </c>
      <c r="AU35" s="65">
        <f t="shared" si="2"/>
        <v>57500000</v>
      </c>
      <c r="AV35" s="30" t="s">
        <v>346</v>
      </c>
      <c r="AW35" s="43" t="s">
        <v>347</v>
      </c>
      <c r="AX35" s="32"/>
    </row>
    <row r="36" spans="1:50" ht="101.45" customHeight="1" x14ac:dyDescent="0.25">
      <c r="A36" s="47">
        <v>30</v>
      </c>
      <c r="B36" s="47">
        <v>30</v>
      </c>
      <c r="C36" s="63">
        <v>81112200</v>
      </c>
      <c r="D36" s="32" t="s">
        <v>258</v>
      </c>
      <c r="E36" s="29" t="s">
        <v>647</v>
      </c>
      <c r="F36" s="29" t="s">
        <v>272</v>
      </c>
      <c r="G36" s="29" t="s">
        <v>365</v>
      </c>
      <c r="H36" s="41" t="s">
        <v>59</v>
      </c>
      <c r="I36" s="41" t="s">
        <v>60</v>
      </c>
      <c r="J36" s="41">
        <v>2024</v>
      </c>
      <c r="K36" s="41">
        <v>85</v>
      </c>
      <c r="L36" s="29" t="s">
        <v>59</v>
      </c>
      <c r="M36" s="29" t="s">
        <v>5</v>
      </c>
      <c r="N36" s="32" t="s">
        <v>61</v>
      </c>
      <c r="O36" s="32" t="s">
        <v>366</v>
      </c>
      <c r="P36" s="32" t="s">
        <v>587</v>
      </c>
      <c r="Q36" s="32"/>
      <c r="R36" s="32" t="s">
        <v>64</v>
      </c>
      <c r="S36" s="30" t="s">
        <v>633</v>
      </c>
      <c r="T36" s="30"/>
      <c r="U36" s="32" t="s">
        <v>368</v>
      </c>
      <c r="V36" s="46" t="s">
        <v>588</v>
      </c>
      <c r="W36" s="48" t="s">
        <v>590</v>
      </c>
      <c r="X36" s="35" t="s">
        <v>69</v>
      </c>
      <c r="Y36" s="36">
        <v>45451</v>
      </c>
      <c r="Z36" s="36">
        <v>45457</v>
      </c>
      <c r="AA36" s="36">
        <v>45462</v>
      </c>
      <c r="AB36" s="36">
        <v>45476</v>
      </c>
      <c r="AC36" s="36">
        <v>45464</v>
      </c>
      <c r="AD36" s="36">
        <v>45829</v>
      </c>
      <c r="AE36" s="37" t="s">
        <v>90</v>
      </c>
      <c r="AF36" s="30" t="s">
        <v>267</v>
      </c>
      <c r="AG36" s="30" t="s">
        <v>267</v>
      </c>
      <c r="AH36" s="38">
        <v>9591400</v>
      </c>
      <c r="AI36" s="38">
        <v>0</v>
      </c>
      <c r="AJ36" s="38">
        <f t="shared" si="4"/>
        <v>9591400</v>
      </c>
      <c r="AK36" s="38">
        <v>0</v>
      </c>
      <c r="AL36" s="66">
        <f>AJ36+AK36</f>
        <v>9591400</v>
      </c>
      <c r="AM36" s="38">
        <v>0</v>
      </c>
      <c r="AN36" s="38">
        <v>20000000</v>
      </c>
      <c r="AO36" s="38">
        <f t="shared" si="1"/>
        <v>10408600</v>
      </c>
      <c r="AP36" s="157" t="s">
        <v>586</v>
      </c>
      <c r="AQ36" s="192">
        <v>1</v>
      </c>
      <c r="AR36" s="66">
        <v>9591400</v>
      </c>
      <c r="AS36" s="38" t="s">
        <v>69</v>
      </c>
      <c r="AT36" s="54">
        <f t="shared" si="3"/>
        <v>1</v>
      </c>
      <c r="AU36" s="65">
        <f t="shared" si="2"/>
        <v>0</v>
      </c>
      <c r="AV36" s="30" t="s">
        <v>430</v>
      </c>
      <c r="AW36" s="43" t="s">
        <v>589</v>
      </c>
      <c r="AX36" s="32"/>
    </row>
    <row r="37" spans="1:50" ht="90" x14ac:dyDescent="0.25">
      <c r="A37" s="47">
        <v>31</v>
      </c>
      <c r="B37" s="47">
        <v>31</v>
      </c>
      <c r="C37" s="63">
        <v>81111801</v>
      </c>
      <c r="D37" s="32" t="s">
        <v>660</v>
      </c>
      <c r="E37" s="29" t="s">
        <v>371</v>
      </c>
      <c r="F37" s="29" t="s">
        <v>369</v>
      </c>
      <c r="G37" s="29" t="s">
        <v>370</v>
      </c>
      <c r="H37" s="41" t="s">
        <v>59</v>
      </c>
      <c r="I37" s="41" t="s">
        <v>60</v>
      </c>
      <c r="J37" s="41">
        <v>2024</v>
      </c>
      <c r="K37" s="41">
        <v>102</v>
      </c>
      <c r="L37" s="29" t="s">
        <v>59</v>
      </c>
      <c r="M37" s="29" t="s">
        <v>5</v>
      </c>
      <c r="N37" s="32" t="s">
        <v>61</v>
      </c>
      <c r="O37" s="32" t="s">
        <v>275</v>
      </c>
      <c r="P37" s="32"/>
      <c r="Q37" s="32"/>
      <c r="R37" s="32" t="s">
        <v>64</v>
      </c>
      <c r="S37" s="30" t="s">
        <v>308</v>
      </c>
      <c r="T37" s="30"/>
      <c r="U37" s="32" t="s">
        <v>372</v>
      </c>
      <c r="V37" s="45" t="s">
        <v>659</v>
      </c>
      <c r="W37" s="56" t="s">
        <v>662</v>
      </c>
      <c r="X37" s="35" t="s">
        <v>69</v>
      </c>
      <c r="Y37" s="36">
        <v>45485</v>
      </c>
      <c r="Z37" s="36">
        <v>45491</v>
      </c>
      <c r="AA37" s="36" t="s">
        <v>70</v>
      </c>
      <c r="AB37" s="36">
        <v>45639</v>
      </c>
      <c r="AC37" s="36" t="s">
        <v>70</v>
      </c>
      <c r="AD37" s="36" t="s">
        <v>71</v>
      </c>
      <c r="AE37" s="37" t="s">
        <v>72</v>
      </c>
      <c r="AF37" s="30" t="s">
        <v>135</v>
      </c>
      <c r="AG37" s="30" t="s">
        <v>302</v>
      </c>
      <c r="AH37" s="38">
        <v>99651170</v>
      </c>
      <c r="AI37" s="38">
        <v>0</v>
      </c>
      <c r="AJ37" s="38">
        <f>AH37+AI37</f>
        <v>99651170</v>
      </c>
      <c r="AK37" s="38">
        <v>0</v>
      </c>
      <c r="AL37" s="66">
        <f>AJ37</f>
        <v>99651170</v>
      </c>
      <c r="AM37" s="38">
        <v>0</v>
      </c>
      <c r="AN37" s="38">
        <v>100000000</v>
      </c>
      <c r="AO37" s="38">
        <f t="shared" si="1"/>
        <v>348830</v>
      </c>
      <c r="AP37" s="38" t="s">
        <v>667</v>
      </c>
      <c r="AQ37" s="192">
        <v>0</v>
      </c>
      <c r="AR37" s="66">
        <v>0</v>
      </c>
      <c r="AS37" s="38" t="s">
        <v>69</v>
      </c>
      <c r="AT37" s="54">
        <f t="shared" si="3"/>
        <v>0</v>
      </c>
      <c r="AU37" s="65">
        <f t="shared" si="2"/>
        <v>99651170</v>
      </c>
      <c r="AV37" s="30" t="s">
        <v>663</v>
      </c>
      <c r="AW37" s="43" t="s">
        <v>661</v>
      </c>
      <c r="AX37" s="118"/>
    </row>
    <row r="38" spans="1:50" ht="129" customHeight="1" x14ac:dyDescent="0.25">
      <c r="A38" s="47">
        <v>32</v>
      </c>
      <c r="B38" s="47">
        <v>32</v>
      </c>
      <c r="C38" s="63" t="s">
        <v>348</v>
      </c>
      <c r="D38" s="32" t="s">
        <v>283</v>
      </c>
      <c r="E38" s="29" t="s">
        <v>714</v>
      </c>
      <c r="F38" s="29" t="s">
        <v>107</v>
      </c>
      <c r="G38" s="29" t="s">
        <v>352</v>
      </c>
      <c r="H38" s="41" t="s">
        <v>59</v>
      </c>
      <c r="I38" s="41" t="s">
        <v>60</v>
      </c>
      <c r="J38" s="41">
        <v>2024</v>
      </c>
      <c r="K38" s="41">
        <v>177</v>
      </c>
      <c r="L38" s="29" t="s">
        <v>59</v>
      </c>
      <c r="M38" s="29" t="s">
        <v>3</v>
      </c>
      <c r="N38" s="32" t="s">
        <v>61</v>
      </c>
      <c r="O38" s="32" t="s">
        <v>195</v>
      </c>
      <c r="P38" s="32" t="s">
        <v>684</v>
      </c>
      <c r="Q38" s="32"/>
      <c r="R38" s="32" t="s">
        <v>64</v>
      </c>
      <c r="S38" s="30" t="s">
        <v>683</v>
      </c>
      <c r="T38" s="30"/>
      <c r="U38" s="32" t="s">
        <v>354</v>
      </c>
      <c r="V38" s="30" t="s">
        <v>679</v>
      </c>
      <c r="W38" s="27" t="s">
        <v>682</v>
      </c>
      <c r="X38" s="68">
        <v>131057</v>
      </c>
      <c r="Y38" s="36">
        <v>45492</v>
      </c>
      <c r="Z38" s="36">
        <v>45496</v>
      </c>
      <c r="AA38" s="198">
        <v>45498</v>
      </c>
      <c r="AB38" s="36">
        <v>45653</v>
      </c>
      <c r="AC38" s="36" t="s">
        <v>70</v>
      </c>
      <c r="AD38" s="36" t="s">
        <v>71</v>
      </c>
      <c r="AE38" s="37" t="s">
        <v>72</v>
      </c>
      <c r="AF38" s="30" t="s">
        <v>312</v>
      </c>
      <c r="AG38" s="30" t="s">
        <v>312</v>
      </c>
      <c r="AH38" s="38">
        <v>997302719.26999998</v>
      </c>
      <c r="AI38" s="38">
        <v>0</v>
      </c>
      <c r="AJ38" s="38">
        <f>AH38+AI38</f>
        <v>997302719.26999998</v>
      </c>
      <c r="AK38" s="38">
        <v>0</v>
      </c>
      <c r="AL38" s="66">
        <v>997302719.26999998</v>
      </c>
      <c r="AM38" s="38">
        <v>0</v>
      </c>
      <c r="AN38" s="38">
        <v>1398000000</v>
      </c>
      <c r="AO38" s="38">
        <f t="shared" si="1"/>
        <v>400697280.73000002</v>
      </c>
      <c r="AP38" s="38" t="s">
        <v>746</v>
      </c>
      <c r="AQ38" s="68">
        <v>0</v>
      </c>
      <c r="AR38" s="66">
        <v>0</v>
      </c>
      <c r="AS38" s="38" t="s">
        <v>69</v>
      </c>
      <c r="AT38" s="54">
        <f t="shared" si="3"/>
        <v>0</v>
      </c>
      <c r="AU38" s="65">
        <f t="shared" si="2"/>
        <v>997302719.26999998</v>
      </c>
      <c r="AV38" s="30" t="s">
        <v>677</v>
      </c>
      <c r="AW38" s="43" t="s">
        <v>678</v>
      </c>
      <c r="AX38" s="32"/>
    </row>
    <row r="39" spans="1:50" ht="99.75" x14ac:dyDescent="0.25">
      <c r="A39" s="47">
        <v>36</v>
      </c>
      <c r="B39" s="47">
        <v>1</v>
      </c>
      <c r="C39" s="63">
        <v>80111614</v>
      </c>
      <c r="D39" s="32">
        <v>80111614</v>
      </c>
      <c r="E39" s="29" t="s">
        <v>369</v>
      </c>
      <c r="F39" s="29" t="s">
        <v>369</v>
      </c>
      <c r="G39" s="29" t="s">
        <v>374</v>
      </c>
      <c r="H39" s="41" t="s">
        <v>59</v>
      </c>
      <c r="I39" s="41" t="s">
        <v>60</v>
      </c>
      <c r="J39" s="41">
        <v>2024</v>
      </c>
      <c r="K39" s="41">
        <v>97</v>
      </c>
      <c r="L39" s="29" t="s">
        <v>59</v>
      </c>
      <c r="M39" s="29" t="s">
        <v>3</v>
      </c>
      <c r="N39" s="32" t="s">
        <v>61</v>
      </c>
      <c r="O39" s="32" t="s">
        <v>307</v>
      </c>
      <c r="P39" s="32" t="s">
        <v>763</v>
      </c>
      <c r="Q39" s="32"/>
      <c r="R39" s="32" t="s">
        <v>64</v>
      </c>
      <c r="S39" s="30" t="s">
        <v>680</v>
      </c>
      <c r="T39" s="30"/>
      <c r="U39" s="32" t="s">
        <v>376</v>
      </c>
      <c r="V39" s="46" t="s">
        <v>679</v>
      </c>
      <c r="W39" s="30" t="s">
        <v>748</v>
      </c>
      <c r="X39" s="35" t="s">
        <v>69</v>
      </c>
      <c r="Y39" s="36">
        <v>45526</v>
      </c>
      <c r="Z39" s="36">
        <v>45531</v>
      </c>
      <c r="AA39" s="36">
        <v>45531</v>
      </c>
      <c r="AB39" s="36">
        <v>45646</v>
      </c>
      <c r="AC39" s="36" t="s">
        <v>70</v>
      </c>
      <c r="AD39" s="36" t="s">
        <v>70</v>
      </c>
      <c r="AE39" s="37" t="s">
        <v>72</v>
      </c>
      <c r="AF39" s="30" t="s">
        <v>135</v>
      </c>
      <c r="AG39" s="30" t="s">
        <v>359</v>
      </c>
      <c r="AH39" s="38">
        <v>349914578</v>
      </c>
      <c r="AI39" s="38">
        <v>0</v>
      </c>
      <c r="AJ39" s="38">
        <f>AH39+AI39</f>
        <v>349914578</v>
      </c>
      <c r="AK39" s="38">
        <v>0</v>
      </c>
      <c r="AL39" s="66">
        <v>349914578</v>
      </c>
      <c r="AM39" s="38">
        <v>0</v>
      </c>
      <c r="AN39" s="38">
        <v>350000000</v>
      </c>
      <c r="AO39" s="38">
        <f>IF(L39="Si",(AN39-AH39),0)</f>
        <v>85422</v>
      </c>
      <c r="AP39" s="38"/>
      <c r="AQ39" s="68">
        <v>0</v>
      </c>
      <c r="AR39" s="66"/>
      <c r="AS39" s="38"/>
      <c r="AT39" s="54">
        <f>IF(AL39=0,0,ROUND(AR39/AL39,2))</f>
        <v>0</v>
      </c>
      <c r="AU39" s="65">
        <f>AL39-AR39</f>
        <v>349914578</v>
      </c>
      <c r="AV39" s="30" t="s">
        <v>664</v>
      </c>
      <c r="AW39" s="43" t="s">
        <v>747</v>
      </c>
      <c r="AX39" s="118"/>
    </row>
    <row r="40" spans="1:50" ht="147" customHeight="1" x14ac:dyDescent="0.25">
      <c r="A40" s="47">
        <v>44</v>
      </c>
      <c r="B40" s="47">
        <v>9</v>
      </c>
      <c r="C40" s="63">
        <v>43231500</v>
      </c>
      <c r="D40" s="32" t="s">
        <v>283</v>
      </c>
      <c r="E40" s="29" t="s">
        <v>126</v>
      </c>
      <c r="F40" s="29" t="s">
        <v>126</v>
      </c>
      <c r="G40" s="29" t="s">
        <v>355</v>
      </c>
      <c r="H40" s="41" t="s">
        <v>59</v>
      </c>
      <c r="I40" s="41" t="s">
        <v>60</v>
      </c>
      <c r="J40" s="41">
        <v>2024</v>
      </c>
      <c r="K40" s="41">
        <v>99</v>
      </c>
      <c r="L40" s="29" t="s">
        <v>59</v>
      </c>
      <c r="M40" s="29" t="s">
        <v>3</v>
      </c>
      <c r="N40" s="32" t="s">
        <v>755</v>
      </c>
      <c r="O40" s="32" t="s">
        <v>749</v>
      </c>
      <c r="P40" s="208">
        <v>45564</v>
      </c>
      <c r="Q40" s="32"/>
      <c r="R40" s="32" t="s">
        <v>64</v>
      </c>
      <c r="S40" s="30" t="s">
        <v>750</v>
      </c>
      <c r="T40" s="30"/>
      <c r="U40" s="32" t="s">
        <v>751</v>
      </c>
      <c r="V40" s="45" t="s">
        <v>753</v>
      </c>
      <c r="W40" s="27" t="s">
        <v>754</v>
      </c>
      <c r="X40" s="35" t="s">
        <v>69</v>
      </c>
      <c r="Y40" s="36">
        <v>45558</v>
      </c>
      <c r="Z40" s="36">
        <v>45561</v>
      </c>
      <c r="AA40" s="36">
        <v>45568</v>
      </c>
      <c r="AB40" s="36">
        <v>45930</v>
      </c>
      <c r="AC40" s="36" t="s">
        <v>70</v>
      </c>
      <c r="AD40" s="36" t="s">
        <v>71</v>
      </c>
      <c r="AE40" s="37" t="s">
        <v>72</v>
      </c>
      <c r="AF40" s="30" t="s">
        <v>135</v>
      </c>
      <c r="AG40" s="30" t="s">
        <v>359</v>
      </c>
      <c r="AH40" s="38">
        <v>3081000000</v>
      </c>
      <c r="AI40" s="38">
        <v>0</v>
      </c>
      <c r="AJ40" s="38">
        <f>AH40+AI40</f>
        <v>3081000000</v>
      </c>
      <c r="AK40" s="38">
        <v>0</v>
      </c>
      <c r="AL40" s="66">
        <v>924300000</v>
      </c>
      <c r="AM40" s="38">
        <v>2156700000</v>
      </c>
      <c r="AN40" s="38">
        <v>2245889285</v>
      </c>
      <c r="AO40" s="38">
        <f>IF(L40="Si",(AN40-AH40),0)</f>
        <v>-835110715</v>
      </c>
      <c r="AP40" s="213">
        <v>45532</v>
      </c>
      <c r="AQ40" s="68">
        <v>0</v>
      </c>
      <c r="AR40" s="66"/>
      <c r="AS40" s="38"/>
      <c r="AT40" s="54">
        <f>IF(AL40=0,0,ROUND(AR40/AL40,2))</f>
        <v>0</v>
      </c>
      <c r="AU40" s="65">
        <f>AL40-AR40</f>
        <v>924300000</v>
      </c>
      <c r="AV40" s="30" t="s">
        <v>360</v>
      </c>
      <c r="AW40" s="43" t="s">
        <v>752</v>
      </c>
      <c r="AX40" s="32" t="s">
        <v>761</v>
      </c>
    </row>
    <row r="41" spans="1:50" ht="192.6" customHeight="1" x14ac:dyDescent="0.25">
      <c r="A41" s="47">
        <v>45</v>
      </c>
      <c r="B41" s="47">
        <v>10</v>
      </c>
      <c r="C41" s="63">
        <v>80101600</v>
      </c>
      <c r="D41" s="32" t="s">
        <v>283</v>
      </c>
      <c r="E41" s="29" t="s">
        <v>361</v>
      </c>
      <c r="F41" s="29" t="s">
        <v>361</v>
      </c>
      <c r="G41" s="29" t="s">
        <v>362</v>
      </c>
      <c r="H41" s="41" t="s">
        <v>59</v>
      </c>
      <c r="I41" s="41" t="s">
        <v>60</v>
      </c>
      <c r="J41" s="41">
        <v>2024</v>
      </c>
      <c r="K41" s="41">
        <v>100</v>
      </c>
      <c r="L41" s="29" t="s">
        <v>59</v>
      </c>
      <c r="M41" s="29" t="s">
        <v>3</v>
      </c>
      <c r="N41" s="210" t="s">
        <v>755</v>
      </c>
      <c r="O41" s="210" t="s">
        <v>749</v>
      </c>
      <c r="P41" s="211">
        <v>45566</v>
      </c>
      <c r="Q41" s="32"/>
      <c r="R41" s="32" t="s">
        <v>64</v>
      </c>
      <c r="S41" s="30" t="s">
        <v>756</v>
      </c>
      <c r="T41" s="30"/>
      <c r="U41" s="32" t="s">
        <v>363</v>
      </c>
      <c r="V41" s="45" t="s">
        <v>758</v>
      </c>
      <c r="W41" s="212" t="s">
        <v>757</v>
      </c>
      <c r="X41" s="35" t="s">
        <v>69</v>
      </c>
      <c r="Y41" s="36">
        <v>45561</v>
      </c>
      <c r="Z41" s="36">
        <v>45562</v>
      </c>
      <c r="AA41" s="36">
        <v>45568</v>
      </c>
      <c r="AB41" s="36">
        <v>45596</v>
      </c>
      <c r="AC41" s="36" t="s">
        <v>70</v>
      </c>
      <c r="AD41" s="36" t="s">
        <v>71</v>
      </c>
      <c r="AE41" s="37" t="s">
        <v>72</v>
      </c>
      <c r="AF41" s="30" t="s">
        <v>135</v>
      </c>
      <c r="AG41" s="30" t="s">
        <v>359</v>
      </c>
      <c r="AH41" s="38">
        <v>1057872578</v>
      </c>
      <c r="AI41" s="38">
        <v>0</v>
      </c>
      <c r="AJ41" s="38">
        <f t="shared" ref="AJ41:AJ42" si="5">AH41+AI41</f>
        <v>1057872578</v>
      </c>
      <c r="AK41" s="38">
        <v>0</v>
      </c>
      <c r="AL41" s="66">
        <v>302249308</v>
      </c>
      <c r="AM41" s="38">
        <v>755623270</v>
      </c>
      <c r="AN41" s="38">
        <v>696150000</v>
      </c>
      <c r="AO41" s="38">
        <f>IF(L41="Si",(AN41-AH41),0)</f>
        <v>-361722578</v>
      </c>
      <c r="AP41" s="209">
        <v>45520</v>
      </c>
      <c r="AQ41" s="68">
        <v>0</v>
      </c>
      <c r="AR41" s="66"/>
      <c r="AS41" s="38"/>
      <c r="AT41" s="54">
        <f>IF(AL41=0,0,ROUND(AR41/AL41,2))</f>
        <v>0</v>
      </c>
      <c r="AU41" s="65">
        <f>AL41-AR41</f>
        <v>302249308</v>
      </c>
      <c r="AV41" s="30" t="s">
        <v>364</v>
      </c>
      <c r="AW41" s="43" t="s">
        <v>759</v>
      </c>
      <c r="AX41" s="32" t="s">
        <v>760</v>
      </c>
    </row>
    <row r="42" spans="1:50" ht="192.6" customHeight="1" x14ac:dyDescent="0.25">
      <c r="A42" s="47"/>
      <c r="B42" s="47"/>
      <c r="C42" s="3">
        <v>80111614</v>
      </c>
      <c r="D42" s="32" t="s">
        <v>81</v>
      </c>
      <c r="E42" s="29" t="s">
        <v>56</v>
      </c>
      <c r="F42" s="29" t="s">
        <v>765</v>
      </c>
      <c r="G42" s="29" t="s">
        <v>766</v>
      </c>
      <c r="H42" s="41" t="s">
        <v>59</v>
      </c>
      <c r="I42" s="41" t="s">
        <v>60</v>
      </c>
      <c r="J42" s="41">
        <v>2024</v>
      </c>
      <c r="K42" s="41">
        <v>238</v>
      </c>
      <c r="L42" s="29" t="s">
        <v>59</v>
      </c>
      <c r="M42" s="29" t="s">
        <v>3</v>
      </c>
      <c r="N42" s="210" t="s">
        <v>61</v>
      </c>
      <c r="O42" s="210" t="s">
        <v>307</v>
      </c>
      <c r="P42" s="211">
        <v>45564</v>
      </c>
      <c r="Q42" s="32"/>
      <c r="R42" s="32" t="s">
        <v>64</v>
      </c>
      <c r="S42" s="30" t="s">
        <v>767</v>
      </c>
      <c r="U42" s="3" t="s">
        <v>764</v>
      </c>
      <c r="V42" s="45" t="s">
        <v>770</v>
      </c>
      <c r="W42" s="27" t="s">
        <v>768</v>
      </c>
      <c r="X42" s="35" t="s">
        <v>69</v>
      </c>
      <c r="Y42" s="36">
        <v>45562</v>
      </c>
      <c r="Z42" s="36">
        <v>45562</v>
      </c>
      <c r="AA42" s="36">
        <v>45566</v>
      </c>
      <c r="AB42" s="36">
        <v>45646</v>
      </c>
      <c r="AC42" s="36" t="s">
        <v>70</v>
      </c>
      <c r="AD42" s="36" t="s">
        <v>71</v>
      </c>
      <c r="AE42" s="37" t="s">
        <v>90</v>
      </c>
      <c r="AF42" s="32" t="s">
        <v>73</v>
      </c>
      <c r="AG42" s="30" t="s">
        <v>511</v>
      </c>
      <c r="AH42" s="38">
        <v>33000000</v>
      </c>
      <c r="AI42" s="38">
        <v>0</v>
      </c>
      <c r="AJ42" s="38">
        <f t="shared" si="5"/>
        <v>33000000</v>
      </c>
      <c r="AK42" s="38">
        <v>0</v>
      </c>
      <c r="AL42" s="66">
        <v>33000000</v>
      </c>
      <c r="AM42" s="38">
        <v>0</v>
      </c>
      <c r="AN42" s="38">
        <v>33000000</v>
      </c>
      <c r="AO42" s="38">
        <f>IF(L42="Si",(AN42-AH42),0)</f>
        <v>0</v>
      </c>
      <c r="AP42" s="209"/>
      <c r="AQ42" s="68">
        <v>0</v>
      </c>
      <c r="AR42" s="66"/>
      <c r="AS42" s="38">
        <v>9000000</v>
      </c>
      <c r="AT42" s="54">
        <f>IF(AL42=0,0,ROUND(AR42/AL42,2))</f>
        <v>0</v>
      </c>
      <c r="AU42" s="65">
        <f>AL42-AR42</f>
        <v>33000000</v>
      </c>
      <c r="AV42" s="47">
        <v>202400008633</v>
      </c>
      <c r="AW42" s="43" t="s">
        <v>769</v>
      </c>
      <c r="AX42" s="32"/>
    </row>
    <row r="43" spans="1:50" ht="72" customHeight="1" x14ac:dyDescent="0.25">
      <c r="A43" s="47">
        <v>27</v>
      </c>
      <c r="B43" s="47">
        <v>27</v>
      </c>
      <c r="C43" s="151">
        <v>80111614</v>
      </c>
      <c r="D43" s="152" t="s">
        <v>283</v>
      </c>
      <c r="E43" s="153" t="s">
        <v>56</v>
      </c>
      <c r="F43" s="153" t="s">
        <v>82</v>
      </c>
      <c r="G43" s="153" t="s">
        <v>316</v>
      </c>
      <c r="H43" s="154" t="s">
        <v>59</v>
      </c>
      <c r="I43" s="154" t="s">
        <v>60</v>
      </c>
      <c r="J43" s="154">
        <v>2024</v>
      </c>
      <c r="K43" s="154">
        <v>153</v>
      </c>
      <c r="L43" s="153" t="s">
        <v>59</v>
      </c>
      <c r="M43" s="153" t="s">
        <v>3</v>
      </c>
      <c r="N43" s="152" t="s">
        <v>61</v>
      </c>
      <c r="O43" s="155" t="s">
        <v>675</v>
      </c>
      <c r="P43" s="152" t="s">
        <v>674</v>
      </c>
      <c r="Q43" s="152"/>
      <c r="R43" s="152" t="s">
        <v>64</v>
      </c>
      <c r="S43" s="155" t="s">
        <v>318</v>
      </c>
      <c r="T43" s="155"/>
      <c r="U43" s="152" t="s">
        <v>319</v>
      </c>
      <c r="V43" s="46" t="s">
        <v>320</v>
      </c>
      <c r="W43" s="30" t="s">
        <v>321</v>
      </c>
      <c r="X43" s="35" t="s">
        <v>69</v>
      </c>
      <c r="Y43" s="36">
        <v>45392</v>
      </c>
      <c r="Z43" s="36">
        <v>45393</v>
      </c>
      <c r="AA43" s="36" t="s">
        <v>70</v>
      </c>
      <c r="AB43" s="36">
        <v>45575</v>
      </c>
      <c r="AC43" s="36" t="s">
        <v>70</v>
      </c>
      <c r="AD43" s="36" t="s">
        <v>71</v>
      </c>
      <c r="AE43" s="37" t="s">
        <v>72</v>
      </c>
      <c r="AF43" s="32" t="s">
        <v>73</v>
      </c>
      <c r="AG43" s="30" t="s">
        <v>302</v>
      </c>
      <c r="AH43" s="38">
        <v>51000000</v>
      </c>
      <c r="AI43" s="38">
        <v>-17000000</v>
      </c>
      <c r="AJ43" s="38">
        <f>AH43+AI43</f>
        <v>34000000</v>
      </c>
      <c r="AK43" s="38">
        <v>0</v>
      </c>
      <c r="AL43" s="66">
        <v>34000000</v>
      </c>
      <c r="AM43" s="38">
        <v>0</v>
      </c>
      <c r="AN43" s="38">
        <v>51000000</v>
      </c>
      <c r="AO43" s="38">
        <f>IF(L43="Si",(AN43-AH43),0)</f>
        <v>0</v>
      </c>
      <c r="AP43" s="38"/>
      <c r="AQ43" s="192">
        <v>2</v>
      </c>
      <c r="AR43" s="66">
        <f>AS43*2</f>
        <v>17000000</v>
      </c>
      <c r="AS43" s="38">
        <v>8500000</v>
      </c>
      <c r="AT43" s="54">
        <f>IF(AL43=0,0,ROUND(AR43/AL43,2))</f>
        <v>0.5</v>
      </c>
      <c r="AU43" s="65">
        <f>AL43-AR43</f>
        <v>17000000</v>
      </c>
      <c r="AV43" s="30" t="s">
        <v>322</v>
      </c>
      <c r="AW43" s="43" t="s">
        <v>323</v>
      </c>
      <c r="AX43" s="32" t="s">
        <v>719</v>
      </c>
    </row>
    <row r="44" spans="1:50" ht="120" x14ac:dyDescent="0.25">
      <c r="A44" s="47">
        <v>33</v>
      </c>
      <c r="B44" s="47">
        <v>33</v>
      </c>
      <c r="C44" s="151">
        <v>80111614</v>
      </c>
      <c r="D44" s="152" t="s">
        <v>283</v>
      </c>
      <c r="E44" s="153" t="s">
        <v>56</v>
      </c>
      <c r="F44" s="153" t="s">
        <v>82</v>
      </c>
      <c r="G44" s="153" t="s">
        <v>316</v>
      </c>
      <c r="H44" s="154" t="s">
        <v>59</v>
      </c>
      <c r="I44" s="154" t="s">
        <v>60</v>
      </c>
      <c r="J44" s="154">
        <v>2024</v>
      </c>
      <c r="K44" s="154">
        <v>152</v>
      </c>
      <c r="L44" s="153" t="s">
        <v>59</v>
      </c>
      <c r="M44" s="153" t="s">
        <v>3</v>
      </c>
      <c r="N44" s="152" t="s">
        <v>317</v>
      </c>
      <c r="O44" s="152" t="s">
        <v>71</v>
      </c>
      <c r="P44" s="152"/>
      <c r="Q44" s="152"/>
      <c r="R44" s="152" t="s">
        <v>64</v>
      </c>
      <c r="S44" s="155" t="s">
        <v>325</v>
      </c>
      <c r="T44" s="155"/>
      <c r="U44" s="152" t="s">
        <v>326</v>
      </c>
      <c r="V44" s="46" t="s">
        <v>327</v>
      </c>
      <c r="W44" s="30" t="s">
        <v>328</v>
      </c>
      <c r="X44" s="35" t="s">
        <v>69</v>
      </c>
      <c r="Y44" s="36">
        <v>45397</v>
      </c>
      <c r="Z44" s="36">
        <v>45398</v>
      </c>
      <c r="AA44" s="36" t="s">
        <v>70</v>
      </c>
      <c r="AB44" s="144">
        <v>45577</v>
      </c>
      <c r="AC44" s="36" t="s">
        <v>70</v>
      </c>
      <c r="AD44" s="36" t="s">
        <v>71</v>
      </c>
      <c r="AE44" s="37" t="s">
        <v>72</v>
      </c>
      <c r="AF44" s="32" t="s">
        <v>73</v>
      </c>
      <c r="AG44" s="30" t="s">
        <v>302</v>
      </c>
      <c r="AH44" s="38">
        <v>51000000</v>
      </c>
      <c r="AI44" s="38">
        <v>-42500000</v>
      </c>
      <c r="AJ44" s="38">
        <f t="shared" si="4"/>
        <v>8500000</v>
      </c>
      <c r="AK44" s="38">
        <v>0</v>
      </c>
      <c r="AL44" s="66">
        <v>8500000</v>
      </c>
      <c r="AM44" s="38">
        <v>0</v>
      </c>
      <c r="AN44" s="38">
        <v>51000000</v>
      </c>
      <c r="AO44" s="38">
        <f t="shared" si="1"/>
        <v>0</v>
      </c>
      <c r="AP44" s="38" t="s">
        <v>614</v>
      </c>
      <c r="AQ44" s="192">
        <v>0</v>
      </c>
      <c r="AR44" s="66">
        <v>8500000</v>
      </c>
      <c r="AS44" s="38">
        <v>8500000</v>
      </c>
      <c r="AT44" s="54">
        <f t="shared" si="3"/>
        <v>1</v>
      </c>
      <c r="AU44" s="65">
        <f t="shared" si="2"/>
        <v>0</v>
      </c>
      <c r="AV44" s="30" t="s">
        <v>329</v>
      </c>
      <c r="AW44" s="43" t="s">
        <v>330</v>
      </c>
      <c r="AX44" s="118" t="s">
        <v>429</v>
      </c>
    </row>
    <row r="45" spans="1:50" ht="75" x14ac:dyDescent="0.25">
      <c r="A45" s="47">
        <v>34</v>
      </c>
      <c r="B45" s="47">
        <v>34</v>
      </c>
      <c r="C45" s="151">
        <v>80111614</v>
      </c>
      <c r="D45" s="152" t="s">
        <v>283</v>
      </c>
      <c r="E45" s="153" t="s">
        <v>56</v>
      </c>
      <c r="F45" s="153" t="s">
        <v>57</v>
      </c>
      <c r="G45" s="153" t="s">
        <v>58</v>
      </c>
      <c r="H45" s="154" t="s">
        <v>59</v>
      </c>
      <c r="I45" s="154" t="s">
        <v>60</v>
      </c>
      <c r="J45" s="154">
        <v>2024</v>
      </c>
      <c r="K45" s="154">
        <v>38</v>
      </c>
      <c r="L45" s="153" t="s">
        <v>59</v>
      </c>
      <c r="M45" s="153" t="s">
        <v>3</v>
      </c>
      <c r="N45" s="152" t="s">
        <v>61</v>
      </c>
      <c r="O45" s="152" t="s">
        <v>62</v>
      </c>
      <c r="P45" s="152" t="s">
        <v>63</v>
      </c>
      <c r="Q45" s="152"/>
      <c r="R45" s="152" t="s">
        <v>64</v>
      </c>
      <c r="S45" s="153" t="s">
        <v>431</v>
      </c>
      <c r="T45" s="153"/>
      <c r="U45" s="152" t="s">
        <v>66</v>
      </c>
      <c r="V45" s="46" t="s">
        <v>432</v>
      </c>
      <c r="W45" s="30" t="s">
        <v>433</v>
      </c>
      <c r="X45" s="35" t="s">
        <v>69</v>
      </c>
      <c r="Y45" s="36">
        <v>45329</v>
      </c>
      <c r="Z45" s="36">
        <v>45330</v>
      </c>
      <c r="AA45" s="36" t="s">
        <v>70</v>
      </c>
      <c r="AB45" s="36">
        <v>45473</v>
      </c>
      <c r="AC45" s="36" t="s">
        <v>70</v>
      </c>
      <c r="AD45" s="36" t="s">
        <v>71</v>
      </c>
      <c r="AE45" s="37" t="s">
        <v>72</v>
      </c>
      <c r="AF45" s="32" t="s">
        <v>73</v>
      </c>
      <c r="AG45" s="32" t="s">
        <v>73</v>
      </c>
      <c r="AH45" s="38">
        <v>47500000</v>
      </c>
      <c r="AI45" s="38">
        <v>-47500000</v>
      </c>
      <c r="AJ45" s="38">
        <f t="shared" si="4"/>
        <v>0</v>
      </c>
      <c r="AK45" s="38">
        <v>0</v>
      </c>
      <c r="AL45" s="66">
        <v>0</v>
      </c>
      <c r="AM45" s="38">
        <v>0</v>
      </c>
      <c r="AN45" s="38">
        <v>0</v>
      </c>
      <c r="AO45" s="38">
        <f>AJ45-AN45</f>
        <v>0</v>
      </c>
      <c r="AP45" s="38"/>
      <c r="AQ45" s="192">
        <v>0</v>
      </c>
      <c r="AR45" s="66">
        <v>0</v>
      </c>
      <c r="AS45" s="38">
        <v>11875000</v>
      </c>
      <c r="AT45" s="54">
        <f t="shared" si="3"/>
        <v>0</v>
      </c>
      <c r="AU45" s="65">
        <f t="shared" si="2"/>
        <v>0</v>
      </c>
      <c r="AV45" s="30" t="s">
        <v>434</v>
      </c>
      <c r="AW45" s="43" t="s">
        <v>435</v>
      </c>
      <c r="AX45" s="32" t="s">
        <v>436</v>
      </c>
    </row>
    <row r="46" spans="1:50" ht="150" x14ac:dyDescent="0.25">
      <c r="A46" s="47">
        <v>35</v>
      </c>
      <c r="B46" s="47">
        <v>35</v>
      </c>
      <c r="C46" s="151"/>
      <c r="D46" s="152"/>
      <c r="E46" s="153" t="s">
        <v>56</v>
      </c>
      <c r="F46" s="153" t="s">
        <v>57</v>
      </c>
      <c r="G46" s="153" t="s">
        <v>58</v>
      </c>
      <c r="H46" s="154" t="s">
        <v>59</v>
      </c>
      <c r="I46" s="154" t="s">
        <v>60</v>
      </c>
      <c r="J46" s="154">
        <v>2024</v>
      </c>
      <c r="K46" s="154">
        <v>52</v>
      </c>
      <c r="L46" s="153" t="s">
        <v>59</v>
      </c>
      <c r="M46" s="153" t="s">
        <v>3</v>
      </c>
      <c r="N46" s="152" t="s">
        <v>61</v>
      </c>
      <c r="O46" s="152" t="s">
        <v>62</v>
      </c>
      <c r="P46" s="152" t="s">
        <v>63</v>
      </c>
      <c r="Q46" s="152"/>
      <c r="R46" s="152" t="s">
        <v>64</v>
      </c>
      <c r="S46" s="155" t="s">
        <v>437</v>
      </c>
      <c r="T46" s="155"/>
      <c r="U46" s="152" t="s">
        <v>66</v>
      </c>
      <c r="V46" s="45" t="s">
        <v>438</v>
      </c>
      <c r="W46" s="30" t="s">
        <v>439</v>
      </c>
      <c r="X46" s="35" t="s">
        <v>69</v>
      </c>
      <c r="Y46" s="36">
        <v>45329</v>
      </c>
      <c r="Z46" s="36">
        <v>45331</v>
      </c>
      <c r="AA46" s="36" t="s">
        <v>70</v>
      </c>
      <c r="AB46" s="36">
        <v>45473</v>
      </c>
      <c r="AC46" s="36" t="s">
        <v>70</v>
      </c>
      <c r="AD46" s="36" t="s">
        <v>71</v>
      </c>
      <c r="AE46" s="37" t="s">
        <v>72</v>
      </c>
      <c r="AF46" s="32" t="s">
        <v>73</v>
      </c>
      <c r="AG46" s="32" t="s">
        <v>73</v>
      </c>
      <c r="AH46" s="38">
        <v>47500000</v>
      </c>
      <c r="AI46" s="38">
        <v>-47500000</v>
      </c>
      <c r="AJ46" s="38">
        <f t="shared" si="4"/>
        <v>0</v>
      </c>
      <c r="AK46" s="38">
        <v>0</v>
      </c>
      <c r="AL46" s="66">
        <v>0</v>
      </c>
      <c r="AM46" s="38">
        <v>0</v>
      </c>
      <c r="AN46" s="38">
        <v>0</v>
      </c>
      <c r="AO46" s="38">
        <f>AJ46-AN46</f>
        <v>0</v>
      </c>
      <c r="AP46" s="38"/>
      <c r="AQ46" s="192">
        <v>0</v>
      </c>
      <c r="AR46" s="66">
        <v>0</v>
      </c>
      <c r="AS46" s="38">
        <v>11875000</v>
      </c>
      <c r="AT46" s="54">
        <f t="shared" si="3"/>
        <v>0</v>
      </c>
      <c r="AU46" s="65">
        <f t="shared" si="2"/>
        <v>0</v>
      </c>
      <c r="AV46" s="30" t="s">
        <v>440</v>
      </c>
      <c r="AW46" s="43" t="s">
        <v>441</v>
      </c>
      <c r="AX46" s="32" t="s">
        <v>436</v>
      </c>
    </row>
    <row r="47" spans="1:50" ht="105" x14ac:dyDescent="0.25">
      <c r="A47" s="28" t="s">
        <v>615</v>
      </c>
      <c r="B47" s="28" t="s">
        <v>10</v>
      </c>
      <c r="C47" s="60" t="s">
        <v>11</v>
      </c>
      <c r="D47" s="28" t="s">
        <v>12</v>
      </c>
      <c r="E47" s="28" t="s">
        <v>13</v>
      </c>
      <c r="F47" s="28" t="s">
        <v>14</v>
      </c>
      <c r="G47" s="28" t="s">
        <v>15</v>
      </c>
      <c r="H47" s="40" t="s">
        <v>16</v>
      </c>
      <c r="I47" s="40" t="s">
        <v>17</v>
      </c>
      <c r="J47" s="40" t="s">
        <v>18</v>
      </c>
      <c r="K47" s="40" t="s">
        <v>19</v>
      </c>
      <c r="L47" s="40" t="s">
        <v>20</v>
      </c>
      <c r="M47" s="40" t="s">
        <v>21</v>
      </c>
      <c r="N47" s="28" t="s">
        <v>22</v>
      </c>
      <c r="O47" s="28" t="s">
        <v>23</v>
      </c>
      <c r="P47" s="28" t="s">
        <v>24</v>
      </c>
      <c r="Q47" s="28" t="s">
        <v>692</v>
      </c>
      <c r="R47" s="28" t="s">
        <v>25</v>
      </c>
      <c r="S47" s="28" t="s">
        <v>26</v>
      </c>
      <c r="T47" s="28"/>
      <c r="U47" s="28" t="s">
        <v>27</v>
      </c>
      <c r="V47" s="40" t="s">
        <v>28</v>
      </c>
      <c r="W47" s="28" t="s">
        <v>29</v>
      </c>
      <c r="X47" s="28" t="s">
        <v>30</v>
      </c>
      <c r="Y47" s="28" t="s">
        <v>32</v>
      </c>
      <c r="Z47" s="28" t="s">
        <v>33</v>
      </c>
      <c r="AA47" s="28" t="s">
        <v>34</v>
      </c>
      <c r="AB47" s="28" t="s">
        <v>35</v>
      </c>
      <c r="AC47" s="28" t="s">
        <v>36</v>
      </c>
      <c r="AD47" s="28" t="s">
        <v>37</v>
      </c>
      <c r="AE47" s="28" t="s">
        <v>38</v>
      </c>
      <c r="AF47" s="28" t="s">
        <v>616</v>
      </c>
      <c r="AG47" s="28" t="s">
        <v>39</v>
      </c>
      <c r="AH47" s="28" t="s">
        <v>40</v>
      </c>
      <c r="AI47" s="28" t="s">
        <v>41</v>
      </c>
      <c r="AJ47" s="28" t="s">
        <v>42</v>
      </c>
      <c r="AK47" s="28" t="s">
        <v>43</v>
      </c>
      <c r="AL47" s="28" t="s">
        <v>44</v>
      </c>
      <c r="AM47" s="28" t="s">
        <v>45</v>
      </c>
      <c r="AN47" s="28" t="s">
        <v>46</v>
      </c>
      <c r="AO47" s="28" t="s">
        <v>47</v>
      </c>
      <c r="AP47" s="28" t="s">
        <v>48</v>
      </c>
      <c r="AQ47" s="28" t="s">
        <v>31</v>
      </c>
      <c r="AR47" s="28" t="s">
        <v>49</v>
      </c>
      <c r="AS47" s="28" t="s">
        <v>50</v>
      </c>
      <c r="AT47" s="28" t="s">
        <v>51</v>
      </c>
      <c r="AU47" s="28" t="s">
        <v>52</v>
      </c>
      <c r="AV47" s="28" t="s">
        <v>53</v>
      </c>
      <c r="AW47" s="28" t="s">
        <v>54</v>
      </c>
      <c r="AX47" s="28" t="s">
        <v>55</v>
      </c>
    </row>
    <row r="48" spans="1:50" ht="120" x14ac:dyDescent="0.25">
      <c r="A48" s="47">
        <v>37</v>
      </c>
      <c r="B48" s="47">
        <v>2</v>
      </c>
      <c r="C48" s="64" t="s">
        <v>378</v>
      </c>
      <c r="D48" s="52" t="s">
        <v>379</v>
      </c>
      <c r="E48" s="50" t="s">
        <v>647</v>
      </c>
      <c r="F48" s="50" t="s">
        <v>305</v>
      </c>
      <c r="G48" s="50" t="s">
        <v>380</v>
      </c>
      <c r="H48" s="51" t="s">
        <v>59</v>
      </c>
      <c r="I48" s="51" t="s">
        <v>60</v>
      </c>
      <c r="J48" s="51">
        <v>2024</v>
      </c>
      <c r="K48" s="51">
        <v>84</v>
      </c>
      <c r="L48" s="50" t="s">
        <v>59</v>
      </c>
      <c r="M48" s="50" t="s">
        <v>5</v>
      </c>
      <c r="N48" s="52" t="s">
        <v>699</v>
      </c>
      <c r="O48" s="52" t="s">
        <v>71</v>
      </c>
      <c r="P48" s="52" t="s">
        <v>704</v>
      </c>
      <c r="Q48" s="52"/>
      <c r="R48" s="52" t="s">
        <v>64</v>
      </c>
      <c r="S48" s="53" t="s">
        <v>700</v>
      </c>
      <c r="T48" s="53"/>
      <c r="U48" s="52" t="s">
        <v>381</v>
      </c>
      <c r="V48" s="57"/>
      <c r="W48" s="30"/>
      <c r="X48" s="35"/>
      <c r="Y48" s="36"/>
      <c r="Z48" s="36"/>
      <c r="AA48" s="36"/>
      <c r="AB48" s="36"/>
      <c r="AC48" s="36"/>
      <c r="AD48" s="36"/>
      <c r="AE48" s="37" t="s">
        <v>90</v>
      </c>
      <c r="AF48" s="30" t="s">
        <v>267</v>
      </c>
      <c r="AG48" s="30" t="s">
        <v>267</v>
      </c>
      <c r="AH48" s="38"/>
      <c r="AI48" s="38">
        <v>0</v>
      </c>
      <c r="AJ48" s="38">
        <f t="shared" si="4"/>
        <v>0</v>
      </c>
      <c r="AK48" s="38"/>
      <c r="AL48" s="66"/>
      <c r="AM48" s="38"/>
      <c r="AN48" s="38">
        <v>4500000</v>
      </c>
      <c r="AO48" s="38">
        <f t="shared" ref="AO48:AO57" si="6">IF(L48="Si",(AN48-AH48),0)</f>
        <v>4500000</v>
      </c>
      <c r="AP48" s="38"/>
      <c r="AQ48" s="68">
        <v>0</v>
      </c>
      <c r="AR48" s="66"/>
      <c r="AS48" s="38"/>
      <c r="AT48" s="54">
        <f t="shared" ref="AT48:AT62" si="7">IF(AL48=0,0,ROUND(AR48/AL48,2))</f>
        <v>0</v>
      </c>
      <c r="AU48" s="65">
        <f t="shared" ref="AU48:AU62" si="8">AL48-AR48</f>
        <v>0</v>
      </c>
      <c r="AV48" s="30"/>
      <c r="AW48" s="43" t="s">
        <v>745</v>
      </c>
      <c r="AX48" s="118" t="s">
        <v>672</v>
      </c>
    </row>
    <row r="49" spans="1:50" ht="57" x14ac:dyDescent="0.25">
      <c r="A49" s="47">
        <v>38</v>
      </c>
      <c r="B49" s="47">
        <v>3</v>
      </c>
      <c r="C49" s="64" t="s">
        <v>379</v>
      </c>
      <c r="D49" s="64">
        <v>81112501</v>
      </c>
      <c r="E49" s="50" t="s">
        <v>647</v>
      </c>
      <c r="F49" s="50" t="s">
        <v>272</v>
      </c>
      <c r="G49" s="50" t="s">
        <v>382</v>
      </c>
      <c r="H49" s="51" t="s">
        <v>59</v>
      </c>
      <c r="I49" s="51" t="s">
        <v>60</v>
      </c>
      <c r="J49" s="51">
        <v>2024</v>
      </c>
      <c r="K49" s="51">
        <v>87</v>
      </c>
      <c r="L49" s="50" t="s">
        <v>59</v>
      </c>
      <c r="M49" s="50" t="s">
        <v>5</v>
      </c>
      <c r="N49" s="52" t="s">
        <v>705</v>
      </c>
      <c r="O49" s="52" t="s">
        <v>71</v>
      </c>
      <c r="P49" s="52" t="s">
        <v>703</v>
      </c>
      <c r="Q49" s="52"/>
      <c r="R49" s="52" t="s">
        <v>64</v>
      </c>
      <c r="S49" s="53"/>
      <c r="T49" s="53"/>
      <c r="U49" s="52" t="s">
        <v>383</v>
      </c>
      <c r="V49" s="45"/>
      <c r="W49" s="30"/>
      <c r="X49" s="35"/>
      <c r="Y49" s="36"/>
      <c r="Z49" s="36"/>
      <c r="AA49" s="36"/>
      <c r="AB49" s="36"/>
      <c r="AC49" s="36"/>
      <c r="AD49" s="36"/>
      <c r="AE49" s="37" t="s">
        <v>90</v>
      </c>
      <c r="AF49" s="30" t="s">
        <v>104</v>
      </c>
      <c r="AG49" s="30" t="s">
        <v>104</v>
      </c>
      <c r="AH49" s="38"/>
      <c r="AI49" s="38">
        <v>0</v>
      </c>
      <c r="AJ49" s="38">
        <f t="shared" si="4"/>
        <v>0</v>
      </c>
      <c r="AK49" s="38"/>
      <c r="AL49" s="66"/>
      <c r="AM49" s="38"/>
      <c r="AN49" s="38">
        <v>270000000</v>
      </c>
      <c r="AO49" s="38">
        <f t="shared" si="6"/>
        <v>270000000</v>
      </c>
      <c r="AP49" s="38"/>
      <c r="AQ49" s="68">
        <v>0</v>
      </c>
      <c r="AR49" s="66"/>
      <c r="AS49" s="38"/>
      <c r="AT49" s="54">
        <f t="shared" si="7"/>
        <v>0</v>
      </c>
      <c r="AU49" s="65">
        <f t="shared" si="8"/>
        <v>0</v>
      </c>
      <c r="AV49" s="30"/>
      <c r="AW49" s="30"/>
      <c r="AX49" s="118" t="s">
        <v>681</v>
      </c>
    </row>
    <row r="50" spans="1:50" ht="71.25" x14ac:dyDescent="0.25">
      <c r="A50" s="47">
        <v>39</v>
      </c>
      <c r="B50" s="47">
        <v>4</v>
      </c>
      <c r="C50" s="64">
        <v>80111614</v>
      </c>
      <c r="D50" s="52" t="s">
        <v>611</v>
      </c>
      <c r="E50" s="50" t="s">
        <v>56</v>
      </c>
      <c r="F50" s="50" t="s">
        <v>82</v>
      </c>
      <c r="G50" s="50" t="s">
        <v>331</v>
      </c>
      <c r="H50" s="51" t="s">
        <v>59</v>
      </c>
      <c r="I50" s="51" t="s">
        <v>60</v>
      </c>
      <c r="J50" s="51">
        <v>2024</v>
      </c>
      <c r="K50" s="51">
        <v>186</v>
      </c>
      <c r="L50" s="50" t="s">
        <v>59</v>
      </c>
      <c r="M50" s="50" t="s">
        <v>5</v>
      </c>
      <c r="N50" s="52" t="s">
        <v>61</v>
      </c>
      <c r="O50" s="52" t="s">
        <v>71</v>
      </c>
      <c r="P50" s="207" t="s">
        <v>693</v>
      </c>
      <c r="Q50" s="52"/>
      <c r="R50" s="52" t="s">
        <v>64</v>
      </c>
      <c r="S50" s="53" t="s">
        <v>686</v>
      </c>
      <c r="T50" s="53"/>
      <c r="U50" s="52" t="s">
        <v>606</v>
      </c>
      <c r="V50" s="46"/>
      <c r="W50" s="30"/>
      <c r="X50" s="35"/>
      <c r="Y50" s="36"/>
      <c r="Z50" s="36"/>
      <c r="AA50" s="36"/>
      <c r="AB50" s="36"/>
      <c r="AC50" s="36"/>
      <c r="AD50" s="36"/>
      <c r="AE50" s="37" t="s">
        <v>72</v>
      </c>
      <c r="AF50" s="32" t="s">
        <v>73</v>
      </c>
      <c r="AG50" s="30" t="s">
        <v>302</v>
      </c>
      <c r="AH50" s="38"/>
      <c r="AI50" s="38">
        <v>0</v>
      </c>
      <c r="AJ50" s="38">
        <f t="shared" si="4"/>
        <v>0</v>
      </c>
      <c r="AK50" s="38">
        <v>0</v>
      </c>
      <c r="AL50" s="66"/>
      <c r="AM50" s="38">
        <v>0</v>
      </c>
      <c r="AN50" s="38">
        <v>42500000</v>
      </c>
      <c r="AO50" s="38">
        <f t="shared" si="6"/>
        <v>42500000</v>
      </c>
      <c r="AP50" s="38"/>
      <c r="AQ50" s="68">
        <v>0</v>
      </c>
      <c r="AR50" s="66">
        <v>0</v>
      </c>
      <c r="AS50" s="38"/>
      <c r="AT50" s="54">
        <f t="shared" si="7"/>
        <v>0</v>
      </c>
      <c r="AU50" s="65">
        <f t="shared" si="8"/>
        <v>0</v>
      </c>
      <c r="AV50" s="30"/>
      <c r="AW50" s="43"/>
      <c r="AX50" s="32"/>
    </row>
    <row r="51" spans="1:50" ht="71.25" x14ac:dyDescent="0.25">
      <c r="A51" s="47">
        <v>40</v>
      </c>
      <c r="B51" s="47">
        <v>5</v>
      </c>
      <c r="C51" s="64">
        <v>80111614</v>
      </c>
      <c r="D51" s="52" t="s">
        <v>283</v>
      </c>
      <c r="E51" s="50" t="s">
        <v>56</v>
      </c>
      <c r="F51" s="50" t="s">
        <v>82</v>
      </c>
      <c r="G51" s="50" t="s">
        <v>331</v>
      </c>
      <c r="H51" s="51" t="s">
        <v>59</v>
      </c>
      <c r="I51" s="51" t="s">
        <v>60</v>
      </c>
      <c r="J51" s="51">
        <v>2024</v>
      </c>
      <c r="K51" s="51">
        <v>200</v>
      </c>
      <c r="L51" s="50" t="s">
        <v>59</v>
      </c>
      <c r="M51" s="50" t="s">
        <v>5</v>
      </c>
      <c r="N51" s="52" t="s">
        <v>61</v>
      </c>
      <c r="O51" s="52" t="s">
        <v>71</v>
      </c>
      <c r="P51" s="207" t="s">
        <v>695</v>
      </c>
      <c r="Q51" s="52"/>
      <c r="R51" s="52" t="s">
        <v>64</v>
      </c>
      <c r="S51" s="53" t="s">
        <v>694</v>
      </c>
      <c r="T51" s="53"/>
      <c r="U51" s="52" t="s">
        <v>607</v>
      </c>
      <c r="V51" s="46"/>
      <c r="W51" s="30"/>
      <c r="X51" s="35"/>
      <c r="Y51" s="36"/>
      <c r="Z51" s="36"/>
      <c r="AA51" s="36"/>
      <c r="AB51" s="36"/>
      <c r="AC51" s="36"/>
      <c r="AD51" s="36"/>
      <c r="AE51" s="37" t="s">
        <v>72</v>
      </c>
      <c r="AF51" s="32" t="s">
        <v>73</v>
      </c>
      <c r="AG51" s="30" t="s">
        <v>302</v>
      </c>
      <c r="AH51" s="38"/>
      <c r="AI51" s="38">
        <v>0</v>
      </c>
      <c r="AJ51" s="38">
        <f t="shared" si="4"/>
        <v>0</v>
      </c>
      <c r="AK51" s="38">
        <v>0</v>
      </c>
      <c r="AL51" s="66"/>
      <c r="AM51" s="38">
        <v>0</v>
      </c>
      <c r="AN51" s="38">
        <v>51000000</v>
      </c>
      <c r="AO51" s="38">
        <f t="shared" si="6"/>
        <v>51000000</v>
      </c>
      <c r="AP51" s="38"/>
      <c r="AQ51" s="68">
        <v>0</v>
      </c>
      <c r="AR51" s="66">
        <v>0</v>
      </c>
      <c r="AS51" s="38"/>
      <c r="AT51" s="54">
        <f t="shared" si="7"/>
        <v>0</v>
      </c>
      <c r="AU51" s="65">
        <f t="shared" si="8"/>
        <v>0</v>
      </c>
      <c r="AV51" s="30"/>
      <c r="AW51" s="43"/>
      <c r="AX51" s="32"/>
    </row>
    <row r="52" spans="1:50" ht="71.25" x14ac:dyDescent="0.25">
      <c r="A52" s="47">
        <v>41</v>
      </c>
      <c r="B52" s="47">
        <v>6</v>
      </c>
      <c r="C52" s="64">
        <v>80111614</v>
      </c>
      <c r="D52" s="52" t="s">
        <v>612</v>
      </c>
      <c r="E52" s="50" t="s">
        <v>56</v>
      </c>
      <c r="F52" s="50" t="s">
        <v>82</v>
      </c>
      <c r="G52" s="50" t="s">
        <v>331</v>
      </c>
      <c r="H52" s="51" t="s">
        <v>59</v>
      </c>
      <c r="I52" s="51" t="s">
        <v>60</v>
      </c>
      <c r="J52" s="51">
        <v>2024</v>
      </c>
      <c r="K52" s="51">
        <v>201</v>
      </c>
      <c r="L52" s="50" t="s">
        <v>59</v>
      </c>
      <c r="M52" s="50" t="s">
        <v>5</v>
      </c>
      <c r="N52" s="52" t="s">
        <v>61</v>
      </c>
      <c r="O52" s="52" t="s">
        <v>71</v>
      </c>
      <c r="P52" s="207" t="s">
        <v>698</v>
      </c>
      <c r="Q52" s="52"/>
      <c r="R52" s="52" t="s">
        <v>64</v>
      </c>
      <c r="S52" s="53" t="s">
        <v>685</v>
      </c>
      <c r="T52" s="53"/>
      <c r="U52" s="52" t="s">
        <v>608</v>
      </c>
      <c r="V52" s="46"/>
      <c r="W52" s="30"/>
      <c r="X52" s="35"/>
      <c r="Y52" s="36"/>
      <c r="Z52" s="36"/>
      <c r="AA52" s="36"/>
      <c r="AB52" s="36"/>
      <c r="AC52" s="36"/>
      <c r="AD52" s="36"/>
      <c r="AE52" s="37" t="s">
        <v>72</v>
      </c>
      <c r="AF52" s="32" t="s">
        <v>73</v>
      </c>
      <c r="AG52" s="30" t="s">
        <v>302</v>
      </c>
      <c r="AH52" s="38"/>
      <c r="AI52" s="38">
        <v>0</v>
      </c>
      <c r="AJ52" s="38">
        <f t="shared" si="4"/>
        <v>0</v>
      </c>
      <c r="AK52" s="38">
        <v>0</v>
      </c>
      <c r="AL52" s="66"/>
      <c r="AM52" s="38">
        <v>0</v>
      </c>
      <c r="AN52" s="38">
        <v>51000000</v>
      </c>
      <c r="AO52" s="38">
        <f t="shared" si="6"/>
        <v>51000000</v>
      </c>
      <c r="AP52" s="38"/>
      <c r="AQ52" s="68">
        <v>0</v>
      </c>
      <c r="AR52" s="66">
        <v>0</v>
      </c>
      <c r="AS52" s="38"/>
      <c r="AT52" s="54">
        <f t="shared" si="7"/>
        <v>0</v>
      </c>
      <c r="AU52" s="65">
        <f t="shared" si="8"/>
        <v>0</v>
      </c>
      <c r="AV52" s="30"/>
      <c r="AW52" s="43"/>
      <c r="AX52" s="32"/>
    </row>
    <row r="53" spans="1:50" ht="85.5" x14ac:dyDescent="0.25">
      <c r="A53" s="47">
        <v>42</v>
      </c>
      <c r="B53" s="47">
        <v>7</v>
      </c>
      <c r="C53" s="64">
        <v>80111614</v>
      </c>
      <c r="D53" s="52" t="s">
        <v>283</v>
      </c>
      <c r="E53" s="50" t="s">
        <v>56</v>
      </c>
      <c r="F53" s="50" t="s">
        <v>82</v>
      </c>
      <c r="G53" s="50" t="s">
        <v>331</v>
      </c>
      <c r="H53" s="51" t="s">
        <v>59</v>
      </c>
      <c r="I53" s="51" t="s">
        <v>60</v>
      </c>
      <c r="J53" s="51">
        <v>2024</v>
      </c>
      <c r="K53" s="51">
        <v>202</v>
      </c>
      <c r="L53" s="50" t="s">
        <v>59</v>
      </c>
      <c r="M53" s="50" t="s">
        <v>5</v>
      </c>
      <c r="N53" s="52" t="s">
        <v>61</v>
      </c>
      <c r="O53" s="52" t="s">
        <v>71</v>
      </c>
      <c r="P53" s="52" t="s">
        <v>697</v>
      </c>
      <c r="Q53" s="52"/>
      <c r="R53" s="52" t="s">
        <v>64</v>
      </c>
      <c r="S53" s="53" t="s">
        <v>685</v>
      </c>
      <c r="T53" s="53"/>
      <c r="U53" s="52" t="s">
        <v>609</v>
      </c>
      <c r="V53" s="46"/>
      <c r="W53" s="30"/>
      <c r="X53" s="35"/>
      <c r="Y53" s="36"/>
      <c r="Z53" s="36"/>
      <c r="AA53" s="36"/>
      <c r="AB53" s="36"/>
      <c r="AC53" s="36"/>
      <c r="AD53" s="36"/>
      <c r="AE53" s="37" t="s">
        <v>72</v>
      </c>
      <c r="AF53" s="32" t="s">
        <v>73</v>
      </c>
      <c r="AG53" s="30" t="s">
        <v>302</v>
      </c>
      <c r="AH53" s="38"/>
      <c r="AI53" s="38">
        <v>0</v>
      </c>
      <c r="AJ53" s="38">
        <f t="shared" si="4"/>
        <v>0</v>
      </c>
      <c r="AK53" s="38">
        <v>0</v>
      </c>
      <c r="AL53" s="66"/>
      <c r="AM53" s="38">
        <v>0</v>
      </c>
      <c r="AN53" s="38">
        <v>86000000</v>
      </c>
      <c r="AO53" s="38">
        <f t="shared" si="6"/>
        <v>86000000</v>
      </c>
      <c r="AP53" s="38"/>
      <c r="AQ53" s="68">
        <v>0</v>
      </c>
      <c r="AR53" s="66">
        <v>0</v>
      </c>
      <c r="AS53" s="38"/>
      <c r="AT53" s="54">
        <f t="shared" si="7"/>
        <v>0</v>
      </c>
      <c r="AU53" s="65">
        <f t="shared" si="8"/>
        <v>0</v>
      </c>
      <c r="AV53" s="30"/>
      <c r="AW53" s="43"/>
      <c r="AX53" s="32"/>
    </row>
    <row r="54" spans="1:50" ht="85.5" x14ac:dyDescent="0.25">
      <c r="A54" s="47">
        <v>43</v>
      </c>
      <c r="B54" s="47">
        <v>8</v>
      </c>
      <c r="C54" s="64">
        <v>80111614</v>
      </c>
      <c r="D54" s="52" t="s">
        <v>613</v>
      </c>
      <c r="E54" s="50" t="s">
        <v>56</v>
      </c>
      <c r="F54" s="50" t="s">
        <v>82</v>
      </c>
      <c r="G54" s="50" t="s">
        <v>331</v>
      </c>
      <c r="H54" s="51" t="s">
        <v>59</v>
      </c>
      <c r="I54" s="51" t="s">
        <v>60</v>
      </c>
      <c r="J54" s="51">
        <v>2024</v>
      </c>
      <c r="K54" s="51">
        <v>203</v>
      </c>
      <c r="L54" s="50" t="s">
        <v>59</v>
      </c>
      <c r="M54" s="50" t="s">
        <v>5</v>
      </c>
      <c r="N54" s="52" t="s">
        <v>61</v>
      </c>
      <c r="O54" s="52" t="s">
        <v>71</v>
      </c>
      <c r="P54" s="52" t="s">
        <v>696</v>
      </c>
      <c r="Q54" s="52"/>
      <c r="R54" s="52" t="s">
        <v>64</v>
      </c>
      <c r="S54" s="53" t="s">
        <v>685</v>
      </c>
      <c r="T54" s="53"/>
      <c r="U54" s="52" t="s">
        <v>610</v>
      </c>
      <c r="V54" s="46"/>
      <c r="W54" s="30"/>
      <c r="X54" s="35"/>
      <c r="Y54" s="36"/>
      <c r="Z54" s="36"/>
      <c r="AA54" s="36"/>
      <c r="AB54" s="36"/>
      <c r="AC54" s="36"/>
      <c r="AD54" s="36"/>
      <c r="AE54" s="37" t="s">
        <v>72</v>
      </c>
      <c r="AF54" s="32" t="s">
        <v>73</v>
      </c>
      <c r="AG54" s="30" t="s">
        <v>302</v>
      </c>
      <c r="AH54" s="38"/>
      <c r="AI54" s="38">
        <v>0</v>
      </c>
      <c r="AJ54" s="38">
        <f t="shared" si="4"/>
        <v>0</v>
      </c>
      <c r="AK54" s="38">
        <v>0</v>
      </c>
      <c r="AL54" s="66"/>
      <c r="AM54" s="38">
        <v>0</v>
      </c>
      <c r="AN54" s="38">
        <v>86000000</v>
      </c>
      <c r="AO54" s="38">
        <f t="shared" si="6"/>
        <v>86000000</v>
      </c>
      <c r="AP54" s="38"/>
      <c r="AQ54" s="68">
        <v>0</v>
      </c>
      <c r="AR54" s="66">
        <v>0</v>
      </c>
      <c r="AS54" s="38"/>
      <c r="AT54" s="54">
        <f t="shared" si="7"/>
        <v>0</v>
      </c>
      <c r="AU54" s="65">
        <f t="shared" si="8"/>
        <v>0</v>
      </c>
      <c r="AV54" s="30"/>
      <c r="AW54" s="43"/>
      <c r="AX54" s="32"/>
    </row>
    <row r="55" spans="1:50" ht="42.75" x14ac:dyDescent="0.25">
      <c r="A55" s="47">
        <v>46</v>
      </c>
      <c r="B55" s="47">
        <v>11</v>
      </c>
      <c r="C55" s="64">
        <v>81112501</v>
      </c>
      <c r="D55" s="52" t="s">
        <v>379</v>
      </c>
      <c r="E55" s="50" t="s">
        <v>647</v>
      </c>
      <c r="F55" s="50" t="s">
        <v>272</v>
      </c>
      <c r="G55" s="50" t="s">
        <v>384</v>
      </c>
      <c r="H55" s="51" t="s">
        <v>59</v>
      </c>
      <c r="I55" s="51" t="s">
        <v>60</v>
      </c>
      <c r="J55" s="51">
        <v>2024</v>
      </c>
      <c r="K55" s="51">
        <v>88</v>
      </c>
      <c r="L55" s="50" t="s">
        <v>59</v>
      </c>
      <c r="M55" s="50" t="s">
        <v>5</v>
      </c>
      <c r="N55" s="52" t="s">
        <v>385</v>
      </c>
      <c r="O55" s="52" t="s">
        <v>71</v>
      </c>
      <c r="P55" s="52" t="s">
        <v>702</v>
      </c>
      <c r="Q55" s="52"/>
      <c r="R55" s="52" t="s">
        <v>64</v>
      </c>
      <c r="S55" s="53"/>
      <c r="T55" s="53"/>
      <c r="U55" s="52" t="s">
        <v>386</v>
      </c>
      <c r="V55" s="45"/>
      <c r="W55" s="34"/>
      <c r="X55" s="35"/>
      <c r="Y55" s="36"/>
      <c r="Z55" s="36"/>
      <c r="AA55" s="36"/>
      <c r="AB55" s="36"/>
      <c r="AC55" s="36"/>
      <c r="AD55" s="36"/>
      <c r="AE55" s="37" t="s">
        <v>90</v>
      </c>
      <c r="AF55" s="30" t="s">
        <v>267</v>
      </c>
      <c r="AG55" s="30" t="s">
        <v>267</v>
      </c>
      <c r="AH55" s="38"/>
      <c r="AI55" s="38">
        <v>0</v>
      </c>
      <c r="AJ55" s="38">
        <f t="shared" si="4"/>
        <v>0</v>
      </c>
      <c r="AK55" s="38"/>
      <c r="AL55" s="66"/>
      <c r="AM55" s="38"/>
      <c r="AN55" s="38">
        <v>18000000</v>
      </c>
      <c r="AO55" s="38">
        <f t="shared" si="6"/>
        <v>18000000</v>
      </c>
      <c r="AP55" s="38"/>
      <c r="AQ55" s="68">
        <v>0</v>
      </c>
      <c r="AR55" s="66"/>
      <c r="AS55" s="38"/>
      <c r="AT55" s="54">
        <f t="shared" si="7"/>
        <v>0</v>
      </c>
      <c r="AU55" s="65">
        <f t="shared" si="8"/>
        <v>0</v>
      </c>
      <c r="AV55" s="30"/>
      <c r="AW55" s="43"/>
      <c r="AX55" s="32"/>
    </row>
    <row r="56" spans="1:50" ht="99.75" x14ac:dyDescent="0.25">
      <c r="A56" s="47">
        <v>47</v>
      </c>
      <c r="B56" s="47">
        <v>12</v>
      </c>
      <c r="C56" s="64">
        <v>81112101</v>
      </c>
      <c r="D56" s="52" t="s">
        <v>258</v>
      </c>
      <c r="E56" s="50" t="s">
        <v>93</v>
      </c>
      <c r="F56" s="50" t="s">
        <v>119</v>
      </c>
      <c r="G56" s="50" t="s">
        <v>387</v>
      </c>
      <c r="H56" s="51" t="s">
        <v>59</v>
      </c>
      <c r="I56" s="51" t="s">
        <v>60</v>
      </c>
      <c r="J56" s="51">
        <v>2024</v>
      </c>
      <c r="K56" s="51">
        <v>89</v>
      </c>
      <c r="L56" s="50" t="s">
        <v>59</v>
      </c>
      <c r="M56" s="50" t="s">
        <v>5</v>
      </c>
      <c r="N56" s="52" t="s">
        <v>699</v>
      </c>
      <c r="O56" s="52" t="s">
        <v>71</v>
      </c>
      <c r="P56" s="52" t="s">
        <v>706</v>
      </c>
      <c r="Q56" s="52"/>
      <c r="R56" s="52" t="s">
        <v>112</v>
      </c>
      <c r="S56" s="53" t="s">
        <v>701</v>
      </c>
      <c r="T56" s="53"/>
      <c r="U56" s="52" t="s">
        <v>388</v>
      </c>
      <c r="V56" s="45"/>
      <c r="W56" s="132"/>
      <c r="X56" s="35"/>
      <c r="Y56" s="36"/>
      <c r="Z56" s="36"/>
      <c r="AA56" s="36"/>
      <c r="AB56" s="36"/>
      <c r="AC56" s="36"/>
      <c r="AD56" s="36"/>
      <c r="AE56" s="37" t="s">
        <v>90</v>
      </c>
      <c r="AF56" s="30" t="s">
        <v>312</v>
      </c>
      <c r="AG56" s="30" t="s">
        <v>312</v>
      </c>
      <c r="AH56" s="38"/>
      <c r="AI56" s="38">
        <v>0</v>
      </c>
      <c r="AJ56" s="38">
        <f t="shared" si="4"/>
        <v>0</v>
      </c>
      <c r="AK56" s="38"/>
      <c r="AL56" s="66"/>
      <c r="AM56" s="38"/>
      <c r="AN56" s="38">
        <v>26480232</v>
      </c>
      <c r="AO56" s="38">
        <f t="shared" si="6"/>
        <v>26480232</v>
      </c>
      <c r="AP56" s="38"/>
      <c r="AQ56" s="68">
        <v>0</v>
      </c>
      <c r="AR56" s="66"/>
      <c r="AS56" s="38"/>
      <c r="AT56" s="54">
        <f t="shared" si="7"/>
        <v>0</v>
      </c>
      <c r="AU56" s="65">
        <f t="shared" si="8"/>
        <v>0</v>
      </c>
      <c r="AV56" s="30"/>
      <c r="AW56" s="30"/>
      <c r="AX56" s="32"/>
    </row>
    <row r="57" spans="1:50" ht="71.25" x14ac:dyDescent="0.25">
      <c r="A57" s="47">
        <v>48</v>
      </c>
      <c r="B57" s="47">
        <v>13</v>
      </c>
      <c r="C57" s="64" t="s">
        <v>635</v>
      </c>
      <c r="D57" s="52" t="s">
        <v>81</v>
      </c>
      <c r="E57" s="50" t="s">
        <v>389</v>
      </c>
      <c r="F57" s="50" t="s">
        <v>212</v>
      </c>
      <c r="G57" s="50" t="s">
        <v>390</v>
      </c>
      <c r="H57" s="51" t="s">
        <v>59</v>
      </c>
      <c r="I57" s="51" t="s">
        <v>60</v>
      </c>
      <c r="J57" s="51">
        <v>2024</v>
      </c>
      <c r="K57" s="51">
        <v>93</v>
      </c>
      <c r="L57" s="50" t="s">
        <v>59</v>
      </c>
      <c r="M57" s="50" t="s">
        <v>5</v>
      </c>
      <c r="N57" s="52" t="s">
        <v>366</v>
      </c>
      <c r="O57" s="52" t="s">
        <v>71</v>
      </c>
      <c r="P57" s="52" t="s">
        <v>707</v>
      </c>
      <c r="Q57" s="52"/>
      <c r="R57" s="52" t="s">
        <v>64</v>
      </c>
      <c r="S57" s="53"/>
      <c r="T57" s="53"/>
      <c r="U57" s="52" t="s">
        <v>391</v>
      </c>
      <c r="V57" s="45"/>
      <c r="W57" s="44"/>
      <c r="X57" s="35"/>
      <c r="Y57" s="36"/>
      <c r="Z57" s="36"/>
      <c r="AA57" s="36"/>
      <c r="AB57" s="36"/>
      <c r="AC57" s="36"/>
      <c r="AD57" s="36"/>
      <c r="AE57" s="37" t="s">
        <v>90</v>
      </c>
      <c r="AF57" s="30" t="s">
        <v>312</v>
      </c>
      <c r="AG57" s="30" t="s">
        <v>312</v>
      </c>
      <c r="AH57" s="38"/>
      <c r="AI57" s="38">
        <v>0</v>
      </c>
      <c r="AJ57" s="38">
        <f t="shared" si="4"/>
        <v>0</v>
      </c>
      <c r="AK57" s="38"/>
      <c r="AL57" s="66"/>
      <c r="AM57" s="38"/>
      <c r="AN57" s="38">
        <v>37305521</v>
      </c>
      <c r="AO57" s="38">
        <f t="shared" si="6"/>
        <v>37305521</v>
      </c>
      <c r="AP57" s="38"/>
      <c r="AQ57" s="68">
        <v>0</v>
      </c>
      <c r="AR57" s="66"/>
      <c r="AS57" s="38"/>
      <c r="AT57" s="54">
        <f t="shared" si="7"/>
        <v>0</v>
      </c>
      <c r="AU57" s="65">
        <f t="shared" si="8"/>
        <v>0</v>
      </c>
      <c r="AV57" s="30"/>
      <c r="AW57" s="43"/>
      <c r="AX57" s="32"/>
    </row>
    <row r="58" spans="1:50" ht="129" customHeight="1" x14ac:dyDescent="0.25">
      <c r="A58" s="47">
        <v>44</v>
      </c>
      <c r="B58" s="47">
        <v>1</v>
      </c>
      <c r="C58" s="127" t="s">
        <v>348</v>
      </c>
      <c r="D58" s="128" t="s">
        <v>283</v>
      </c>
      <c r="E58" s="129" t="s">
        <v>93</v>
      </c>
      <c r="F58" s="129" t="s">
        <v>107</v>
      </c>
      <c r="G58" s="129" t="s">
        <v>349</v>
      </c>
      <c r="H58" s="130" t="s">
        <v>59</v>
      </c>
      <c r="I58" s="130" t="s">
        <v>60</v>
      </c>
      <c r="J58" s="130">
        <v>2024</v>
      </c>
      <c r="K58" s="130">
        <v>176</v>
      </c>
      <c r="L58" s="129" t="s">
        <v>59</v>
      </c>
      <c r="M58" s="129" t="s">
        <v>5</v>
      </c>
      <c r="N58" s="128" t="s">
        <v>61</v>
      </c>
      <c r="O58" s="128"/>
      <c r="P58" s="128"/>
      <c r="Q58" s="128"/>
      <c r="R58" s="128" t="s">
        <v>64</v>
      </c>
      <c r="S58" s="131" t="s">
        <v>350</v>
      </c>
      <c r="T58" s="131"/>
      <c r="U58" s="128" t="s">
        <v>351</v>
      </c>
      <c r="V58" s="145"/>
      <c r="W58" s="131"/>
      <c r="X58" s="146"/>
      <c r="Y58" s="144"/>
      <c r="Z58" s="144"/>
      <c r="AA58" s="144"/>
      <c r="AB58" s="144"/>
      <c r="AC58" s="144"/>
      <c r="AD58" s="144"/>
      <c r="AE58" s="148" t="s">
        <v>345</v>
      </c>
      <c r="AF58" s="131" t="s">
        <v>312</v>
      </c>
      <c r="AG58" s="131" t="s">
        <v>312</v>
      </c>
      <c r="AH58" s="149"/>
      <c r="AI58" s="149">
        <v>0</v>
      </c>
      <c r="AJ58" s="149">
        <f>AH58+AI58</f>
        <v>0</v>
      </c>
      <c r="AK58" s="149"/>
      <c r="AL58" s="149"/>
      <c r="AM58" s="149"/>
      <c r="AN58" s="149">
        <v>0</v>
      </c>
      <c r="AO58" s="149">
        <v>0</v>
      </c>
      <c r="AP58" s="149"/>
      <c r="AQ58" s="147">
        <v>0</v>
      </c>
      <c r="AR58" s="66"/>
      <c r="AS58" s="38"/>
      <c r="AT58" s="54">
        <f t="shared" si="7"/>
        <v>0</v>
      </c>
      <c r="AU58" s="65">
        <f t="shared" si="8"/>
        <v>0</v>
      </c>
      <c r="AV58" s="30"/>
      <c r="AW58" s="30"/>
      <c r="AX58" s="118" t="s">
        <v>687</v>
      </c>
    </row>
    <row r="59" spans="1:50" ht="142.5" x14ac:dyDescent="0.25">
      <c r="A59" s="47">
        <v>50</v>
      </c>
      <c r="B59" s="47">
        <v>2</v>
      </c>
      <c r="C59" s="127"/>
      <c r="D59" s="128"/>
      <c r="E59" s="129" t="s">
        <v>93</v>
      </c>
      <c r="F59" s="129" t="s">
        <v>369</v>
      </c>
      <c r="G59" s="129" t="s">
        <v>442</v>
      </c>
      <c r="H59" s="130" t="s">
        <v>59</v>
      </c>
      <c r="I59" s="130" t="s">
        <v>60</v>
      </c>
      <c r="J59" s="130">
        <v>2024</v>
      </c>
      <c r="K59" s="130">
        <v>116</v>
      </c>
      <c r="L59" s="129" t="s">
        <v>59</v>
      </c>
      <c r="M59" s="129" t="s">
        <v>5</v>
      </c>
      <c r="N59" s="128" t="s">
        <v>195</v>
      </c>
      <c r="O59" s="128" t="s">
        <v>71</v>
      </c>
      <c r="P59" s="128"/>
      <c r="Q59" s="128"/>
      <c r="R59" s="128" t="s">
        <v>64</v>
      </c>
      <c r="S59" s="131" t="s">
        <v>443</v>
      </c>
      <c r="T59" s="131"/>
      <c r="U59" s="128" t="s">
        <v>408</v>
      </c>
      <c r="V59" s="145"/>
      <c r="W59" s="131"/>
      <c r="X59" s="146"/>
      <c r="Y59" s="144"/>
      <c r="Z59" s="144"/>
      <c r="AA59" s="144"/>
      <c r="AB59" s="144"/>
      <c r="AC59" s="144"/>
      <c r="AD59" s="144"/>
      <c r="AE59" s="148" t="s">
        <v>72</v>
      </c>
      <c r="AF59" s="131" t="s">
        <v>135</v>
      </c>
      <c r="AG59" s="131" t="s">
        <v>444</v>
      </c>
      <c r="AH59" s="149"/>
      <c r="AI59" s="149">
        <v>0</v>
      </c>
      <c r="AJ59" s="149">
        <f t="shared" si="4"/>
        <v>0</v>
      </c>
      <c r="AK59" s="149"/>
      <c r="AL59" s="149"/>
      <c r="AM59" s="149"/>
      <c r="AN59" s="149">
        <v>0</v>
      </c>
      <c r="AO59" s="149">
        <f>IF(L59="Si",(AN59-AH59),0)</f>
        <v>0</v>
      </c>
      <c r="AP59" s="149"/>
      <c r="AQ59" s="147">
        <v>0</v>
      </c>
      <c r="AR59" s="66"/>
      <c r="AS59" s="38"/>
      <c r="AT59" s="54">
        <f t="shared" si="7"/>
        <v>0</v>
      </c>
      <c r="AU59" s="65">
        <f t="shared" si="8"/>
        <v>0</v>
      </c>
      <c r="AV59" s="30"/>
      <c r="AW59" s="30" t="s">
        <v>445</v>
      </c>
      <c r="AX59" s="32"/>
    </row>
    <row r="60" spans="1:50" ht="99.75" x14ac:dyDescent="0.25">
      <c r="A60" s="47">
        <v>51</v>
      </c>
      <c r="B60" s="47">
        <v>3</v>
      </c>
      <c r="C60" s="127"/>
      <c r="D60" s="128"/>
      <c r="E60" s="129" t="s">
        <v>93</v>
      </c>
      <c r="F60" s="129" t="s">
        <v>406</v>
      </c>
      <c r="G60" s="129" t="s">
        <v>446</v>
      </c>
      <c r="H60" s="130" t="s">
        <v>59</v>
      </c>
      <c r="I60" s="130" t="s">
        <v>60</v>
      </c>
      <c r="J60" s="130">
        <v>2024</v>
      </c>
      <c r="K60" s="130">
        <v>96</v>
      </c>
      <c r="L60" s="129" t="s">
        <v>59</v>
      </c>
      <c r="M60" s="129" t="s">
        <v>5</v>
      </c>
      <c r="N60" s="128" t="s">
        <v>447</v>
      </c>
      <c r="O60" s="128" t="s">
        <v>71</v>
      </c>
      <c r="P60" s="128" t="s">
        <v>406</v>
      </c>
      <c r="Q60" s="128"/>
      <c r="R60" s="128" t="s">
        <v>64</v>
      </c>
      <c r="S60" s="131" t="s">
        <v>448</v>
      </c>
      <c r="T60" s="131"/>
      <c r="U60" s="128" t="s">
        <v>405</v>
      </c>
      <c r="V60" s="150"/>
      <c r="W60" s="131"/>
      <c r="X60" s="146"/>
      <c r="Y60" s="144"/>
      <c r="Z60" s="144"/>
      <c r="AA60" s="144"/>
      <c r="AB60" s="144"/>
      <c r="AC60" s="144"/>
      <c r="AD60" s="144"/>
      <c r="AE60" s="148" t="s">
        <v>90</v>
      </c>
      <c r="AF60" s="131" t="s">
        <v>104</v>
      </c>
      <c r="AG60" s="131" t="s">
        <v>104</v>
      </c>
      <c r="AH60" s="149"/>
      <c r="AI60" s="149">
        <v>0</v>
      </c>
      <c r="AJ60" s="149">
        <f t="shared" si="4"/>
        <v>0</v>
      </c>
      <c r="AK60" s="149"/>
      <c r="AL60" s="149"/>
      <c r="AM60" s="149"/>
      <c r="AN60" s="149">
        <v>0</v>
      </c>
      <c r="AO60" s="149">
        <f>IF(L60="Si",(AN60-AH60),0)</f>
        <v>0</v>
      </c>
      <c r="AP60" s="149"/>
      <c r="AQ60" s="147">
        <v>0</v>
      </c>
      <c r="AR60" s="66"/>
      <c r="AS60" s="38"/>
      <c r="AT60" s="54">
        <f t="shared" si="7"/>
        <v>0</v>
      </c>
      <c r="AU60" s="65">
        <f t="shared" si="8"/>
        <v>0</v>
      </c>
      <c r="AV60" s="30"/>
      <c r="AW60" s="30" t="s">
        <v>449</v>
      </c>
      <c r="AX60" s="32"/>
    </row>
    <row r="61" spans="1:50" ht="129" customHeight="1" x14ac:dyDescent="0.25">
      <c r="A61" s="47">
        <v>52</v>
      </c>
      <c r="B61" s="47">
        <v>4</v>
      </c>
      <c r="C61" s="127" t="s">
        <v>348</v>
      </c>
      <c r="D61" s="128" t="s">
        <v>379</v>
      </c>
      <c r="E61" s="129" t="s">
        <v>93</v>
      </c>
      <c r="F61" s="129" t="s">
        <v>107</v>
      </c>
      <c r="G61" s="129" t="s">
        <v>352</v>
      </c>
      <c r="H61" s="130" t="s">
        <v>59</v>
      </c>
      <c r="I61" s="130" t="s">
        <v>60</v>
      </c>
      <c r="J61" s="130">
        <v>2024</v>
      </c>
      <c r="K61" s="130">
        <v>103</v>
      </c>
      <c r="L61" s="129" t="s">
        <v>59</v>
      </c>
      <c r="M61" s="129" t="s">
        <v>5</v>
      </c>
      <c r="N61" s="128" t="s">
        <v>61</v>
      </c>
      <c r="O61" s="128" t="s">
        <v>450</v>
      </c>
      <c r="P61" s="128" t="s">
        <v>107</v>
      </c>
      <c r="Q61" s="128"/>
      <c r="R61" s="128" t="s">
        <v>64</v>
      </c>
      <c r="S61" s="131" t="s">
        <v>353</v>
      </c>
      <c r="T61" s="131"/>
      <c r="U61" s="128" t="s">
        <v>407</v>
      </c>
      <c r="V61" s="145"/>
      <c r="W61" s="131"/>
      <c r="X61" s="146"/>
      <c r="Y61" s="144"/>
      <c r="Z61" s="144"/>
      <c r="AA61" s="144"/>
      <c r="AB61" s="144"/>
      <c r="AC61" s="144"/>
      <c r="AD61" s="144"/>
      <c r="AE61" s="148" t="s">
        <v>90</v>
      </c>
      <c r="AF61" s="131" t="s">
        <v>312</v>
      </c>
      <c r="AG61" s="131" t="s">
        <v>312</v>
      </c>
      <c r="AH61" s="149"/>
      <c r="AI61" s="149">
        <v>0</v>
      </c>
      <c r="AJ61" s="149">
        <f>AH61+AI61</f>
        <v>0</v>
      </c>
      <c r="AK61" s="149"/>
      <c r="AL61" s="149"/>
      <c r="AM61" s="149"/>
      <c r="AN61" s="149">
        <v>0</v>
      </c>
      <c r="AO61" s="149">
        <f>IF(L61="Si",(AN61-AH61),0)</f>
        <v>0</v>
      </c>
      <c r="AP61" s="149"/>
      <c r="AQ61" s="147">
        <v>0</v>
      </c>
      <c r="AR61" s="66"/>
      <c r="AS61" s="38"/>
      <c r="AT61" s="54">
        <f t="shared" si="7"/>
        <v>0</v>
      </c>
      <c r="AU61" s="65">
        <f t="shared" si="8"/>
        <v>0</v>
      </c>
      <c r="AV61" s="30"/>
      <c r="AW61" s="30" t="s">
        <v>445</v>
      </c>
      <c r="AX61" s="32"/>
    </row>
    <row r="62" spans="1:50" ht="99.75" x14ac:dyDescent="0.25">
      <c r="A62" s="47">
        <v>53</v>
      </c>
      <c r="B62" s="47">
        <v>5</v>
      </c>
      <c r="C62" s="127">
        <v>80111614</v>
      </c>
      <c r="D62" s="128" t="s">
        <v>283</v>
      </c>
      <c r="E62" s="129" t="s">
        <v>56</v>
      </c>
      <c r="F62" s="129" t="s">
        <v>82</v>
      </c>
      <c r="G62" s="129" t="s">
        <v>331</v>
      </c>
      <c r="H62" s="130" t="s">
        <v>59</v>
      </c>
      <c r="I62" s="130" t="s">
        <v>60</v>
      </c>
      <c r="J62" s="130">
        <v>2024</v>
      </c>
      <c r="K62" s="130">
        <v>155</v>
      </c>
      <c r="L62" s="129" t="s">
        <v>59</v>
      </c>
      <c r="M62" s="129" t="s">
        <v>451</v>
      </c>
      <c r="N62" s="128" t="s">
        <v>61</v>
      </c>
      <c r="O62" s="128" t="s">
        <v>317</v>
      </c>
      <c r="P62" s="128"/>
      <c r="Q62" s="128"/>
      <c r="R62" s="128" t="s">
        <v>64</v>
      </c>
      <c r="S62" s="131" t="s">
        <v>452</v>
      </c>
      <c r="T62" s="131"/>
      <c r="U62" s="128" t="s">
        <v>333</v>
      </c>
      <c r="V62" s="150"/>
      <c r="W62" s="131"/>
      <c r="X62" s="146"/>
      <c r="Y62" s="144"/>
      <c r="Z62" s="144"/>
      <c r="AA62" s="144"/>
      <c r="AB62" s="144"/>
      <c r="AC62" s="144"/>
      <c r="AD62" s="144"/>
      <c r="AE62" s="148" t="s">
        <v>72</v>
      </c>
      <c r="AF62" s="131" t="s">
        <v>73</v>
      </c>
      <c r="AG62" s="131" t="s">
        <v>336</v>
      </c>
      <c r="AH62" s="149"/>
      <c r="AI62" s="149">
        <v>0</v>
      </c>
      <c r="AJ62" s="149">
        <f>AH62+AI62</f>
        <v>0</v>
      </c>
      <c r="AK62" s="149"/>
      <c r="AL62" s="149"/>
      <c r="AM62" s="149"/>
      <c r="AN62" s="149">
        <v>0</v>
      </c>
      <c r="AO62" s="149">
        <f>IF(L62="Si",(AN62-AH62),0)</f>
        <v>0</v>
      </c>
      <c r="AP62" s="149"/>
      <c r="AQ62" s="147">
        <v>0</v>
      </c>
      <c r="AR62" s="66"/>
      <c r="AS62" s="38"/>
      <c r="AT62" s="54">
        <f t="shared" si="7"/>
        <v>0</v>
      </c>
      <c r="AU62" s="65">
        <f t="shared" si="8"/>
        <v>0</v>
      </c>
      <c r="AV62" s="30"/>
      <c r="AW62" s="30" t="s">
        <v>453</v>
      </c>
      <c r="AX62" s="118" t="s">
        <v>454</v>
      </c>
    </row>
    <row r="63" spans="1:50" ht="15" x14ac:dyDescent="0.25">
      <c r="A63" s="47"/>
      <c r="B63" s="47"/>
      <c r="C63" s="61"/>
      <c r="D63" s="32"/>
      <c r="E63" s="29"/>
      <c r="F63" s="29"/>
      <c r="G63" s="29"/>
      <c r="H63" s="41"/>
      <c r="I63" s="41"/>
      <c r="J63" s="41"/>
      <c r="K63" s="41"/>
      <c r="L63" s="29"/>
      <c r="M63" s="29"/>
      <c r="N63" s="32"/>
      <c r="O63" s="32"/>
      <c r="P63" s="32"/>
      <c r="Q63" s="32"/>
      <c r="R63" s="32"/>
      <c r="S63" s="30"/>
      <c r="T63" s="30"/>
      <c r="U63" s="32"/>
      <c r="V63" s="46"/>
      <c r="W63" s="30"/>
      <c r="X63" s="35"/>
      <c r="Y63" s="36"/>
      <c r="Z63" s="36"/>
      <c r="AA63" s="36"/>
      <c r="AB63" s="36"/>
      <c r="AC63" s="36"/>
      <c r="AD63" s="36"/>
      <c r="AE63" s="37"/>
      <c r="AF63" s="30"/>
      <c r="AG63" s="30"/>
      <c r="AH63" s="38"/>
      <c r="AI63" s="38"/>
      <c r="AJ63" s="38"/>
      <c r="AK63" s="38"/>
      <c r="AL63" s="38"/>
      <c r="AM63" s="38"/>
      <c r="AN63" s="38"/>
      <c r="AO63" s="38"/>
      <c r="AP63" s="38"/>
      <c r="AQ63" s="68"/>
      <c r="AR63" s="66"/>
      <c r="AS63" s="38"/>
      <c r="AT63" s="39"/>
      <c r="AU63" s="38"/>
      <c r="AV63" s="30"/>
      <c r="AW63" s="43"/>
      <c r="AX63" s="32"/>
    </row>
    <row r="64" spans="1:50" x14ac:dyDescent="0.25">
      <c r="A64" s="47"/>
      <c r="B64" s="47"/>
      <c r="C64" s="61"/>
      <c r="D64" s="32"/>
      <c r="E64" s="29"/>
      <c r="F64" s="29"/>
      <c r="G64" s="29"/>
      <c r="H64" s="41"/>
      <c r="I64" s="41"/>
      <c r="J64" s="41"/>
      <c r="K64" s="41"/>
      <c r="L64" s="29"/>
      <c r="M64" s="29"/>
      <c r="N64" s="32"/>
      <c r="O64" s="32"/>
      <c r="P64" s="32"/>
      <c r="Q64" s="32"/>
      <c r="R64" s="32"/>
      <c r="S64" s="30"/>
      <c r="T64" s="30"/>
      <c r="U64" s="32"/>
      <c r="V64" s="45"/>
      <c r="W64" s="30"/>
      <c r="X64" s="35"/>
      <c r="Y64" s="36"/>
      <c r="Z64" s="36"/>
      <c r="AA64" s="36"/>
      <c r="AB64" s="36"/>
      <c r="AC64" s="36"/>
      <c r="AD64" s="36"/>
      <c r="AE64" s="37"/>
      <c r="AF64" s="32"/>
      <c r="AG64" s="32"/>
      <c r="AH64" s="38"/>
      <c r="AI64" s="38"/>
      <c r="AJ64" s="38"/>
      <c r="AK64" s="38"/>
      <c r="AL64" s="38"/>
      <c r="AM64" s="38"/>
      <c r="AN64" s="38"/>
      <c r="AO64" s="38"/>
      <c r="AP64" s="38"/>
      <c r="AQ64" s="68"/>
      <c r="AR64" s="66"/>
      <c r="AS64" s="38"/>
      <c r="AT64" s="39"/>
      <c r="AU64" s="38"/>
      <c r="AV64" s="30"/>
      <c r="AW64" s="30"/>
      <c r="AX64" s="32"/>
    </row>
    <row r="65" spans="1:50" ht="15" x14ac:dyDescent="0.25">
      <c r="A65" s="47"/>
      <c r="B65" s="47"/>
      <c r="C65" s="61"/>
      <c r="D65" s="32"/>
      <c r="E65" s="29"/>
      <c r="F65" s="29"/>
      <c r="G65" s="29"/>
      <c r="H65" s="41"/>
      <c r="I65" s="41"/>
      <c r="J65" s="41"/>
      <c r="K65" s="41"/>
      <c r="L65" s="29"/>
      <c r="M65" s="29"/>
      <c r="N65" s="32"/>
      <c r="O65" s="32"/>
      <c r="P65" s="32"/>
      <c r="Q65" s="32"/>
      <c r="R65" s="32"/>
      <c r="S65" s="30"/>
      <c r="T65" s="30"/>
      <c r="U65" s="32"/>
      <c r="V65" s="45"/>
      <c r="W65" s="30"/>
      <c r="X65" s="35"/>
      <c r="Y65" s="36"/>
      <c r="Z65" s="36"/>
      <c r="AA65" s="36"/>
      <c r="AB65" s="36"/>
      <c r="AC65" s="36"/>
      <c r="AD65" s="36"/>
      <c r="AE65" s="37"/>
      <c r="AF65" s="30"/>
      <c r="AG65" s="30"/>
      <c r="AH65" s="38"/>
      <c r="AI65" s="38"/>
      <c r="AJ65" s="38"/>
      <c r="AK65" s="38"/>
      <c r="AL65" s="38"/>
      <c r="AM65" s="38"/>
      <c r="AN65" s="38"/>
      <c r="AO65" s="38"/>
      <c r="AP65" s="38"/>
      <c r="AQ65" s="68"/>
      <c r="AR65" s="66"/>
      <c r="AS65" s="38"/>
      <c r="AT65" s="39"/>
      <c r="AU65" s="38"/>
      <c r="AV65" s="30"/>
      <c r="AW65" s="43"/>
      <c r="AX65" s="32"/>
    </row>
    <row r="66" spans="1:50" x14ac:dyDescent="0.25">
      <c r="A66" s="47"/>
      <c r="B66" s="47"/>
      <c r="C66" s="61"/>
      <c r="D66" s="32"/>
      <c r="E66" s="29"/>
      <c r="F66" s="29"/>
      <c r="G66" s="29"/>
      <c r="H66" s="41"/>
      <c r="I66" s="41"/>
      <c r="J66" s="41"/>
      <c r="K66" s="41"/>
      <c r="L66" s="29"/>
      <c r="M66" s="29"/>
      <c r="N66" s="32"/>
      <c r="O66" s="32"/>
      <c r="P66" s="32"/>
      <c r="Q66" s="32"/>
      <c r="R66" s="32"/>
      <c r="S66" s="30"/>
      <c r="T66" s="30"/>
      <c r="U66" s="32"/>
      <c r="V66" s="45"/>
      <c r="W66" s="44"/>
      <c r="X66" s="35"/>
      <c r="Y66" s="36"/>
      <c r="Z66" s="36"/>
      <c r="AA66" s="36"/>
      <c r="AB66" s="36"/>
      <c r="AC66" s="36"/>
      <c r="AD66" s="36"/>
      <c r="AE66" s="37"/>
      <c r="AF66" s="30"/>
      <c r="AG66" s="30"/>
      <c r="AH66" s="38"/>
      <c r="AI66" s="38"/>
      <c r="AJ66" s="38"/>
      <c r="AK66" s="38"/>
      <c r="AL66" s="38"/>
      <c r="AM66" s="38"/>
      <c r="AN66" s="38"/>
      <c r="AO66" s="38"/>
      <c r="AP66" s="38"/>
      <c r="AQ66" s="68"/>
      <c r="AR66" s="66"/>
      <c r="AS66" s="38"/>
      <c r="AT66" s="39"/>
      <c r="AU66" s="38"/>
      <c r="AV66" s="30"/>
      <c r="AW66" s="30"/>
      <c r="AX66" s="32"/>
    </row>
    <row r="67" spans="1:50" ht="15" x14ac:dyDescent="0.25">
      <c r="A67" s="47"/>
      <c r="B67" s="47"/>
      <c r="C67" s="61"/>
      <c r="D67" s="32"/>
      <c r="E67" s="29"/>
      <c r="F67" s="29"/>
      <c r="G67" s="29"/>
      <c r="H67" s="41"/>
      <c r="I67" s="41"/>
      <c r="J67" s="41"/>
      <c r="K67" s="41"/>
      <c r="L67" s="29"/>
      <c r="M67" s="29"/>
      <c r="N67" s="32"/>
      <c r="O67" s="32"/>
      <c r="P67" s="32"/>
      <c r="Q67" s="32"/>
      <c r="R67" s="32"/>
      <c r="S67" s="30"/>
      <c r="T67" s="30"/>
      <c r="U67" s="32"/>
      <c r="V67" s="45"/>
      <c r="W67" s="44"/>
      <c r="X67" s="35"/>
      <c r="Y67" s="36"/>
      <c r="Z67" s="36"/>
      <c r="AA67" s="36"/>
      <c r="AB67" s="36"/>
      <c r="AC67" s="36"/>
      <c r="AD67" s="36"/>
      <c r="AE67" s="37"/>
      <c r="AF67" s="30"/>
      <c r="AG67" s="30"/>
      <c r="AH67" s="38"/>
      <c r="AI67" s="38"/>
      <c r="AJ67" s="38"/>
      <c r="AK67" s="38"/>
      <c r="AL67" s="38"/>
      <c r="AM67" s="38"/>
      <c r="AN67" s="38"/>
      <c r="AO67" s="38"/>
      <c r="AP67" s="38"/>
      <c r="AQ67" s="68"/>
      <c r="AR67" s="66"/>
      <c r="AS67" s="38"/>
      <c r="AT67" s="39"/>
      <c r="AU67" s="38"/>
      <c r="AV67" s="30"/>
      <c r="AW67" s="43"/>
      <c r="AX67" s="32"/>
    </row>
    <row r="68" spans="1:50" x14ac:dyDescent="0.25">
      <c r="A68" s="47"/>
      <c r="B68" s="47"/>
      <c r="C68" s="61"/>
      <c r="D68" s="32"/>
      <c r="E68" s="29"/>
      <c r="F68" s="29"/>
      <c r="G68" s="29"/>
      <c r="H68" s="41"/>
      <c r="I68" s="41"/>
      <c r="J68" s="41"/>
      <c r="K68" s="41"/>
      <c r="L68" s="29"/>
      <c r="M68" s="29"/>
      <c r="N68" s="32"/>
      <c r="O68" s="32"/>
      <c r="P68" s="32"/>
      <c r="Q68" s="32"/>
      <c r="R68" s="32"/>
      <c r="S68" s="30"/>
      <c r="T68" s="30"/>
      <c r="U68" s="32"/>
      <c r="V68" s="57"/>
      <c r="W68" s="34"/>
      <c r="X68" s="35"/>
      <c r="Y68" s="36"/>
      <c r="Z68" s="36"/>
      <c r="AA68" s="36"/>
      <c r="AB68" s="36"/>
      <c r="AC68" s="36"/>
      <c r="AD68" s="36"/>
      <c r="AE68" s="37"/>
      <c r="AF68" s="30"/>
      <c r="AG68" s="30"/>
      <c r="AH68" s="38"/>
      <c r="AI68" s="38"/>
      <c r="AJ68" s="38"/>
      <c r="AK68" s="38"/>
      <c r="AL68" s="38"/>
      <c r="AM68" s="38"/>
      <c r="AN68" s="38"/>
      <c r="AO68" s="38"/>
      <c r="AP68" s="38"/>
      <c r="AQ68" s="68"/>
      <c r="AR68" s="66"/>
      <c r="AS68" s="38"/>
      <c r="AT68" s="39"/>
      <c r="AU68" s="38"/>
      <c r="AV68" s="30"/>
      <c r="AW68" s="30"/>
      <c r="AX68" s="32"/>
    </row>
    <row r="69" spans="1:50" x14ac:dyDescent="0.25">
      <c r="AR69" s="67"/>
    </row>
  </sheetData>
  <hyperlinks>
    <hyperlink ref="AW25" r:id="rId1" xr:uid="{053BF723-45DB-4A5C-9E91-ADF77075C861}"/>
    <hyperlink ref="AW13" r:id="rId2" xr:uid="{A7A8D43F-2EA2-43D0-B81A-F1F774650CB7}"/>
    <hyperlink ref="AW26" r:id="rId3" display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xr:uid="{6BA47A0D-6C06-46A9-B5C0-CD917412477F}"/>
    <hyperlink ref="AW12" r:id="rId4" xr:uid="{9758C07D-D888-49A7-957E-062A1D457BF8}"/>
    <hyperlink ref="AW14" r:id="rId5" display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xr:uid="{24FCE996-EF4F-41F3-AE6A-6482CC011A84}"/>
    <hyperlink ref="AW28" r:id="rId6" display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xr:uid="{AEE40DF7-8FBA-48FB-9981-D34568202EE5}"/>
    <hyperlink ref="AW16" r:id="rId7" display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xr:uid="{4A8B840D-C446-4E70-8034-8E3EFE97474F}"/>
    <hyperlink ref="AW15" r:id="rId8" display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xr:uid="{BBE11957-45FB-4C75-8A18-B956EBF3D516}"/>
    <hyperlink ref="AW10" r:id="rId9" display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xr:uid="{6CD53DB8-7B08-401B-94F3-FAB725AFBC58}"/>
    <hyperlink ref="AW17" r:id="rId10" display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xr:uid="{5D34670D-EE19-4FE0-B6EF-A84D3FA0395C}"/>
    <hyperlink ref="AW18" r:id="rId11" display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xr:uid="{94310143-079F-44CF-A520-49BEF915FB47}"/>
    <hyperlink ref="AW19" r:id="rId12" display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xr:uid="{090FDEB1-7B11-4D9C-B469-78A29911E213}"/>
    <hyperlink ref="AW20" r:id="rId13" display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xr:uid="{B3C10518-D09A-4C53-A51D-41DE7A0FB8D7}"/>
    <hyperlink ref="AW21" r:id="rId14" display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xr:uid="{456E3523-6D8F-4344-9983-D756CDA75683}"/>
    <hyperlink ref="AW22" r:id="rId15" display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xr:uid="{19FFD91D-8BF8-4B9D-AD86-7B0A72C1C6DC}"/>
    <hyperlink ref="AW45" r:id="rId16" display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xr:uid="{333FEEB5-47B5-45A2-ABDC-CA90C7D0EDE1}"/>
    <hyperlink ref="AW8" r:id="rId17" display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xr:uid="{88EB025C-9AC6-4C65-B932-425C385888BD}"/>
    <hyperlink ref="AW46" r:id="rId18" display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xr:uid="{D7C4950F-77B7-4667-9C53-8B4F9FC03728}"/>
    <hyperlink ref="AW11" r:id="rId19" xr:uid="{A6CC5485-6427-4F53-8004-016C712F6CDE}"/>
    <hyperlink ref="AW23" r:id="rId20" display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xr:uid="{24EA5090-6E32-4E37-8F3E-767E1BB4BDD3}"/>
    <hyperlink ref="AW9" r:id="rId21" display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xr:uid="{F8E9E2E2-2805-4CD0-BE70-CF8D738EB815}"/>
    <hyperlink ref="AW29" r:id="rId22" display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xr:uid="{9CA309E3-AFE9-44A2-8FA1-47F761EF7037}"/>
    <hyperlink ref="AW30" r:id="rId23" xr:uid="{06DBEBEC-EA80-4A16-BFB9-026A4512B147}"/>
    <hyperlink ref="AW31" r:id="rId24" display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xr:uid="{6DB8CE4A-39D5-4435-8B2D-CAB46F46C183}"/>
    <hyperlink ref="AW32" r:id="rId25" display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xr:uid="{B2B010B3-3483-49F7-8042-65BB667938C2}"/>
    <hyperlink ref="AW27" r:id="rId26" xr:uid="{861D8185-A1C9-460A-98AC-C9F872E19BC7}"/>
    <hyperlink ref="AW33" r:id="rId27" xr:uid="{1DE786B9-D8F8-4082-9C3D-C9A7A035D90E}"/>
    <hyperlink ref="AW43" r:id="rId28" xr:uid="{2EBD079B-2A6E-412A-8B21-4BB3AF342ECB}"/>
    <hyperlink ref="AW44" r:id="rId29" display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xr:uid="{81EB91DF-C78E-4D08-9228-392E804B5020}"/>
    <hyperlink ref="AW34" r:id="rId30" display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xr:uid="{24A28025-847E-40AA-BC67-1F7EE185B3D0}"/>
    <hyperlink ref="AW35" r:id="rId31" display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xr:uid="{407F19E9-479C-4370-B289-62252214C90B}"/>
    <hyperlink ref="AW36" r:id="rId32" xr:uid="{5C522795-6747-4203-B3B4-9968E133DA1D}"/>
    <hyperlink ref="AW37" r:id="rId33" display="https://community.secop.gov.co/STS/users/issue.aspx?wa=wsignin1.0&amp;wtrealm=https%3a%2f%2fwww.secop.gov.co%2fCO1ContractsManagement&amp;wctx=rm%3d0%26id%3dpassive%26ru%3d%252fCO1ContractsManagement%252fTendering%252fProcurementContractEdit%252fView%253fdocUniqueIdentifier%253dCO1.PCCNTR.6474022%2526awardUniqueIdentifier%253d%2526buyerDossierUniqueIdentifier%253dCO1.BDOS.6312453%2526id%253d3730492&amp;wct=2024-07-16T16%3a12%3a14Z" xr:uid="{4A521AED-1661-4B28-97A7-857F2C7E1F9D}"/>
    <hyperlink ref="AW38" r:id="rId34" xr:uid="{2606D153-B044-4C3D-8A01-AEF857CFF9EB}"/>
    <hyperlink ref="AW48" r:id="rId35" display="https://www.secop.gov.co/CO1BusinessLine/Tendering/BuyerWorkArea/Index?docUniqueIdentifier=CO1.BDOS.6512542&amp;prevCtxUrl=https%3a%2f%2fwww.secop.gov.co%2fCO1BusinessLine%2fTendering%2fBuyerDossierWorkspace%2fIndex%3fcreateDateFrom%3d09%2f02%2f2024+20%3a43%3a48%26createDateTo%3d09%2f08%2f2024+20%3a43%3a48%26filteringState%3d2%26sortingState%3dLastModifiedDESC%26showAdvancedSearch%3dFalse%26showAdvancedSearchFields%3dFalse%26folderCode%3dALL%26selectedDossier%3dCO1.BDOS.6512542%26selectedRequest%3dCO1.REQ.6637958%26&amp;prevCtxLbl=Procesos+de+la+Entidad+Estatal" xr:uid="{03734DFD-825E-4D8E-9F7C-7A83DE759CAF}"/>
    <hyperlink ref="AW39" r:id="rId36" display="https://www.secop.gov.co/CO1ContractsManagement/Tendering/ProcurementContractEdit/View?docUniqueIdentifier=CO1.PCCNTR.6583413&amp;prevCtxUrl=https%3a%2f%2fwww.secop.gov.co%3a443%2fCO1ContractsManagement%2fTendering%2fProcurementContractManagement%2fIndex&amp;prevCtxLbl=Contratos+" xr:uid="{4AFB6701-D374-46DD-ACB7-DE8C22958AEB}"/>
    <hyperlink ref="AW40" r:id="rId37" display="https://www.secop.gov.co/CO1ContractsManagement/Tendering/ProcurementContractEdit/Update?ProfileName=CCE-11-Procedimiento_Publicidad&amp;PPI=CO1.PPI.31157857&amp;DocUniqueName=ContratoDeCompra&amp;DocTypeName=NextWay.Entities.Marketplace.Tendering.ProcurementContract&amp;ProfileVersion=12&amp;DocUniqueIdentifier=CO1.PCCNTR.6795741&amp;prevCtxUrl=https%3a%2f%2fwww.secop.gov.co%3a443%2fCO1ContractsManagement%2fTendering%2fProcurementContractManagement%2fIndex&amp;prevCtxLbl=Contratos+" xr:uid="{8B06FA72-BAA6-41B8-8F32-6478150948C3}"/>
    <hyperlink ref="AW41" r:id="rId38" display="https://www.secop.gov.co/CO1ContractsManagement/Tendering/ProcurementContractEdit/Update?ProfileName=CCE-11-Procedimiento_Publicidad&amp;PPI=CO1.PPI.34524333&amp;DocUniqueName=ContratoDeCompra&amp;DocTypeName=NextWay.Entities.Marketplace.Tendering.ProcurementContract&amp;ProfileVersion=12&amp;DocUniqueIdentifier=CO1.PCCNTR.6809307&amp;prevCtxUrl=https%3a%2f%2fwww.secop.gov.co%3a443%2fCO1ContractsManagement%2fTendering%2fProcurementContractManagement%2fIndex&amp;prevCtxLbl=Contratos+" xr:uid="{5CFA59C3-502E-4B33-A132-6C446F691631}"/>
    <hyperlink ref="AW42" r:id="rId39" display="https://www.secop.gov.co/CO1ContractsManagement/Tendering/ProcurementContractEdit/View?docUniqueIdentifier=CO1.PCCNTR.6801344&amp;prevCtxUrl=https%3a%2f%2fwww.secop.gov.co%3a443%2fCO1ContractsManagement%2fTendering%2fProcurementContractManagement%2fIndex&amp;prevCtxLbl=Contratos+" xr:uid="{BEE66201-78FB-43CE-BF8B-E38FE476D1A7}"/>
  </hyperlinks>
  <pageMargins left="0.23622047244094491" right="0.23622047244094491" top="0.74803149606299213" bottom="0.74803149606299213" header="0.31496062992125984" footer="0.31496062992125984"/>
  <pageSetup orientation="landscape" horizontalDpi="1200" verticalDpi="1200" r:id="rId40"/>
  <legacyDrawing r:id="rId4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69B2-2798-4520-B278-01FD6EEF2E51}">
  <dimension ref="A2:L19"/>
  <sheetViews>
    <sheetView topLeftCell="A5" workbookViewId="0">
      <selection activeCell="H14" sqref="H14"/>
    </sheetView>
  </sheetViews>
  <sheetFormatPr baseColWidth="10" defaultColWidth="11.42578125" defaultRowHeight="15" x14ac:dyDescent="0.25"/>
  <cols>
    <col min="1" max="1" width="11.42578125" style="3"/>
    <col min="2" max="7" width="11.42578125" style="1"/>
    <col min="8" max="8" width="17.5703125" style="1" customWidth="1"/>
    <col min="9" max="10" width="28.28515625" style="1" customWidth="1"/>
    <col min="11" max="12" width="20.28515625" style="1" customWidth="1"/>
    <col min="13" max="16384" width="11.42578125" style="1"/>
  </cols>
  <sheetData>
    <row r="2" spans="1:12" ht="120" x14ac:dyDescent="0.25">
      <c r="B2" s="28" t="s">
        <v>13</v>
      </c>
      <c r="C2" s="28" t="s">
        <v>14</v>
      </c>
      <c r="D2" s="28" t="s">
        <v>15</v>
      </c>
      <c r="E2" s="28" t="s">
        <v>25</v>
      </c>
      <c r="F2" s="28" t="s">
        <v>26</v>
      </c>
      <c r="G2" s="28" t="s">
        <v>29</v>
      </c>
      <c r="H2" s="28" t="s">
        <v>38</v>
      </c>
      <c r="I2" s="28" t="s">
        <v>50</v>
      </c>
      <c r="J2" s="28" t="s">
        <v>395</v>
      </c>
      <c r="K2" s="28" t="s">
        <v>771</v>
      </c>
      <c r="L2" s="28" t="s">
        <v>55</v>
      </c>
    </row>
    <row r="3" spans="1:12" ht="57" x14ac:dyDescent="0.25">
      <c r="B3" s="29" t="s">
        <v>56</v>
      </c>
      <c r="C3" s="29" t="s">
        <v>82</v>
      </c>
      <c r="D3" s="29" t="s">
        <v>166</v>
      </c>
      <c r="E3" s="32" t="s">
        <v>64</v>
      </c>
      <c r="F3" s="30" t="s">
        <v>167</v>
      </c>
      <c r="G3" s="48" t="s">
        <v>170</v>
      </c>
      <c r="H3" s="37" t="s">
        <v>72</v>
      </c>
      <c r="I3" s="38">
        <v>13500000</v>
      </c>
      <c r="J3" s="38" t="s">
        <v>783</v>
      </c>
      <c r="K3" s="217" t="s">
        <v>772</v>
      </c>
      <c r="L3" s="217"/>
    </row>
    <row r="4" spans="1:12" ht="57" x14ac:dyDescent="0.25">
      <c r="B4" s="29" t="s">
        <v>56</v>
      </c>
      <c r="C4" s="29" t="s">
        <v>82</v>
      </c>
      <c r="D4" s="29" t="s">
        <v>173</v>
      </c>
      <c r="E4" s="32" t="s">
        <v>64</v>
      </c>
      <c r="F4" s="30" t="s">
        <v>174</v>
      </c>
      <c r="G4" s="56" t="s">
        <v>177</v>
      </c>
      <c r="H4" s="37" t="s">
        <v>72</v>
      </c>
      <c r="I4" s="38">
        <v>13500000</v>
      </c>
      <c r="J4" s="38" t="s">
        <v>783</v>
      </c>
      <c r="K4" s="217" t="s">
        <v>772</v>
      </c>
      <c r="L4" s="217"/>
    </row>
    <row r="5" spans="1:12" ht="57" x14ac:dyDescent="0.25">
      <c r="B5" s="29" t="s">
        <v>56</v>
      </c>
      <c r="C5" s="29" t="s">
        <v>82</v>
      </c>
      <c r="D5" s="29" t="s">
        <v>187</v>
      </c>
      <c r="E5" s="32" t="s">
        <v>64</v>
      </c>
      <c r="F5" s="30" t="s">
        <v>188</v>
      </c>
      <c r="G5" s="56" t="s">
        <v>191</v>
      </c>
      <c r="H5" s="37" t="s">
        <v>72</v>
      </c>
      <c r="I5" s="38">
        <v>11000000</v>
      </c>
      <c r="J5" s="38" t="s">
        <v>783</v>
      </c>
      <c r="K5" s="217" t="s">
        <v>772</v>
      </c>
      <c r="L5" s="217"/>
    </row>
    <row r="6" spans="1:12" ht="57" x14ac:dyDescent="0.25">
      <c r="B6" s="29" t="s">
        <v>56</v>
      </c>
      <c r="C6" s="29" t="s">
        <v>82</v>
      </c>
      <c r="D6" s="29" t="s">
        <v>194</v>
      </c>
      <c r="E6" s="32" t="s">
        <v>64</v>
      </c>
      <c r="F6" s="30" t="s">
        <v>426</v>
      </c>
      <c r="G6" s="34" t="s">
        <v>199</v>
      </c>
      <c r="H6" s="37" t="s">
        <v>72</v>
      </c>
      <c r="I6" s="38">
        <v>15000000</v>
      </c>
      <c r="J6" s="38" t="s">
        <v>783</v>
      </c>
      <c r="K6" s="217" t="s">
        <v>772</v>
      </c>
      <c r="L6" s="217"/>
    </row>
    <row r="7" spans="1:12" ht="57" x14ac:dyDescent="0.25">
      <c r="B7" s="29" t="s">
        <v>56</v>
      </c>
      <c r="C7" s="29" t="s">
        <v>82</v>
      </c>
      <c r="D7" s="29" t="s">
        <v>284</v>
      </c>
      <c r="E7" s="32" t="s">
        <v>64</v>
      </c>
      <c r="F7" s="30" t="s">
        <v>286</v>
      </c>
      <c r="G7" s="30" t="s">
        <v>289</v>
      </c>
      <c r="H7" s="37" t="s">
        <v>72</v>
      </c>
      <c r="I7" s="38">
        <v>8400000</v>
      </c>
      <c r="J7" s="38" t="s">
        <v>783</v>
      </c>
      <c r="K7" s="217" t="s">
        <v>772</v>
      </c>
      <c r="L7" s="217"/>
    </row>
    <row r="8" spans="1:12" ht="42.75" x14ac:dyDescent="0.25">
      <c r="B8" s="29" t="s">
        <v>56</v>
      </c>
      <c r="C8" s="29" t="s">
        <v>82</v>
      </c>
      <c r="D8" s="29" t="s">
        <v>296</v>
      </c>
      <c r="E8" s="32" t="s">
        <v>64</v>
      </c>
      <c r="F8" s="30" t="s">
        <v>298</v>
      </c>
      <c r="G8" s="30" t="s">
        <v>301</v>
      </c>
      <c r="H8" s="37" t="s">
        <v>72</v>
      </c>
      <c r="I8" s="38">
        <v>14000000</v>
      </c>
      <c r="J8" s="38" t="s">
        <v>783</v>
      </c>
      <c r="K8" s="217" t="s">
        <v>59</v>
      </c>
      <c r="L8" s="217"/>
    </row>
    <row r="9" spans="1:12" ht="42.75" x14ac:dyDescent="0.25">
      <c r="B9" s="29" t="s">
        <v>56</v>
      </c>
      <c r="C9" s="29" t="s">
        <v>82</v>
      </c>
      <c r="D9" s="29" t="s">
        <v>331</v>
      </c>
      <c r="E9" s="32" t="s">
        <v>64</v>
      </c>
      <c r="F9" s="30" t="s">
        <v>332</v>
      </c>
      <c r="G9" s="30" t="s">
        <v>335</v>
      </c>
      <c r="H9" s="37" t="s">
        <v>72</v>
      </c>
      <c r="I9" s="38">
        <v>9500000</v>
      </c>
      <c r="J9" s="38" t="s">
        <v>783</v>
      </c>
      <c r="K9" s="217" t="s">
        <v>772</v>
      </c>
      <c r="L9" s="217" t="s">
        <v>780</v>
      </c>
    </row>
    <row r="10" spans="1:12" ht="42.75" x14ac:dyDescent="0.25">
      <c r="B10" s="29" t="s">
        <v>56</v>
      </c>
      <c r="C10" s="29" t="s">
        <v>82</v>
      </c>
      <c r="D10" s="29" t="s">
        <v>779</v>
      </c>
      <c r="E10" s="32" t="s">
        <v>64</v>
      </c>
      <c r="F10" s="30" t="s">
        <v>774</v>
      </c>
      <c r="G10" s="30" t="s">
        <v>778</v>
      </c>
      <c r="H10" s="37" t="s">
        <v>72</v>
      </c>
      <c r="I10" s="38">
        <v>17000000</v>
      </c>
      <c r="J10" s="38" t="s">
        <v>783</v>
      </c>
      <c r="K10" s="217" t="s">
        <v>776</v>
      </c>
      <c r="L10" s="217"/>
    </row>
    <row r="12" spans="1:12" ht="42.75" x14ac:dyDescent="0.25">
      <c r="H12" s="37" t="s">
        <v>785</v>
      </c>
      <c r="I12" s="227">
        <f>SUM(I3:I10)*9</f>
        <v>917100000</v>
      </c>
      <c r="J12" s="228"/>
    </row>
    <row r="14" spans="1:12" ht="114.75" x14ac:dyDescent="0.25">
      <c r="A14" s="3" t="s">
        <v>800</v>
      </c>
      <c r="B14" s="220" t="s">
        <v>56</v>
      </c>
      <c r="C14" s="220" t="s">
        <v>82</v>
      </c>
      <c r="D14" s="220" t="s">
        <v>779</v>
      </c>
      <c r="E14" s="221" t="s">
        <v>64</v>
      </c>
      <c r="F14" s="222" t="s">
        <v>773</v>
      </c>
      <c r="G14" s="222" t="s">
        <v>777</v>
      </c>
      <c r="H14" s="224" t="s">
        <v>72</v>
      </c>
      <c r="I14" s="225">
        <v>17000000</v>
      </c>
      <c r="J14" s="226" t="s">
        <v>782</v>
      </c>
      <c r="K14" s="226" t="s">
        <v>775</v>
      </c>
      <c r="L14" s="226" t="s">
        <v>781</v>
      </c>
    </row>
    <row r="15" spans="1:12" ht="45" x14ac:dyDescent="0.25">
      <c r="A15" s="3" t="s">
        <v>800</v>
      </c>
      <c r="B15" s="220" t="s">
        <v>56</v>
      </c>
      <c r="C15" s="220" t="s">
        <v>82</v>
      </c>
      <c r="D15" s="220" t="s">
        <v>139</v>
      </c>
      <c r="E15" s="221" t="s">
        <v>64</v>
      </c>
      <c r="F15" s="222" t="s">
        <v>141</v>
      </c>
      <c r="G15" s="223" t="s">
        <v>144</v>
      </c>
      <c r="H15" s="224" t="s">
        <v>90</v>
      </c>
      <c r="I15" s="225">
        <v>9500000</v>
      </c>
      <c r="J15" s="226" t="s">
        <v>782</v>
      </c>
      <c r="K15" s="226" t="s">
        <v>784</v>
      </c>
      <c r="L15" s="226" t="s">
        <v>780</v>
      </c>
    </row>
    <row r="16" spans="1:12" ht="57" x14ac:dyDescent="0.25">
      <c r="A16" s="3" t="s">
        <v>800</v>
      </c>
      <c r="B16" s="220" t="s">
        <v>56</v>
      </c>
      <c r="C16" s="220" t="s">
        <v>82</v>
      </c>
      <c r="D16" s="220" t="s">
        <v>139</v>
      </c>
      <c r="E16" s="221" t="s">
        <v>64</v>
      </c>
      <c r="F16" s="222" t="s">
        <v>147</v>
      </c>
      <c r="G16" s="222" t="s">
        <v>149</v>
      </c>
      <c r="H16" s="224" t="s">
        <v>90</v>
      </c>
      <c r="I16" s="225">
        <v>9500000</v>
      </c>
      <c r="J16" s="226" t="s">
        <v>782</v>
      </c>
      <c r="K16" s="226" t="s">
        <v>784</v>
      </c>
      <c r="L16" s="226" t="s">
        <v>780</v>
      </c>
    </row>
    <row r="17" spans="1:12" ht="57" x14ac:dyDescent="0.25">
      <c r="A17" s="3" t="s">
        <v>800</v>
      </c>
      <c r="B17" s="220" t="s">
        <v>56</v>
      </c>
      <c r="C17" s="220" t="s">
        <v>82</v>
      </c>
      <c r="D17" s="220" t="s">
        <v>152</v>
      </c>
      <c r="E17" s="221" t="s">
        <v>64</v>
      </c>
      <c r="F17" s="222" t="s">
        <v>153</v>
      </c>
      <c r="G17" s="223" t="s">
        <v>156</v>
      </c>
      <c r="H17" s="224" t="s">
        <v>90</v>
      </c>
      <c r="I17" s="225">
        <v>17000000</v>
      </c>
      <c r="J17" s="226" t="s">
        <v>782</v>
      </c>
      <c r="K17" s="226" t="s">
        <v>784</v>
      </c>
      <c r="L17" s="226" t="s">
        <v>780</v>
      </c>
    </row>
    <row r="18" spans="1:12" ht="57" x14ac:dyDescent="0.25">
      <c r="A18" s="3" t="s">
        <v>800</v>
      </c>
      <c r="B18" s="220" t="s">
        <v>56</v>
      </c>
      <c r="C18" s="220" t="s">
        <v>82</v>
      </c>
      <c r="D18" s="220" t="s">
        <v>159</v>
      </c>
      <c r="E18" s="221" t="s">
        <v>64</v>
      </c>
      <c r="F18" s="222" t="s">
        <v>160</v>
      </c>
      <c r="G18" s="223" t="s">
        <v>163</v>
      </c>
      <c r="H18" s="224" t="s">
        <v>90</v>
      </c>
      <c r="I18" s="225">
        <v>17000000</v>
      </c>
      <c r="J18" s="226" t="s">
        <v>782</v>
      </c>
      <c r="K18" s="226" t="s">
        <v>784</v>
      </c>
      <c r="L18" s="226" t="s">
        <v>780</v>
      </c>
    </row>
    <row r="19" spans="1:12" x14ac:dyDescent="0.25">
      <c r="I19" s="87">
        <f>(SUM(I3:I10)-I8)*12</f>
        <v>1054800000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>
    <pageSetUpPr autoPageBreaks="0"/>
  </sheetPr>
  <dimension ref="A1:AX70"/>
  <sheetViews>
    <sheetView tabSelected="1" zoomScale="70" zoomScaleNormal="7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L12" sqref="L12"/>
    </sheetView>
  </sheetViews>
  <sheetFormatPr baseColWidth="10" defaultColWidth="11.7109375" defaultRowHeight="14.25" x14ac:dyDescent="0.25"/>
  <cols>
    <col min="1" max="2" width="11.7109375" style="27"/>
    <col min="3" max="3" width="11.7109375" style="62"/>
    <col min="4" max="5" width="16.28515625" style="27" customWidth="1"/>
    <col min="6" max="6" width="21" style="27" customWidth="1"/>
    <col min="7" max="8" width="11.7109375" style="27" customWidth="1"/>
    <col min="9" max="14" width="11.7109375" style="42" customWidth="1"/>
    <col min="15" max="15" width="11.7109375" style="27" customWidth="1"/>
    <col min="16" max="16" width="25.28515625" style="27" customWidth="1"/>
    <col min="17" max="18" width="27.42578125" style="27" customWidth="1"/>
    <col min="19" max="19" width="11.7109375" style="27" customWidth="1"/>
    <col min="20" max="20" width="23.7109375" style="27" customWidth="1"/>
    <col min="21" max="21" width="51.7109375" style="27" customWidth="1"/>
    <col min="22" max="22" width="11.7109375" style="33" customWidth="1"/>
    <col min="23" max="23" width="11.7109375" style="27" customWidth="1"/>
    <col min="24" max="24" width="11.7109375" style="27" hidden="1" customWidth="1"/>
    <col min="25" max="25" width="12.42578125" style="27" bestFit="1" customWidth="1"/>
    <col min="26" max="28" width="12.42578125" style="27" customWidth="1"/>
    <col min="29" max="33" width="11.7109375" style="27" customWidth="1"/>
    <col min="34" max="34" width="19.7109375" style="27" customWidth="1"/>
    <col min="35" max="35" width="17.42578125" style="27" customWidth="1"/>
    <col min="36" max="36" width="19.7109375" style="27" customWidth="1"/>
    <col min="37" max="38" width="18" style="27" customWidth="1"/>
    <col min="39" max="39" width="20" style="27" bestFit="1" customWidth="1"/>
    <col min="40" max="41" width="19.7109375" style="27" customWidth="1"/>
    <col min="42" max="42" width="18.7109375" style="27" customWidth="1"/>
    <col min="43" max="43" width="11.7109375" style="27" customWidth="1"/>
    <col min="44" max="44" width="22.85546875" style="27" customWidth="1"/>
    <col min="45" max="45" width="16.7109375" style="27" customWidth="1"/>
    <col min="46" max="46" width="11.7109375" style="27" customWidth="1"/>
    <col min="47" max="47" width="18" style="27" customWidth="1"/>
    <col min="48" max="48" width="25.85546875" style="27" customWidth="1"/>
    <col min="49" max="49" width="82.7109375" style="27" customWidth="1"/>
    <col min="50" max="50" width="71.5703125" style="27" customWidth="1"/>
    <col min="51" max="16384" width="11.7109375" style="27"/>
  </cols>
  <sheetData>
    <row r="1" spans="1:50" x14ac:dyDescent="0.25">
      <c r="W1" s="27">
        <v>44</v>
      </c>
    </row>
    <row r="2" spans="1:50" ht="15" x14ac:dyDescent="0.25">
      <c r="T2" s="28" t="s">
        <v>636</v>
      </c>
      <c r="U2" s="28" t="s">
        <v>620</v>
      </c>
    </row>
    <row r="3" spans="1:50" x14ac:dyDescent="0.25">
      <c r="T3" s="30"/>
      <c r="U3" s="30" t="s">
        <v>637</v>
      </c>
    </row>
    <row r="4" spans="1:50" x14ac:dyDescent="0.25">
      <c r="T4" s="151"/>
      <c r="U4" s="30" t="s">
        <v>638</v>
      </c>
    </row>
    <row r="5" spans="1:50" x14ac:dyDescent="0.25">
      <c r="T5" s="64"/>
      <c r="U5" s="30" t="s">
        <v>639</v>
      </c>
    </row>
    <row r="7" spans="1:50" ht="105" x14ac:dyDescent="0.25">
      <c r="A7" s="28" t="s">
        <v>812</v>
      </c>
      <c r="B7" s="28" t="s">
        <v>10</v>
      </c>
      <c r="C7" s="60" t="s">
        <v>11</v>
      </c>
      <c r="D7" s="28" t="s">
        <v>12</v>
      </c>
      <c r="E7" s="28" t="s">
        <v>807</v>
      </c>
      <c r="F7" s="28" t="s">
        <v>13</v>
      </c>
      <c r="G7" s="28" t="s">
        <v>14</v>
      </c>
      <c r="H7" s="28" t="s">
        <v>15</v>
      </c>
      <c r="I7" s="40" t="s">
        <v>16</v>
      </c>
      <c r="J7" s="40" t="s">
        <v>17</v>
      </c>
      <c r="K7" s="40" t="s">
        <v>18</v>
      </c>
      <c r="L7" s="40" t="s">
        <v>19</v>
      </c>
      <c r="M7" s="40" t="s">
        <v>20</v>
      </c>
      <c r="N7" s="40" t="s">
        <v>21</v>
      </c>
      <c r="O7" s="28" t="s">
        <v>22</v>
      </c>
      <c r="P7" s="28" t="s">
        <v>23</v>
      </c>
      <c r="Q7" s="28" t="s">
        <v>24</v>
      </c>
      <c r="R7" s="28" t="s">
        <v>692</v>
      </c>
      <c r="S7" s="28" t="s">
        <v>25</v>
      </c>
      <c r="T7" s="28" t="s">
        <v>26</v>
      </c>
      <c r="U7" s="28" t="s">
        <v>27</v>
      </c>
      <c r="V7" s="40" t="s">
        <v>28</v>
      </c>
      <c r="W7" s="28" t="s">
        <v>809</v>
      </c>
      <c r="X7" s="28" t="s">
        <v>30</v>
      </c>
      <c r="Y7" s="28" t="s">
        <v>32</v>
      </c>
      <c r="Z7" s="28" t="s">
        <v>33</v>
      </c>
      <c r="AA7" s="28" t="s">
        <v>34</v>
      </c>
      <c r="AB7" s="28" t="s">
        <v>35</v>
      </c>
      <c r="AC7" s="28" t="s">
        <v>36</v>
      </c>
      <c r="AD7" s="28" t="s">
        <v>37</v>
      </c>
      <c r="AE7" s="28" t="s">
        <v>38</v>
      </c>
      <c r="AF7" s="28" t="s">
        <v>616</v>
      </c>
      <c r="AG7" s="28" t="s">
        <v>39</v>
      </c>
      <c r="AH7" s="28" t="s">
        <v>40</v>
      </c>
      <c r="AI7" s="28" t="s">
        <v>41</v>
      </c>
      <c r="AJ7" s="28" t="s">
        <v>42</v>
      </c>
      <c r="AK7" s="28" t="s">
        <v>43</v>
      </c>
      <c r="AL7" s="28" t="s">
        <v>44</v>
      </c>
      <c r="AM7" s="28" t="s">
        <v>45</v>
      </c>
      <c r="AN7" s="28" t="s">
        <v>46</v>
      </c>
      <c r="AO7" s="28" t="s">
        <v>47</v>
      </c>
      <c r="AP7" s="28" t="s">
        <v>48</v>
      </c>
      <c r="AQ7" s="28" t="s">
        <v>710</v>
      </c>
      <c r="AR7" s="28" t="s">
        <v>810</v>
      </c>
      <c r="AS7" s="28" t="s">
        <v>811</v>
      </c>
      <c r="AT7" s="28" t="s">
        <v>51</v>
      </c>
      <c r="AU7" s="28" t="s">
        <v>52</v>
      </c>
      <c r="AV7" s="28" t="s">
        <v>808</v>
      </c>
      <c r="AW7" s="28" t="s">
        <v>54</v>
      </c>
      <c r="AX7" s="28" t="s">
        <v>55</v>
      </c>
    </row>
    <row r="8" spans="1:50" ht="69.599999999999994" customHeight="1" x14ac:dyDescent="0.25">
      <c r="A8" s="47">
        <v>1</v>
      </c>
      <c r="B8" s="47">
        <v>1</v>
      </c>
      <c r="C8" s="63">
        <v>80111614</v>
      </c>
      <c r="D8" s="3" t="s">
        <v>283</v>
      </c>
      <c r="E8" s="3"/>
      <c r="F8" s="29" t="s">
        <v>56</v>
      </c>
      <c r="G8" s="29" t="s">
        <v>57</v>
      </c>
      <c r="H8" s="29" t="s">
        <v>58</v>
      </c>
      <c r="I8" s="41" t="s">
        <v>59</v>
      </c>
      <c r="J8" s="41" t="s">
        <v>60</v>
      </c>
      <c r="K8" s="41">
        <v>2024</v>
      </c>
      <c r="L8" s="41">
        <v>46</v>
      </c>
      <c r="M8" s="29" t="s">
        <v>59</v>
      </c>
      <c r="N8" s="29" t="s">
        <v>3</v>
      </c>
      <c r="O8" s="32" t="s">
        <v>61</v>
      </c>
      <c r="P8" s="32" t="s">
        <v>62</v>
      </c>
      <c r="Q8" s="32" t="s">
        <v>63</v>
      </c>
      <c r="R8" s="32"/>
      <c r="S8" s="32" t="s">
        <v>64</v>
      </c>
      <c r="T8" s="31" t="s">
        <v>65</v>
      </c>
      <c r="U8" s="32" t="s">
        <v>66</v>
      </c>
      <c r="V8" s="45" t="s">
        <v>67</v>
      </c>
      <c r="W8" s="30" t="s">
        <v>68</v>
      </c>
      <c r="X8" s="35" t="s">
        <v>69</v>
      </c>
      <c r="Y8" s="36">
        <v>45329</v>
      </c>
      <c r="Z8" s="36">
        <v>45331</v>
      </c>
      <c r="AA8" s="36" t="s">
        <v>70</v>
      </c>
      <c r="AB8" s="36">
        <v>45504</v>
      </c>
      <c r="AC8" s="36" t="s">
        <v>70</v>
      </c>
      <c r="AD8" s="36" t="s">
        <v>71</v>
      </c>
      <c r="AE8" s="37" t="s">
        <v>72</v>
      </c>
      <c r="AF8" s="32" t="s">
        <v>73</v>
      </c>
      <c r="AG8" s="32" t="s">
        <v>73</v>
      </c>
      <c r="AH8" s="38">
        <v>47500000</v>
      </c>
      <c r="AI8" s="38">
        <v>0</v>
      </c>
      <c r="AJ8" s="38">
        <f t="shared" ref="AJ8:AJ14" si="0">AH8+AI8</f>
        <v>47500000</v>
      </c>
      <c r="AK8" s="38">
        <v>0</v>
      </c>
      <c r="AL8" s="66">
        <v>47500000</v>
      </c>
      <c r="AM8" s="38">
        <v>0</v>
      </c>
      <c r="AN8" s="38">
        <v>47500000</v>
      </c>
      <c r="AO8" s="38">
        <f t="shared" ref="AO8:AO49" si="1">IF(M8="Si",(AN8-AH8),0)</f>
        <v>0</v>
      </c>
      <c r="AP8" s="38"/>
      <c r="AQ8" s="192">
        <v>3</v>
      </c>
      <c r="AR8" s="66">
        <f>AS8*3</f>
        <v>35625000</v>
      </c>
      <c r="AS8" s="38">
        <v>11875000</v>
      </c>
      <c r="AT8" s="54">
        <f>IF(AL8=0,0,ROUND(AR8/AL8,2))</f>
        <v>0.75</v>
      </c>
      <c r="AU8" s="65">
        <f t="shared" ref="AU8:AU51" si="2">AL8-AR8</f>
        <v>11875000</v>
      </c>
      <c r="AV8" s="30" t="s">
        <v>74</v>
      </c>
      <c r="AW8" s="43" t="s">
        <v>75</v>
      </c>
      <c r="AX8" s="118" t="s">
        <v>708</v>
      </c>
    </row>
    <row r="9" spans="1:50" ht="30" customHeight="1" x14ac:dyDescent="0.25">
      <c r="A9" s="47">
        <v>2</v>
      </c>
      <c r="B9" s="47">
        <v>2</v>
      </c>
      <c r="C9" s="63"/>
      <c r="D9" s="32"/>
      <c r="E9" s="32"/>
      <c r="F9" s="29" t="s">
        <v>56</v>
      </c>
      <c r="G9" s="29" t="s">
        <v>57</v>
      </c>
      <c r="H9" s="29" t="s">
        <v>58</v>
      </c>
      <c r="I9" s="41" t="s">
        <v>59</v>
      </c>
      <c r="J9" s="41" t="s">
        <v>60</v>
      </c>
      <c r="K9" s="41">
        <v>2024</v>
      </c>
      <c r="L9" s="41">
        <v>41</v>
      </c>
      <c r="M9" s="29" t="s">
        <v>59</v>
      </c>
      <c r="N9" s="29" t="s">
        <v>3</v>
      </c>
      <c r="O9" s="32" t="s">
        <v>61</v>
      </c>
      <c r="P9" s="32" t="s">
        <v>62</v>
      </c>
      <c r="Q9" s="32" t="s">
        <v>63</v>
      </c>
      <c r="R9" s="32"/>
      <c r="S9" s="32" t="s">
        <v>64</v>
      </c>
      <c r="T9" s="31" t="s">
        <v>76</v>
      </c>
      <c r="U9" s="32" t="s">
        <v>66</v>
      </c>
      <c r="V9" s="46" t="s">
        <v>77</v>
      </c>
      <c r="W9" s="30" t="s">
        <v>78</v>
      </c>
      <c r="X9" s="35" t="s">
        <v>69</v>
      </c>
      <c r="Y9" s="36">
        <v>45329</v>
      </c>
      <c r="Z9" s="36">
        <v>45331</v>
      </c>
      <c r="AA9" s="36" t="s">
        <v>70</v>
      </c>
      <c r="AB9" s="36">
        <v>45519</v>
      </c>
      <c r="AC9" s="36" t="s">
        <v>70</v>
      </c>
      <c r="AD9" s="36" t="s">
        <v>71</v>
      </c>
      <c r="AE9" s="37" t="s">
        <v>72</v>
      </c>
      <c r="AF9" s="32" t="s">
        <v>73</v>
      </c>
      <c r="AG9" s="32" t="s">
        <v>73</v>
      </c>
      <c r="AH9" s="38">
        <v>47500000</v>
      </c>
      <c r="AI9" s="38">
        <v>3450000</v>
      </c>
      <c r="AJ9" s="38">
        <f t="shared" si="0"/>
        <v>50950000</v>
      </c>
      <c r="AK9" s="38">
        <v>0</v>
      </c>
      <c r="AL9" s="66">
        <v>47500000</v>
      </c>
      <c r="AM9" s="38">
        <v>0</v>
      </c>
      <c r="AN9" s="38">
        <v>47500000</v>
      </c>
      <c r="AO9" s="38">
        <f t="shared" si="1"/>
        <v>0</v>
      </c>
      <c r="AP9" s="38"/>
      <c r="AQ9" s="192">
        <v>2</v>
      </c>
      <c r="AR9" s="66">
        <f>AS9*2</f>
        <v>23750000</v>
      </c>
      <c r="AS9" s="38">
        <v>11875000</v>
      </c>
      <c r="AT9" s="54">
        <f>IF(AL9=0,0,ROUND(AR9/AL9,2))</f>
        <v>0.5</v>
      </c>
      <c r="AU9" s="65">
        <f t="shared" si="2"/>
        <v>23750000</v>
      </c>
      <c r="AV9" s="30" t="s">
        <v>79</v>
      </c>
      <c r="AW9" s="43" t="s">
        <v>80</v>
      </c>
      <c r="AX9" s="118" t="s">
        <v>709</v>
      </c>
    </row>
    <row r="10" spans="1:50" ht="30" customHeight="1" x14ac:dyDescent="0.25">
      <c r="A10" s="47">
        <v>3</v>
      </c>
      <c r="B10" s="47">
        <v>3</v>
      </c>
      <c r="C10" s="63">
        <v>80111614</v>
      </c>
      <c r="D10" s="32" t="s">
        <v>81</v>
      </c>
      <c r="E10" s="32"/>
      <c r="F10" s="29" t="s">
        <v>56</v>
      </c>
      <c r="G10" s="29" t="s">
        <v>82</v>
      </c>
      <c r="H10" s="29" t="s">
        <v>83</v>
      </c>
      <c r="I10" s="41" t="s">
        <v>59</v>
      </c>
      <c r="J10" s="41" t="s">
        <v>60</v>
      </c>
      <c r="K10" s="41">
        <v>2024</v>
      </c>
      <c r="L10" s="41">
        <v>112</v>
      </c>
      <c r="M10" s="29" t="s">
        <v>59</v>
      </c>
      <c r="N10" s="29" t="s">
        <v>3</v>
      </c>
      <c r="O10" s="32" t="s">
        <v>61</v>
      </c>
      <c r="P10" s="32" t="s">
        <v>762</v>
      </c>
      <c r="Q10" s="32" t="s">
        <v>85</v>
      </c>
      <c r="R10" s="32"/>
      <c r="S10" s="32" t="s">
        <v>64</v>
      </c>
      <c r="T10" s="30" t="s">
        <v>86</v>
      </c>
      <c r="U10" s="32" t="s">
        <v>87</v>
      </c>
      <c r="V10" s="45" t="s">
        <v>88</v>
      </c>
      <c r="W10" s="48" t="s">
        <v>89</v>
      </c>
      <c r="X10" s="35" t="s">
        <v>69</v>
      </c>
      <c r="Y10" s="36">
        <v>45315</v>
      </c>
      <c r="Z10" s="36">
        <v>45315</v>
      </c>
      <c r="AA10" s="36">
        <v>45316</v>
      </c>
      <c r="AB10" s="36">
        <v>45646</v>
      </c>
      <c r="AC10" s="36" t="s">
        <v>70</v>
      </c>
      <c r="AD10" s="36" t="s">
        <v>71</v>
      </c>
      <c r="AE10" s="37" t="s">
        <v>90</v>
      </c>
      <c r="AF10" s="32" t="s">
        <v>73</v>
      </c>
      <c r="AG10" s="32" t="s">
        <v>73</v>
      </c>
      <c r="AH10" s="38">
        <v>93500000</v>
      </c>
      <c r="AI10" s="38">
        <v>0</v>
      </c>
      <c r="AJ10" s="38">
        <f t="shared" si="0"/>
        <v>93500000</v>
      </c>
      <c r="AK10" s="38">
        <v>0</v>
      </c>
      <c r="AL10" s="66">
        <v>93500000</v>
      </c>
      <c r="AM10" s="38">
        <v>0</v>
      </c>
      <c r="AN10" s="38">
        <v>93500000</v>
      </c>
      <c r="AO10" s="38">
        <f t="shared" si="1"/>
        <v>0</v>
      </c>
      <c r="AP10" s="38"/>
      <c r="AQ10" s="192">
        <v>5</v>
      </c>
      <c r="AR10" s="66">
        <f>AS10*5</f>
        <v>46750000</v>
      </c>
      <c r="AS10" s="38">
        <v>9350000</v>
      </c>
      <c r="AT10" s="54">
        <f>IF(AL10=0,0,ROUND(AR10/AL10,2))</f>
        <v>0.5</v>
      </c>
      <c r="AU10" s="65">
        <f t="shared" si="2"/>
        <v>46750000</v>
      </c>
      <c r="AV10" s="30" t="s">
        <v>91</v>
      </c>
      <c r="AW10" s="43" t="s">
        <v>92</v>
      </c>
      <c r="AX10" s="32"/>
    </row>
    <row r="11" spans="1:50" ht="99.75" x14ac:dyDescent="0.25">
      <c r="A11" s="47">
        <v>4</v>
      </c>
      <c r="B11" s="47">
        <v>4</v>
      </c>
      <c r="C11" s="63"/>
      <c r="D11" s="32"/>
      <c r="E11" s="32"/>
      <c r="F11" s="29" t="s">
        <v>647</v>
      </c>
      <c r="G11" s="29" t="s">
        <v>94</v>
      </c>
      <c r="H11" s="29" t="s">
        <v>95</v>
      </c>
      <c r="I11" s="47" t="s">
        <v>59</v>
      </c>
      <c r="J11" s="41" t="s">
        <v>60</v>
      </c>
      <c r="K11" s="41">
        <v>2024</v>
      </c>
      <c r="L11" s="41">
        <v>94</v>
      </c>
      <c r="M11" s="29" t="s">
        <v>59</v>
      </c>
      <c r="N11" s="29" t="s">
        <v>3</v>
      </c>
      <c r="O11" s="32" t="s">
        <v>61</v>
      </c>
      <c r="P11" s="32" t="s">
        <v>96</v>
      </c>
      <c r="Q11" s="32" t="s">
        <v>97</v>
      </c>
      <c r="R11" s="32"/>
      <c r="S11" s="32" t="s">
        <v>64</v>
      </c>
      <c r="T11" s="30" t="s">
        <v>98</v>
      </c>
      <c r="U11" s="32" t="s">
        <v>99</v>
      </c>
      <c r="V11" s="57" t="s">
        <v>100</v>
      </c>
      <c r="W11" s="48" t="s">
        <v>101</v>
      </c>
      <c r="X11" s="35" t="s">
        <v>69</v>
      </c>
      <c r="Y11" s="36">
        <v>45331</v>
      </c>
      <c r="Z11" s="36">
        <v>45331</v>
      </c>
      <c r="AA11" s="36">
        <v>45331</v>
      </c>
      <c r="AB11" s="36">
        <v>45359</v>
      </c>
      <c r="AC11" s="58" t="s">
        <v>102</v>
      </c>
      <c r="AD11" s="58" t="s">
        <v>103</v>
      </c>
      <c r="AE11" s="37" t="s">
        <v>90</v>
      </c>
      <c r="AF11" s="32" t="s">
        <v>104</v>
      </c>
      <c r="AG11" s="32" t="s">
        <v>104</v>
      </c>
      <c r="AH11" s="38">
        <v>194118482.31999999</v>
      </c>
      <c r="AI11" s="38">
        <v>0</v>
      </c>
      <c r="AJ11" s="38">
        <f t="shared" si="0"/>
        <v>194118482.31999999</v>
      </c>
      <c r="AK11" s="38">
        <v>0</v>
      </c>
      <c r="AL11" s="66">
        <v>194118482.31999999</v>
      </c>
      <c r="AM11" s="38">
        <v>0</v>
      </c>
      <c r="AN11" s="38">
        <v>250000000</v>
      </c>
      <c r="AO11" s="38">
        <f t="shared" si="1"/>
        <v>55881517.680000007</v>
      </c>
      <c r="AP11" s="38"/>
      <c r="AQ11" s="192">
        <v>1</v>
      </c>
      <c r="AR11" s="66">
        <v>194118482.31999999</v>
      </c>
      <c r="AS11" s="38" t="s">
        <v>69</v>
      </c>
      <c r="AT11" s="54">
        <f>IF(AL11=0,0,ROUND(AR11/AL11,2))</f>
        <v>1</v>
      </c>
      <c r="AU11" s="65">
        <f t="shared" si="2"/>
        <v>0</v>
      </c>
      <c r="AV11" s="30" t="s">
        <v>105</v>
      </c>
      <c r="AW11" s="43" t="s">
        <v>106</v>
      </c>
      <c r="AX11" s="32"/>
    </row>
    <row r="12" spans="1:50" ht="118.15" customHeight="1" x14ac:dyDescent="0.25">
      <c r="A12" s="47">
        <v>5</v>
      </c>
      <c r="B12" s="47">
        <v>5</v>
      </c>
      <c r="C12" s="63"/>
      <c r="D12" s="32"/>
      <c r="E12" s="32"/>
      <c r="F12" s="29" t="s">
        <v>93</v>
      </c>
      <c r="G12" s="29" t="s">
        <v>107</v>
      </c>
      <c r="H12" s="29" t="s">
        <v>108</v>
      </c>
      <c r="I12" s="41" t="s">
        <v>59</v>
      </c>
      <c r="J12" s="41" t="s">
        <v>60</v>
      </c>
      <c r="K12" s="41">
        <v>2023</v>
      </c>
      <c r="L12" s="41">
        <v>100</v>
      </c>
      <c r="M12" s="29" t="s">
        <v>109</v>
      </c>
      <c r="N12" s="29" t="s">
        <v>2</v>
      </c>
      <c r="O12" s="32" t="s">
        <v>61</v>
      </c>
      <c r="P12" s="32" t="s">
        <v>668</v>
      </c>
      <c r="Q12" s="32" t="s">
        <v>669</v>
      </c>
      <c r="R12" s="32"/>
      <c r="S12" s="32" t="s">
        <v>112</v>
      </c>
      <c r="T12" s="31" t="s">
        <v>113</v>
      </c>
      <c r="U12" s="32" t="s">
        <v>114</v>
      </c>
      <c r="V12" s="46">
        <v>162174</v>
      </c>
      <c r="W12" s="48" t="s">
        <v>115</v>
      </c>
      <c r="X12" s="35">
        <v>121005</v>
      </c>
      <c r="Y12" s="36">
        <v>45258</v>
      </c>
      <c r="Z12" s="36">
        <v>45266</v>
      </c>
      <c r="AA12" s="36">
        <v>45274</v>
      </c>
      <c r="AB12" s="36">
        <v>46013</v>
      </c>
      <c r="AC12" s="36" t="s">
        <v>70</v>
      </c>
      <c r="AD12" s="36" t="s">
        <v>71</v>
      </c>
      <c r="AE12" s="37" t="s">
        <v>90</v>
      </c>
      <c r="AF12" s="32" t="s">
        <v>116</v>
      </c>
      <c r="AG12" s="32" t="s">
        <v>116</v>
      </c>
      <c r="AH12" s="38">
        <v>120586666.84999999</v>
      </c>
      <c r="AI12" s="38">
        <v>0</v>
      </c>
      <c r="AJ12" s="38">
        <f t="shared" si="0"/>
        <v>120586666.84999999</v>
      </c>
      <c r="AK12" s="38">
        <v>6381044.4221000075</v>
      </c>
      <c r="AL12" s="66">
        <v>60293333.439999998</v>
      </c>
      <c r="AM12" s="38">
        <v>53912288.987899996</v>
      </c>
      <c r="AN12" s="38">
        <v>0</v>
      </c>
      <c r="AO12" s="38">
        <f t="shared" si="1"/>
        <v>0</v>
      </c>
      <c r="AP12" s="38"/>
      <c r="AQ12" s="192">
        <v>7</v>
      </c>
      <c r="AR12" s="66">
        <f>4222222*7</f>
        <v>29555554</v>
      </c>
      <c r="AS12" s="38">
        <v>5024444.4099999992</v>
      </c>
      <c r="AT12" s="54">
        <f>ROUND(AR12/AL12,2)</f>
        <v>0.49</v>
      </c>
      <c r="AU12" s="65">
        <f t="shared" si="2"/>
        <v>30737779.439999998</v>
      </c>
      <c r="AV12" s="30" t="s">
        <v>117</v>
      </c>
      <c r="AW12" s="43" t="s">
        <v>118</v>
      </c>
      <c r="AX12" s="32" t="s">
        <v>804</v>
      </c>
    </row>
    <row r="13" spans="1:50" ht="99.75" x14ac:dyDescent="0.25">
      <c r="A13" s="47">
        <v>6</v>
      </c>
      <c r="B13" s="47">
        <v>6</v>
      </c>
      <c r="C13" s="63"/>
      <c r="D13" s="32"/>
      <c r="E13" s="32"/>
      <c r="F13" s="29" t="s">
        <v>93</v>
      </c>
      <c r="G13" s="29" t="s">
        <v>119</v>
      </c>
      <c r="H13" s="29" t="s">
        <v>120</v>
      </c>
      <c r="I13" s="41" t="s">
        <v>59</v>
      </c>
      <c r="J13" s="41" t="s">
        <v>60</v>
      </c>
      <c r="K13" s="41">
        <v>2023</v>
      </c>
      <c r="L13" s="41">
        <v>98</v>
      </c>
      <c r="M13" s="29" t="s">
        <v>109</v>
      </c>
      <c r="N13" s="29" t="s">
        <v>2</v>
      </c>
      <c r="O13" s="32" t="s">
        <v>61</v>
      </c>
      <c r="P13" s="32" t="s">
        <v>668</v>
      </c>
      <c r="Q13" s="32" t="s">
        <v>669</v>
      </c>
      <c r="R13" s="32"/>
      <c r="S13" s="32" t="s">
        <v>112</v>
      </c>
      <c r="T13" s="31" t="s">
        <v>113</v>
      </c>
      <c r="U13" s="32" t="s">
        <v>122</v>
      </c>
      <c r="V13" s="46">
        <v>162171</v>
      </c>
      <c r="W13" s="30" t="s">
        <v>123</v>
      </c>
      <c r="X13" s="35">
        <v>120075</v>
      </c>
      <c r="Y13" s="36">
        <v>45247</v>
      </c>
      <c r="Z13" s="36">
        <v>45257</v>
      </c>
      <c r="AA13" s="36">
        <v>45283</v>
      </c>
      <c r="AB13" s="36">
        <v>45603</v>
      </c>
      <c r="AC13" s="36" t="s">
        <v>70</v>
      </c>
      <c r="AD13" s="36" t="s">
        <v>71</v>
      </c>
      <c r="AE13" s="37" t="s">
        <v>90</v>
      </c>
      <c r="AF13" s="32" t="s">
        <v>116</v>
      </c>
      <c r="AG13" s="32" t="s">
        <v>116</v>
      </c>
      <c r="AH13" s="38">
        <v>52210518.659999996</v>
      </c>
      <c r="AI13" s="38">
        <v>0</v>
      </c>
      <c r="AJ13" s="38">
        <f t="shared" si="0"/>
        <v>52210518.659999996</v>
      </c>
      <c r="AK13" s="38">
        <v>5750723.7799999937</v>
      </c>
      <c r="AL13" s="66">
        <v>46459794.880000003</v>
      </c>
      <c r="AM13" s="38">
        <v>0</v>
      </c>
      <c r="AN13" s="38">
        <v>0</v>
      </c>
      <c r="AO13" s="38">
        <f t="shared" si="1"/>
        <v>0</v>
      </c>
      <c r="AP13" s="38"/>
      <c r="AQ13" s="192">
        <v>7</v>
      </c>
      <c r="AR13" s="66">
        <f>4540045*7</f>
        <v>31780315</v>
      </c>
      <c r="AS13" s="38">
        <v>4540045.0999999996</v>
      </c>
      <c r="AT13" s="54">
        <f t="shared" ref="AT13:AT51" si="3">IF(AL13=0,0,ROUND(AR13/AL13,2))</f>
        <v>0.68</v>
      </c>
      <c r="AU13" s="65">
        <f t="shared" si="2"/>
        <v>14679479.880000003</v>
      </c>
      <c r="AV13" s="30" t="s">
        <v>124</v>
      </c>
      <c r="AW13" s="43" t="s">
        <v>125</v>
      </c>
      <c r="AX13" s="32"/>
    </row>
    <row r="14" spans="1:50" ht="142.5" x14ac:dyDescent="0.25">
      <c r="A14" s="47">
        <v>7</v>
      </c>
      <c r="B14" s="47">
        <v>7</v>
      </c>
      <c r="C14" s="63"/>
      <c r="D14" s="32"/>
      <c r="E14" s="32"/>
      <c r="F14" s="29" t="s">
        <v>713</v>
      </c>
      <c r="G14" s="29" t="s">
        <v>126</v>
      </c>
      <c r="H14" s="29" t="s">
        <v>127</v>
      </c>
      <c r="I14" s="41" t="s">
        <v>109</v>
      </c>
      <c r="J14" s="41" t="s">
        <v>128</v>
      </c>
      <c r="K14" s="41">
        <v>2023</v>
      </c>
      <c r="L14" s="41">
        <v>120</v>
      </c>
      <c r="M14" s="29" t="s">
        <v>109</v>
      </c>
      <c r="N14" s="29" t="s">
        <v>2</v>
      </c>
      <c r="O14" s="32" t="s">
        <v>61</v>
      </c>
      <c r="P14" s="32" t="s">
        <v>129</v>
      </c>
      <c r="Q14" s="32" t="s">
        <v>130</v>
      </c>
      <c r="R14" s="32"/>
      <c r="S14" s="32" t="s">
        <v>64</v>
      </c>
      <c r="T14" s="30" t="s">
        <v>131</v>
      </c>
      <c r="U14" s="32" t="s">
        <v>132</v>
      </c>
      <c r="V14" s="45" t="s">
        <v>133</v>
      </c>
      <c r="W14" s="44" t="s">
        <v>134</v>
      </c>
      <c r="X14" s="35" t="s">
        <v>69</v>
      </c>
      <c r="Y14" s="36">
        <v>45141</v>
      </c>
      <c r="Z14" s="36">
        <v>45148</v>
      </c>
      <c r="AA14" s="36">
        <v>45148</v>
      </c>
      <c r="AB14" s="36">
        <v>45565</v>
      </c>
      <c r="AC14" s="36" t="s">
        <v>70</v>
      </c>
      <c r="AD14" s="36" t="s">
        <v>71</v>
      </c>
      <c r="AE14" s="37" t="s">
        <v>72</v>
      </c>
      <c r="AF14" s="30" t="s">
        <v>135</v>
      </c>
      <c r="AG14" s="30" t="s">
        <v>135</v>
      </c>
      <c r="AH14" s="38">
        <v>1038872287</v>
      </c>
      <c r="AI14" s="38">
        <v>0</v>
      </c>
      <c r="AJ14" s="38">
        <f t="shared" si="0"/>
        <v>1038872287</v>
      </c>
      <c r="AK14" s="38">
        <v>93891229</v>
      </c>
      <c r="AL14" s="66">
        <f>281673686*3+99960000</f>
        <v>944981058</v>
      </c>
      <c r="AM14" s="38">
        <v>0</v>
      </c>
      <c r="AN14" s="38">
        <v>0</v>
      </c>
      <c r="AO14" s="38">
        <f t="shared" si="1"/>
        <v>0</v>
      </c>
      <c r="AP14" s="38"/>
      <c r="AQ14" s="192">
        <v>2</v>
      </c>
      <c r="AR14" s="66">
        <f>327405386</f>
        <v>327405386</v>
      </c>
      <c r="AS14" s="38" t="s">
        <v>69</v>
      </c>
      <c r="AT14" s="54">
        <f t="shared" si="3"/>
        <v>0.35</v>
      </c>
      <c r="AU14" s="65">
        <f t="shared" si="2"/>
        <v>617575672</v>
      </c>
      <c r="AV14" s="30" t="s">
        <v>136</v>
      </c>
      <c r="AW14" s="43" t="s">
        <v>137</v>
      </c>
      <c r="AX14" s="118" t="s">
        <v>138</v>
      </c>
    </row>
    <row r="15" spans="1:50" ht="30" customHeight="1" x14ac:dyDescent="0.25">
      <c r="A15" s="47">
        <v>8</v>
      </c>
      <c r="B15" s="47">
        <v>8</v>
      </c>
      <c r="C15" s="63">
        <v>80111614</v>
      </c>
      <c r="D15" s="32" t="s">
        <v>81</v>
      </c>
      <c r="E15" s="32"/>
      <c r="F15" s="29" t="s">
        <v>56</v>
      </c>
      <c r="G15" s="29" t="s">
        <v>82</v>
      </c>
      <c r="H15" s="29" t="s">
        <v>139</v>
      </c>
      <c r="I15" s="41" t="s">
        <v>59</v>
      </c>
      <c r="J15" s="41" t="s">
        <v>60</v>
      </c>
      <c r="K15" s="41">
        <v>2024</v>
      </c>
      <c r="L15" s="41">
        <v>111</v>
      </c>
      <c r="M15" s="29" t="s">
        <v>59</v>
      </c>
      <c r="N15" s="29" t="s">
        <v>3</v>
      </c>
      <c r="O15" s="32" t="s">
        <v>61</v>
      </c>
      <c r="P15" s="32" t="s">
        <v>129</v>
      </c>
      <c r="Q15" s="32" t="s">
        <v>140</v>
      </c>
      <c r="R15" s="32"/>
      <c r="S15" s="32" t="s">
        <v>64</v>
      </c>
      <c r="T15" s="30" t="s">
        <v>141</v>
      </c>
      <c r="U15" s="32" t="s">
        <v>142</v>
      </c>
      <c r="V15" s="46" t="s">
        <v>143</v>
      </c>
      <c r="W15" s="48" t="s">
        <v>144</v>
      </c>
      <c r="X15" s="35" t="s">
        <v>69</v>
      </c>
      <c r="Y15" s="36">
        <v>45310</v>
      </c>
      <c r="Z15" s="36">
        <v>45313</v>
      </c>
      <c r="AA15" s="36">
        <v>45314</v>
      </c>
      <c r="AB15" s="36">
        <v>45646</v>
      </c>
      <c r="AC15" s="36" t="s">
        <v>70</v>
      </c>
      <c r="AD15" s="36" t="s">
        <v>71</v>
      </c>
      <c r="AE15" s="37" t="s">
        <v>90</v>
      </c>
      <c r="AF15" s="32" t="s">
        <v>73</v>
      </c>
      <c r="AG15" s="32" t="s">
        <v>73</v>
      </c>
      <c r="AH15" s="38">
        <v>104183350</v>
      </c>
      <c r="AI15" s="38">
        <v>0</v>
      </c>
      <c r="AJ15" s="38">
        <v>104183350</v>
      </c>
      <c r="AK15" s="38">
        <v>0</v>
      </c>
      <c r="AL15" s="66">
        <v>104183350</v>
      </c>
      <c r="AM15" s="38">
        <v>0</v>
      </c>
      <c r="AN15" s="38">
        <v>104500000</v>
      </c>
      <c r="AO15" s="38">
        <f t="shared" si="1"/>
        <v>316650</v>
      </c>
      <c r="AP15" s="38"/>
      <c r="AQ15" s="192">
        <v>7</v>
      </c>
      <c r="AR15" s="66">
        <f>(AS15*6)+(2533333)</f>
        <v>59533333</v>
      </c>
      <c r="AS15" s="38">
        <v>9500000</v>
      </c>
      <c r="AT15" s="54">
        <f t="shared" si="3"/>
        <v>0.56999999999999995</v>
      </c>
      <c r="AU15" s="65">
        <f t="shared" si="2"/>
        <v>44650017</v>
      </c>
      <c r="AV15" s="30" t="s">
        <v>145</v>
      </c>
      <c r="AW15" s="156" t="s">
        <v>146</v>
      </c>
      <c r="AX15" s="32"/>
    </row>
    <row r="16" spans="1:50" ht="30" customHeight="1" x14ac:dyDescent="0.25">
      <c r="A16" s="47">
        <v>9</v>
      </c>
      <c r="B16" s="47">
        <v>9</v>
      </c>
      <c r="C16" s="63">
        <v>80111614</v>
      </c>
      <c r="D16" s="32" t="s">
        <v>81</v>
      </c>
      <c r="E16" s="32"/>
      <c r="F16" s="29" t="s">
        <v>56</v>
      </c>
      <c r="G16" s="29" t="s">
        <v>82</v>
      </c>
      <c r="H16" s="29" t="s">
        <v>139</v>
      </c>
      <c r="I16" s="41" t="s">
        <v>59</v>
      </c>
      <c r="J16" s="41" t="s">
        <v>60</v>
      </c>
      <c r="K16" s="41">
        <v>2024</v>
      </c>
      <c r="L16" s="41">
        <v>110</v>
      </c>
      <c r="M16" s="29" t="s">
        <v>59</v>
      </c>
      <c r="N16" s="29" t="s">
        <v>3</v>
      </c>
      <c r="O16" s="32" t="s">
        <v>61</v>
      </c>
      <c r="P16" s="32" t="s">
        <v>129</v>
      </c>
      <c r="Q16" s="32" t="s">
        <v>140</v>
      </c>
      <c r="R16" s="32"/>
      <c r="S16" s="32" t="s">
        <v>64</v>
      </c>
      <c r="T16" s="30" t="s">
        <v>147</v>
      </c>
      <c r="U16" s="32" t="s">
        <v>142</v>
      </c>
      <c r="V16" s="57" t="s">
        <v>148</v>
      </c>
      <c r="W16" s="44" t="s">
        <v>149</v>
      </c>
      <c r="X16" s="35" t="s">
        <v>69</v>
      </c>
      <c r="Y16" s="36">
        <v>45310</v>
      </c>
      <c r="Z16" s="36">
        <v>45313</v>
      </c>
      <c r="AA16" s="36">
        <v>45314</v>
      </c>
      <c r="AB16" s="36">
        <v>45646</v>
      </c>
      <c r="AC16" s="36" t="s">
        <v>70</v>
      </c>
      <c r="AD16" s="36" t="s">
        <v>71</v>
      </c>
      <c r="AE16" s="37" t="s">
        <v>90</v>
      </c>
      <c r="AF16" s="32" t="s">
        <v>73</v>
      </c>
      <c r="AG16" s="32" t="s">
        <v>73</v>
      </c>
      <c r="AH16" s="38">
        <v>104183350</v>
      </c>
      <c r="AI16" s="38">
        <v>0</v>
      </c>
      <c r="AJ16" s="38">
        <f t="shared" ref="AJ16:AJ61" si="4">AH16+AI16</f>
        <v>104183350</v>
      </c>
      <c r="AK16" s="38">
        <v>0</v>
      </c>
      <c r="AL16" s="66">
        <v>104183350</v>
      </c>
      <c r="AM16" s="38">
        <v>0</v>
      </c>
      <c r="AN16" s="38">
        <v>104500000</v>
      </c>
      <c r="AO16" s="38">
        <f t="shared" si="1"/>
        <v>316650</v>
      </c>
      <c r="AP16" s="38"/>
      <c r="AQ16" s="192">
        <v>7</v>
      </c>
      <c r="AR16" s="66">
        <f>(AS16*6)+2850000</f>
        <v>59850000</v>
      </c>
      <c r="AS16" s="38">
        <v>9500000</v>
      </c>
      <c r="AT16" s="54">
        <f t="shared" si="3"/>
        <v>0.56999999999999995</v>
      </c>
      <c r="AU16" s="65">
        <f t="shared" si="2"/>
        <v>44333350</v>
      </c>
      <c r="AV16" s="30" t="s">
        <v>150</v>
      </c>
      <c r="AW16" s="43" t="s">
        <v>151</v>
      </c>
      <c r="AX16" s="32"/>
    </row>
    <row r="17" spans="1:50" ht="66.599999999999994" customHeight="1" x14ac:dyDescent="0.25">
      <c r="A17" s="47">
        <v>10</v>
      </c>
      <c r="B17" s="47">
        <v>10</v>
      </c>
      <c r="C17" s="63">
        <v>80111614</v>
      </c>
      <c r="D17" s="32" t="s">
        <v>81</v>
      </c>
      <c r="E17" s="32"/>
      <c r="F17" s="29" t="s">
        <v>56</v>
      </c>
      <c r="G17" s="29" t="s">
        <v>82</v>
      </c>
      <c r="H17" s="29" t="s">
        <v>152</v>
      </c>
      <c r="I17" s="41" t="s">
        <v>59</v>
      </c>
      <c r="J17" s="41" t="s">
        <v>60</v>
      </c>
      <c r="K17" s="41">
        <v>2024</v>
      </c>
      <c r="L17" s="41">
        <v>113</v>
      </c>
      <c r="M17" s="29" t="s">
        <v>59</v>
      </c>
      <c r="N17" s="29" t="s">
        <v>3</v>
      </c>
      <c r="O17" s="32" t="s">
        <v>61</v>
      </c>
      <c r="P17" s="32" t="s">
        <v>129</v>
      </c>
      <c r="Q17" s="32" t="s">
        <v>140</v>
      </c>
      <c r="R17" s="32"/>
      <c r="S17" s="32" t="s">
        <v>64</v>
      </c>
      <c r="T17" s="30" t="s">
        <v>153</v>
      </c>
      <c r="U17" s="32" t="s">
        <v>154</v>
      </c>
      <c r="V17" s="55" t="s">
        <v>155</v>
      </c>
      <c r="W17" s="48" t="s">
        <v>156</v>
      </c>
      <c r="X17" s="35" t="s">
        <v>69</v>
      </c>
      <c r="Y17" s="36">
        <v>45308</v>
      </c>
      <c r="Z17" s="36">
        <v>45310</v>
      </c>
      <c r="AA17" s="36">
        <v>45313</v>
      </c>
      <c r="AB17" s="36">
        <v>45646</v>
      </c>
      <c r="AC17" s="36" t="s">
        <v>70</v>
      </c>
      <c r="AD17" s="36" t="s">
        <v>71</v>
      </c>
      <c r="AE17" s="37" t="s">
        <v>90</v>
      </c>
      <c r="AF17" s="32" t="s">
        <v>73</v>
      </c>
      <c r="AG17" s="32" t="s">
        <v>73</v>
      </c>
      <c r="AH17" s="38">
        <v>187000000</v>
      </c>
      <c r="AI17" s="38">
        <v>0</v>
      </c>
      <c r="AJ17" s="38">
        <f t="shared" si="4"/>
        <v>187000000</v>
      </c>
      <c r="AK17" s="38">
        <v>0</v>
      </c>
      <c r="AL17" s="66">
        <v>187000000</v>
      </c>
      <c r="AM17" s="38">
        <v>0</v>
      </c>
      <c r="AN17" s="38">
        <v>187000000</v>
      </c>
      <c r="AO17" s="38">
        <f t="shared" si="1"/>
        <v>0</v>
      </c>
      <c r="AP17" s="38"/>
      <c r="AQ17" s="192">
        <v>7</v>
      </c>
      <c r="AR17" s="66">
        <f>(AS17*6)+5100000</f>
        <v>107100000</v>
      </c>
      <c r="AS17" s="38">
        <v>17000000</v>
      </c>
      <c r="AT17" s="54">
        <f t="shared" si="3"/>
        <v>0.56999999999999995</v>
      </c>
      <c r="AU17" s="65">
        <f t="shared" si="2"/>
        <v>79900000</v>
      </c>
      <c r="AV17" s="30" t="s">
        <v>157</v>
      </c>
      <c r="AW17" s="156" t="s">
        <v>158</v>
      </c>
      <c r="AX17" s="32"/>
    </row>
    <row r="18" spans="1:50" ht="30" customHeight="1" x14ac:dyDescent="0.25">
      <c r="A18" s="47">
        <v>11</v>
      </c>
      <c r="B18" s="47">
        <v>11</v>
      </c>
      <c r="C18" s="63">
        <v>80111614</v>
      </c>
      <c r="D18" s="32" t="s">
        <v>81</v>
      </c>
      <c r="E18" s="32"/>
      <c r="F18" s="29" t="s">
        <v>56</v>
      </c>
      <c r="G18" s="29" t="s">
        <v>82</v>
      </c>
      <c r="H18" s="29" t="s">
        <v>159</v>
      </c>
      <c r="I18" s="41" t="s">
        <v>59</v>
      </c>
      <c r="J18" s="41" t="s">
        <v>60</v>
      </c>
      <c r="K18" s="41">
        <v>2024</v>
      </c>
      <c r="L18" s="41">
        <v>114</v>
      </c>
      <c r="M18" s="29" t="s">
        <v>59</v>
      </c>
      <c r="N18" s="29" t="s">
        <v>3</v>
      </c>
      <c r="O18" s="32" t="s">
        <v>61</v>
      </c>
      <c r="P18" s="32" t="s">
        <v>129</v>
      </c>
      <c r="Q18" s="32" t="s">
        <v>85</v>
      </c>
      <c r="R18" s="32"/>
      <c r="S18" s="32" t="s">
        <v>64</v>
      </c>
      <c r="T18" s="30" t="s">
        <v>160</v>
      </c>
      <c r="U18" s="32" t="s">
        <v>161</v>
      </c>
      <c r="V18" s="55" t="s">
        <v>162</v>
      </c>
      <c r="W18" s="56" t="s">
        <v>163</v>
      </c>
      <c r="X18" s="35" t="s">
        <v>69</v>
      </c>
      <c r="Y18" s="36">
        <v>45314</v>
      </c>
      <c r="Z18" s="36">
        <v>45315</v>
      </c>
      <c r="AA18" s="36">
        <v>45316</v>
      </c>
      <c r="AB18" s="36">
        <v>45646</v>
      </c>
      <c r="AC18" s="36" t="s">
        <v>70</v>
      </c>
      <c r="AD18" s="36" t="s">
        <v>71</v>
      </c>
      <c r="AE18" s="37" t="s">
        <v>90</v>
      </c>
      <c r="AF18" s="32" t="s">
        <v>73</v>
      </c>
      <c r="AG18" s="32" t="s">
        <v>73</v>
      </c>
      <c r="AH18" s="38">
        <v>187000000</v>
      </c>
      <c r="AI18" s="38">
        <v>0</v>
      </c>
      <c r="AJ18" s="38">
        <f t="shared" si="4"/>
        <v>187000000</v>
      </c>
      <c r="AK18" s="38">
        <v>0</v>
      </c>
      <c r="AL18" s="66">
        <v>187000000</v>
      </c>
      <c r="AM18" s="38">
        <v>0</v>
      </c>
      <c r="AN18" s="38">
        <v>187000000</v>
      </c>
      <c r="AO18" s="38">
        <f t="shared" si="1"/>
        <v>0</v>
      </c>
      <c r="AP18" s="38"/>
      <c r="AQ18" s="192">
        <v>7</v>
      </c>
      <c r="AR18" s="66">
        <f>3400000+(AS18*6)</f>
        <v>105400000</v>
      </c>
      <c r="AS18" s="38">
        <v>17000000</v>
      </c>
      <c r="AT18" s="54">
        <f t="shared" si="3"/>
        <v>0.56000000000000005</v>
      </c>
      <c r="AU18" s="65">
        <f t="shared" si="2"/>
        <v>81600000</v>
      </c>
      <c r="AV18" s="30" t="s">
        <v>164</v>
      </c>
      <c r="AW18" s="43" t="s">
        <v>165</v>
      </c>
      <c r="AX18" s="32"/>
    </row>
    <row r="19" spans="1:50" ht="30" customHeight="1" x14ac:dyDescent="0.25">
      <c r="A19" s="47">
        <v>12</v>
      </c>
      <c r="B19" s="47">
        <v>12</v>
      </c>
      <c r="C19" s="63"/>
      <c r="D19" s="32"/>
      <c r="E19" s="32"/>
      <c r="F19" s="29" t="s">
        <v>56</v>
      </c>
      <c r="G19" s="29" t="s">
        <v>82</v>
      </c>
      <c r="H19" s="29" t="s">
        <v>166</v>
      </c>
      <c r="I19" s="41" t="s">
        <v>59</v>
      </c>
      <c r="J19" s="41" t="s">
        <v>60</v>
      </c>
      <c r="K19" s="41">
        <v>2024</v>
      </c>
      <c r="L19" s="41">
        <v>108</v>
      </c>
      <c r="M19" s="29" t="s">
        <v>59</v>
      </c>
      <c r="N19" s="29" t="s">
        <v>3</v>
      </c>
      <c r="O19" s="32" t="s">
        <v>61</v>
      </c>
      <c r="P19" s="32" t="s">
        <v>129</v>
      </c>
      <c r="Q19" s="32" t="s">
        <v>63</v>
      </c>
      <c r="R19" s="32"/>
      <c r="S19" s="32" t="s">
        <v>64</v>
      </c>
      <c r="T19" s="30" t="s">
        <v>167</v>
      </c>
      <c r="U19" s="32" t="s">
        <v>168</v>
      </c>
      <c r="V19" s="45" t="s">
        <v>169</v>
      </c>
      <c r="W19" s="48" t="s">
        <v>170</v>
      </c>
      <c r="X19" s="35" t="s">
        <v>69</v>
      </c>
      <c r="Y19" s="36">
        <v>45323</v>
      </c>
      <c r="Z19" s="36">
        <v>45324</v>
      </c>
      <c r="AA19" s="36" t="s">
        <v>70</v>
      </c>
      <c r="AB19" s="36">
        <v>45646</v>
      </c>
      <c r="AC19" s="36" t="s">
        <v>70</v>
      </c>
      <c r="AD19" s="36" t="s">
        <v>71</v>
      </c>
      <c r="AE19" s="37" t="s">
        <v>72</v>
      </c>
      <c r="AF19" s="32" t="s">
        <v>73</v>
      </c>
      <c r="AG19" s="32" t="s">
        <v>73</v>
      </c>
      <c r="AH19" s="38">
        <v>148500000</v>
      </c>
      <c r="AI19" s="38">
        <v>0</v>
      </c>
      <c r="AJ19" s="38">
        <f t="shared" si="4"/>
        <v>148500000</v>
      </c>
      <c r="AK19" s="38">
        <v>0</v>
      </c>
      <c r="AL19" s="66">
        <v>148500000</v>
      </c>
      <c r="AM19" s="38">
        <v>0</v>
      </c>
      <c r="AN19" s="38">
        <v>148500000</v>
      </c>
      <c r="AO19" s="38">
        <f t="shared" si="1"/>
        <v>0</v>
      </c>
      <c r="AP19" s="38"/>
      <c r="AQ19" s="192">
        <v>6</v>
      </c>
      <c r="AR19" s="66">
        <f>AS19*6</f>
        <v>81000000</v>
      </c>
      <c r="AS19" s="38">
        <v>13500000</v>
      </c>
      <c r="AT19" s="54">
        <f t="shared" si="3"/>
        <v>0.55000000000000004</v>
      </c>
      <c r="AU19" s="65">
        <f t="shared" si="2"/>
        <v>67500000</v>
      </c>
      <c r="AV19" s="30" t="s">
        <v>171</v>
      </c>
      <c r="AW19" s="43" t="s">
        <v>172</v>
      </c>
      <c r="AX19" s="32"/>
    </row>
    <row r="20" spans="1:50" ht="30" customHeight="1" x14ac:dyDescent="0.25">
      <c r="A20" s="47">
        <v>13</v>
      </c>
      <c r="B20" s="47">
        <v>13</v>
      </c>
      <c r="C20" s="63"/>
      <c r="D20" s="32"/>
      <c r="E20" s="32"/>
      <c r="F20" s="29" t="s">
        <v>56</v>
      </c>
      <c r="G20" s="29" t="s">
        <v>82</v>
      </c>
      <c r="H20" s="29" t="s">
        <v>173</v>
      </c>
      <c r="I20" s="41" t="s">
        <v>59</v>
      </c>
      <c r="J20" s="41" t="s">
        <v>60</v>
      </c>
      <c r="K20" s="41">
        <v>2024</v>
      </c>
      <c r="L20" s="41">
        <v>107</v>
      </c>
      <c r="M20" s="29" t="s">
        <v>59</v>
      </c>
      <c r="N20" s="29" t="s">
        <v>3</v>
      </c>
      <c r="O20" s="32" t="s">
        <v>61</v>
      </c>
      <c r="P20" s="32" t="s">
        <v>129</v>
      </c>
      <c r="Q20" s="32" t="s">
        <v>63</v>
      </c>
      <c r="R20" s="32"/>
      <c r="S20" s="32" t="s">
        <v>64</v>
      </c>
      <c r="T20" s="30" t="s">
        <v>174</v>
      </c>
      <c r="U20" s="32" t="s">
        <v>175</v>
      </c>
      <c r="V20" s="45" t="s">
        <v>176</v>
      </c>
      <c r="W20" s="56" t="s">
        <v>177</v>
      </c>
      <c r="X20" s="35" t="s">
        <v>69</v>
      </c>
      <c r="Y20" s="36">
        <v>45323</v>
      </c>
      <c r="Z20" s="36">
        <v>44962</v>
      </c>
      <c r="AA20" s="36" t="s">
        <v>70</v>
      </c>
      <c r="AB20" s="36">
        <v>45646</v>
      </c>
      <c r="AC20" s="36" t="s">
        <v>70</v>
      </c>
      <c r="AD20" s="36" t="s">
        <v>71</v>
      </c>
      <c r="AE20" s="37" t="s">
        <v>72</v>
      </c>
      <c r="AF20" s="32" t="s">
        <v>73</v>
      </c>
      <c r="AG20" s="32" t="s">
        <v>73</v>
      </c>
      <c r="AH20" s="38">
        <v>148500000</v>
      </c>
      <c r="AI20" s="38">
        <v>0</v>
      </c>
      <c r="AJ20" s="38">
        <f t="shared" si="4"/>
        <v>148500000</v>
      </c>
      <c r="AK20" s="38">
        <v>0</v>
      </c>
      <c r="AL20" s="66">
        <v>148500000</v>
      </c>
      <c r="AM20" s="38">
        <v>0</v>
      </c>
      <c r="AN20" s="38">
        <v>148500000</v>
      </c>
      <c r="AO20" s="38">
        <f t="shared" si="1"/>
        <v>0</v>
      </c>
      <c r="AP20" s="38"/>
      <c r="AQ20" s="192">
        <v>6</v>
      </c>
      <c r="AR20" s="66">
        <f>AS20*6</f>
        <v>81000000</v>
      </c>
      <c r="AS20" s="38">
        <v>13500000</v>
      </c>
      <c r="AT20" s="54">
        <f t="shared" si="3"/>
        <v>0.55000000000000004</v>
      </c>
      <c r="AU20" s="65">
        <f t="shared" si="2"/>
        <v>67500000</v>
      </c>
      <c r="AV20" s="30" t="s">
        <v>178</v>
      </c>
      <c r="AW20" s="43" t="s">
        <v>179</v>
      </c>
      <c r="AX20" s="32"/>
    </row>
    <row r="21" spans="1:50" ht="30" customHeight="1" x14ac:dyDescent="0.25">
      <c r="A21" s="47">
        <v>14</v>
      </c>
      <c r="B21" s="47">
        <v>14</v>
      </c>
      <c r="C21" s="63"/>
      <c r="D21" s="32"/>
      <c r="E21" s="32"/>
      <c r="F21" s="29" t="s">
        <v>56</v>
      </c>
      <c r="G21" s="29" t="s">
        <v>82</v>
      </c>
      <c r="H21" s="29" t="s">
        <v>180</v>
      </c>
      <c r="I21" s="41" t="s">
        <v>59</v>
      </c>
      <c r="J21" s="41" t="s">
        <v>60</v>
      </c>
      <c r="K21" s="41">
        <v>2024</v>
      </c>
      <c r="L21" s="41">
        <v>115</v>
      </c>
      <c r="M21" s="29" t="s">
        <v>59</v>
      </c>
      <c r="N21" s="29" t="s">
        <v>3</v>
      </c>
      <c r="O21" s="32" t="s">
        <v>61</v>
      </c>
      <c r="P21" s="32" t="s">
        <v>129</v>
      </c>
      <c r="Q21" s="32" t="s">
        <v>63</v>
      </c>
      <c r="R21" s="32"/>
      <c r="S21" s="32" t="s">
        <v>64</v>
      </c>
      <c r="T21" s="30" t="s">
        <v>181</v>
      </c>
      <c r="U21" s="32" t="s">
        <v>182</v>
      </c>
      <c r="V21" s="45" t="s">
        <v>183</v>
      </c>
      <c r="W21" s="48" t="s">
        <v>184</v>
      </c>
      <c r="X21" s="35" t="s">
        <v>69</v>
      </c>
      <c r="Y21" s="36">
        <v>45323</v>
      </c>
      <c r="Z21" s="36">
        <v>44962</v>
      </c>
      <c r="AA21" s="36" t="s">
        <v>70</v>
      </c>
      <c r="AB21" s="36">
        <v>45646</v>
      </c>
      <c r="AC21" s="36" t="s">
        <v>70</v>
      </c>
      <c r="AD21" s="36" t="s">
        <v>71</v>
      </c>
      <c r="AE21" s="37" t="s">
        <v>72</v>
      </c>
      <c r="AF21" s="32" t="s">
        <v>73</v>
      </c>
      <c r="AG21" s="32" t="s">
        <v>73</v>
      </c>
      <c r="AH21" s="38">
        <v>132000000</v>
      </c>
      <c r="AI21" s="38">
        <v>0</v>
      </c>
      <c r="AJ21" s="38">
        <f t="shared" si="4"/>
        <v>132000000</v>
      </c>
      <c r="AK21" s="38">
        <v>0</v>
      </c>
      <c r="AL21" s="66">
        <v>132000000</v>
      </c>
      <c r="AM21" s="38">
        <v>0</v>
      </c>
      <c r="AN21" s="38">
        <v>132000000</v>
      </c>
      <c r="AO21" s="38">
        <f t="shared" si="1"/>
        <v>0</v>
      </c>
      <c r="AP21" s="38"/>
      <c r="AQ21" s="192">
        <v>6</v>
      </c>
      <c r="AR21" s="66">
        <f>AS21*6</f>
        <v>72000000</v>
      </c>
      <c r="AS21" s="38">
        <v>12000000</v>
      </c>
      <c r="AT21" s="54">
        <f t="shared" si="3"/>
        <v>0.55000000000000004</v>
      </c>
      <c r="AU21" s="65">
        <f t="shared" si="2"/>
        <v>60000000</v>
      </c>
      <c r="AV21" s="30" t="s">
        <v>185</v>
      </c>
      <c r="AW21" s="43" t="s">
        <v>186</v>
      </c>
      <c r="AX21" s="32"/>
    </row>
    <row r="22" spans="1:50" ht="30" customHeight="1" x14ac:dyDescent="0.25">
      <c r="A22" s="47">
        <v>15</v>
      </c>
      <c r="B22" s="47">
        <v>15</v>
      </c>
      <c r="C22" s="63"/>
      <c r="D22" s="32"/>
      <c r="E22" s="32"/>
      <c r="F22" s="29" t="s">
        <v>56</v>
      </c>
      <c r="G22" s="29" t="s">
        <v>82</v>
      </c>
      <c r="H22" s="29" t="s">
        <v>187</v>
      </c>
      <c r="I22" s="41" t="s">
        <v>59</v>
      </c>
      <c r="J22" s="41" t="s">
        <v>60</v>
      </c>
      <c r="K22" s="41">
        <v>2024</v>
      </c>
      <c r="L22" s="41">
        <v>109</v>
      </c>
      <c r="M22" s="29" t="s">
        <v>59</v>
      </c>
      <c r="N22" s="29" t="s">
        <v>3</v>
      </c>
      <c r="O22" s="32" t="s">
        <v>61</v>
      </c>
      <c r="P22" s="32" t="s">
        <v>129</v>
      </c>
      <c r="Q22" s="32" t="s">
        <v>63</v>
      </c>
      <c r="R22" s="32"/>
      <c r="S22" s="32" t="s">
        <v>64</v>
      </c>
      <c r="T22" s="30" t="s">
        <v>188</v>
      </c>
      <c r="U22" s="32" t="s">
        <v>189</v>
      </c>
      <c r="V22" s="45" t="s">
        <v>190</v>
      </c>
      <c r="W22" s="56" t="s">
        <v>191</v>
      </c>
      <c r="X22" s="35" t="s">
        <v>69</v>
      </c>
      <c r="Y22" s="36">
        <v>45323</v>
      </c>
      <c r="Z22" s="36">
        <v>44959</v>
      </c>
      <c r="AA22" s="36" t="s">
        <v>70</v>
      </c>
      <c r="AB22" s="36">
        <v>45646</v>
      </c>
      <c r="AC22" s="36" t="s">
        <v>70</v>
      </c>
      <c r="AD22" s="36" t="s">
        <v>71</v>
      </c>
      <c r="AE22" s="37" t="s">
        <v>72</v>
      </c>
      <c r="AF22" s="32" t="s">
        <v>73</v>
      </c>
      <c r="AG22" s="32" t="s">
        <v>73</v>
      </c>
      <c r="AH22" s="38">
        <v>121000000</v>
      </c>
      <c r="AI22" s="38">
        <v>0</v>
      </c>
      <c r="AJ22" s="38">
        <f t="shared" si="4"/>
        <v>121000000</v>
      </c>
      <c r="AK22" s="38">
        <v>0</v>
      </c>
      <c r="AL22" s="66">
        <v>121000000</v>
      </c>
      <c r="AM22" s="38">
        <v>0</v>
      </c>
      <c r="AN22" s="38">
        <v>121000000</v>
      </c>
      <c r="AO22" s="38">
        <f t="shared" si="1"/>
        <v>0</v>
      </c>
      <c r="AP22" s="38"/>
      <c r="AQ22" s="192">
        <v>6</v>
      </c>
      <c r="AR22" s="66">
        <f>AS22*6</f>
        <v>66000000</v>
      </c>
      <c r="AS22" s="38">
        <v>11000000</v>
      </c>
      <c r="AT22" s="54">
        <f t="shared" si="3"/>
        <v>0.55000000000000004</v>
      </c>
      <c r="AU22" s="65">
        <f t="shared" si="2"/>
        <v>55000000</v>
      </c>
      <c r="AV22" s="30" t="s">
        <v>192</v>
      </c>
      <c r="AW22" s="43" t="s">
        <v>193</v>
      </c>
      <c r="AX22" s="32"/>
    </row>
    <row r="23" spans="1:50" ht="30" customHeight="1" x14ac:dyDescent="0.25">
      <c r="A23" s="47">
        <v>16</v>
      </c>
      <c r="B23" s="47">
        <v>16</v>
      </c>
      <c r="C23" s="63"/>
      <c r="D23" s="32"/>
      <c r="E23" s="32"/>
      <c r="F23" s="29" t="s">
        <v>56</v>
      </c>
      <c r="G23" s="29" t="s">
        <v>82</v>
      </c>
      <c r="H23" s="29" t="s">
        <v>194</v>
      </c>
      <c r="I23" s="41" t="s">
        <v>59</v>
      </c>
      <c r="J23" s="41" t="s">
        <v>60</v>
      </c>
      <c r="K23" s="41">
        <v>2024</v>
      </c>
      <c r="L23" s="41">
        <v>104</v>
      </c>
      <c r="M23" s="29" t="s">
        <v>59</v>
      </c>
      <c r="N23" s="29" t="s">
        <v>3</v>
      </c>
      <c r="O23" s="32" t="s">
        <v>195</v>
      </c>
      <c r="P23" s="32" t="s">
        <v>129</v>
      </c>
      <c r="Q23" s="59"/>
      <c r="R23" s="59"/>
      <c r="S23" s="32" t="s">
        <v>64</v>
      </c>
      <c r="T23" s="30" t="s">
        <v>426</v>
      </c>
      <c r="U23" s="32" t="s">
        <v>197</v>
      </c>
      <c r="V23" s="46" t="s">
        <v>198</v>
      </c>
      <c r="W23" s="34" t="s">
        <v>199</v>
      </c>
      <c r="X23" s="35" t="s">
        <v>69</v>
      </c>
      <c r="Y23" s="36">
        <v>45335</v>
      </c>
      <c r="Z23" s="36">
        <v>45338</v>
      </c>
      <c r="AA23" s="36" t="s">
        <v>70</v>
      </c>
      <c r="AB23" s="36">
        <v>45646</v>
      </c>
      <c r="AC23" s="36" t="s">
        <v>70</v>
      </c>
      <c r="AD23" s="36" t="s">
        <v>71</v>
      </c>
      <c r="AE23" s="37" t="s">
        <v>72</v>
      </c>
      <c r="AF23" s="32" t="s">
        <v>73</v>
      </c>
      <c r="AG23" s="32" t="s">
        <v>73</v>
      </c>
      <c r="AH23" s="38">
        <v>165000000</v>
      </c>
      <c r="AI23" s="38">
        <v>0</v>
      </c>
      <c r="AJ23" s="38">
        <f t="shared" si="4"/>
        <v>165000000</v>
      </c>
      <c r="AK23" s="38">
        <v>0</v>
      </c>
      <c r="AL23" s="66">
        <v>165000000</v>
      </c>
      <c r="AM23" s="38">
        <v>0</v>
      </c>
      <c r="AN23" s="38">
        <v>165000000</v>
      </c>
      <c r="AO23" s="38">
        <f t="shared" si="1"/>
        <v>0</v>
      </c>
      <c r="AP23" s="38"/>
      <c r="AQ23" s="192">
        <v>6</v>
      </c>
      <c r="AR23" s="66">
        <f>AS23*6</f>
        <v>90000000</v>
      </c>
      <c r="AS23" s="38">
        <v>15000000</v>
      </c>
      <c r="AT23" s="54">
        <f t="shared" si="3"/>
        <v>0.55000000000000004</v>
      </c>
      <c r="AU23" s="65">
        <f t="shared" si="2"/>
        <v>75000000</v>
      </c>
      <c r="AV23" s="30" t="s">
        <v>200</v>
      </c>
      <c r="AW23" s="43" t="s">
        <v>201</v>
      </c>
      <c r="AX23" s="32"/>
    </row>
    <row r="24" spans="1:50" ht="42.75" x14ac:dyDescent="0.25">
      <c r="A24" s="47">
        <v>17</v>
      </c>
      <c r="B24" s="47">
        <v>17</v>
      </c>
      <c r="C24" s="63"/>
      <c r="D24" s="32"/>
      <c r="E24" s="32"/>
      <c r="F24" s="29" t="s">
        <v>93</v>
      </c>
      <c r="G24" s="29" t="s">
        <v>202</v>
      </c>
      <c r="H24" s="29" t="s">
        <v>203</v>
      </c>
      <c r="I24" s="41" t="s">
        <v>59</v>
      </c>
      <c r="J24" s="41" t="s">
        <v>60</v>
      </c>
      <c r="K24" s="41">
        <v>2023</v>
      </c>
      <c r="L24" s="41">
        <v>226</v>
      </c>
      <c r="M24" s="29" t="s">
        <v>109</v>
      </c>
      <c r="N24" s="29" t="s">
        <v>2</v>
      </c>
      <c r="O24" s="32" t="s">
        <v>61</v>
      </c>
      <c r="P24" s="32" t="s">
        <v>204</v>
      </c>
      <c r="Q24" s="32" t="s">
        <v>205</v>
      </c>
      <c r="R24" s="32"/>
      <c r="S24" s="32" t="s">
        <v>112</v>
      </c>
      <c r="T24" s="31" t="s">
        <v>206</v>
      </c>
      <c r="U24" s="32" t="s">
        <v>207</v>
      </c>
      <c r="V24" s="45">
        <v>205529</v>
      </c>
      <c r="W24" s="30" t="s">
        <v>208</v>
      </c>
      <c r="X24" s="35">
        <v>121233</v>
      </c>
      <c r="Y24" s="36">
        <v>45259</v>
      </c>
      <c r="Z24" s="36">
        <v>45265</v>
      </c>
      <c r="AA24" s="36">
        <v>45265</v>
      </c>
      <c r="AB24" s="36">
        <v>45777</v>
      </c>
      <c r="AC24" s="36" t="s">
        <v>70</v>
      </c>
      <c r="AD24" s="36" t="s">
        <v>71</v>
      </c>
      <c r="AE24" s="37" t="s">
        <v>90</v>
      </c>
      <c r="AF24" s="32" t="s">
        <v>116</v>
      </c>
      <c r="AG24" s="32" t="s">
        <v>116</v>
      </c>
      <c r="AH24" s="38">
        <v>37300074</v>
      </c>
      <c r="AI24" s="38">
        <v>0</v>
      </c>
      <c r="AJ24" s="38">
        <f t="shared" si="4"/>
        <v>37300074</v>
      </c>
      <c r="AK24" s="38">
        <v>2194122</v>
      </c>
      <c r="AL24" s="66">
        <v>26329464</v>
      </c>
      <c r="AM24" s="38">
        <v>8776488</v>
      </c>
      <c r="AN24" s="38">
        <v>0</v>
      </c>
      <c r="AO24" s="38">
        <f t="shared" si="1"/>
        <v>0</v>
      </c>
      <c r="AP24" s="38"/>
      <c r="AQ24" s="192">
        <v>7</v>
      </c>
      <c r="AR24" s="66">
        <f>1314970.23+(2015826.68*6)</f>
        <v>13409930.310000001</v>
      </c>
      <c r="AS24" s="38">
        <v>2194122</v>
      </c>
      <c r="AT24" s="54">
        <f t="shared" si="3"/>
        <v>0.51</v>
      </c>
      <c r="AU24" s="65">
        <f t="shared" si="2"/>
        <v>12919533.689999999</v>
      </c>
      <c r="AV24" s="30" t="s">
        <v>209</v>
      </c>
      <c r="AW24" s="30" t="s">
        <v>210</v>
      </c>
      <c r="AX24" s="32"/>
    </row>
    <row r="25" spans="1:50" ht="85.5" x14ac:dyDescent="0.25">
      <c r="A25" s="47">
        <v>18</v>
      </c>
      <c r="B25" s="47">
        <v>18</v>
      </c>
      <c r="C25" s="63"/>
      <c r="D25" s="32"/>
      <c r="E25" s="32"/>
      <c r="F25" s="29" t="s">
        <v>93</v>
      </c>
      <c r="G25" s="29" t="s">
        <v>212</v>
      </c>
      <c r="H25" s="29" t="s">
        <v>213</v>
      </c>
      <c r="I25" s="41" t="s">
        <v>59</v>
      </c>
      <c r="J25" s="41" t="s">
        <v>60</v>
      </c>
      <c r="K25" s="41">
        <v>2023</v>
      </c>
      <c r="L25" s="41">
        <v>95</v>
      </c>
      <c r="M25" s="29" t="s">
        <v>109</v>
      </c>
      <c r="N25" s="29" t="s">
        <v>2</v>
      </c>
      <c r="O25" s="32" t="s">
        <v>61</v>
      </c>
      <c r="P25" s="32" t="s">
        <v>204</v>
      </c>
      <c r="Q25" s="32" t="s">
        <v>214</v>
      </c>
      <c r="R25" s="32"/>
      <c r="S25" s="32" t="s">
        <v>112</v>
      </c>
      <c r="T25" s="30" t="s">
        <v>215</v>
      </c>
      <c r="U25" s="32" t="s">
        <v>216</v>
      </c>
      <c r="V25" s="45">
        <v>163259</v>
      </c>
      <c r="W25" s="48" t="s">
        <v>217</v>
      </c>
      <c r="X25" s="35">
        <v>121992</v>
      </c>
      <c r="Y25" s="36">
        <v>45267</v>
      </c>
      <c r="Z25" s="36">
        <v>45273</v>
      </c>
      <c r="AA25" s="36">
        <v>45273</v>
      </c>
      <c r="AB25" s="36">
        <v>45639</v>
      </c>
      <c r="AC25" s="36" t="s">
        <v>70</v>
      </c>
      <c r="AD25" s="36" t="s">
        <v>71</v>
      </c>
      <c r="AE25" s="37" t="s">
        <v>90</v>
      </c>
      <c r="AF25" s="30" t="s">
        <v>116</v>
      </c>
      <c r="AG25" s="30" t="s">
        <v>116</v>
      </c>
      <c r="AH25" s="38">
        <v>547593718.28999996</v>
      </c>
      <c r="AI25" s="38">
        <f>-10857905.7+62899991.32-0.06</f>
        <v>52042085.560000002</v>
      </c>
      <c r="AJ25" s="38">
        <f t="shared" si="4"/>
        <v>599635803.8499999</v>
      </c>
      <c r="AK25" s="38">
        <v>15609124.010000002</v>
      </c>
      <c r="AL25" s="66">
        <v>584026679.84000003</v>
      </c>
      <c r="AM25" s="38">
        <v>0</v>
      </c>
      <c r="AN25" s="38">
        <v>0</v>
      </c>
      <c r="AO25" s="38">
        <f t="shared" si="1"/>
        <v>0</v>
      </c>
      <c r="AP25" s="38"/>
      <c r="AQ25" s="192">
        <v>6</v>
      </c>
      <c r="AR25" s="66">
        <f>253157382.85-15609124.01+51140690.04</f>
        <v>288688948.88</v>
      </c>
      <c r="AS25" s="38">
        <v>51140690.039999999</v>
      </c>
      <c r="AT25" s="54">
        <f t="shared" si="3"/>
        <v>0.49</v>
      </c>
      <c r="AU25" s="65">
        <f t="shared" si="2"/>
        <v>295337730.96000004</v>
      </c>
      <c r="AV25" s="30" t="s">
        <v>218</v>
      </c>
      <c r="AW25" s="43" t="s">
        <v>219</v>
      </c>
      <c r="AX25" s="32" t="s">
        <v>805</v>
      </c>
    </row>
    <row r="26" spans="1:50" ht="99.75" x14ac:dyDescent="0.25">
      <c r="A26" s="47">
        <v>19</v>
      </c>
      <c r="B26" s="47">
        <v>19</v>
      </c>
      <c r="C26" s="63"/>
      <c r="D26" s="32"/>
      <c r="E26" s="32"/>
      <c r="F26" s="29" t="s">
        <v>221</v>
      </c>
      <c r="G26" s="29" t="s">
        <v>221</v>
      </c>
      <c r="H26" s="29" t="s">
        <v>222</v>
      </c>
      <c r="I26" s="41" t="s">
        <v>59</v>
      </c>
      <c r="J26" s="41" t="s">
        <v>60</v>
      </c>
      <c r="K26" s="41">
        <v>2023</v>
      </c>
      <c r="L26" s="41">
        <v>246</v>
      </c>
      <c r="M26" s="29" t="s">
        <v>109</v>
      </c>
      <c r="N26" s="29" t="s">
        <v>2</v>
      </c>
      <c r="O26" s="32" t="s">
        <v>223</v>
      </c>
      <c r="P26" s="32" t="s">
        <v>204</v>
      </c>
      <c r="Q26" s="32" t="s">
        <v>224</v>
      </c>
      <c r="R26" s="32"/>
      <c r="S26" s="32" t="s">
        <v>64</v>
      </c>
      <c r="T26" s="30" t="s">
        <v>225</v>
      </c>
      <c r="U26" s="32" t="s">
        <v>226</v>
      </c>
      <c r="V26" s="45" t="s">
        <v>227</v>
      </c>
      <c r="W26" s="44" t="s">
        <v>228</v>
      </c>
      <c r="X26" s="35" t="s">
        <v>69</v>
      </c>
      <c r="Y26" s="36">
        <v>45260</v>
      </c>
      <c r="Z26" s="36">
        <v>45265</v>
      </c>
      <c r="AA26" s="36" t="s">
        <v>70</v>
      </c>
      <c r="AB26" s="36">
        <v>45539</v>
      </c>
      <c r="AC26" s="36" t="s">
        <v>70</v>
      </c>
      <c r="AD26" s="36" t="s">
        <v>71</v>
      </c>
      <c r="AE26" s="37" t="s">
        <v>72</v>
      </c>
      <c r="AF26" s="30" t="s">
        <v>135</v>
      </c>
      <c r="AG26" s="30" t="s">
        <v>135</v>
      </c>
      <c r="AH26" s="38">
        <v>1272271483</v>
      </c>
      <c r="AI26" s="38">
        <v>0</v>
      </c>
      <c r="AJ26" s="38">
        <f t="shared" si="4"/>
        <v>1272271483</v>
      </c>
      <c r="AK26" s="38">
        <v>868916461</v>
      </c>
      <c r="AL26" s="66">
        <v>403355022</v>
      </c>
      <c r="AM26" s="38">
        <v>0</v>
      </c>
      <c r="AN26" s="38">
        <v>0</v>
      </c>
      <c r="AO26" s="38">
        <f t="shared" si="1"/>
        <v>0</v>
      </c>
      <c r="AP26" s="38"/>
      <c r="AQ26" s="192">
        <v>0</v>
      </c>
      <c r="AR26" s="66">
        <v>0</v>
      </c>
      <c r="AS26" s="38" t="s">
        <v>69</v>
      </c>
      <c r="AT26" s="54">
        <f t="shared" si="3"/>
        <v>0</v>
      </c>
      <c r="AU26" s="65">
        <f t="shared" si="2"/>
        <v>403355022</v>
      </c>
      <c r="AV26" s="30" t="s">
        <v>229</v>
      </c>
      <c r="AW26" s="43" t="s">
        <v>230</v>
      </c>
      <c r="AX26" s="118" t="s">
        <v>634</v>
      </c>
    </row>
    <row r="27" spans="1:50" ht="45" x14ac:dyDescent="0.25">
      <c r="A27" s="47">
        <v>20</v>
      </c>
      <c r="B27" s="47">
        <v>20</v>
      </c>
      <c r="C27" s="63"/>
      <c r="D27" s="32"/>
      <c r="E27" s="32"/>
      <c r="F27" s="29" t="s">
        <v>93</v>
      </c>
      <c r="G27" s="29" t="s">
        <v>202</v>
      </c>
      <c r="H27" s="29" t="s">
        <v>231</v>
      </c>
      <c r="I27" s="41" t="s">
        <v>59</v>
      </c>
      <c r="J27" s="41" t="s">
        <v>60</v>
      </c>
      <c r="K27" s="41">
        <v>2023</v>
      </c>
      <c r="L27" s="41">
        <v>245</v>
      </c>
      <c r="M27" s="29" t="s">
        <v>109</v>
      </c>
      <c r="N27" s="29" t="s">
        <v>2</v>
      </c>
      <c r="O27" s="32" t="s">
        <v>61</v>
      </c>
      <c r="P27" s="32" t="s">
        <v>204</v>
      </c>
      <c r="Q27" s="32" t="s">
        <v>232</v>
      </c>
      <c r="R27" s="32"/>
      <c r="S27" s="32" t="s">
        <v>112</v>
      </c>
      <c r="T27" s="30" t="s">
        <v>233</v>
      </c>
      <c r="U27" s="32" t="s">
        <v>234</v>
      </c>
      <c r="V27" s="57">
        <v>206721</v>
      </c>
      <c r="W27" s="48" t="s">
        <v>235</v>
      </c>
      <c r="X27" s="35">
        <v>122184</v>
      </c>
      <c r="Y27" s="36">
        <v>45271</v>
      </c>
      <c r="Z27" s="36">
        <v>45275</v>
      </c>
      <c r="AA27" s="36">
        <v>45275</v>
      </c>
      <c r="AB27" s="36">
        <v>45983</v>
      </c>
      <c r="AC27" s="36" t="s">
        <v>70</v>
      </c>
      <c r="AD27" s="36" t="s">
        <v>71</v>
      </c>
      <c r="AE27" s="37" t="s">
        <v>90</v>
      </c>
      <c r="AF27" s="30" t="s">
        <v>116</v>
      </c>
      <c r="AG27" s="30" t="s">
        <v>116</v>
      </c>
      <c r="AH27" s="38">
        <v>120685506.48</v>
      </c>
      <c r="AI27" s="38">
        <v>0</v>
      </c>
      <c r="AJ27" s="38">
        <f t="shared" si="4"/>
        <v>120685506.48</v>
      </c>
      <c r="AK27" s="38">
        <v>2742852.42</v>
      </c>
      <c r="AL27" s="66">
        <v>65828458.079999998</v>
      </c>
      <c r="AM27" s="38">
        <v>52114195.980000004</v>
      </c>
      <c r="AN27" s="38">
        <v>0</v>
      </c>
      <c r="AO27" s="38">
        <f t="shared" si="1"/>
        <v>0</v>
      </c>
      <c r="AP27" s="38"/>
      <c r="AQ27" s="192">
        <v>6</v>
      </c>
      <c r="AR27" s="66">
        <f>5485704.84*6</f>
        <v>32914229.039999999</v>
      </c>
      <c r="AS27" s="38">
        <v>5485704.8399999999</v>
      </c>
      <c r="AT27" s="54">
        <f t="shared" si="3"/>
        <v>0.5</v>
      </c>
      <c r="AU27" s="65">
        <f t="shared" si="2"/>
        <v>32914229.039999999</v>
      </c>
      <c r="AV27" s="30" t="s">
        <v>236</v>
      </c>
      <c r="AW27" s="43" t="s">
        <v>237</v>
      </c>
      <c r="AX27" s="32"/>
    </row>
    <row r="28" spans="1:50" ht="30" customHeight="1" x14ac:dyDescent="0.25">
      <c r="A28" s="47">
        <v>21</v>
      </c>
      <c r="B28" s="47">
        <v>21</v>
      </c>
      <c r="C28" s="63">
        <v>80111614</v>
      </c>
      <c r="D28" s="32" t="s">
        <v>81</v>
      </c>
      <c r="E28" s="32"/>
      <c r="F28" s="29" t="s">
        <v>56</v>
      </c>
      <c r="G28" s="29" t="s">
        <v>238</v>
      </c>
      <c r="H28" s="29" t="s">
        <v>239</v>
      </c>
      <c r="I28" s="41" t="s">
        <v>59</v>
      </c>
      <c r="J28" s="41" t="s">
        <v>60</v>
      </c>
      <c r="K28" s="41">
        <v>2024</v>
      </c>
      <c r="L28" s="41">
        <v>83</v>
      </c>
      <c r="M28" s="29" t="s">
        <v>59</v>
      </c>
      <c r="N28" s="29" t="s">
        <v>3</v>
      </c>
      <c r="O28" s="32" t="s">
        <v>61</v>
      </c>
      <c r="P28" s="32" t="s">
        <v>204</v>
      </c>
      <c r="Q28" s="32" t="s">
        <v>240</v>
      </c>
      <c r="R28" s="32"/>
      <c r="S28" s="32" t="s">
        <v>64</v>
      </c>
      <c r="T28" s="30" t="s">
        <v>241</v>
      </c>
      <c r="U28" s="32" t="s">
        <v>242</v>
      </c>
      <c r="V28" s="45" t="s">
        <v>243</v>
      </c>
      <c r="W28" s="44" t="s">
        <v>244</v>
      </c>
      <c r="X28" s="35" t="s">
        <v>69</v>
      </c>
      <c r="Y28" s="36">
        <v>45314</v>
      </c>
      <c r="Z28" s="36">
        <v>45315</v>
      </c>
      <c r="AA28" s="36">
        <v>45315</v>
      </c>
      <c r="AB28" s="36">
        <v>45646</v>
      </c>
      <c r="AC28" s="36" t="s">
        <v>70</v>
      </c>
      <c r="AD28" s="36" t="s">
        <v>71</v>
      </c>
      <c r="AE28" s="37" t="s">
        <v>90</v>
      </c>
      <c r="AF28" s="32" t="s">
        <v>73</v>
      </c>
      <c r="AG28" s="32" t="s">
        <v>73</v>
      </c>
      <c r="AH28" s="38">
        <v>101790360</v>
      </c>
      <c r="AI28" s="38">
        <v>0</v>
      </c>
      <c r="AJ28" s="38">
        <f t="shared" si="4"/>
        <v>101790360</v>
      </c>
      <c r="AK28" s="38">
        <v>0</v>
      </c>
      <c r="AL28" s="66">
        <v>101790360</v>
      </c>
      <c r="AM28" s="38">
        <v>0</v>
      </c>
      <c r="AN28" s="38">
        <v>101790360.76000001</v>
      </c>
      <c r="AO28" s="38">
        <f t="shared" si="1"/>
        <v>0.76000000536441803</v>
      </c>
      <c r="AP28" s="38"/>
      <c r="AQ28" s="192">
        <v>6</v>
      </c>
      <c r="AR28" s="66">
        <f>2159189.43+(AS28*5)</f>
        <v>48427534.43</v>
      </c>
      <c r="AS28" s="38">
        <v>9253669</v>
      </c>
      <c r="AT28" s="54">
        <f t="shared" si="3"/>
        <v>0.48</v>
      </c>
      <c r="AU28" s="65">
        <f t="shared" si="2"/>
        <v>53362825.57</v>
      </c>
      <c r="AV28" s="30" t="s">
        <v>245</v>
      </c>
      <c r="AW28" s="43" t="s">
        <v>246</v>
      </c>
      <c r="AX28" s="32"/>
    </row>
    <row r="29" spans="1:50" ht="99.75" x14ac:dyDescent="0.25">
      <c r="A29" s="47">
        <v>22</v>
      </c>
      <c r="B29" s="47">
        <v>22</v>
      </c>
      <c r="C29" s="63">
        <v>81112501</v>
      </c>
      <c r="D29" s="32" t="s">
        <v>258</v>
      </c>
      <c r="E29" s="32"/>
      <c r="F29" s="29" t="s">
        <v>93</v>
      </c>
      <c r="G29" s="29" t="s">
        <v>259</v>
      </c>
      <c r="H29" s="29" t="s">
        <v>260</v>
      </c>
      <c r="I29" s="41" t="s">
        <v>59</v>
      </c>
      <c r="J29" s="41" t="s">
        <v>60</v>
      </c>
      <c r="K29" s="41">
        <v>2024</v>
      </c>
      <c r="L29" s="41">
        <v>86</v>
      </c>
      <c r="M29" s="29" t="s">
        <v>59</v>
      </c>
      <c r="N29" s="29" t="s">
        <v>3</v>
      </c>
      <c r="O29" s="32" t="s">
        <v>261</v>
      </c>
      <c r="P29" s="30" t="s">
        <v>71</v>
      </c>
      <c r="Q29" s="126"/>
      <c r="R29" s="126"/>
      <c r="S29" s="32" t="s">
        <v>64</v>
      </c>
      <c r="T29" s="30" t="s">
        <v>262</v>
      </c>
      <c r="U29" s="32" t="s">
        <v>263</v>
      </c>
      <c r="V29" s="46" t="s">
        <v>264</v>
      </c>
      <c r="W29" s="30" t="s">
        <v>265</v>
      </c>
      <c r="X29" s="35" t="s">
        <v>69</v>
      </c>
      <c r="Y29" s="36">
        <v>45353</v>
      </c>
      <c r="Z29" s="36">
        <v>45357</v>
      </c>
      <c r="AA29" s="36">
        <v>45362</v>
      </c>
      <c r="AB29" s="36">
        <v>45641</v>
      </c>
      <c r="AC29" s="36" t="s">
        <v>266</v>
      </c>
      <c r="AD29" s="36">
        <v>46356</v>
      </c>
      <c r="AE29" s="37" t="s">
        <v>90</v>
      </c>
      <c r="AF29" s="30" t="s">
        <v>267</v>
      </c>
      <c r="AG29" s="30" t="s">
        <v>267</v>
      </c>
      <c r="AH29" s="38">
        <v>2427600</v>
      </c>
      <c r="AI29" s="38">
        <v>0</v>
      </c>
      <c r="AJ29" s="38">
        <f t="shared" si="4"/>
        <v>2427600</v>
      </c>
      <c r="AK29" s="38">
        <v>0</v>
      </c>
      <c r="AL29" s="66">
        <v>2427600</v>
      </c>
      <c r="AM29" s="38">
        <v>0</v>
      </c>
      <c r="AN29" s="38">
        <v>18371251</v>
      </c>
      <c r="AO29" s="38">
        <f t="shared" si="1"/>
        <v>15943651</v>
      </c>
      <c r="AP29" s="38" t="s">
        <v>268</v>
      </c>
      <c r="AQ29" s="192">
        <v>4</v>
      </c>
      <c r="AR29" s="66">
        <v>2427600</v>
      </c>
      <c r="AS29" s="38" t="s">
        <v>69</v>
      </c>
      <c r="AT29" s="54">
        <f t="shared" si="3"/>
        <v>1</v>
      </c>
      <c r="AU29" s="65">
        <f t="shared" si="2"/>
        <v>0</v>
      </c>
      <c r="AV29" s="30" t="s">
        <v>643</v>
      </c>
      <c r="AW29" s="43" t="s">
        <v>269</v>
      </c>
      <c r="AX29" s="118" t="s">
        <v>270</v>
      </c>
    </row>
    <row r="30" spans="1:50" ht="156.75" x14ac:dyDescent="0.25">
      <c r="A30" s="47">
        <v>23</v>
      </c>
      <c r="B30" s="47">
        <v>23</v>
      </c>
      <c r="C30" s="63" t="s">
        <v>271</v>
      </c>
      <c r="D30" s="32"/>
      <c r="E30" s="32"/>
      <c r="F30" s="29" t="s">
        <v>647</v>
      </c>
      <c r="G30" s="29" t="s">
        <v>272</v>
      </c>
      <c r="H30" s="29" t="s">
        <v>273</v>
      </c>
      <c r="I30" s="41" t="s">
        <v>109</v>
      </c>
      <c r="J30" s="41" t="s">
        <v>274</v>
      </c>
      <c r="K30" s="41">
        <v>2024</v>
      </c>
      <c r="L30" s="41">
        <v>76</v>
      </c>
      <c r="M30" s="29" t="s">
        <v>59</v>
      </c>
      <c r="N30" s="29" t="s">
        <v>3</v>
      </c>
      <c r="O30" s="32" t="s">
        <v>275</v>
      </c>
      <c r="P30" s="30" t="s">
        <v>71</v>
      </c>
      <c r="Q30" s="126">
        <v>45370</v>
      </c>
      <c r="R30" s="126"/>
      <c r="S30" s="32" t="s">
        <v>64</v>
      </c>
      <c r="T30" s="30" t="s">
        <v>673</v>
      </c>
      <c r="U30" s="32" t="s">
        <v>277</v>
      </c>
      <c r="V30" s="45" t="s">
        <v>278</v>
      </c>
      <c r="W30" s="30" t="s">
        <v>279</v>
      </c>
      <c r="X30" s="35" t="s">
        <v>69</v>
      </c>
      <c r="Y30" s="36">
        <v>45369</v>
      </c>
      <c r="Z30" s="36">
        <v>45370</v>
      </c>
      <c r="AA30" s="36">
        <v>45371</v>
      </c>
      <c r="AB30" s="36">
        <v>45385</v>
      </c>
      <c r="AC30" s="36">
        <v>45373</v>
      </c>
      <c r="AD30" s="36">
        <v>45738</v>
      </c>
      <c r="AE30" s="37" t="s">
        <v>90</v>
      </c>
      <c r="AF30" s="30" t="s">
        <v>267</v>
      </c>
      <c r="AG30" s="30" t="s">
        <v>267</v>
      </c>
      <c r="AH30" s="38">
        <v>2125000</v>
      </c>
      <c r="AI30" s="38">
        <v>0</v>
      </c>
      <c r="AJ30" s="38">
        <f t="shared" si="4"/>
        <v>2125000</v>
      </c>
      <c r="AK30" s="38">
        <v>0</v>
      </c>
      <c r="AL30" s="66">
        <v>2125000</v>
      </c>
      <c r="AM30" s="38">
        <v>0</v>
      </c>
      <c r="AN30" s="38">
        <v>2550000</v>
      </c>
      <c r="AO30" s="38">
        <f t="shared" si="1"/>
        <v>425000</v>
      </c>
      <c r="AP30" s="38" t="s">
        <v>280</v>
      </c>
      <c r="AQ30" s="192">
        <v>1</v>
      </c>
      <c r="AR30" s="66">
        <v>2125000</v>
      </c>
      <c r="AS30" s="38" t="s">
        <v>69</v>
      </c>
      <c r="AT30" s="54">
        <f t="shared" si="3"/>
        <v>1</v>
      </c>
      <c r="AU30" s="65">
        <f t="shared" si="2"/>
        <v>0</v>
      </c>
      <c r="AV30" s="30" t="s">
        <v>281</v>
      </c>
      <c r="AW30" s="133" t="s">
        <v>282</v>
      </c>
      <c r="AX30" s="32"/>
    </row>
    <row r="31" spans="1:50" ht="30" customHeight="1" x14ac:dyDescent="0.25">
      <c r="A31" s="47">
        <v>24</v>
      </c>
      <c r="B31" s="47">
        <v>24</v>
      </c>
      <c r="C31" s="63">
        <v>80111614</v>
      </c>
      <c r="D31" s="32" t="s">
        <v>283</v>
      </c>
      <c r="E31" s="32"/>
      <c r="F31" s="29" t="s">
        <v>56</v>
      </c>
      <c r="G31" s="29" t="s">
        <v>82</v>
      </c>
      <c r="H31" s="29" t="s">
        <v>284</v>
      </c>
      <c r="I31" s="41" t="s">
        <v>59</v>
      </c>
      <c r="J31" s="41" t="s">
        <v>60</v>
      </c>
      <c r="K31" s="41">
        <v>2024</v>
      </c>
      <c r="L31" s="41">
        <v>105</v>
      </c>
      <c r="M31" s="29" t="s">
        <v>59</v>
      </c>
      <c r="N31" s="29" t="s">
        <v>3</v>
      </c>
      <c r="O31" s="32" t="s">
        <v>61</v>
      </c>
      <c r="P31" s="30" t="s">
        <v>675</v>
      </c>
      <c r="Q31" s="32" t="s">
        <v>674</v>
      </c>
      <c r="R31" s="32"/>
      <c r="S31" s="32" t="s">
        <v>64</v>
      </c>
      <c r="T31" s="30" t="s">
        <v>286</v>
      </c>
      <c r="U31" s="32" t="s">
        <v>287</v>
      </c>
      <c r="V31" s="46" t="s">
        <v>288</v>
      </c>
      <c r="W31" s="30" t="s">
        <v>289</v>
      </c>
      <c r="X31" s="35" t="s">
        <v>69</v>
      </c>
      <c r="Y31" s="36">
        <v>45373</v>
      </c>
      <c r="Z31" s="36">
        <v>45385</v>
      </c>
      <c r="AA31" s="36" t="s">
        <v>70</v>
      </c>
      <c r="AB31" s="36">
        <v>45646</v>
      </c>
      <c r="AC31" s="36" t="s">
        <v>70</v>
      </c>
      <c r="AD31" s="36" t="s">
        <v>71</v>
      </c>
      <c r="AE31" s="37" t="s">
        <v>72</v>
      </c>
      <c r="AF31" s="32" t="s">
        <v>73</v>
      </c>
      <c r="AG31" s="30" t="s">
        <v>290</v>
      </c>
      <c r="AH31" s="38">
        <v>84000000</v>
      </c>
      <c r="AI31" s="38">
        <v>0</v>
      </c>
      <c r="AJ31" s="38">
        <f t="shared" si="4"/>
        <v>84000000</v>
      </c>
      <c r="AK31" s="38">
        <v>0</v>
      </c>
      <c r="AL31" s="66">
        <v>84000000</v>
      </c>
      <c r="AM31" s="38">
        <v>0</v>
      </c>
      <c r="AN31" s="38">
        <v>92400000</v>
      </c>
      <c r="AO31" s="38">
        <f t="shared" si="1"/>
        <v>8400000</v>
      </c>
      <c r="AP31" s="38" t="s">
        <v>291</v>
      </c>
      <c r="AQ31" s="192">
        <v>4</v>
      </c>
      <c r="AR31" s="66">
        <f>AS31*4</f>
        <v>33600000</v>
      </c>
      <c r="AS31" s="38">
        <v>8400000</v>
      </c>
      <c r="AT31" s="54">
        <f t="shared" si="3"/>
        <v>0.4</v>
      </c>
      <c r="AU31" s="65">
        <f t="shared" si="2"/>
        <v>50400000</v>
      </c>
      <c r="AV31" s="30" t="s">
        <v>292</v>
      </c>
      <c r="AW31" s="43" t="s">
        <v>293</v>
      </c>
      <c r="AX31" s="118" t="s">
        <v>665</v>
      </c>
    </row>
    <row r="32" spans="1:50" ht="30" customHeight="1" x14ac:dyDescent="0.25">
      <c r="A32" s="47">
        <v>25</v>
      </c>
      <c r="B32" s="47">
        <v>25</v>
      </c>
      <c r="C32" s="63">
        <v>80111614</v>
      </c>
      <c r="D32" s="32" t="s">
        <v>295</v>
      </c>
      <c r="E32" s="32"/>
      <c r="F32" s="29" t="s">
        <v>56</v>
      </c>
      <c r="G32" s="29" t="s">
        <v>82</v>
      </c>
      <c r="H32" s="29" t="s">
        <v>296</v>
      </c>
      <c r="I32" s="41" t="s">
        <v>59</v>
      </c>
      <c r="J32" s="41" t="s">
        <v>60</v>
      </c>
      <c r="K32" s="41">
        <v>2024</v>
      </c>
      <c r="L32" s="41">
        <v>106</v>
      </c>
      <c r="M32" s="29" t="s">
        <v>59</v>
      </c>
      <c r="N32" s="29" t="s">
        <v>3</v>
      </c>
      <c r="O32" s="32" t="s">
        <v>297</v>
      </c>
      <c r="P32" s="30" t="s">
        <v>71</v>
      </c>
      <c r="Q32" s="32"/>
      <c r="R32" s="32"/>
      <c r="S32" s="32" t="s">
        <v>64</v>
      </c>
      <c r="T32" s="30" t="s">
        <v>298</v>
      </c>
      <c r="U32" s="32" t="s">
        <v>299</v>
      </c>
      <c r="V32" s="45" t="s">
        <v>300</v>
      </c>
      <c r="W32" s="34" t="s">
        <v>301</v>
      </c>
      <c r="X32" s="35" t="s">
        <v>69</v>
      </c>
      <c r="Y32" s="36">
        <v>45373</v>
      </c>
      <c r="Z32" s="36">
        <v>45383</v>
      </c>
      <c r="AA32" s="36" t="s">
        <v>70</v>
      </c>
      <c r="AB32" s="36">
        <v>45646</v>
      </c>
      <c r="AC32" s="36" t="s">
        <v>70</v>
      </c>
      <c r="AD32" s="36" t="s">
        <v>71</v>
      </c>
      <c r="AE32" s="37" t="s">
        <v>72</v>
      </c>
      <c r="AF32" s="32" t="s">
        <v>73</v>
      </c>
      <c r="AG32" s="30" t="s">
        <v>302</v>
      </c>
      <c r="AH32" s="38">
        <v>140000000</v>
      </c>
      <c r="AI32" s="38">
        <v>0</v>
      </c>
      <c r="AJ32" s="38">
        <f t="shared" si="4"/>
        <v>140000000</v>
      </c>
      <c r="AK32" s="38">
        <v>0</v>
      </c>
      <c r="AL32" s="66">
        <v>140000000</v>
      </c>
      <c r="AM32" s="38">
        <v>0</v>
      </c>
      <c r="AN32" s="38">
        <v>140000000</v>
      </c>
      <c r="AO32" s="38">
        <f t="shared" si="1"/>
        <v>0</v>
      </c>
      <c r="AP32" s="38"/>
      <c r="AQ32" s="192">
        <v>4</v>
      </c>
      <c r="AR32" s="66">
        <f>AS32*4</f>
        <v>56000000</v>
      </c>
      <c r="AS32" s="38">
        <v>14000000</v>
      </c>
      <c r="AT32" s="54">
        <f t="shared" si="3"/>
        <v>0.4</v>
      </c>
      <c r="AU32" s="65">
        <f t="shared" si="2"/>
        <v>84000000</v>
      </c>
      <c r="AV32" s="30" t="s">
        <v>303</v>
      </c>
      <c r="AW32" s="43" t="s">
        <v>304</v>
      </c>
      <c r="AX32" s="118" t="s">
        <v>294</v>
      </c>
    </row>
    <row r="33" spans="1:50" ht="85.5" x14ac:dyDescent="0.25">
      <c r="A33" s="47">
        <v>26</v>
      </c>
      <c r="B33" s="47">
        <v>26</v>
      </c>
      <c r="C33" s="63">
        <v>81111801</v>
      </c>
      <c r="D33" s="32" t="s">
        <v>283</v>
      </c>
      <c r="E33" s="32"/>
      <c r="F33" s="29" t="s">
        <v>305</v>
      </c>
      <c r="G33" s="29" t="s">
        <v>305</v>
      </c>
      <c r="H33" s="29" t="s">
        <v>306</v>
      </c>
      <c r="I33" s="41" t="s">
        <v>59</v>
      </c>
      <c r="J33" s="41" t="s">
        <v>60</v>
      </c>
      <c r="K33" s="41">
        <v>2024</v>
      </c>
      <c r="L33" s="41">
        <v>101</v>
      </c>
      <c r="M33" s="29" t="s">
        <v>59</v>
      </c>
      <c r="N33" s="29" t="s">
        <v>3</v>
      </c>
      <c r="O33" s="32" t="s">
        <v>307</v>
      </c>
      <c r="P33" s="32" t="s">
        <v>676</v>
      </c>
      <c r="Q33" s="118" t="s">
        <v>671</v>
      </c>
      <c r="R33" s="118"/>
      <c r="S33" s="32" t="s">
        <v>64</v>
      </c>
      <c r="T33" s="30" t="s">
        <v>308</v>
      </c>
      <c r="U33" s="32" t="s">
        <v>309</v>
      </c>
      <c r="V33" s="45" t="s">
        <v>310</v>
      </c>
      <c r="W33" s="45" t="s">
        <v>428</v>
      </c>
      <c r="X33" s="45" t="s">
        <v>311</v>
      </c>
      <c r="Y33" s="36">
        <v>45411</v>
      </c>
      <c r="Z33" s="36">
        <v>45420</v>
      </c>
      <c r="AA33" s="36">
        <v>45420</v>
      </c>
      <c r="AB33" s="36">
        <v>45626</v>
      </c>
      <c r="AC33" s="36" t="s">
        <v>70</v>
      </c>
      <c r="AD33" s="36" t="s">
        <v>71</v>
      </c>
      <c r="AE33" s="37" t="s">
        <v>72</v>
      </c>
      <c r="AF33" s="30" t="s">
        <v>116</v>
      </c>
      <c r="AG33" s="30" t="s">
        <v>116</v>
      </c>
      <c r="AH33" s="38">
        <v>669139863.29999995</v>
      </c>
      <c r="AI33" s="38">
        <v>0</v>
      </c>
      <c r="AJ33" s="38">
        <f t="shared" ref="AJ33:AJ34" si="5">AH33+AI33</f>
        <v>669139863.29999995</v>
      </c>
      <c r="AK33" s="38">
        <v>0</v>
      </c>
      <c r="AL33" s="66">
        <v>669139863.29999995</v>
      </c>
      <c r="AM33" s="38">
        <v>0</v>
      </c>
      <c r="AN33" s="38">
        <v>700000000</v>
      </c>
      <c r="AO33" s="38">
        <f t="shared" si="1"/>
        <v>30860136.700000048</v>
      </c>
      <c r="AP33" s="38" t="s">
        <v>313</v>
      </c>
      <c r="AQ33" s="192">
        <v>2</v>
      </c>
      <c r="AR33" s="66">
        <f>420202623.83+50893109.13</f>
        <v>471095732.95999998</v>
      </c>
      <c r="AS33" s="38" t="s">
        <v>69</v>
      </c>
      <c r="AT33" s="54">
        <f t="shared" si="3"/>
        <v>0.7</v>
      </c>
      <c r="AU33" s="65">
        <f t="shared" si="2"/>
        <v>198044130.33999997</v>
      </c>
      <c r="AV33" s="30" t="s">
        <v>314</v>
      </c>
      <c r="AW33" s="43" t="s">
        <v>315</v>
      </c>
      <c r="AX33" s="32"/>
    </row>
    <row r="34" spans="1:50" ht="30" customHeight="1" x14ac:dyDescent="0.25">
      <c r="A34" s="47">
        <v>28</v>
      </c>
      <c r="B34" s="47">
        <v>28</v>
      </c>
      <c r="C34" s="63">
        <v>80111614</v>
      </c>
      <c r="D34" s="32" t="s">
        <v>283</v>
      </c>
      <c r="E34" s="32"/>
      <c r="F34" s="29" t="s">
        <v>56</v>
      </c>
      <c r="G34" s="29" t="s">
        <v>82</v>
      </c>
      <c r="H34" s="29" t="s">
        <v>331</v>
      </c>
      <c r="I34" s="41" t="s">
        <v>59</v>
      </c>
      <c r="J34" s="41" t="s">
        <v>60</v>
      </c>
      <c r="K34" s="41">
        <v>2024</v>
      </c>
      <c r="L34" s="41">
        <v>154</v>
      </c>
      <c r="M34" s="29" t="s">
        <v>59</v>
      </c>
      <c r="N34" s="29" t="s">
        <v>3</v>
      </c>
      <c r="O34" s="32" t="s">
        <v>61</v>
      </c>
      <c r="P34" s="30" t="s">
        <v>675</v>
      </c>
      <c r="Q34" s="32" t="s">
        <v>674</v>
      </c>
      <c r="R34" s="32"/>
      <c r="S34" s="32" t="s">
        <v>64</v>
      </c>
      <c r="T34" s="30" t="s">
        <v>332</v>
      </c>
      <c r="U34" s="32" t="s">
        <v>333</v>
      </c>
      <c r="V34" s="46" t="s">
        <v>334</v>
      </c>
      <c r="W34" s="30" t="s">
        <v>335</v>
      </c>
      <c r="X34" s="35" t="s">
        <v>69</v>
      </c>
      <c r="Y34" s="36">
        <v>45397</v>
      </c>
      <c r="Z34" s="36">
        <v>45400</v>
      </c>
      <c r="AA34" s="36" t="s">
        <v>70</v>
      </c>
      <c r="AB34" s="36">
        <v>45646</v>
      </c>
      <c r="AC34" s="36" t="s">
        <v>70</v>
      </c>
      <c r="AD34" s="36" t="s">
        <v>71</v>
      </c>
      <c r="AE34" s="37" t="s">
        <v>72</v>
      </c>
      <c r="AF34" s="32" t="s">
        <v>73</v>
      </c>
      <c r="AG34" s="30" t="s">
        <v>336</v>
      </c>
      <c r="AH34" s="38">
        <v>76000000</v>
      </c>
      <c r="AI34" s="38">
        <v>0</v>
      </c>
      <c r="AJ34" s="38">
        <f t="shared" si="5"/>
        <v>76000000</v>
      </c>
      <c r="AK34" s="38">
        <v>0</v>
      </c>
      <c r="AL34" s="66">
        <v>76000000</v>
      </c>
      <c r="AM34" s="38">
        <v>0</v>
      </c>
      <c r="AN34" s="38">
        <f>AL34+AM34</f>
        <v>76000000</v>
      </c>
      <c r="AO34" s="38">
        <f t="shared" si="1"/>
        <v>0</v>
      </c>
      <c r="AP34" s="38"/>
      <c r="AQ34" s="192">
        <v>2</v>
      </c>
      <c r="AR34" s="66">
        <f>AS34*2</f>
        <v>19000000</v>
      </c>
      <c r="AS34" s="38">
        <v>9500000</v>
      </c>
      <c r="AT34" s="54">
        <f t="shared" si="3"/>
        <v>0.25</v>
      </c>
      <c r="AU34" s="65">
        <f t="shared" si="2"/>
        <v>57000000</v>
      </c>
      <c r="AV34" s="30" t="s">
        <v>337</v>
      </c>
      <c r="AW34" s="43" t="s">
        <v>338</v>
      </c>
      <c r="AX34" s="32" t="s">
        <v>666</v>
      </c>
    </row>
    <row r="35" spans="1:50" ht="30" customHeight="1" x14ac:dyDescent="0.25">
      <c r="A35" s="47">
        <v>29</v>
      </c>
      <c r="B35" s="47">
        <v>29</v>
      </c>
      <c r="C35" s="63">
        <v>80111614</v>
      </c>
      <c r="D35" s="32" t="s">
        <v>81</v>
      </c>
      <c r="E35" s="32"/>
      <c r="F35" s="29" t="s">
        <v>56</v>
      </c>
      <c r="G35" s="29" t="s">
        <v>305</v>
      </c>
      <c r="H35" s="29" t="s">
        <v>340</v>
      </c>
      <c r="I35" s="41" t="s">
        <v>59</v>
      </c>
      <c r="J35" s="41" t="s">
        <v>60</v>
      </c>
      <c r="K35" s="41">
        <v>2024</v>
      </c>
      <c r="L35" s="41">
        <v>181</v>
      </c>
      <c r="M35" s="29" t="s">
        <v>59</v>
      </c>
      <c r="N35" s="29" t="s">
        <v>3</v>
      </c>
      <c r="O35" s="32" t="s">
        <v>195</v>
      </c>
      <c r="P35" s="32" t="s">
        <v>676</v>
      </c>
      <c r="Q35" s="32" t="s">
        <v>670</v>
      </c>
      <c r="R35" s="32"/>
      <c r="S35" s="32" t="s">
        <v>64</v>
      </c>
      <c r="T35" s="30" t="s">
        <v>341</v>
      </c>
      <c r="U35" s="32" t="s">
        <v>342</v>
      </c>
      <c r="V35" s="57" t="s">
        <v>343</v>
      </c>
      <c r="W35" s="48" t="s">
        <v>344</v>
      </c>
      <c r="X35" s="35" t="s">
        <v>69</v>
      </c>
      <c r="Y35" s="36">
        <v>45427</v>
      </c>
      <c r="Z35" s="36">
        <v>45428</v>
      </c>
      <c r="AA35" s="36">
        <v>45428</v>
      </c>
      <c r="AB35" s="36">
        <v>45644</v>
      </c>
      <c r="AC35" s="36" t="s">
        <v>70</v>
      </c>
      <c r="AD35" s="36" t="s">
        <v>71</v>
      </c>
      <c r="AE35" s="37" t="s">
        <v>90</v>
      </c>
      <c r="AF35" s="32" t="s">
        <v>73</v>
      </c>
      <c r="AG35" s="30" t="s">
        <v>511</v>
      </c>
      <c r="AH35" s="38">
        <v>75000000</v>
      </c>
      <c r="AI35" s="38">
        <v>13750000</v>
      </c>
      <c r="AJ35" s="38">
        <f t="shared" ref="AJ35" si="6">AH35+AI35</f>
        <v>88750000</v>
      </c>
      <c r="AK35" s="38">
        <v>0</v>
      </c>
      <c r="AL35" s="66">
        <v>88750000</v>
      </c>
      <c r="AM35" s="38">
        <v>0</v>
      </c>
      <c r="AN35" s="38">
        <v>75000000</v>
      </c>
      <c r="AO35" s="38">
        <f t="shared" si="1"/>
        <v>0</v>
      </c>
      <c r="AP35" s="38"/>
      <c r="AQ35" s="192">
        <v>3</v>
      </c>
      <c r="AR35" s="66">
        <f>6250000+(AS35*2)</f>
        <v>31250000</v>
      </c>
      <c r="AS35" s="38">
        <v>12500000</v>
      </c>
      <c r="AT35" s="54">
        <f t="shared" si="3"/>
        <v>0.35</v>
      </c>
      <c r="AU35" s="65">
        <f t="shared" si="2"/>
        <v>57500000</v>
      </c>
      <c r="AV35" s="30" t="s">
        <v>346</v>
      </c>
      <c r="AW35" s="43" t="s">
        <v>347</v>
      </c>
      <c r="AX35" s="32"/>
    </row>
    <row r="36" spans="1:50" ht="101.45" customHeight="1" x14ac:dyDescent="0.25">
      <c r="A36" s="47">
        <v>30</v>
      </c>
      <c r="B36" s="47">
        <v>30</v>
      </c>
      <c r="C36" s="63">
        <v>81112200</v>
      </c>
      <c r="D36" s="32" t="s">
        <v>258</v>
      </c>
      <c r="E36" s="32"/>
      <c r="F36" s="29" t="s">
        <v>647</v>
      </c>
      <c r="G36" s="29" t="s">
        <v>272</v>
      </c>
      <c r="H36" s="29" t="s">
        <v>365</v>
      </c>
      <c r="I36" s="41" t="s">
        <v>59</v>
      </c>
      <c r="J36" s="41" t="s">
        <v>60</v>
      </c>
      <c r="K36" s="41">
        <v>2024</v>
      </c>
      <c r="L36" s="41">
        <v>85</v>
      </c>
      <c r="M36" s="29" t="s">
        <v>59</v>
      </c>
      <c r="N36" s="29" t="s">
        <v>5</v>
      </c>
      <c r="O36" s="32" t="s">
        <v>61</v>
      </c>
      <c r="P36" s="32" t="s">
        <v>366</v>
      </c>
      <c r="Q36" s="32" t="s">
        <v>587</v>
      </c>
      <c r="R36" s="32"/>
      <c r="S36" s="32" t="s">
        <v>64</v>
      </c>
      <c r="T36" s="30" t="s">
        <v>633</v>
      </c>
      <c r="U36" s="32" t="s">
        <v>368</v>
      </c>
      <c r="V36" s="46" t="s">
        <v>588</v>
      </c>
      <c r="W36" s="48" t="s">
        <v>590</v>
      </c>
      <c r="X36" s="35" t="s">
        <v>69</v>
      </c>
      <c r="Y36" s="36">
        <v>45451</v>
      </c>
      <c r="Z36" s="36">
        <v>45457</v>
      </c>
      <c r="AA36" s="36">
        <v>45462</v>
      </c>
      <c r="AB36" s="36">
        <v>45476</v>
      </c>
      <c r="AC36" s="36">
        <v>45464</v>
      </c>
      <c r="AD36" s="36">
        <v>45829</v>
      </c>
      <c r="AE36" s="37" t="s">
        <v>90</v>
      </c>
      <c r="AF36" s="30" t="s">
        <v>267</v>
      </c>
      <c r="AG36" s="30" t="s">
        <v>267</v>
      </c>
      <c r="AH36" s="38">
        <v>9591400</v>
      </c>
      <c r="AI36" s="38">
        <v>0</v>
      </c>
      <c r="AJ36" s="38">
        <f t="shared" ref="AJ36:AJ53" si="7">AH36+AI36</f>
        <v>9591400</v>
      </c>
      <c r="AK36" s="38">
        <v>0</v>
      </c>
      <c r="AL36" s="66">
        <f>AJ36+AK36</f>
        <v>9591400</v>
      </c>
      <c r="AM36" s="38">
        <v>0</v>
      </c>
      <c r="AN36" s="38">
        <v>20000000</v>
      </c>
      <c r="AO36" s="38">
        <f t="shared" si="1"/>
        <v>10408600</v>
      </c>
      <c r="AP36" s="157" t="s">
        <v>586</v>
      </c>
      <c r="AQ36" s="192">
        <v>1</v>
      </c>
      <c r="AR36" s="66">
        <v>9591400</v>
      </c>
      <c r="AS36" s="38" t="s">
        <v>69</v>
      </c>
      <c r="AT36" s="54">
        <f t="shared" si="3"/>
        <v>1</v>
      </c>
      <c r="AU36" s="65">
        <f t="shared" si="2"/>
        <v>0</v>
      </c>
      <c r="AV36" s="30" t="s">
        <v>430</v>
      </c>
      <c r="AW36" s="43" t="s">
        <v>589</v>
      </c>
      <c r="AX36" s="32"/>
    </row>
    <row r="37" spans="1:50" ht="90" x14ac:dyDescent="0.25">
      <c r="A37" s="47">
        <v>31</v>
      </c>
      <c r="B37" s="47">
        <v>31</v>
      </c>
      <c r="C37" s="63">
        <v>81111801</v>
      </c>
      <c r="D37" s="32" t="s">
        <v>660</v>
      </c>
      <c r="E37" s="32"/>
      <c r="F37" s="29" t="s">
        <v>371</v>
      </c>
      <c r="G37" s="29" t="s">
        <v>369</v>
      </c>
      <c r="H37" s="29" t="s">
        <v>370</v>
      </c>
      <c r="I37" s="41" t="s">
        <v>59</v>
      </c>
      <c r="J37" s="41" t="s">
        <v>60</v>
      </c>
      <c r="K37" s="41">
        <v>2024</v>
      </c>
      <c r="L37" s="41">
        <v>102</v>
      </c>
      <c r="M37" s="29" t="s">
        <v>59</v>
      </c>
      <c r="N37" s="29" t="s">
        <v>5</v>
      </c>
      <c r="O37" s="32" t="s">
        <v>61</v>
      </c>
      <c r="P37" s="32" t="s">
        <v>275</v>
      </c>
      <c r="Q37" s="32"/>
      <c r="R37" s="32"/>
      <c r="S37" s="32" t="s">
        <v>64</v>
      </c>
      <c r="T37" s="30" t="s">
        <v>308</v>
      </c>
      <c r="U37" s="32" t="s">
        <v>372</v>
      </c>
      <c r="V37" s="45" t="s">
        <v>659</v>
      </c>
      <c r="W37" s="56" t="s">
        <v>662</v>
      </c>
      <c r="X37" s="35" t="s">
        <v>69</v>
      </c>
      <c r="Y37" s="36">
        <v>45485</v>
      </c>
      <c r="Z37" s="36">
        <v>45491</v>
      </c>
      <c r="AA37" s="36" t="s">
        <v>70</v>
      </c>
      <c r="AB37" s="36">
        <v>45639</v>
      </c>
      <c r="AC37" s="36" t="s">
        <v>70</v>
      </c>
      <c r="AD37" s="36" t="s">
        <v>71</v>
      </c>
      <c r="AE37" s="37" t="s">
        <v>72</v>
      </c>
      <c r="AF37" s="30" t="s">
        <v>135</v>
      </c>
      <c r="AG37" s="30" t="s">
        <v>302</v>
      </c>
      <c r="AH37" s="38">
        <v>99651170</v>
      </c>
      <c r="AI37" s="38">
        <v>0</v>
      </c>
      <c r="AJ37" s="38">
        <f>AH37+AI37</f>
        <v>99651170</v>
      </c>
      <c r="AK37" s="38">
        <v>0</v>
      </c>
      <c r="AL37" s="66">
        <f>AJ37</f>
        <v>99651170</v>
      </c>
      <c r="AM37" s="38">
        <v>0</v>
      </c>
      <c r="AN37" s="38">
        <v>100000000</v>
      </c>
      <c r="AO37" s="38">
        <f t="shared" si="1"/>
        <v>348830</v>
      </c>
      <c r="AP37" s="38" t="s">
        <v>667</v>
      </c>
      <c r="AQ37" s="192">
        <v>0</v>
      </c>
      <c r="AR37" s="66">
        <v>0</v>
      </c>
      <c r="AS37" s="38" t="s">
        <v>69</v>
      </c>
      <c r="AT37" s="54">
        <f t="shared" si="3"/>
        <v>0</v>
      </c>
      <c r="AU37" s="65">
        <f t="shared" si="2"/>
        <v>99651170</v>
      </c>
      <c r="AV37" s="30" t="s">
        <v>663</v>
      </c>
      <c r="AW37" s="43" t="s">
        <v>661</v>
      </c>
      <c r="AX37" s="118"/>
    </row>
    <row r="38" spans="1:50" ht="129" customHeight="1" x14ac:dyDescent="0.25">
      <c r="A38" s="47">
        <v>32</v>
      </c>
      <c r="B38" s="47">
        <v>32</v>
      </c>
      <c r="C38" s="63" t="s">
        <v>348</v>
      </c>
      <c r="D38" s="32" t="s">
        <v>283</v>
      </c>
      <c r="E38" s="32"/>
      <c r="F38" s="29" t="s">
        <v>714</v>
      </c>
      <c r="G38" s="29" t="s">
        <v>107</v>
      </c>
      <c r="H38" s="29" t="s">
        <v>352</v>
      </c>
      <c r="I38" s="41" t="s">
        <v>59</v>
      </c>
      <c r="J38" s="41" t="s">
        <v>60</v>
      </c>
      <c r="K38" s="41">
        <v>2024</v>
      </c>
      <c r="L38" s="41">
        <v>177</v>
      </c>
      <c r="M38" s="29" t="s">
        <v>59</v>
      </c>
      <c r="N38" s="29" t="s">
        <v>3</v>
      </c>
      <c r="O38" s="32" t="s">
        <v>61</v>
      </c>
      <c r="P38" s="32" t="s">
        <v>195</v>
      </c>
      <c r="Q38" s="32" t="s">
        <v>684</v>
      </c>
      <c r="R38" s="32"/>
      <c r="S38" s="32" t="s">
        <v>64</v>
      </c>
      <c r="T38" s="30" t="s">
        <v>683</v>
      </c>
      <c r="U38" s="32" t="s">
        <v>354</v>
      </c>
      <c r="V38" s="30" t="s">
        <v>679</v>
      </c>
      <c r="W38" s="27" t="s">
        <v>682</v>
      </c>
      <c r="X38" s="68">
        <v>131057</v>
      </c>
      <c r="Y38" s="36">
        <v>45492</v>
      </c>
      <c r="Z38" s="36">
        <v>45496</v>
      </c>
      <c r="AA38" s="198">
        <v>45498</v>
      </c>
      <c r="AB38" s="36">
        <v>45653</v>
      </c>
      <c r="AC38" s="36" t="s">
        <v>70</v>
      </c>
      <c r="AD38" s="36" t="s">
        <v>71</v>
      </c>
      <c r="AE38" s="37" t="s">
        <v>72</v>
      </c>
      <c r="AF38" s="30" t="s">
        <v>312</v>
      </c>
      <c r="AG38" s="30" t="s">
        <v>312</v>
      </c>
      <c r="AH38" s="38">
        <v>997302719.26999998</v>
      </c>
      <c r="AI38" s="38">
        <v>0</v>
      </c>
      <c r="AJ38" s="38">
        <f>AH38+AI38</f>
        <v>997302719.26999998</v>
      </c>
      <c r="AK38" s="38">
        <v>0</v>
      </c>
      <c r="AL38" s="66">
        <v>997302719.26999998</v>
      </c>
      <c r="AM38" s="38">
        <v>0</v>
      </c>
      <c r="AN38" s="38">
        <v>1398000000</v>
      </c>
      <c r="AO38" s="38">
        <f t="shared" si="1"/>
        <v>400697280.73000002</v>
      </c>
      <c r="AP38" s="38" t="s">
        <v>746</v>
      </c>
      <c r="AQ38" s="68">
        <v>0</v>
      </c>
      <c r="AR38" s="66">
        <v>0</v>
      </c>
      <c r="AS38" s="38" t="s">
        <v>69</v>
      </c>
      <c r="AT38" s="54">
        <f t="shared" si="3"/>
        <v>0</v>
      </c>
      <c r="AU38" s="65">
        <f t="shared" si="2"/>
        <v>997302719.26999998</v>
      </c>
      <c r="AV38" s="30" t="s">
        <v>677</v>
      </c>
      <c r="AW38" s="43" t="s">
        <v>678</v>
      </c>
      <c r="AX38" s="32"/>
    </row>
    <row r="39" spans="1:50" ht="99.75" x14ac:dyDescent="0.25">
      <c r="A39" s="47">
        <v>36</v>
      </c>
      <c r="B39" s="47">
        <v>1</v>
      </c>
      <c r="C39" s="63">
        <v>80111614</v>
      </c>
      <c r="D39" s="32">
        <v>80111614</v>
      </c>
      <c r="E39" s="32"/>
      <c r="F39" s="29" t="s">
        <v>369</v>
      </c>
      <c r="G39" s="29" t="s">
        <v>369</v>
      </c>
      <c r="H39" s="29" t="s">
        <v>374</v>
      </c>
      <c r="I39" s="41" t="s">
        <v>59</v>
      </c>
      <c r="J39" s="41" t="s">
        <v>60</v>
      </c>
      <c r="K39" s="41">
        <v>2024</v>
      </c>
      <c r="L39" s="41">
        <v>97</v>
      </c>
      <c r="M39" s="29" t="s">
        <v>59</v>
      </c>
      <c r="N39" s="29" t="s">
        <v>3</v>
      </c>
      <c r="O39" s="32" t="s">
        <v>61</v>
      </c>
      <c r="P39" s="32" t="s">
        <v>307</v>
      </c>
      <c r="Q39" s="32" t="s">
        <v>763</v>
      </c>
      <c r="R39" s="32"/>
      <c r="S39" s="32" t="s">
        <v>64</v>
      </c>
      <c r="T39" s="30" t="s">
        <v>680</v>
      </c>
      <c r="U39" s="32" t="s">
        <v>376</v>
      </c>
      <c r="V39" s="46" t="s">
        <v>679</v>
      </c>
      <c r="W39" s="30" t="s">
        <v>748</v>
      </c>
      <c r="X39" s="35" t="s">
        <v>69</v>
      </c>
      <c r="Y39" s="36">
        <v>45526</v>
      </c>
      <c r="Z39" s="36">
        <v>45531</v>
      </c>
      <c r="AA39" s="36">
        <v>45531</v>
      </c>
      <c r="AB39" s="36">
        <v>45646</v>
      </c>
      <c r="AC39" s="36" t="s">
        <v>70</v>
      </c>
      <c r="AD39" s="36" t="s">
        <v>70</v>
      </c>
      <c r="AE39" s="37" t="s">
        <v>72</v>
      </c>
      <c r="AF39" s="30" t="s">
        <v>135</v>
      </c>
      <c r="AG39" s="30" t="s">
        <v>359</v>
      </c>
      <c r="AH39" s="38">
        <v>349914578</v>
      </c>
      <c r="AI39" s="38">
        <v>0</v>
      </c>
      <c r="AJ39" s="38">
        <f>AH39+AI39</f>
        <v>349914578</v>
      </c>
      <c r="AK39" s="38">
        <v>0</v>
      </c>
      <c r="AL39" s="66">
        <v>349914578</v>
      </c>
      <c r="AM39" s="38">
        <v>0</v>
      </c>
      <c r="AN39" s="38">
        <v>350000000</v>
      </c>
      <c r="AO39" s="38">
        <f t="shared" ref="AO39:AO48" si="8">IF(M39="Si",(AN39-AH39),0)</f>
        <v>85422</v>
      </c>
      <c r="AP39" s="38"/>
      <c r="AQ39" s="68">
        <v>0</v>
      </c>
      <c r="AR39" s="66"/>
      <c r="AS39" s="38"/>
      <c r="AT39" s="54">
        <f t="shared" ref="AT39:AT48" si="9">IF(AL39=0,0,ROUND(AR39/AL39,2))</f>
        <v>0</v>
      </c>
      <c r="AU39" s="65">
        <f>AL39-AR39</f>
        <v>349914578</v>
      </c>
      <c r="AV39" s="30" t="s">
        <v>664</v>
      </c>
      <c r="AW39" s="43" t="s">
        <v>747</v>
      </c>
      <c r="AX39" s="118"/>
    </row>
    <row r="40" spans="1:50" ht="147" customHeight="1" x14ac:dyDescent="0.25">
      <c r="A40" s="47">
        <v>44</v>
      </c>
      <c r="B40" s="47">
        <v>9</v>
      </c>
      <c r="C40" s="63">
        <v>43231500</v>
      </c>
      <c r="D40" s="32" t="s">
        <v>283</v>
      </c>
      <c r="E40" s="32"/>
      <c r="F40" s="29" t="s">
        <v>126</v>
      </c>
      <c r="G40" s="29" t="s">
        <v>126</v>
      </c>
      <c r="H40" s="29" t="s">
        <v>355</v>
      </c>
      <c r="I40" s="41" t="s">
        <v>59</v>
      </c>
      <c r="J40" s="41" t="s">
        <v>60</v>
      </c>
      <c r="K40" s="41">
        <v>2024</v>
      </c>
      <c r="L40" s="41">
        <v>99</v>
      </c>
      <c r="M40" s="29" t="s">
        <v>59</v>
      </c>
      <c r="N40" s="29" t="s">
        <v>3</v>
      </c>
      <c r="O40" s="32" t="s">
        <v>755</v>
      </c>
      <c r="P40" s="32" t="s">
        <v>749</v>
      </c>
      <c r="Q40" s="208">
        <v>45564</v>
      </c>
      <c r="R40" s="32"/>
      <c r="S40" s="32" t="s">
        <v>64</v>
      </c>
      <c r="T40" s="30" t="s">
        <v>750</v>
      </c>
      <c r="U40" s="32" t="s">
        <v>751</v>
      </c>
      <c r="V40" s="45" t="s">
        <v>753</v>
      </c>
      <c r="W40" s="27" t="s">
        <v>754</v>
      </c>
      <c r="X40" s="35" t="s">
        <v>69</v>
      </c>
      <c r="Y40" s="36">
        <v>45558</v>
      </c>
      <c r="Z40" s="36">
        <v>45561</v>
      </c>
      <c r="AA40" s="36">
        <v>45568</v>
      </c>
      <c r="AB40" s="36">
        <v>45930</v>
      </c>
      <c r="AC40" s="36" t="s">
        <v>70</v>
      </c>
      <c r="AD40" s="36" t="s">
        <v>71</v>
      </c>
      <c r="AE40" s="37" t="s">
        <v>72</v>
      </c>
      <c r="AF40" s="30" t="s">
        <v>135</v>
      </c>
      <c r="AG40" s="30" t="s">
        <v>359</v>
      </c>
      <c r="AH40" s="38">
        <v>3081000000</v>
      </c>
      <c r="AI40" s="38">
        <v>0</v>
      </c>
      <c r="AJ40" s="38">
        <f>AH40+AI40</f>
        <v>3081000000</v>
      </c>
      <c r="AK40" s="38">
        <v>0</v>
      </c>
      <c r="AL40" s="66">
        <v>924300000</v>
      </c>
      <c r="AM40" s="38">
        <v>2156700000</v>
      </c>
      <c r="AN40" s="38">
        <v>2245889285</v>
      </c>
      <c r="AO40" s="38">
        <f t="shared" si="8"/>
        <v>-835110715</v>
      </c>
      <c r="AP40" s="213">
        <v>45532</v>
      </c>
      <c r="AQ40" s="68">
        <v>0</v>
      </c>
      <c r="AR40" s="66"/>
      <c r="AS40" s="38"/>
      <c r="AT40" s="54">
        <f t="shared" si="9"/>
        <v>0</v>
      </c>
      <c r="AU40" s="65">
        <f>AL40-AR40</f>
        <v>924300000</v>
      </c>
      <c r="AV40" s="30" t="s">
        <v>360</v>
      </c>
      <c r="AW40" s="43" t="s">
        <v>752</v>
      </c>
      <c r="AX40" s="32" t="s">
        <v>761</v>
      </c>
    </row>
    <row r="41" spans="1:50" ht="192.6" customHeight="1" x14ac:dyDescent="0.25">
      <c r="A41" s="47">
        <v>45</v>
      </c>
      <c r="B41" s="47">
        <v>10</v>
      </c>
      <c r="C41" s="63">
        <v>80101600</v>
      </c>
      <c r="D41" s="32" t="s">
        <v>283</v>
      </c>
      <c r="E41" s="32"/>
      <c r="F41" s="29" t="s">
        <v>361</v>
      </c>
      <c r="G41" s="29" t="s">
        <v>361</v>
      </c>
      <c r="H41" s="29" t="s">
        <v>362</v>
      </c>
      <c r="I41" s="41" t="s">
        <v>59</v>
      </c>
      <c r="J41" s="41" t="s">
        <v>60</v>
      </c>
      <c r="K41" s="41">
        <v>2024</v>
      </c>
      <c r="L41" s="41">
        <v>100</v>
      </c>
      <c r="M41" s="29" t="s">
        <v>59</v>
      </c>
      <c r="N41" s="29" t="s">
        <v>3</v>
      </c>
      <c r="O41" s="210" t="s">
        <v>755</v>
      </c>
      <c r="P41" s="210" t="s">
        <v>749</v>
      </c>
      <c r="Q41" s="211">
        <v>45566</v>
      </c>
      <c r="R41" s="32"/>
      <c r="S41" s="32" t="s">
        <v>64</v>
      </c>
      <c r="T41" s="30" t="s">
        <v>756</v>
      </c>
      <c r="U41" s="32" t="s">
        <v>363</v>
      </c>
      <c r="V41" s="45" t="s">
        <v>758</v>
      </c>
      <c r="W41" s="212" t="s">
        <v>757</v>
      </c>
      <c r="X41" s="35" t="s">
        <v>69</v>
      </c>
      <c r="Y41" s="36">
        <v>45561</v>
      </c>
      <c r="Z41" s="36">
        <v>45562</v>
      </c>
      <c r="AA41" s="36">
        <v>45568</v>
      </c>
      <c r="AB41" s="36">
        <v>45596</v>
      </c>
      <c r="AC41" s="36" t="s">
        <v>70</v>
      </c>
      <c r="AD41" s="36" t="s">
        <v>71</v>
      </c>
      <c r="AE41" s="37" t="s">
        <v>72</v>
      </c>
      <c r="AF41" s="30" t="s">
        <v>135</v>
      </c>
      <c r="AG41" s="30" t="s">
        <v>359</v>
      </c>
      <c r="AH41" s="38">
        <v>1057872578</v>
      </c>
      <c r="AI41" s="38">
        <v>0</v>
      </c>
      <c r="AJ41" s="38">
        <f t="shared" ref="AJ41:AJ42" si="10">AH41+AI41</f>
        <v>1057872578</v>
      </c>
      <c r="AK41" s="38">
        <v>0</v>
      </c>
      <c r="AL41" s="66">
        <v>302249308</v>
      </c>
      <c r="AM41" s="38">
        <v>755623270</v>
      </c>
      <c r="AN41" s="38">
        <v>696150000</v>
      </c>
      <c r="AO41" s="38">
        <f t="shared" si="8"/>
        <v>-361722578</v>
      </c>
      <c r="AP41" s="209">
        <v>45520</v>
      </c>
      <c r="AQ41" s="68">
        <v>0</v>
      </c>
      <c r="AR41" s="66"/>
      <c r="AS41" s="38"/>
      <c r="AT41" s="54">
        <f t="shared" si="9"/>
        <v>0</v>
      </c>
      <c r="AU41" s="65">
        <f>AL41-AR41</f>
        <v>302249308</v>
      </c>
      <c r="AV41" s="30" t="s">
        <v>364</v>
      </c>
      <c r="AW41" s="43" t="s">
        <v>759</v>
      </c>
      <c r="AX41" s="32" t="s">
        <v>760</v>
      </c>
    </row>
    <row r="42" spans="1:50" ht="192.6" customHeight="1" x14ac:dyDescent="0.25">
      <c r="A42" s="47"/>
      <c r="B42" s="47"/>
      <c r="C42" s="3">
        <v>80111614</v>
      </c>
      <c r="D42" s="32" t="s">
        <v>81</v>
      </c>
      <c r="E42" s="32"/>
      <c r="F42" s="29" t="s">
        <v>56</v>
      </c>
      <c r="G42" s="29" t="s">
        <v>765</v>
      </c>
      <c r="H42" s="29" t="s">
        <v>766</v>
      </c>
      <c r="I42" s="41" t="s">
        <v>59</v>
      </c>
      <c r="J42" s="41" t="s">
        <v>60</v>
      </c>
      <c r="K42" s="41">
        <v>2024</v>
      </c>
      <c r="L42" s="41">
        <v>238</v>
      </c>
      <c r="M42" s="29" t="s">
        <v>59</v>
      </c>
      <c r="N42" s="29" t="s">
        <v>3</v>
      </c>
      <c r="O42" s="210" t="s">
        <v>61</v>
      </c>
      <c r="P42" s="210" t="s">
        <v>307</v>
      </c>
      <c r="Q42" s="211">
        <v>45564</v>
      </c>
      <c r="R42" s="32"/>
      <c r="S42" s="32" t="s">
        <v>64</v>
      </c>
      <c r="T42" s="30" t="s">
        <v>767</v>
      </c>
      <c r="U42" s="3" t="s">
        <v>764</v>
      </c>
      <c r="V42" s="45" t="s">
        <v>770</v>
      </c>
      <c r="W42" s="27" t="s">
        <v>768</v>
      </c>
      <c r="X42" s="35" t="s">
        <v>69</v>
      </c>
      <c r="Y42" s="36">
        <v>45562</v>
      </c>
      <c r="Z42" s="36">
        <v>45562</v>
      </c>
      <c r="AA42" s="36">
        <v>45566</v>
      </c>
      <c r="AB42" s="36">
        <v>45646</v>
      </c>
      <c r="AC42" s="36" t="s">
        <v>70</v>
      </c>
      <c r="AD42" s="36" t="s">
        <v>71</v>
      </c>
      <c r="AE42" s="37" t="s">
        <v>90</v>
      </c>
      <c r="AF42" s="32" t="s">
        <v>73</v>
      </c>
      <c r="AG42" s="30" t="s">
        <v>511</v>
      </c>
      <c r="AH42" s="38">
        <v>33000000</v>
      </c>
      <c r="AI42" s="38">
        <v>0</v>
      </c>
      <c r="AJ42" s="38">
        <f t="shared" si="10"/>
        <v>33000000</v>
      </c>
      <c r="AK42" s="38">
        <v>0</v>
      </c>
      <c r="AL42" s="66">
        <v>33000000</v>
      </c>
      <c r="AM42" s="38">
        <v>0</v>
      </c>
      <c r="AN42" s="38">
        <v>33000000</v>
      </c>
      <c r="AO42" s="38">
        <f t="shared" si="8"/>
        <v>0</v>
      </c>
      <c r="AP42" s="209"/>
      <c r="AQ42" s="68">
        <v>0</v>
      </c>
      <c r="AR42" s="66"/>
      <c r="AS42" s="38">
        <v>9000000</v>
      </c>
      <c r="AT42" s="54">
        <f t="shared" si="9"/>
        <v>0</v>
      </c>
      <c r="AU42" s="65">
        <f>AL42-AR42</f>
        <v>33000000</v>
      </c>
      <c r="AV42" s="47">
        <v>202400008633</v>
      </c>
      <c r="AW42" s="43" t="s">
        <v>769</v>
      </c>
      <c r="AX42" s="32"/>
    </row>
    <row r="43" spans="1:50" ht="120" x14ac:dyDescent="0.25">
      <c r="A43" s="47">
        <v>37</v>
      </c>
      <c r="B43" s="47">
        <v>2</v>
      </c>
      <c r="C43" s="63" t="s">
        <v>378</v>
      </c>
      <c r="D43" s="32" t="s">
        <v>379</v>
      </c>
      <c r="E43" s="32"/>
      <c r="F43" s="29" t="s">
        <v>647</v>
      </c>
      <c r="G43" s="29" t="s">
        <v>305</v>
      </c>
      <c r="H43" s="29" t="s">
        <v>380</v>
      </c>
      <c r="I43" s="41" t="s">
        <v>59</v>
      </c>
      <c r="J43" s="41" t="s">
        <v>60</v>
      </c>
      <c r="K43" s="41">
        <v>2024</v>
      </c>
      <c r="L43" s="41">
        <v>84</v>
      </c>
      <c r="M43" s="29" t="s">
        <v>59</v>
      </c>
      <c r="N43" s="29" t="s">
        <v>3</v>
      </c>
      <c r="O43" s="32" t="s">
        <v>699</v>
      </c>
      <c r="P43" s="32" t="s">
        <v>71</v>
      </c>
      <c r="Q43" s="32" t="s">
        <v>704</v>
      </c>
      <c r="R43" s="32"/>
      <c r="S43" s="32" t="s">
        <v>64</v>
      </c>
      <c r="T43" s="30" t="s">
        <v>786</v>
      </c>
      <c r="U43" s="32" t="s">
        <v>381</v>
      </c>
      <c r="V43" s="57" t="s">
        <v>787</v>
      </c>
      <c r="W43" s="30" t="s">
        <v>788</v>
      </c>
      <c r="X43" s="35" t="s">
        <v>69</v>
      </c>
      <c r="Y43" s="36">
        <v>45538</v>
      </c>
      <c r="Z43" s="36">
        <v>45539</v>
      </c>
      <c r="AA43" s="36">
        <v>45539</v>
      </c>
      <c r="AB43" s="36">
        <v>45571</v>
      </c>
      <c r="AC43" s="36" t="s">
        <v>70</v>
      </c>
      <c r="AD43" s="36" t="s">
        <v>70</v>
      </c>
      <c r="AE43" s="37" t="s">
        <v>90</v>
      </c>
      <c r="AF43" s="30" t="s">
        <v>267</v>
      </c>
      <c r="AG43" s="30" t="s">
        <v>267</v>
      </c>
      <c r="AH43" s="38">
        <v>3520000</v>
      </c>
      <c r="AI43" s="38">
        <v>0</v>
      </c>
      <c r="AJ43" s="38">
        <f>AH43+AI43</f>
        <v>3520000</v>
      </c>
      <c r="AK43" s="38">
        <v>0</v>
      </c>
      <c r="AL43" s="66">
        <v>4500000</v>
      </c>
      <c r="AM43" s="38">
        <v>0</v>
      </c>
      <c r="AN43" s="38">
        <v>4500000</v>
      </c>
      <c r="AO43" s="38">
        <f t="shared" si="8"/>
        <v>980000</v>
      </c>
      <c r="AP43" s="209">
        <v>45544</v>
      </c>
      <c r="AQ43" s="68">
        <v>0</v>
      </c>
      <c r="AR43" s="66">
        <v>3520000</v>
      </c>
      <c r="AS43" s="38">
        <v>3520000</v>
      </c>
      <c r="AT43" s="54">
        <f t="shared" si="9"/>
        <v>0.78</v>
      </c>
      <c r="AU43" s="65">
        <f>AL43-AR43</f>
        <v>980000</v>
      </c>
      <c r="AV43" s="30" t="s">
        <v>789</v>
      </c>
      <c r="AW43" s="218" t="s">
        <v>745</v>
      </c>
      <c r="AX43" s="118" t="s">
        <v>672</v>
      </c>
    </row>
    <row r="44" spans="1:50" ht="85.5" x14ac:dyDescent="0.25">
      <c r="A44" s="47">
        <v>42</v>
      </c>
      <c r="B44" s="47">
        <v>7</v>
      </c>
      <c r="C44" s="63">
        <v>80111614</v>
      </c>
      <c r="D44" s="32" t="s">
        <v>283</v>
      </c>
      <c r="E44" s="32"/>
      <c r="F44" s="29" t="s">
        <v>56</v>
      </c>
      <c r="G44" s="29" t="s">
        <v>82</v>
      </c>
      <c r="H44" s="29" t="s">
        <v>331</v>
      </c>
      <c r="I44" s="41" t="s">
        <v>59</v>
      </c>
      <c r="J44" s="41" t="s">
        <v>60</v>
      </c>
      <c r="K44" s="41">
        <v>2024</v>
      </c>
      <c r="L44" s="41">
        <v>202</v>
      </c>
      <c r="M44" s="29" t="s">
        <v>59</v>
      </c>
      <c r="N44" s="29" t="s">
        <v>3</v>
      </c>
      <c r="O44" s="32" t="s">
        <v>61</v>
      </c>
      <c r="P44" s="32" t="s">
        <v>71</v>
      </c>
      <c r="Q44" s="32" t="s">
        <v>697</v>
      </c>
      <c r="R44" s="32"/>
      <c r="S44" s="32" t="s">
        <v>64</v>
      </c>
      <c r="T44" s="30" t="s">
        <v>791</v>
      </c>
      <c r="U44" s="32" t="s">
        <v>609</v>
      </c>
      <c r="V44" s="33" t="s">
        <v>792</v>
      </c>
      <c r="W44" s="46" t="s">
        <v>790</v>
      </c>
      <c r="X44" s="35" t="s">
        <v>69</v>
      </c>
      <c r="Y44" s="36">
        <v>45534</v>
      </c>
      <c r="Z44" s="36">
        <v>45539</v>
      </c>
      <c r="AA44" s="36">
        <v>45539</v>
      </c>
      <c r="AB44" s="36">
        <v>45646</v>
      </c>
      <c r="AC44" s="36" t="s">
        <v>70</v>
      </c>
      <c r="AD44" s="36" t="s">
        <v>70</v>
      </c>
      <c r="AE44" s="37" t="s">
        <v>72</v>
      </c>
      <c r="AF44" s="32" t="s">
        <v>73</v>
      </c>
      <c r="AG44" s="30" t="s">
        <v>302</v>
      </c>
      <c r="AH44" s="38">
        <v>69000000</v>
      </c>
      <c r="AI44" s="38">
        <v>0</v>
      </c>
      <c r="AJ44" s="38">
        <f t="shared" ref="AJ44" si="11">AH44+AI44</f>
        <v>69000000</v>
      </c>
      <c r="AK44" s="38">
        <v>0</v>
      </c>
      <c r="AL44" s="66">
        <v>69000000</v>
      </c>
      <c r="AM44" s="38">
        <v>0</v>
      </c>
      <c r="AN44" s="38">
        <v>86000000</v>
      </c>
      <c r="AO44" s="38">
        <f t="shared" si="8"/>
        <v>17000000</v>
      </c>
      <c r="AP44" s="209">
        <v>45520</v>
      </c>
      <c r="AQ44" s="68">
        <v>0</v>
      </c>
      <c r="AR44" s="38">
        <v>0</v>
      </c>
      <c r="AS44" s="38">
        <v>17000000</v>
      </c>
      <c r="AT44" s="54">
        <f t="shared" si="9"/>
        <v>0</v>
      </c>
      <c r="AU44" s="38">
        <v>0</v>
      </c>
      <c r="AV44" s="47">
        <v>202400002938</v>
      </c>
      <c r="AW44" s="219" t="s">
        <v>793</v>
      </c>
      <c r="AX44" s="32" t="s">
        <v>794</v>
      </c>
    </row>
    <row r="45" spans="1:50" ht="105" x14ac:dyDescent="0.25">
      <c r="A45" s="47">
        <v>43</v>
      </c>
      <c r="B45" s="47">
        <v>8</v>
      </c>
      <c r="C45" s="63">
        <v>80111614</v>
      </c>
      <c r="D45" s="32" t="s">
        <v>613</v>
      </c>
      <c r="E45" s="32"/>
      <c r="F45" s="29" t="s">
        <v>56</v>
      </c>
      <c r="G45" s="29" t="s">
        <v>82</v>
      </c>
      <c r="H45" s="29" t="s">
        <v>331</v>
      </c>
      <c r="I45" s="41" t="s">
        <v>59</v>
      </c>
      <c r="J45" s="41" t="s">
        <v>60</v>
      </c>
      <c r="K45" s="41">
        <v>2024</v>
      </c>
      <c r="L45" s="41">
        <v>203</v>
      </c>
      <c r="M45" s="29" t="s">
        <v>59</v>
      </c>
      <c r="N45" s="29" t="s">
        <v>3</v>
      </c>
      <c r="O45" s="32" t="s">
        <v>61</v>
      </c>
      <c r="P45" s="32" t="s">
        <v>71</v>
      </c>
      <c r="Q45" s="32" t="s">
        <v>696</v>
      </c>
      <c r="R45" s="32"/>
      <c r="S45" s="32" t="s">
        <v>64</v>
      </c>
      <c r="T45" s="30" t="s">
        <v>795</v>
      </c>
      <c r="U45" s="32" t="s">
        <v>610</v>
      </c>
      <c r="V45" s="46" t="s">
        <v>796</v>
      </c>
      <c r="W45" s="46" t="s">
        <v>797</v>
      </c>
      <c r="X45" s="35" t="s">
        <v>69</v>
      </c>
      <c r="Y45" s="36">
        <v>45547</v>
      </c>
      <c r="Z45" s="36">
        <v>45547</v>
      </c>
      <c r="AA45" s="36">
        <v>45547</v>
      </c>
      <c r="AB45" s="36">
        <v>45646</v>
      </c>
      <c r="AC45" s="36" t="s">
        <v>70</v>
      </c>
      <c r="AD45" s="36" t="s">
        <v>70</v>
      </c>
      <c r="AE45" s="37" t="s">
        <v>72</v>
      </c>
      <c r="AF45" s="32" t="s">
        <v>73</v>
      </c>
      <c r="AG45" s="30" t="s">
        <v>336</v>
      </c>
      <c r="AH45" s="38">
        <v>69000000</v>
      </c>
      <c r="AI45" s="38">
        <v>0</v>
      </c>
      <c r="AJ45" s="38">
        <f t="shared" ref="AJ45" si="12">AH45+AI45</f>
        <v>69000000</v>
      </c>
      <c r="AK45" s="38">
        <v>0</v>
      </c>
      <c r="AL45" s="66">
        <v>69000000</v>
      </c>
      <c r="AM45" s="38">
        <v>0</v>
      </c>
      <c r="AN45" s="38">
        <v>86000000</v>
      </c>
      <c r="AO45" s="38">
        <f t="shared" si="8"/>
        <v>17000000</v>
      </c>
      <c r="AP45" s="209">
        <v>45520</v>
      </c>
      <c r="AQ45" s="68">
        <v>0</v>
      </c>
      <c r="AR45" s="38">
        <v>0</v>
      </c>
      <c r="AS45" s="38">
        <v>17000000</v>
      </c>
      <c r="AT45" s="54">
        <f t="shared" si="9"/>
        <v>0</v>
      </c>
      <c r="AU45" s="38">
        <v>0</v>
      </c>
      <c r="AV45" s="30" t="s">
        <v>799</v>
      </c>
      <c r="AW45" s="218" t="s">
        <v>798</v>
      </c>
      <c r="AX45" s="32" t="s">
        <v>794</v>
      </c>
    </row>
    <row r="46" spans="1:50" ht="42.75" x14ac:dyDescent="0.25">
      <c r="A46" s="47">
        <v>46</v>
      </c>
      <c r="B46" s="47">
        <v>11</v>
      </c>
      <c r="C46" s="63">
        <v>81112501</v>
      </c>
      <c r="D46" s="32" t="s">
        <v>379</v>
      </c>
      <c r="E46" s="32"/>
      <c r="F46" s="29" t="s">
        <v>647</v>
      </c>
      <c r="G46" s="29" t="s">
        <v>272</v>
      </c>
      <c r="H46" s="29" t="s">
        <v>384</v>
      </c>
      <c r="I46" s="41" t="s">
        <v>59</v>
      </c>
      <c r="J46" s="41" t="s">
        <v>60</v>
      </c>
      <c r="K46" s="41">
        <v>2024</v>
      </c>
      <c r="L46" s="41">
        <v>88</v>
      </c>
      <c r="M46" s="29" t="s">
        <v>59</v>
      </c>
      <c r="N46" s="29" t="s">
        <v>3</v>
      </c>
      <c r="O46" s="32" t="s">
        <v>699</v>
      </c>
      <c r="P46" s="32" t="s">
        <v>71</v>
      </c>
      <c r="Q46" s="32" t="s">
        <v>702</v>
      </c>
      <c r="R46" s="32"/>
      <c r="S46" s="32" t="s">
        <v>64</v>
      </c>
      <c r="T46" s="30" t="s">
        <v>801</v>
      </c>
      <c r="U46" s="32" t="s">
        <v>386</v>
      </c>
      <c r="V46" s="45"/>
      <c r="W46" s="34" t="s">
        <v>802</v>
      </c>
      <c r="X46" s="35" t="s">
        <v>69</v>
      </c>
      <c r="Y46" s="36">
        <v>45596</v>
      </c>
      <c r="Z46" s="36">
        <v>45602</v>
      </c>
      <c r="AA46" s="36">
        <v>45604</v>
      </c>
      <c r="AB46" s="36">
        <v>45634</v>
      </c>
      <c r="AC46" s="36" t="s">
        <v>70</v>
      </c>
      <c r="AD46" s="36" t="s">
        <v>71</v>
      </c>
      <c r="AE46" s="37" t="s">
        <v>90</v>
      </c>
      <c r="AF46" s="30" t="s">
        <v>267</v>
      </c>
      <c r="AG46" s="30" t="s">
        <v>267</v>
      </c>
      <c r="AH46" s="38">
        <v>13527900</v>
      </c>
      <c r="AI46" s="38">
        <v>0</v>
      </c>
      <c r="AJ46" s="38">
        <f>AH46+AI46</f>
        <v>13527900</v>
      </c>
      <c r="AK46" s="38">
        <v>0</v>
      </c>
      <c r="AL46" s="38">
        <v>18000000</v>
      </c>
      <c r="AM46" s="38">
        <v>0</v>
      </c>
      <c r="AN46" s="38">
        <v>18000000</v>
      </c>
      <c r="AO46" s="38">
        <f>IF(M46="Si",(AN46-AH46),0)</f>
        <v>4472100</v>
      </c>
      <c r="AP46" s="209">
        <v>45609</v>
      </c>
      <c r="AQ46" s="68">
        <v>0</v>
      </c>
      <c r="AR46" s="38">
        <v>13527900</v>
      </c>
      <c r="AS46" s="38">
        <v>13527900</v>
      </c>
      <c r="AT46" s="54">
        <f>IF(AL46=0,0,ROUND(AR46/AL46,2))</f>
        <v>0.75</v>
      </c>
      <c r="AU46" s="65">
        <f>AL46-AR46</f>
        <v>4472100</v>
      </c>
      <c r="AV46" s="30"/>
      <c r="AW46" s="218"/>
      <c r="AX46" s="32" t="s">
        <v>803</v>
      </c>
    </row>
    <row r="47" spans="1:50" ht="99.75" x14ac:dyDescent="0.25">
      <c r="A47" s="47">
        <v>47</v>
      </c>
      <c r="B47" s="47">
        <v>12</v>
      </c>
      <c r="C47" s="64">
        <v>81112101</v>
      </c>
      <c r="D47" s="52" t="s">
        <v>258</v>
      </c>
      <c r="E47" s="52"/>
      <c r="F47" s="50" t="s">
        <v>93</v>
      </c>
      <c r="G47" s="50" t="s">
        <v>119</v>
      </c>
      <c r="H47" s="50" t="s">
        <v>387</v>
      </c>
      <c r="I47" s="51" t="s">
        <v>59</v>
      </c>
      <c r="J47" s="51" t="s">
        <v>60</v>
      </c>
      <c r="K47" s="51">
        <v>2024</v>
      </c>
      <c r="L47" s="51">
        <v>89</v>
      </c>
      <c r="M47" s="50" t="s">
        <v>59</v>
      </c>
      <c r="N47" s="50" t="s">
        <v>5</v>
      </c>
      <c r="O47" s="52" t="s">
        <v>705</v>
      </c>
      <c r="P47" s="52" t="s">
        <v>71</v>
      </c>
      <c r="Q47" s="52" t="s">
        <v>706</v>
      </c>
      <c r="R47" s="52"/>
      <c r="S47" s="52" t="s">
        <v>112</v>
      </c>
      <c r="T47" s="53" t="s">
        <v>701</v>
      </c>
      <c r="U47" s="52" t="s">
        <v>388</v>
      </c>
      <c r="V47" s="45"/>
      <c r="W47" s="132"/>
      <c r="X47" s="35"/>
      <c r="Y47" s="36"/>
      <c r="Z47" s="36"/>
      <c r="AA47" s="36"/>
      <c r="AB47" s="36"/>
      <c r="AC47" s="36"/>
      <c r="AD47" s="36"/>
      <c r="AE47" s="37" t="s">
        <v>90</v>
      </c>
      <c r="AF47" s="30" t="s">
        <v>312</v>
      </c>
      <c r="AG47" s="30" t="s">
        <v>312</v>
      </c>
      <c r="AH47" s="38"/>
      <c r="AI47" s="38">
        <v>0</v>
      </c>
      <c r="AJ47" s="38">
        <f>AH47+AI47</f>
        <v>0</v>
      </c>
      <c r="AK47" s="38"/>
      <c r="AL47" s="66"/>
      <c r="AM47" s="38"/>
      <c r="AN47" s="38">
        <v>26480232</v>
      </c>
      <c r="AO47" s="38">
        <f>IF(M47="Si",(AN47-AH47),0)</f>
        <v>26480232</v>
      </c>
      <c r="AP47" s="38">
        <v>7000000</v>
      </c>
      <c r="AQ47" s="68">
        <v>1</v>
      </c>
      <c r="AR47" s="66"/>
      <c r="AS47" s="38"/>
      <c r="AT47" s="54">
        <f>IF(AL47=0,0,ROUND(AR47/AL47,2))</f>
        <v>0</v>
      </c>
      <c r="AU47" s="65">
        <f>AL47-AR47</f>
        <v>0</v>
      </c>
      <c r="AV47" s="30"/>
      <c r="AW47" s="30"/>
      <c r="AX47" s="32" t="s">
        <v>806</v>
      </c>
    </row>
    <row r="48" spans="1:50" ht="72" customHeight="1" x14ac:dyDescent="0.25">
      <c r="A48" s="47">
        <v>27</v>
      </c>
      <c r="B48" s="47">
        <v>27</v>
      </c>
      <c r="C48" s="151">
        <v>80111614</v>
      </c>
      <c r="D48" s="152" t="s">
        <v>283</v>
      </c>
      <c r="E48" s="152"/>
      <c r="F48" s="153" t="s">
        <v>56</v>
      </c>
      <c r="G48" s="153" t="s">
        <v>82</v>
      </c>
      <c r="H48" s="153" t="s">
        <v>316</v>
      </c>
      <c r="I48" s="154" t="s">
        <v>59</v>
      </c>
      <c r="J48" s="154" t="s">
        <v>60</v>
      </c>
      <c r="K48" s="154">
        <v>2024</v>
      </c>
      <c r="L48" s="154">
        <v>153</v>
      </c>
      <c r="M48" s="153" t="s">
        <v>59</v>
      </c>
      <c r="N48" s="153" t="s">
        <v>3</v>
      </c>
      <c r="O48" s="152" t="s">
        <v>61</v>
      </c>
      <c r="P48" s="155" t="s">
        <v>675</v>
      </c>
      <c r="Q48" s="152" t="s">
        <v>674</v>
      </c>
      <c r="R48" s="152"/>
      <c r="S48" s="152" t="s">
        <v>64</v>
      </c>
      <c r="T48" s="155" t="s">
        <v>318</v>
      </c>
      <c r="U48" s="152" t="s">
        <v>319</v>
      </c>
      <c r="V48" s="46" t="s">
        <v>320</v>
      </c>
      <c r="W48" s="30" t="s">
        <v>321</v>
      </c>
      <c r="X48" s="35" t="s">
        <v>69</v>
      </c>
      <c r="Y48" s="36">
        <v>45392</v>
      </c>
      <c r="Z48" s="36">
        <v>45393</v>
      </c>
      <c r="AA48" s="36" t="s">
        <v>70</v>
      </c>
      <c r="AB48" s="36">
        <v>45575</v>
      </c>
      <c r="AC48" s="36" t="s">
        <v>70</v>
      </c>
      <c r="AD48" s="36" t="s">
        <v>71</v>
      </c>
      <c r="AE48" s="37" t="s">
        <v>72</v>
      </c>
      <c r="AF48" s="32" t="s">
        <v>73</v>
      </c>
      <c r="AG48" s="30" t="s">
        <v>302</v>
      </c>
      <c r="AH48" s="38">
        <v>51000000</v>
      </c>
      <c r="AI48" s="38">
        <v>-17000000</v>
      </c>
      <c r="AJ48" s="38">
        <f>AH48+AI48</f>
        <v>34000000</v>
      </c>
      <c r="AK48" s="38">
        <v>0</v>
      </c>
      <c r="AL48" s="66">
        <v>34000000</v>
      </c>
      <c r="AM48" s="38">
        <v>0</v>
      </c>
      <c r="AN48" s="38">
        <v>51000000</v>
      </c>
      <c r="AO48" s="38">
        <f t="shared" si="8"/>
        <v>0</v>
      </c>
      <c r="AP48" s="38"/>
      <c r="AQ48" s="192">
        <v>2</v>
      </c>
      <c r="AR48" s="66">
        <f>AS48*2</f>
        <v>17000000</v>
      </c>
      <c r="AS48" s="38">
        <v>8500000</v>
      </c>
      <c r="AT48" s="54">
        <f t="shared" si="9"/>
        <v>0.5</v>
      </c>
      <c r="AU48" s="65">
        <f>AL48-AR48</f>
        <v>17000000</v>
      </c>
      <c r="AV48" s="30" t="s">
        <v>322</v>
      </c>
      <c r="AW48" s="43" t="s">
        <v>323</v>
      </c>
      <c r="AX48" s="32" t="s">
        <v>719</v>
      </c>
    </row>
    <row r="49" spans="1:50" ht="120" x14ac:dyDescent="0.25">
      <c r="A49" s="47">
        <v>33</v>
      </c>
      <c r="B49" s="47">
        <v>33</v>
      </c>
      <c r="C49" s="151">
        <v>80111614</v>
      </c>
      <c r="D49" s="152" t="s">
        <v>283</v>
      </c>
      <c r="E49" s="152"/>
      <c r="F49" s="153" t="s">
        <v>56</v>
      </c>
      <c r="G49" s="153" t="s">
        <v>82</v>
      </c>
      <c r="H49" s="153" t="s">
        <v>316</v>
      </c>
      <c r="I49" s="154" t="s">
        <v>59</v>
      </c>
      <c r="J49" s="154" t="s">
        <v>60</v>
      </c>
      <c r="K49" s="154">
        <v>2024</v>
      </c>
      <c r="L49" s="154">
        <v>152</v>
      </c>
      <c r="M49" s="153" t="s">
        <v>59</v>
      </c>
      <c r="N49" s="153" t="s">
        <v>3</v>
      </c>
      <c r="O49" s="152" t="s">
        <v>317</v>
      </c>
      <c r="P49" s="152" t="s">
        <v>71</v>
      </c>
      <c r="Q49" s="152"/>
      <c r="R49" s="152"/>
      <c r="S49" s="152" t="s">
        <v>64</v>
      </c>
      <c r="T49" s="155" t="s">
        <v>325</v>
      </c>
      <c r="U49" s="152" t="s">
        <v>326</v>
      </c>
      <c r="V49" s="46" t="s">
        <v>327</v>
      </c>
      <c r="W49" s="30" t="s">
        <v>328</v>
      </c>
      <c r="X49" s="35" t="s">
        <v>69</v>
      </c>
      <c r="Y49" s="36">
        <v>45397</v>
      </c>
      <c r="Z49" s="36">
        <v>45398</v>
      </c>
      <c r="AA49" s="36" t="s">
        <v>70</v>
      </c>
      <c r="AB49" s="144">
        <v>45577</v>
      </c>
      <c r="AC49" s="36" t="s">
        <v>70</v>
      </c>
      <c r="AD49" s="36" t="s">
        <v>71</v>
      </c>
      <c r="AE49" s="37" t="s">
        <v>72</v>
      </c>
      <c r="AF49" s="32" t="s">
        <v>73</v>
      </c>
      <c r="AG49" s="30" t="s">
        <v>302</v>
      </c>
      <c r="AH49" s="38">
        <v>51000000</v>
      </c>
      <c r="AI49" s="38">
        <v>-42500000</v>
      </c>
      <c r="AJ49" s="38">
        <f t="shared" si="7"/>
        <v>8500000</v>
      </c>
      <c r="AK49" s="38">
        <v>0</v>
      </c>
      <c r="AL49" s="66">
        <v>8500000</v>
      </c>
      <c r="AM49" s="38">
        <v>0</v>
      </c>
      <c r="AN49" s="38">
        <v>51000000</v>
      </c>
      <c r="AO49" s="38">
        <f t="shared" si="1"/>
        <v>0</v>
      </c>
      <c r="AP49" s="38" t="s">
        <v>614</v>
      </c>
      <c r="AQ49" s="192">
        <v>0</v>
      </c>
      <c r="AR49" s="66">
        <v>8500000</v>
      </c>
      <c r="AS49" s="38">
        <v>8500000</v>
      </c>
      <c r="AT49" s="54">
        <f t="shared" si="3"/>
        <v>1</v>
      </c>
      <c r="AU49" s="65">
        <f t="shared" si="2"/>
        <v>0</v>
      </c>
      <c r="AV49" s="30" t="s">
        <v>329</v>
      </c>
      <c r="AW49" s="43" t="s">
        <v>330</v>
      </c>
      <c r="AX49" s="118" t="s">
        <v>429</v>
      </c>
    </row>
    <row r="50" spans="1:50" ht="75" x14ac:dyDescent="0.25">
      <c r="A50" s="47">
        <v>34</v>
      </c>
      <c r="B50" s="47">
        <v>34</v>
      </c>
      <c r="C50" s="151">
        <v>80111614</v>
      </c>
      <c r="D50" s="152" t="s">
        <v>283</v>
      </c>
      <c r="E50" s="152"/>
      <c r="F50" s="153" t="s">
        <v>56</v>
      </c>
      <c r="G50" s="153" t="s">
        <v>57</v>
      </c>
      <c r="H50" s="153" t="s">
        <v>58</v>
      </c>
      <c r="I50" s="154" t="s">
        <v>59</v>
      </c>
      <c r="J50" s="154" t="s">
        <v>60</v>
      </c>
      <c r="K50" s="154">
        <v>2024</v>
      </c>
      <c r="L50" s="154">
        <v>38</v>
      </c>
      <c r="M50" s="153" t="s">
        <v>59</v>
      </c>
      <c r="N50" s="153" t="s">
        <v>3</v>
      </c>
      <c r="O50" s="152" t="s">
        <v>61</v>
      </c>
      <c r="P50" s="152" t="s">
        <v>62</v>
      </c>
      <c r="Q50" s="152" t="s">
        <v>63</v>
      </c>
      <c r="R50" s="152"/>
      <c r="S50" s="152" t="s">
        <v>64</v>
      </c>
      <c r="T50" s="153" t="s">
        <v>431</v>
      </c>
      <c r="U50" s="152" t="s">
        <v>66</v>
      </c>
      <c r="V50" s="46" t="s">
        <v>432</v>
      </c>
      <c r="W50" s="30" t="s">
        <v>433</v>
      </c>
      <c r="X50" s="35" t="s">
        <v>69</v>
      </c>
      <c r="Y50" s="36">
        <v>45329</v>
      </c>
      <c r="Z50" s="36">
        <v>45330</v>
      </c>
      <c r="AA50" s="36" t="s">
        <v>70</v>
      </c>
      <c r="AB50" s="36">
        <v>45473</v>
      </c>
      <c r="AC50" s="36" t="s">
        <v>70</v>
      </c>
      <c r="AD50" s="36" t="s">
        <v>71</v>
      </c>
      <c r="AE50" s="37" t="s">
        <v>72</v>
      </c>
      <c r="AF50" s="32" t="s">
        <v>73</v>
      </c>
      <c r="AG50" s="32" t="s">
        <v>73</v>
      </c>
      <c r="AH50" s="38">
        <v>47500000</v>
      </c>
      <c r="AI50" s="38">
        <v>-47500000</v>
      </c>
      <c r="AJ50" s="38">
        <f t="shared" si="7"/>
        <v>0</v>
      </c>
      <c r="AK50" s="38">
        <v>0</v>
      </c>
      <c r="AL50" s="66">
        <v>0</v>
      </c>
      <c r="AM50" s="38">
        <v>0</v>
      </c>
      <c r="AN50" s="38">
        <v>0</v>
      </c>
      <c r="AO50" s="38">
        <f>AJ50-AN50</f>
        <v>0</v>
      </c>
      <c r="AP50" s="38"/>
      <c r="AQ50" s="192">
        <v>0</v>
      </c>
      <c r="AR50" s="66">
        <v>0</v>
      </c>
      <c r="AS50" s="38">
        <v>11875000</v>
      </c>
      <c r="AT50" s="54">
        <f t="shared" si="3"/>
        <v>0</v>
      </c>
      <c r="AU50" s="65">
        <f t="shared" si="2"/>
        <v>0</v>
      </c>
      <c r="AV50" s="30" t="s">
        <v>434</v>
      </c>
      <c r="AW50" s="43" t="s">
        <v>435</v>
      </c>
      <c r="AX50" s="32" t="s">
        <v>436</v>
      </c>
    </row>
    <row r="51" spans="1:50" ht="150" x14ac:dyDescent="0.25">
      <c r="A51" s="47">
        <v>35</v>
      </c>
      <c r="B51" s="47">
        <v>35</v>
      </c>
      <c r="C51" s="151"/>
      <c r="D51" s="152"/>
      <c r="E51" s="152"/>
      <c r="F51" s="153" t="s">
        <v>56</v>
      </c>
      <c r="G51" s="153" t="s">
        <v>57</v>
      </c>
      <c r="H51" s="153" t="s">
        <v>58</v>
      </c>
      <c r="I51" s="154" t="s">
        <v>59</v>
      </c>
      <c r="J51" s="154" t="s">
        <v>60</v>
      </c>
      <c r="K51" s="154">
        <v>2024</v>
      </c>
      <c r="L51" s="154">
        <v>52</v>
      </c>
      <c r="M51" s="153" t="s">
        <v>59</v>
      </c>
      <c r="N51" s="153" t="s">
        <v>3</v>
      </c>
      <c r="O51" s="152" t="s">
        <v>61</v>
      </c>
      <c r="P51" s="152" t="s">
        <v>62</v>
      </c>
      <c r="Q51" s="152" t="s">
        <v>63</v>
      </c>
      <c r="R51" s="152"/>
      <c r="S51" s="152" t="s">
        <v>64</v>
      </c>
      <c r="T51" s="155" t="s">
        <v>437</v>
      </c>
      <c r="U51" s="152" t="s">
        <v>66</v>
      </c>
      <c r="V51" s="45" t="s">
        <v>438</v>
      </c>
      <c r="W51" s="30" t="s">
        <v>439</v>
      </c>
      <c r="X51" s="35" t="s">
        <v>69</v>
      </c>
      <c r="Y51" s="36">
        <v>45329</v>
      </c>
      <c r="Z51" s="36">
        <v>45331</v>
      </c>
      <c r="AA51" s="36" t="s">
        <v>70</v>
      </c>
      <c r="AB51" s="36">
        <v>45473</v>
      </c>
      <c r="AC51" s="36" t="s">
        <v>70</v>
      </c>
      <c r="AD51" s="36" t="s">
        <v>71</v>
      </c>
      <c r="AE51" s="37" t="s">
        <v>72</v>
      </c>
      <c r="AF51" s="32" t="s">
        <v>73</v>
      </c>
      <c r="AG51" s="32" t="s">
        <v>73</v>
      </c>
      <c r="AH51" s="38">
        <v>47500000</v>
      </c>
      <c r="AI51" s="38">
        <v>-47500000</v>
      </c>
      <c r="AJ51" s="38">
        <f t="shared" si="7"/>
        <v>0</v>
      </c>
      <c r="AK51" s="38">
        <v>0</v>
      </c>
      <c r="AL51" s="66">
        <v>0</v>
      </c>
      <c r="AM51" s="38">
        <v>0</v>
      </c>
      <c r="AN51" s="38">
        <v>0</v>
      </c>
      <c r="AO51" s="38">
        <f>AJ51-AN51</f>
        <v>0</v>
      </c>
      <c r="AP51" s="38"/>
      <c r="AQ51" s="192">
        <v>0</v>
      </c>
      <c r="AR51" s="66">
        <v>0</v>
      </c>
      <c r="AS51" s="38">
        <v>11875000</v>
      </c>
      <c r="AT51" s="54">
        <f t="shared" si="3"/>
        <v>0</v>
      </c>
      <c r="AU51" s="65">
        <f t="shared" si="2"/>
        <v>0</v>
      </c>
      <c r="AV51" s="30" t="s">
        <v>440</v>
      </c>
      <c r="AW51" s="43" t="s">
        <v>441</v>
      </c>
      <c r="AX51" s="32" t="s">
        <v>436</v>
      </c>
    </row>
    <row r="52" spans="1:50" ht="105" x14ac:dyDescent="0.25">
      <c r="A52" s="28" t="s">
        <v>615</v>
      </c>
      <c r="B52" s="28" t="s">
        <v>10</v>
      </c>
      <c r="C52" s="60" t="s">
        <v>11</v>
      </c>
      <c r="D52" s="28" t="s">
        <v>12</v>
      </c>
      <c r="E52" s="28"/>
      <c r="F52" s="28" t="s">
        <v>13</v>
      </c>
      <c r="G52" s="28" t="s">
        <v>14</v>
      </c>
      <c r="H52" s="28" t="s">
        <v>15</v>
      </c>
      <c r="I52" s="40" t="s">
        <v>16</v>
      </c>
      <c r="J52" s="40" t="s">
        <v>17</v>
      </c>
      <c r="K52" s="40" t="s">
        <v>18</v>
      </c>
      <c r="L52" s="40" t="s">
        <v>19</v>
      </c>
      <c r="M52" s="40" t="s">
        <v>20</v>
      </c>
      <c r="N52" s="40" t="s">
        <v>21</v>
      </c>
      <c r="O52" s="28" t="s">
        <v>22</v>
      </c>
      <c r="P52" s="28" t="s">
        <v>23</v>
      </c>
      <c r="Q52" s="28" t="s">
        <v>24</v>
      </c>
      <c r="R52" s="28" t="s">
        <v>692</v>
      </c>
      <c r="S52" s="28" t="s">
        <v>25</v>
      </c>
      <c r="T52" s="28" t="s">
        <v>26</v>
      </c>
      <c r="U52" s="28" t="s">
        <v>27</v>
      </c>
      <c r="V52" s="40" t="s">
        <v>28</v>
      </c>
      <c r="W52" s="28" t="s">
        <v>29</v>
      </c>
      <c r="X52" s="28" t="s">
        <v>30</v>
      </c>
      <c r="Y52" s="28" t="s">
        <v>32</v>
      </c>
      <c r="Z52" s="28" t="s">
        <v>33</v>
      </c>
      <c r="AA52" s="28" t="s">
        <v>34</v>
      </c>
      <c r="AB52" s="28" t="s">
        <v>35</v>
      </c>
      <c r="AC52" s="28" t="s">
        <v>36</v>
      </c>
      <c r="AD52" s="28" t="s">
        <v>37</v>
      </c>
      <c r="AE52" s="28" t="s">
        <v>38</v>
      </c>
      <c r="AF52" s="28" t="s">
        <v>616</v>
      </c>
      <c r="AG52" s="28" t="s">
        <v>39</v>
      </c>
      <c r="AH52" s="28" t="s">
        <v>40</v>
      </c>
      <c r="AI52" s="28" t="s">
        <v>41</v>
      </c>
      <c r="AJ52" s="28" t="s">
        <v>42</v>
      </c>
      <c r="AK52" s="28" t="s">
        <v>43</v>
      </c>
      <c r="AL52" s="28" t="s">
        <v>44</v>
      </c>
      <c r="AM52" s="28" t="s">
        <v>45</v>
      </c>
      <c r="AN52" s="28" t="s">
        <v>46</v>
      </c>
      <c r="AO52" s="28" t="s">
        <v>47</v>
      </c>
      <c r="AP52" s="28" t="s">
        <v>48</v>
      </c>
      <c r="AQ52" s="28" t="s">
        <v>31</v>
      </c>
      <c r="AR52" s="28" t="s">
        <v>49</v>
      </c>
      <c r="AS52" s="28" t="s">
        <v>50</v>
      </c>
      <c r="AT52" s="28" t="s">
        <v>51</v>
      </c>
      <c r="AU52" s="28" t="s">
        <v>52</v>
      </c>
      <c r="AV52" s="28" t="s">
        <v>53</v>
      </c>
      <c r="AW52" s="28" t="s">
        <v>54</v>
      </c>
      <c r="AX52" s="28" t="s">
        <v>55</v>
      </c>
    </row>
    <row r="53" spans="1:50" ht="57" x14ac:dyDescent="0.25">
      <c r="A53" s="47">
        <v>38</v>
      </c>
      <c r="B53" s="47">
        <v>3</v>
      </c>
      <c r="C53" s="64" t="s">
        <v>379</v>
      </c>
      <c r="D53" s="64">
        <v>81112501</v>
      </c>
      <c r="E53" s="64"/>
      <c r="F53" s="50" t="s">
        <v>647</v>
      </c>
      <c r="G53" s="50" t="s">
        <v>272</v>
      </c>
      <c r="H53" s="50" t="s">
        <v>382</v>
      </c>
      <c r="I53" s="51" t="s">
        <v>59</v>
      </c>
      <c r="J53" s="51" t="s">
        <v>60</v>
      </c>
      <c r="K53" s="51">
        <v>2024</v>
      </c>
      <c r="L53" s="51">
        <v>87</v>
      </c>
      <c r="M53" s="50" t="s">
        <v>59</v>
      </c>
      <c r="N53" s="50" t="s">
        <v>5</v>
      </c>
      <c r="O53" s="52" t="s">
        <v>705</v>
      </c>
      <c r="P53" s="52" t="s">
        <v>71</v>
      </c>
      <c r="Q53" s="52" t="s">
        <v>703</v>
      </c>
      <c r="R53" s="52"/>
      <c r="S53" s="52" t="s">
        <v>64</v>
      </c>
      <c r="T53" s="53"/>
      <c r="U53" s="52" t="s">
        <v>383</v>
      </c>
      <c r="V53" s="45"/>
      <c r="W53" s="30"/>
      <c r="X53" s="35"/>
      <c r="Y53" s="36"/>
      <c r="Z53" s="36"/>
      <c r="AA53" s="36"/>
      <c r="AB53" s="36"/>
      <c r="AC53" s="36"/>
      <c r="AD53" s="36"/>
      <c r="AE53" s="37" t="s">
        <v>90</v>
      </c>
      <c r="AF53" s="30" t="s">
        <v>104</v>
      </c>
      <c r="AG53" s="30" t="s">
        <v>104</v>
      </c>
      <c r="AH53" s="38"/>
      <c r="AI53" s="38">
        <v>0</v>
      </c>
      <c r="AJ53" s="38">
        <f t="shared" si="7"/>
        <v>0</v>
      </c>
      <c r="AK53" s="38"/>
      <c r="AL53" s="66"/>
      <c r="AM53" s="38"/>
      <c r="AN53" s="38">
        <v>270000000</v>
      </c>
      <c r="AO53" s="38">
        <f t="shared" ref="AO53:AO54" si="13">IF(M53="Si",(AN53-AH53),0)</f>
        <v>270000000</v>
      </c>
      <c r="AP53" s="38"/>
      <c r="AQ53" s="68">
        <v>0</v>
      </c>
      <c r="AR53" s="66"/>
      <c r="AS53" s="38"/>
      <c r="AT53" s="54">
        <f t="shared" ref="AT53:AT63" si="14">IF(AL53=0,0,ROUND(AR53/AL53,2))</f>
        <v>0</v>
      </c>
      <c r="AU53" s="65">
        <f t="shared" ref="AU53:AU63" si="15">AL53-AR53</f>
        <v>0</v>
      </c>
      <c r="AV53" s="30"/>
      <c r="AW53" s="30"/>
      <c r="AX53" s="118" t="s">
        <v>681</v>
      </c>
    </row>
    <row r="54" spans="1:50" ht="71.25" x14ac:dyDescent="0.25">
      <c r="A54" s="47">
        <v>48</v>
      </c>
      <c r="B54" s="47">
        <v>13</v>
      </c>
      <c r="C54" s="64" t="s">
        <v>635</v>
      </c>
      <c r="D54" s="52" t="s">
        <v>81</v>
      </c>
      <c r="E54" s="52"/>
      <c r="F54" s="50" t="s">
        <v>389</v>
      </c>
      <c r="G54" s="50" t="s">
        <v>212</v>
      </c>
      <c r="H54" s="50" t="s">
        <v>390</v>
      </c>
      <c r="I54" s="51" t="s">
        <v>59</v>
      </c>
      <c r="J54" s="51" t="s">
        <v>60</v>
      </c>
      <c r="K54" s="51">
        <v>2024</v>
      </c>
      <c r="L54" s="51">
        <v>93</v>
      </c>
      <c r="M54" s="50" t="s">
        <v>59</v>
      </c>
      <c r="N54" s="50" t="s">
        <v>5</v>
      </c>
      <c r="O54" s="52" t="s">
        <v>366</v>
      </c>
      <c r="P54" s="52" t="s">
        <v>71</v>
      </c>
      <c r="Q54" s="52" t="s">
        <v>707</v>
      </c>
      <c r="R54" s="52"/>
      <c r="S54" s="52" t="s">
        <v>64</v>
      </c>
      <c r="T54" s="53"/>
      <c r="U54" s="52" t="s">
        <v>391</v>
      </c>
      <c r="V54" s="45"/>
      <c r="W54" s="44"/>
      <c r="X54" s="35"/>
      <c r="Y54" s="36"/>
      <c r="Z54" s="36"/>
      <c r="AA54" s="36"/>
      <c r="AB54" s="36"/>
      <c r="AC54" s="36"/>
      <c r="AD54" s="36"/>
      <c r="AE54" s="37" t="s">
        <v>90</v>
      </c>
      <c r="AF54" s="30" t="s">
        <v>312</v>
      </c>
      <c r="AG54" s="30" t="s">
        <v>312</v>
      </c>
      <c r="AH54" s="38"/>
      <c r="AI54" s="38">
        <v>0</v>
      </c>
      <c r="AJ54" s="38">
        <f t="shared" si="4"/>
        <v>0</v>
      </c>
      <c r="AK54" s="38"/>
      <c r="AL54" s="66"/>
      <c r="AM54" s="38"/>
      <c r="AN54" s="38">
        <v>37305521</v>
      </c>
      <c r="AO54" s="38">
        <f t="shared" si="13"/>
        <v>37305521</v>
      </c>
      <c r="AP54" s="38"/>
      <c r="AQ54" s="68">
        <v>0</v>
      </c>
      <c r="AR54" s="66"/>
      <c r="AS54" s="38"/>
      <c r="AT54" s="54">
        <f t="shared" si="14"/>
        <v>0</v>
      </c>
      <c r="AU54" s="65">
        <f t="shared" si="15"/>
        <v>0</v>
      </c>
      <c r="AV54" s="30"/>
      <c r="AW54" s="43"/>
      <c r="AX54" s="32"/>
    </row>
    <row r="55" spans="1:50" ht="42.75" x14ac:dyDescent="0.25">
      <c r="A55" s="47"/>
      <c r="B55" s="47"/>
      <c r="C55" s="64">
        <v>81111801</v>
      </c>
      <c r="D55" s="52" t="s">
        <v>283</v>
      </c>
      <c r="E55" s="52"/>
      <c r="F55" s="50" t="s">
        <v>305</v>
      </c>
      <c r="G55" s="50" t="s">
        <v>305</v>
      </c>
      <c r="H55" s="50" t="s">
        <v>306</v>
      </c>
      <c r="I55" s="51" t="s">
        <v>59</v>
      </c>
      <c r="J55" s="51" t="s">
        <v>60</v>
      </c>
      <c r="K55" s="51">
        <v>2024</v>
      </c>
      <c r="L55" s="51">
        <v>236</v>
      </c>
      <c r="M55" s="50" t="s">
        <v>59</v>
      </c>
      <c r="N55" s="50" t="s">
        <v>5</v>
      </c>
      <c r="O55" s="52" t="s">
        <v>705</v>
      </c>
      <c r="P55" s="52" t="s">
        <v>71</v>
      </c>
      <c r="Q55" s="52"/>
      <c r="R55" s="52"/>
      <c r="S55" s="52"/>
      <c r="T55" s="53"/>
      <c r="U55" s="50" t="s">
        <v>306</v>
      </c>
      <c r="V55" s="45"/>
      <c r="W55" s="44"/>
      <c r="X55" s="35"/>
      <c r="Y55" s="36"/>
      <c r="Z55" s="36"/>
      <c r="AA55" s="36"/>
      <c r="AB55" s="36"/>
      <c r="AC55" s="36"/>
      <c r="AD55" s="36"/>
      <c r="AE55" s="37"/>
      <c r="AF55" s="30"/>
      <c r="AG55" s="30"/>
      <c r="AH55" s="38"/>
      <c r="AI55" s="38"/>
      <c r="AJ55" s="38"/>
      <c r="AK55" s="38"/>
      <c r="AL55" s="66"/>
      <c r="AM55" s="38"/>
      <c r="AN55" s="38"/>
      <c r="AO55" s="38"/>
      <c r="AP55" s="38"/>
      <c r="AQ55" s="68"/>
      <c r="AR55" s="66"/>
      <c r="AS55" s="38"/>
      <c r="AT55" s="54"/>
      <c r="AU55" s="65"/>
      <c r="AV55" s="30"/>
      <c r="AW55" s="43"/>
      <c r="AX55" s="32"/>
    </row>
    <row r="56" spans="1:50" ht="71.25" x14ac:dyDescent="0.25">
      <c r="A56" s="47">
        <v>39</v>
      </c>
      <c r="B56" s="47">
        <v>4</v>
      </c>
      <c r="C56" s="127">
        <v>80111614</v>
      </c>
      <c r="D56" s="128" t="s">
        <v>611</v>
      </c>
      <c r="E56" s="128"/>
      <c r="F56" s="129" t="s">
        <v>56</v>
      </c>
      <c r="G56" s="129" t="s">
        <v>82</v>
      </c>
      <c r="H56" s="129" t="s">
        <v>331</v>
      </c>
      <c r="I56" s="130" t="s">
        <v>59</v>
      </c>
      <c r="J56" s="130" t="s">
        <v>60</v>
      </c>
      <c r="K56" s="130">
        <v>2024</v>
      </c>
      <c r="L56" s="130">
        <v>186</v>
      </c>
      <c r="M56" s="129" t="s">
        <v>59</v>
      </c>
      <c r="N56" s="129" t="s">
        <v>5</v>
      </c>
      <c r="O56" s="128" t="s">
        <v>61</v>
      </c>
      <c r="P56" s="128" t="s">
        <v>71</v>
      </c>
      <c r="Q56" s="128" t="s">
        <v>693</v>
      </c>
      <c r="R56" s="128"/>
      <c r="S56" s="128" t="s">
        <v>64</v>
      </c>
      <c r="T56" s="131" t="s">
        <v>686</v>
      </c>
      <c r="U56" s="128" t="s">
        <v>606</v>
      </c>
      <c r="V56" s="150"/>
      <c r="W56" s="131"/>
      <c r="X56" s="146"/>
      <c r="Y56" s="144"/>
      <c r="Z56" s="144"/>
      <c r="AA56" s="144"/>
      <c r="AB56" s="144"/>
      <c r="AC56" s="144"/>
      <c r="AD56" s="144"/>
      <c r="AE56" s="148" t="s">
        <v>72</v>
      </c>
      <c r="AF56" s="128" t="s">
        <v>73</v>
      </c>
      <c r="AG56" s="131" t="s">
        <v>302</v>
      </c>
      <c r="AH56" s="149"/>
      <c r="AI56" s="149">
        <v>0</v>
      </c>
      <c r="AJ56" s="149">
        <f t="shared" ref="AJ56" si="16">AH56+AI56</f>
        <v>0</v>
      </c>
      <c r="AK56" s="149">
        <v>0</v>
      </c>
      <c r="AL56" s="149"/>
      <c r="AM56" s="149">
        <v>0</v>
      </c>
      <c r="AN56" s="149">
        <v>42500000</v>
      </c>
      <c r="AO56" s="149">
        <f>IF(M56="Si",(AN56-AH56),0)</f>
        <v>42500000</v>
      </c>
      <c r="AP56" s="149"/>
      <c r="AQ56" s="147">
        <v>0</v>
      </c>
      <c r="AR56" s="38">
        <v>0</v>
      </c>
      <c r="AS56" s="38"/>
      <c r="AT56" s="54">
        <f>IF(AL56=0,0,ROUND(AR56/AL56,2))</f>
        <v>0</v>
      </c>
      <c r="AU56" s="38">
        <f>AL56-AR56</f>
        <v>0</v>
      </c>
      <c r="AV56" s="30"/>
      <c r="AW56" s="218"/>
      <c r="AX56" s="32"/>
    </row>
    <row r="57" spans="1:50" ht="71.25" x14ac:dyDescent="0.25">
      <c r="A57" s="47">
        <v>40</v>
      </c>
      <c r="B57" s="47">
        <v>5</v>
      </c>
      <c r="C57" s="127">
        <v>80111614</v>
      </c>
      <c r="D57" s="128" t="s">
        <v>283</v>
      </c>
      <c r="E57" s="128"/>
      <c r="F57" s="129" t="s">
        <v>56</v>
      </c>
      <c r="G57" s="129" t="s">
        <v>82</v>
      </c>
      <c r="H57" s="129" t="s">
        <v>331</v>
      </c>
      <c r="I57" s="130" t="s">
        <v>59</v>
      </c>
      <c r="J57" s="130" t="s">
        <v>60</v>
      </c>
      <c r="K57" s="130">
        <v>2024</v>
      </c>
      <c r="L57" s="130">
        <v>200</v>
      </c>
      <c r="M57" s="129" t="s">
        <v>59</v>
      </c>
      <c r="N57" s="129" t="s">
        <v>5</v>
      </c>
      <c r="O57" s="128" t="s">
        <v>61</v>
      </c>
      <c r="P57" s="128" t="s">
        <v>71</v>
      </c>
      <c r="Q57" s="128" t="s">
        <v>695</v>
      </c>
      <c r="R57" s="128"/>
      <c r="S57" s="128" t="s">
        <v>64</v>
      </c>
      <c r="T57" s="131" t="s">
        <v>694</v>
      </c>
      <c r="U57" s="128" t="s">
        <v>607</v>
      </c>
      <c r="V57" s="150"/>
      <c r="W57" s="131"/>
      <c r="X57" s="146"/>
      <c r="Y57" s="144"/>
      <c r="Z57" s="144"/>
      <c r="AA57" s="144"/>
      <c r="AB57" s="144"/>
      <c r="AC57" s="144"/>
      <c r="AD57" s="144"/>
      <c r="AE57" s="148" t="s">
        <v>72</v>
      </c>
      <c r="AF57" s="128" t="s">
        <v>73</v>
      </c>
      <c r="AG57" s="131" t="s">
        <v>302</v>
      </c>
      <c r="AH57" s="149"/>
      <c r="AI57" s="149">
        <v>0</v>
      </c>
      <c r="AJ57" s="149">
        <f t="shared" ref="AJ57:AJ58" si="17">AH57+AI57</f>
        <v>0</v>
      </c>
      <c r="AK57" s="149">
        <v>0</v>
      </c>
      <c r="AL57" s="149"/>
      <c r="AM57" s="149">
        <v>0</v>
      </c>
      <c r="AN57" s="149">
        <v>51000000</v>
      </c>
      <c r="AO57" s="149">
        <f>IF(M57="Si",(AN57-AH57),0)</f>
        <v>51000000</v>
      </c>
      <c r="AP57" s="149"/>
      <c r="AQ57" s="147">
        <v>0</v>
      </c>
      <c r="AR57" s="38">
        <v>0</v>
      </c>
      <c r="AS57" s="38"/>
      <c r="AT57" s="54">
        <f>IF(AL57=0,0,ROUND(AR57/AL57,2))</f>
        <v>0</v>
      </c>
      <c r="AU57" s="38">
        <f>AL57-AR57</f>
        <v>0</v>
      </c>
      <c r="AV57" s="30"/>
      <c r="AW57" s="218"/>
      <c r="AX57" s="32"/>
    </row>
    <row r="58" spans="1:50" ht="71.25" x14ac:dyDescent="0.25">
      <c r="A58" s="47">
        <v>41</v>
      </c>
      <c r="B58" s="47">
        <v>6</v>
      </c>
      <c r="C58" s="127">
        <v>80111614</v>
      </c>
      <c r="D58" s="128" t="s">
        <v>612</v>
      </c>
      <c r="E58" s="128"/>
      <c r="F58" s="129" t="s">
        <v>56</v>
      </c>
      <c r="G58" s="129" t="s">
        <v>82</v>
      </c>
      <c r="H58" s="129" t="s">
        <v>331</v>
      </c>
      <c r="I58" s="130" t="s">
        <v>59</v>
      </c>
      <c r="J58" s="130" t="s">
        <v>60</v>
      </c>
      <c r="K58" s="130">
        <v>2024</v>
      </c>
      <c r="L58" s="130">
        <v>201</v>
      </c>
      <c r="M58" s="129" t="s">
        <v>59</v>
      </c>
      <c r="N58" s="129" t="s">
        <v>5</v>
      </c>
      <c r="O58" s="128" t="s">
        <v>61</v>
      </c>
      <c r="P58" s="128" t="s">
        <v>71</v>
      </c>
      <c r="Q58" s="128" t="s">
        <v>698</v>
      </c>
      <c r="R58" s="128"/>
      <c r="S58" s="128" t="s">
        <v>64</v>
      </c>
      <c r="T58" s="131" t="s">
        <v>685</v>
      </c>
      <c r="U58" s="128" t="s">
        <v>608</v>
      </c>
      <c r="V58" s="150"/>
      <c r="W58" s="131"/>
      <c r="X58" s="146"/>
      <c r="Y58" s="144"/>
      <c r="Z58" s="144"/>
      <c r="AA58" s="144"/>
      <c r="AB58" s="144"/>
      <c r="AC58" s="144"/>
      <c r="AD58" s="144"/>
      <c r="AE58" s="148" t="s">
        <v>72</v>
      </c>
      <c r="AF58" s="128" t="s">
        <v>73</v>
      </c>
      <c r="AG58" s="131" t="s">
        <v>302</v>
      </c>
      <c r="AH58" s="149"/>
      <c r="AI58" s="149">
        <v>0</v>
      </c>
      <c r="AJ58" s="149">
        <f t="shared" si="17"/>
        <v>0</v>
      </c>
      <c r="AK58" s="149">
        <v>0</v>
      </c>
      <c r="AL58" s="149"/>
      <c r="AM58" s="149">
        <v>0</v>
      </c>
      <c r="AN58" s="149">
        <v>51000000</v>
      </c>
      <c r="AO58" s="149">
        <f>IF(M58="Si",(AN58-AH58),0)</f>
        <v>51000000</v>
      </c>
      <c r="AP58" s="149"/>
      <c r="AQ58" s="147">
        <v>0</v>
      </c>
      <c r="AR58" s="38">
        <v>0</v>
      </c>
      <c r="AS58" s="38"/>
      <c r="AT58" s="54">
        <f>IF(AL58=0,0,ROUND(AR58/AL58,2))</f>
        <v>0</v>
      </c>
      <c r="AU58" s="38">
        <f>AL58-AR58</f>
        <v>0</v>
      </c>
      <c r="AV58" s="30"/>
      <c r="AW58" s="218"/>
      <c r="AX58" s="32"/>
    </row>
    <row r="59" spans="1:50" ht="129" customHeight="1" x14ac:dyDescent="0.25">
      <c r="A59" s="47">
        <v>44</v>
      </c>
      <c r="B59" s="47">
        <v>1</v>
      </c>
      <c r="C59" s="127" t="s">
        <v>348</v>
      </c>
      <c r="D59" s="128" t="s">
        <v>283</v>
      </c>
      <c r="E59" s="128"/>
      <c r="F59" s="129" t="s">
        <v>93</v>
      </c>
      <c r="G59" s="129" t="s">
        <v>107</v>
      </c>
      <c r="H59" s="129" t="s">
        <v>349</v>
      </c>
      <c r="I59" s="130" t="s">
        <v>59</v>
      </c>
      <c r="J59" s="130" t="s">
        <v>60</v>
      </c>
      <c r="K59" s="130">
        <v>2024</v>
      </c>
      <c r="L59" s="130">
        <v>176</v>
      </c>
      <c r="M59" s="129" t="s">
        <v>59</v>
      </c>
      <c r="N59" s="129" t="s">
        <v>5</v>
      </c>
      <c r="O59" s="128" t="s">
        <v>61</v>
      </c>
      <c r="P59" s="128"/>
      <c r="Q59" s="128"/>
      <c r="R59" s="128"/>
      <c r="S59" s="128" t="s">
        <v>64</v>
      </c>
      <c r="T59" s="131" t="s">
        <v>350</v>
      </c>
      <c r="U59" s="128" t="s">
        <v>351</v>
      </c>
      <c r="V59" s="145"/>
      <c r="W59" s="131"/>
      <c r="X59" s="146"/>
      <c r="Y59" s="144"/>
      <c r="Z59" s="144"/>
      <c r="AA59" s="144"/>
      <c r="AB59" s="144"/>
      <c r="AC59" s="144"/>
      <c r="AD59" s="144"/>
      <c r="AE59" s="148" t="s">
        <v>345</v>
      </c>
      <c r="AF59" s="131" t="s">
        <v>312</v>
      </c>
      <c r="AG59" s="131" t="s">
        <v>312</v>
      </c>
      <c r="AH59" s="149"/>
      <c r="AI59" s="149">
        <v>0</v>
      </c>
      <c r="AJ59" s="149">
        <f>AH59+AI59</f>
        <v>0</v>
      </c>
      <c r="AK59" s="149"/>
      <c r="AL59" s="149"/>
      <c r="AM59" s="149"/>
      <c r="AN59" s="149">
        <v>0</v>
      </c>
      <c r="AO59" s="149">
        <v>0</v>
      </c>
      <c r="AP59" s="149"/>
      <c r="AQ59" s="147">
        <v>0</v>
      </c>
      <c r="AR59" s="66"/>
      <c r="AS59" s="38"/>
      <c r="AT59" s="54">
        <f t="shared" si="14"/>
        <v>0</v>
      </c>
      <c r="AU59" s="65">
        <f t="shared" si="15"/>
        <v>0</v>
      </c>
      <c r="AV59" s="30"/>
      <c r="AW59" s="30"/>
      <c r="AX59" s="118" t="s">
        <v>687</v>
      </c>
    </row>
    <row r="60" spans="1:50" ht="142.5" x14ac:dyDescent="0.25">
      <c r="A60" s="47">
        <v>50</v>
      </c>
      <c r="B60" s="47">
        <v>2</v>
      </c>
      <c r="C60" s="127"/>
      <c r="D60" s="128"/>
      <c r="E60" s="128"/>
      <c r="F60" s="129" t="s">
        <v>93</v>
      </c>
      <c r="G60" s="129" t="s">
        <v>369</v>
      </c>
      <c r="H60" s="129" t="s">
        <v>442</v>
      </c>
      <c r="I60" s="130" t="s">
        <v>59</v>
      </c>
      <c r="J60" s="130" t="s">
        <v>60</v>
      </c>
      <c r="K60" s="130">
        <v>2024</v>
      </c>
      <c r="L60" s="130">
        <v>116</v>
      </c>
      <c r="M60" s="129" t="s">
        <v>59</v>
      </c>
      <c r="N60" s="129" t="s">
        <v>5</v>
      </c>
      <c r="O60" s="128" t="s">
        <v>195</v>
      </c>
      <c r="P60" s="128" t="s">
        <v>71</v>
      </c>
      <c r="Q60" s="128"/>
      <c r="R60" s="128"/>
      <c r="S60" s="128" t="s">
        <v>64</v>
      </c>
      <c r="T60" s="131" t="s">
        <v>443</v>
      </c>
      <c r="U60" s="128" t="s">
        <v>408</v>
      </c>
      <c r="V60" s="145"/>
      <c r="W60" s="131"/>
      <c r="X60" s="146"/>
      <c r="Y60" s="144"/>
      <c r="Z60" s="144"/>
      <c r="AA60" s="144"/>
      <c r="AB60" s="144"/>
      <c r="AC60" s="144"/>
      <c r="AD60" s="144"/>
      <c r="AE60" s="148" t="s">
        <v>72</v>
      </c>
      <c r="AF60" s="131" t="s">
        <v>135</v>
      </c>
      <c r="AG60" s="131" t="s">
        <v>444</v>
      </c>
      <c r="AH60" s="149"/>
      <c r="AI60" s="149">
        <v>0</v>
      </c>
      <c r="AJ60" s="149">
        <f t="shared" si="4"/>
        <v>0</v>
      </c>
      <c r="AK60" s="149"/>
      <c r="AL60" s="149"/>
      <c r="AM60" s="149"/>
      <c r="AN60" s="149">
        <v>0</v>
      </c>
      <c r="AO60" s="149">
        <f>IF(M60="Si",(AN60-AH60),0)</f>
        <v>0</v>
      </c>
      <c r="AP60" s="149"/>
      <c r="AQ60" s="147">
        <v>0</v>
      </c>
      <c r="AR60" s="66"/>
      <c r="AS60" s="38"/>
      <c r="AT60" s="54">
        <f t="shared" si="14"/>
        <v>0</v>
      </c>
      <c r="AU60" s="65">
        <f t="shared" si="15"/>
        <v>0</v>
      </c>
      <c r="AV60" s="30"/>
      <c r="AW60" s="30" t="s">
        <v>445</v>
      </c>
      <c r="AX60" s="32"/>
    </row>
    <row r="61" spans="1:50" ht="99.75" x14ac:dyDescent="0.25">
      <c r="A61" s="47">
        <v>51</v>
      </c>
      <c r="B61" s="47">
        <v>3</v>
      </c>
      <c r="C61" s="127"/>
      <c r="D61" s="128"/>
      <c r="E61" s="128"/>
      <c r="F61" s="129" t="s">
        <v>93</v>
      </c>
      <c r="G61" s="129" t="s">
        <v>406</v>
      </c>
      <c r="H61" s="129" t="s">
        <v>446</v>
      </c>
      <c r="I61" s="130" t="s">
        <v>59</v>
      </c>
      <c r="J61" s="130" t="s">
        <v>60</v>
      </c>
      <c r="K61" s="130">
        <v>2024</v>
      </c>
      <c r="L61" s="130">
        <v>96</v>
      </c>
      <c r="M61" s="129" t="s">
        <v>59</v>
      </c>
      <c r="N61" s="129" t="s">
        <v>5</v>
      </c>
      <c r="O61" s="128" t="s">
        <v>447</v>
      </c>
      <c r="P61" s="128" t="s">
        <v>71</v>
      </c>
      <c r="Q61" s="128" t="s">
        <v>406</v>
      </c>
      <c r="R61" s="128"/>
      <c r="S61" s="128" t="s">
        <v>64</v>
      </c>
      <c r="T61" s="131" t="s">
        <v>448</v>
      </c>
      <c r="U61" s="128" t="s">
        <v>405</v>
      </c>
      <c r="V61" s="150"/>
      <c r="W61" s="131"/>
      <c r="X61" s="146"/>
      <c r="Y61" s="144"/>
      <c r="Z61" s="144"/>
      <c r="AA61" s="144"/>
      <c r="AB61" s="144"/>
      <c r="AC61" s="144"/>
      <c r="AD61" s="144"/>
      <c r="AE61" s="148" t="s">
        <v>90</v>
      </c>
      <c r="AF61" s="131" t="s">
        <v>104</v>
      </c>
      <c r="AG61" s="131" t="s">
        <v>104</v>
      </c>
      <c r="AH61" s="149"/>
      <c r="AI61" s="149">
        <v>0</v>
      </c>
      <c r="AJ61" s="149">
        <f t="shared" si="4"/>
        <v>0</v>
      </c>
      <c r="AK61" s="149"/>
      <c r="AL61" s="149"/>
      <c r="AM61" s="149"/>
      <c r="AN61" s="149">
        <v>0</v>
      </c>
      <c r="AO61" s="149">
        <f>IF(M61="Si",(AN61-AH61),0)</f>
        <v>0</v>
      </c>
      <c r="AP61" s="149"/>
      <c r="AQ61" s="147">
        <v>0</v>
      </c>
      <c r="AR61" s="66"/>
      <c r="AS61" s="38"/>
      <c r="AT61" s="54">
        <f t="shared" si="14"/>
        <v>0</v>
      </c>
      <c r="AU61" s="65">
        <f t="shared" si="15"/>
        <v>0</v>
      </c>
      <c r="AV61" s="30"/>
      <c r="AW61" s="30" t="s">
        <v>449</v>
      </c>
      <c r="AX61" s="32"/>
    </row>
    <row r="62" spans="1:50" ht="129" customHeight="1" x14ac:dyDescent="0.25">
      <c r="A62" s="47">
        <v>52</v>
      </c>
      <c r="B62" s="47">
        <v>4</v>
      </c>
      <c r="C62" s="127" t="s">
        <v>348</v>
      </c>
      <c r="D62" s="128" t="s">
        <v>379</v>
      </c>
      <c r="E62" s="128"/>
      <c r="F62" s="129" t="s">
        <v>93</v>
      </c>
      <c r="G62" s="129" t="s">
        <v>107</v>
      </c>
      <c r="H62" s="129" t="s">
        <v>352</v>
      </c>
      <c r="I62" s="130" t="s">
        <v>59</v>
      </c>
      <c r="J62" s="130" t="s">
        <v>60</v>
      </c>
      <c r="K62" s="130">
        <v>2024</v>
      </c>
      <c r="L62" s="130">
        <v>103</v>
      </c>
      <c r="M62" s="129" t="s">
        <v>59</v>
      </c>
      <c r="N62" s="129" t="s">
        <v>5</v>
      </c>
      <c r="O62" s="128" t="s">
        <v>61</v>
      </c>
      <c r="P62" s="128" t="s">
        <v>450</v>
      </c>
      <c r="Q62" s="128" t="s">
        <v>107</v>
      </c>
      <c r="R62" s="128"/>
      <c r="S62" s="128" t="s">
        <v>64</v>
      </c>
      <c r="T62" s="131" t="s">
        <v>353</v>
      </c>
      <c r="U62" s="128" t="s">
        <v>407</v>
      </c>
      <c r="V62" s="145"/>
      <c r="W62" s="131"/>
      <c r="X62" s="146"/>
      <c r="Y62" s="144"/>
      <c r="Z62" s="144"/>
      <c r="AA62" s="144"/>
      <c r="AB62" s="144"/>
      <c r="AC62" s="144"/>
      <c r="AD62" s="144"/>
      <c r="AE62" s="148" t="s">
        <v>90</v>
      </c>
      <c r="AF62" s="131" t="s">
        <v>312</v>
      </c>
      <c r="AG62" s="131" t="s">
        <v>312</v>
      </c>
      <c r="AH62" s="149"/>
      <c r="AI62" s="149">
        <v>0</v>
      </c>
      <c r="AJ62" s="149">
        <f>AH62+AI62</f>
        <v>0</v>
      </c>
      <c r="AK62" s="149"/>
      <c r="AL62" s="149"/>
      <c r="AM62" s="149"/>
      <c r="AN62" s="149">
        <v>0</v>
      </c>
      <c r="AO62" s="149">
        <f>IF(M62="Si",(AN62-AH62),0)</f>
        <v>0</v>
      </c>
      <c r="AP62" s="149"/>
      <c r="AQ62" s="147">
        <v>0</v>
      </c>
      <c r="AR62" s="66"/>
      <c r="AS62" s="38"/>
      <c r="AT62" s="54">
        <f t="shared" si="14"/>
        <v>0</v>
      </c>
      <c r="AU62" s="65">
        <f t="shared" si="15"/>
        <v>0</v>
      </c>
      <c r="AV62" s="30"/>
      <c r="AW62" s="30" t="s">
        <v>445</v>
      </c>
      <c r="AX62" s="32"/>
    </row>
    <row r="63" spans="1:50" ht="99.75" x14ac:dyDescent="0.25">
      <c r="A63" s="47">
        <v>53</v>
      </c>
      <c r="B63" s="47">
        <v>5</v>
      </c>
      <c r="C63" s="127">
        <v>80111614</v>
      </c>
      <c r="D63" s="128" t="s">
        <v>283</v>
      </c>
      <c r="E63" s="128"/>
      <c r="F63" s="129" t="s">
        <v>56</v>
      </c>
      <c r="G63" s="129" t="s">
        <v>82</v>
      </c>
      <c r="H63" s="129" t="s">
        <v>331</v>
      </c>
      <c r="I63" s="130" t="s">
        <v>59</v>
      </c>
      <c r="J63" s="130" t="s">
        <v>60</v>
      </c>
      <c r="K63" s="130">
        <v>2024</v>
      </c>
      <c r="L63" s="130">
        <v>155</v>
      </c>
      <c r="M63" s="129" t="s">
        <v>59</v>
      </c>
      <c r="N63" s="129" t="s">
        <v>451</v>
      </c>
      <c r="O63" s="128" t="s">
        <v>61</v>
      </c>
      <c r="P63" s="128" t="s">
        <v>317</v>
      </c>
      <c r="Q63" s="128"/>
      <c r="R63" s="128"/>
      <c r="S63" s="128" t="s">
        <v>64</v>
      </c>
      <c r="T63" s="131" t="s">
        <v>452</v>
      </c>
      <c r="U63" s="128" t="s">
        <v>333</v>
      </c>
      <c r="V63" s="150"/>
      <c r="W63" s="131"/>
      <c r="X63" s="146"/>
      <c r="Y63" s="144"/>
      <c r="Z63" s="144"/>
      <c r="AA63" s="144"/>
      <c r="AB63" s="144"/>
      <c r="AC63" s="144"/>
      <c r="AD63" s="144"/>
      <c r="AE63" s="148" t="s">
        <v>72</v>
      </c>
      <c r="AF63" s="131" t="s">
        <v>73</v>
      </c>
      <c r="AG63" s="131" t="s">
        <v>336</v>
      </c>
      <c r="AH63" s="149"/>
      <c r="AI63" s="149">
        <v>0</v>
      </c>
      <c r="AJ63" s="149">
        <f>AH63+AI63</f>
        <v>0</v>
      </c>
      <c r="AK63" s="149"/>
      <c r="AL63" s="149"/>
      <c r="AM63" s="149"/>
      <c r="AN63" s="149">
        <v>0</v>
      </c>
      <c r="AO63" s="149">
        <f>IF(M63="Si",(AN63-AH63),0)</f>
        <v>0</v>
      </c>
      <c r="AP63" s="149"/>
      <c r="AQ63" s="147">
        <v>0</v>
      </c>
      <c r="AR63" s="66"/>
      <c r="AS63" s="38"/>
      <c r="AT63" s="54">
        <f t="shared" si="14"/>
        <v>0</v>
      </c>
      <c r="AU63" s="65">
        <f t="shared" si="15"/>
        <v>0</v>
      </c>
      <c r="AV63" s="30"/>
      <c r="AW63" s="30" t="s">
        <v>453</v>
      </c>
      <c r="AX63" s="118" t="s">
        <v>454</v>
      </c>
    </row>
    <row r="64" spans="1:50" ht="15" x14ac:dyDescent="0.25">
      <c r="A64" s="47"/>
      <c r="B64" s="47"/>
      <c r="C64" s="61"/>
      <c r="D64" s="32"/>
      <c r="E64" s="32"/>
      <c r="F64" s="29"/>
      <c r="G64" s="29"/>
      <c r="H64" s="29"/>
      <c r="I64" s="41"/>
      <c r="J64" s="41"/>
      <c r="K64" s="41"/>
      <c r="L64" s="41"/>
      <c r="M64" s="29"/>
      <c r="N64" s="29"/>
      <c r="O64" s="32"/>
      <c r="P64" s="32"/>
      <c r="Q64" s="32"/>
      <c r="R64" s="32"/>
      <c r="S64" s="32"/>
      <c r="T64" s="30"/>
      <c r="U64" s="32"/>
      <c r="V64" s="46"/>
      <c r="W64" s="30"/>
      <c r="X64" s="35"/>
      <c r="Y64" s="36"/>
      <c r="Z64" s="36"/>
      <c r="AA64" s="36"/>
      <c r="AB64" s="36"/>
      <c r="AC64" s="36"/>
      <c r="AD64" s="36"/>
      <c r="AE64" s="37"/>
      <c r="AF64" s="30"/>
      <c r="AG64" s="30"/>
      <c r="AH64" s="38"/>
      <c r="AI64" s="38"/>
      <c r="AJ64" s="38"/>
      <c r="AK64" s="38"/>
      <c r="AL64" s="38"/>
      <c r="AM64" s="38"/>
      <c r="AN64" s="38"/>
      <c r="AO64" s="38"/>
      <c r="AP64" s="38"/>
      <c r="AQ64" s="68"/>
      <c r="AR64" s="66"/>
      <c r="AS64" s="38"/>
      <c r="AT64" s="39"/>
      <c r="AU64" s="38"/>
      <c r="AV64" s="30"/>
      <c r="AW64" s="43"/>
      <c r="AX64" s="32"/>
    </row>
    <row r="65" spans="1:50" x14ac:dyDescent="0.25">
      <c r="A65" s="47"/>
      <c r="B65" s="47"/>
      <c r="C65" s="61"/>
      <c r="D65" s="32"/>
      <c r="E65" s="32"/>
      <c r="F65" s="29"/>
      <c r="G65" s="29"/>
      <c r="H65" s="29"/>
      <c r="I65" s="41"/>
      <c r="J65" s="41"/>
      <c r="K65" s="41"/>
      <c r="L65" s="41"/>
      <c r="M65" s="29"/>
      <c r="N65" s="29"/>
      <c r="O65" s="32"/>
      <c r="P65" s="32"/>
      <c r="Q65" s="32"/>
      <c r="R65" s="32"/>
      <c r="S65" s="32"/>
      <c r="T65" s="30"/>
      <c r="U65" s="32"/>
      <c r="V65" s="45"/>
      <c r="W65" s="30"/>
      <c r="X65" s="35"/>
      <c r="Y65" s="36"/>
      <c r="Z65" s="36"/>
      <c r="AA65" s="36"/>
      <c r="AB65" s="36"/>
      <c r="AC65" s="36"/>
      <c r="AD65" s="36"/>
      <c r="AE65" s="37"/>
      <c r="AF65" s="32"/>
      <c r="AG65" s="32"/>
      <c r="AH65" s="38"/>
      <c r="AI65" s="38"/>
      <c r="AJ65" s="38"/>
      <c r="AK65" s="38"/>
      <c r="AL65" s="38"/>
      <c r="AM65" s="38"/>
      <c r="AN65" s="38"/>
      <c r="AO65" s="38"/>
      <c r="AP65" s="38"/>
      <c r="AQ65" s="68"/>
      <c r="AR65" s="66"/>
      <c r="AS65" s="38"/>
      <c r="AT65" s="39"/>
      <c r="AU65" s="38"/>
      <c r="AV65" s="30"/>
      <c r="AW65" s="30"/>
      <c r="AX65" s="32"/>
    </row>
    <row r="66" spans="1:50" ht="15" x14ac:dyDescent="0.25">
      <c r="A66" s="47"/>
      <c r="B66" s="47"/>
      <c r="C66" s="61"/>
      <c r="D66" s="32"/>
      <c r="E66" s="32"/>
      <c r="F66" s="29"/>
      <c r="G66" s="29"/>
      <c r="H66" s="29"/>
      <c r="I66" s="41"/>
      <c r="J66" s="41"/>
      <c r="K66" s="41"/>
      <c r="L66" s="41"/>
      <c r="M66" s="29"/>
      <c r="N66" s="29"/>
      <c r="O66" s="32"/>
      <c r="P66" s="32"/>
      <c r="Q66" s="32"/>
      <c r="R66" s="32"/>
      <c r="S66" s="32"/>
      <c r="T66" s="30"/>
      <c r="U66" s="32"/>
      <c r="V66" s="45"/>
      <c r="W66" s="30"/>
      <c r="X66" s="35"/>
      <c r="Y66" s="36"/>
      <c r="Z66" s="36"/>
      <c r="AA66" s="36"/>
      <c r="AB66" s="36"/>
      <c r="AC66" s="36"/>
      <c r="AD66" s="36"/>
      <c r="AE66" s="37"/>
      <c r="AF66" s="30"/>
      <c r="AG66" s="30"/>
      <c r="AH66" s="38"/>
      <c r="AI66" s="38"/>
      <c r="AJ66" s="38"/>
      <c r="AK66" s="38"/>
      <c r="AL66" s="38"/>
      <c r="AM66" s="38"/>
      <c r="AN66" s="38"/>
      <c r="AO66" s="38"/>
      <c r="AP66" s="38"/>
      <c r="AQ66" s="68"/>
      <c r="AR66" s="66"/>
      <c r="AS66" s="38"/>
      <c r="AT66" s="39"/>
      <c r="AU66" s="38"/>
      <c r="AV66" s="30"/>
      <c r="AW66" s="43"/>
      <c r="AX66" s="32"/>
    </row>
    <row r="67" spans="1:50" x14ac:dyDescent="0.25">
      <c r="A67" s="47"/>
      <c r="B67" s="47"/>
      <c r="C67" s="61"/>
      <c r="D67" s="32"/>
      <c r="E67" s="32"/>
      <c r="F67" s="29"/>
      <c r="G67" s="29"/>
      <c r="H67" s="29"/>
      <c r="I67" s="41"/>
      <c r="J67" s="41"/>
      <c r="K67" s="41"/>
      <c r="L67" s="41"/>
      <c r="M67" s="29"/>
      <c r="N67" s="29"/>
      <c r="O67" s="32"/>
      <c r="P67" s="32"/>
      <c r="Q67" s="32"/>
      <c r="R67" s="32"/>
      <c r="S67" s="32"/>
      <c r="T67" s="30"/>
      <c r="U67" s="32"/>
      <c r="V67" s="45"/>
      <c r="W67" s="44"/>
      <c r="X67" s="35"/>
      <c r="Y67" s="36"/>
      <c r="Z67" s="36"/>
      <c r="AA67" s="36"/>
      <c r="AB67" s="36"/>
      <c r="AC67" s="36"/>
      <c r="AD67" s="36"/>
      <c r="AE67" s="37"/>
      <c r="AF67" s="30"/>
      <c r="AG67" s="30"/>
      <c r="AH67" s="38"/>
      <c r="AI67" s="38"/>
      <c r="AJ67" s="38"/>
      <c r="AK67" s="38"/>
      <c r="AL67" s="38"/>
      <c r="AM67" s="38"/>
      <c r="AN67" s="38"/>
      <c r="AO67" s="38"/>
      <c r="AP67" s="38"/>
      <c r="AQ67" s="68"/>
      <c r="AR67" s="66"/>
      <c r="AS67" s="38"/>
      <c r="AT67" s="39"/>
      <c r="AU67" s="38"/>
      <c r="AV67" s="30"/>
      <c r="AW67" s="30"/>
      <c r="AX67" s="32"/>
    </row>
    <row r="68" spans="1:50" ht="15" x14ac:dyDescent="0.25">
      <c r="A68" s="47"/>
      <c r="B68" s="47"/>
      <c r="C68" s="61"/>
      <c r="D68" s="32"/>
      <c r="E68" s="32"/>
      <c r="F68" s="29"/>
      <c r="G68" s="29"/>
      <c r="H68" s="29"/>
      <c r="I68" s="41"/>
      <c r="J68" s="41"/>
      <c r="K68" s="41"/>
      <c r="L68" s="41"/>
      <c r="M68" s="29"/>
      <c r="N68" s="29"/>
      <c r="O68" s="32"/>
      <c r="P68" s="32"/>
      <c r="Q68" s="32"/>
      <c r="R68" s="32"/>
      <c r="S68" s="32"/>
      <c r="T68" s="30"/>
      <c r="U68" s="32"/>
      <c r="V68" s="45"/>
      <c r="W68" s="44"/>
      <c r="X68" s="35"/>
      <c r="Y68" s="36"/>
      <c r="Z68" s="36"/>
      <c r="AA68" s="36"/>
      <c r="AB68" s="36"/>
      <c r="AC68" s="36"/>
      <c r="AD68" s="36"/>
      <c r="AE68" s="37"/>
      <c r="AF68" s="30"/>
      <c r="AG68" s="30"/>
      <c r="AH68" s="38"/>
      <c r="AI68" s="38"/>
      <c r="AJ68" s="38"/>
      <c r="AK68" s="38"/>
      <c r="AL68" s="38"/>
      <c r="AM68" s="38"/>
      <c r="AN68" s="38"/>
      <c r="AO68" s="38"/>
      <c r="AP68" s="38"/>
      <c r="AQ68" s="68"/>
      <c r="AR68" s="66"/>
      <c r="AS68" s="38"/>
      <c r="AT68" s="39"/>
      <c r="AU68" s="38"/>
      <c r="AV68" s="30"/>
      <c r="AW68" s="43"/>
      <c r="AX68" s="32"/>
    </row>
    <row r="69" spans="1:50" x14ac:dyDescent="0.25">
      <c r="A69" s="47"/>
      <c r="B69" s="47"/>
      <c r="C69" s="61"/>
      <c r="D69" s="32"/>
      <c r="E69" s="32"/>
      <c r="F69" s="29"/>
      <c r="G69" s="29"/>
      <c r="H69" s="29"/>
      <c r="I69" s="41"/>
      <c r="J69" s="41"/>
      <c r="K69" s="41"/>
      <c r="L69" s="41"/>
      <c r="M69" s="29"/>
      <c r="N69" s="29"/>
      <c r="O69" s="32"/>
      <c r="P69" s="32"/>
      <c r="Q69" s="32"/>
      <c r="R69" s="32"/>
      <c r="S69" s="32"/>
      <c r="T69" s="30"/>
      <c r="U69" s="32"/>
      <c r="V69" s="57"/>
      <c r="W69" s="34"/>
      <c r="X69" s="35"/>
      <c r="Y69" s="36"/>
      <c r="Z69" s="36"/>
      <c r="AA69" s="36"/>
      <c r="AB69" s="36"/>
      <c r="AC69" s="36"/>
      <c r="AD69" s="36"/>
      <c r="AE69" s="37"/>
      <c r="AF69" s="30"/>
      <c r="AG69" s="30"/>
      <c r="AH69" s="38"/>
      <c r="AI69" s="38"/>
      <c r="AJ69" s="38"/>
      <c r="AK69" s="38"/>
      <c r="AL69" s="38"/>
      <c r="AM69" s="38"/>
      <c r="AN69" s="38"/>
      <c r="AO69" s="38"/>
      <c r="AP69" s="38"/>
      <c r="AQ69" s="68"/>
      <c r="AR69" s="66"/>
      <c r="AS69" s="38"/>
      <c r="AT69" s="39"/>
      <c r="AU69" s="38"/>
      <c r="AV69" s="30"/>
      <c r="AW69" s="30"/>
      <c r="AX69" s="32"/>
    </row>
    <row r="70" spans="1:50" x14ac:dyDescent="0.25">
      <c r="AR70" s="67"/>
    </row>
  </sheetData>
  <phoneticPr fontId="14" type="noConversion"/>
  <hyperlinks>
    <hyperlink ref="AW25" r:id="rId1" xr:uid="{3FB58892-4146-4EE6-BA0E-707578E901A2}"/>
    <hyperlink ref="AW13" r:id="rId2" xr:uid="{D4FDA106-0294-4AD5-B208-6FF6369EE84B}"/>
    <hyperlink ref="AW26" r:id="rId3" display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xr:uid="{F7616AC4-2410-47B7-BED0-1DE7754412D4}"/>
    <hyperlink ref="AW12" r:id="rId4" xr:uid="{6500DE13-4133-4FD0-A9D7-38BCB36BF151}"/>
    <hyperlink ref="AW14" r:id="rId5" display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xr:uid="{E9DF5DAB-D410-4B4B-8323-AF25EBB725E5}"/>
    <hyperlink ref="AW28" r:id="rId6" display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xr:uid="{ABA9CB36-A10F-42A2-B8AA-A5FB2C5D3FBB}"/>
    <hyperlink ref="AW16" r:id="rId7" display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xr:uid="{B7DF02C9-D404-4E8D-A0A9-BAC4B926087B}"/>
    <hyperlink ref="AW15" r:id="rId8" display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xr:uid="{49AA9D14-28DE-4878-83F1-DE8CA304DB78}"/>
    <hyperlink ref="AW10" r:id="rId9" display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xr:uid="{29F093D1-4088-415F-8D9D-22E1841D6F69}"/>
    <hyperlink ref="AW17" r:id="rId10" display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xr:uid="{01476FEB-8074-47F7-8CA8-6A728DAEF492}"/>
    <hyperlink ref="AW18" r:id="rId11" display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xr:uid="{A53396B0-46C7-488C-8134-89D22A7E29F9}"/>
    <hyperlink ref="AW19" r:id="rId12" display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xr:uid="{E7F14CEB-1A9B-4024-89E2-8071BA9FCD45}"/>
    <hyperlink ref="AW20" r:id="rId13" display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xr:uid="{EA9C17B7-AD4B-4CAC-930B-9BC29CB4780A}"/>
    <hyperlink ref="AW21" r:id="rId14" display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xr:uid="{61862160-B844-4384-9135-CDD5E8BC60D0}"/>
    <hyperlink ref="AW22" r:id="rId15" display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xr:uid="{C4455894-5D01-4158-A015-9A641907DA0B}"/>
    <hyperlink ref="AW50" r:id="rId16" display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xr:uid="{CD69E599-8725-47C6-B3EA-825D731AFC73}"/>
    <hyperlink ref="AW8" r:id="rId17" display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xr:uid="{828C1504-3FB0-47C0-906F-1F29902D6964}"/>
    <hyperlink ref="AW51" r:id="rId18" display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xr:uid="{1828161C-7441-4B06-988F-EC8D499B6C56}"/>
    <hyperlink ref="AW11" r:id="rId19" xr:uid="{09482A40-5F27-43DE-8AB0-6689C32F6CB2}"/>
    <hyperlink ref="AW23" r:id="rId20" display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xr:uid="{99FADFD2-F355-4AB4-B6FC-9EBFDF64004F}"/>
    <hyperlink ref="AW9" r:id="rId21" display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xr:uid="{3FEB5FD3-DDBB-42F4-A0D3-EAFA3577BD32}"/>
    <hyperlink ref="AW29" r:id="rId22" display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xr:uid="{1D28EE26-0311-4B82-AC93-F7FF4683FB29}"/>
    <hyperlink ref="AW30" r:id="rId23" xr:uid="{7EB44EE7-1C6C-4E8A-BC4C-6C90ECF8A277}"/>
    <hyperlink ref="AW31" r:id="rId24" display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xr:uid="{2A64978D-EF0C-42E3-9ED4-B65190EDBB80}"/>
    <hyperlink ref="AW32" r:id="rId25" display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xr:uid="{C510EA84-81CD-4297-B902-77CB7144B9C2}"/>
    <hyperlink ref="AW27" r:id="rId26" xr:uid="{C81FDCE8-8917-4653-9950-37DECBF9EEA6}"/>
    <hyperlink ref="AW33" r:id="rId27" xr:uid="{E3C92156-29F4-480B-8787-121DFABD8D4B}"/>
    <hyperlink ref="AW48" r:id="rId28" xr:uid="{159BC826-A81A-4787-8654-C736C8DC256A}"/>
    <hyperlink ref="AW49" r:id="rId29" display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xr:uid="{643AB907-BB37-4114-8329-B864E2E03628}"/>
    <hyperlink ref="AW34" r:id="rId30" display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xr:uid="{62E792E3-B8CC-4468-923C-B0CE2FA4AFBC}"/>
    <hyperlink ref="AW35" r:id="rId31" display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xr:uid="{82CD6208-5341-499E-81A6-0A974ACD2242}"/>
    <hyperlink ref="AW36" r:id="rId32" xr:uid="{AA7DFD8F-26D9-44A1-B47A-F161E00C74A4}"/>
    <hyperlink ref="AW37" r:id="rId33" display="https://community.secop.gov.co/STS/users/issue.aspx?wa=wsignin1.0&amp;wtrealm=https%3a%2f%2fwww.secop.gov.co%2fCO1ContractsManagement&amp;wctx=rm%3d0%26id%3dpassive%26ru%3d%252fCO1ContractsManagement%252fTendering%252fProcurementContractEdit%252fView%253fdocUniqueIdentifier%253dCO1.PCCNTR.6474022%2526awardUniqueIdentifier%253d%2526buyerDossierUniqueIdentifier%253dCO1.BDOS.6312453%2526id%253d3730492&amp;wct=2024-07-16T16%3a12%3a14Z" xr:uid="{BB3B593E-5BD9-4B7D-AB53-EF0AA2E7908C}"/>
    <hyperlink ref="AW38" r:id="rId34" xr:uid="{0106468A-3411-4C11-A628-013C8D990AE4}"/>
    <hyperlink ref="AW43" r:id="rId35" display="https://www.secop.gov.co/CO1BusinessLine/Tendering/BuyerWorkArea/Index?docUniqueIdentifier=CO1.BDOS.6512542&amp;prevCtxUrl=https%3a%2f%2fwww.secop.gov.co%2fCO1BusinessLine%2fTendering%2fBuyerDossierWorkspace%2fIndex%3fcreateDateFrom%3d09%2f02%2f2024+20%3a43%3a48%26createDateTo%3d09%2f08%2f2024+20%3a43%3a48%26filteringState%3d2%26sortingState%3dLastModifiedDESC%26showAdvancedSearch%3dFalse%26showAdvancedSearchFields%3dFalse%26folderCode%3dALL%26selectedDossier%3dCO1.BDOS.6512542%26selectedRequest%3dCO1.REQ.6637958%26&amp;prevCtxLbl=Procesos+de+la+Entidad+Estatal" xr:uid="{9C2FD5E8-9D11-406E-91A3-9C8850B67155}"/>
    <hyperlink ref="AW39" r:id="rId36" display="https://www.secop.gov.co/CO1ContractsManagement/Tendering/ProcurementContractEdit/View?docUniqueIdentifier=CO1.PCCNTR.6583413&amp;prevCtxUrl=https%3a%2f%2fwww.secop.gov.co%3a443%2fCO1ContractsManagement%2fTendering%2fProcurementContractManagement%2fIndex&amp;prevCtxLbl=Contratos+" xr:uid="{38E81883-744F-4832-BAED-CB840C589B77}"/>
    <hyperlink ref="AW40" r:id="rId37" display="https://www.secop.gov.co/CO1ContractsManagement/Tendering/ProcurementContractEdit/Update?ProfileName=CCE-11-Procedimiento_Publicidad&amp;PPI=CO1.PPI.31157857&amp;DocUniqueName=ContratoDeCompra&amp;DocTypeName=NextWay.Entities.Marketplace.Tendering.ProcurementContract&amp;ProfileVersion=12&amp;DocUniqueIdentifier=CO1.PCCNTR.6795741&amp;prevCtxUrl=https%3a%2f%2fwww.secop.gov.co%3a443%2fCO1ContractsManagement%2fTendering%2fProcurementContractManagement%2fIndex&amp;prevCtxLbl=Contratos+" xr:uid="{E31FDE21-A0C5-4EF7-A905-E1A4F474EB8F}"/>
    <hyperlink ref="AW41" r:id="rId38" display="https://www.secop.gov.co/CO1ContractsManagement/Tendering/ProcurementContractEdit/Update?ProfileName=CCE-11-Procedimiento_Publicidad&amp;PPI=CO1.PPI.34524333&amp;DocUniqueName=ContratoDeCompra&amp;DocTypeName=NextWay.Entities.Marketplace.Tendering.ProcurementContract&amp;ProfileVersion=12&amp;DocUniqueIdentifier=CO1.PCCNTR.6809307&amp;prevCtxUrl=https%3a%2f%2fwww.secop.gov.co%3a443%2fCO1ContractsManagement%2fTendering%2fProcurementContractManagement%2fIndex&amp;prevCtxLbl=Contratos+" xr:uid="{8E6420A2-008C-4508-B553-CAC241911730}"/>
    <hyperlink ref="AW42" r:id="rId39" display="https://www.secop.gov.co/CO1ContractsManagement/Tendering/ProcurementContractEdit/View?docUniqueIdentifier=CO1.PCCNTR.6801344&amp;prevCtxUrl=https%3a%2f%2fwww.secop.gov.co%3a443%2fCO1ContractsManagement%2fTendering%2fProcurementContractManagement%2fIndex&amp;prevCtxLbl=Contratos+" xr:uid="{7116D3E9-2A00-45E7-B758-F528C1A68FD9}"/>
    <hyperlink ref="AW44" r:id="rId40" display="https://www.secop.gov.co/CO1ContractsManagement/Tendering/ProcurementContractEdit/View?docUniqueIdentifier=CO1.PCCNTR.6688746&amp;prevCtxUrl=https%3a%2f%2fwww.secop.gov.co%3a443%2fCO1ContractsManagement%2fTendering%2fProcurementContractManagement%2fIndex&amp;prevCtxLbl=Contratos+" xr:uid="{9F277AE2-C91E-4B60-A260-5126D6A8803E}"/>
    <hyperlink ref="AW45" r:id="rId41" display="https://www.secop.gov.co/CO1ContractsManagement/Tendering/ProcurementContractEdit/Update?ProfileName=CCE-11-Procedimiento_Publicidad&amp;PPI=CO1.PPI.34089495&amp;DocUniqueName=ContratoDeCompra&amp;DocTypeName=NextWay.Entities.Marketplace.Tendering.ProcurementContract&amp;ProfileVersion=12&amp;DocUniqueIdentifier=CO1.PCCNTR.6726484&amp;prevCtxUrl=https%3a%2f%2fwww.secop.gov.co%3a443%2fCO1ContractsManagement%2fTendering%2fProcurementContractManagement%2fIndex&amp;prevCtxLbl=Contratos+" xr:uid="{86BF0396-36AD-4245-B4E8-A946D1DDFFDF}"/>
  </hyperlinks>
  <pageMargins left="0.23622047244094491" right="0.23622047244094491" top="0.74803149606299213" bottom="0.74803149606299213" header="0.31496062992125984" footer="0.31496062992125984"/>
  <pageSetup orientation="landscape" horizontalDpi="1200" verticalDpi="1200" r:id="rId42"/>
  <legacyDrawing r:id="rId4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CD2B-A37A-404F-AD10-09A5B721D206}">
  <dimension ref="A1:AW20"/>
  <sheetViews>
    <sheetView workbookViewId="0">
      <selection activeCell="W1" sqref="W1:Y1048576"/>
    </sheetView>
  </sheetViews>
  <sheetFormatPr baseColWidth="10" defaultRowHeight="15" x14ac:dyDescent="0.25"/>
  <cols>
    <col min="2" max="2" width="0" hidden="1" customWidth="1"/>
    <col min="3" max="3" width="16.140625" hidden="1" customWidth="1"/>
    <col min="4" max="7" width="0" hidden="1" customWidth="1"/>
    <col min="8" max="8" width="20.28515625" hidden="1" customWidth="1"/>
    <col min="9" max="9" width="22.7109375" hidden="1" customWidth="1"/>
    <col min="12" max="12" width="16.85546875" hidden="1" customWidth="1"/>
    <col min="13" max="13" width="13.85546875" hidden="1" customWidth="1"/>
    <col min="14" max="14" width="22.42578125" hidden="1" customWidth="1"/>
    <col min="15" max="15" width="22.85546875" hidden="1" customWidth="1"/>
    <col min="16" max="16" width="33.28515625" hidden="1" customWidth="1"/>
    <col min="17" max="17" width="0" hidden="1" customWidth="1"/>
    <col min="18" max="18" width="50.28515625" hidden="1" customWidth="1"/>
    <col min="19" max="19" width="22.42578125" customWidth="1"/>
    <col min="21" max="21" width="41.28515625" hidden="1" customWidth="1"/>
    <col min="22" max="22" width="20.5703125" customWidth="1"/>
    <col min="23" max="23" width="27.42578125" hidden="1" customWidth="1"/>
    <col min="24" max="24" width="30.28515625" hidden="1" customWidth="1"/>
    <col min="25" max="25" width="23.140625" hidden="1" customWidth="1"/>
    <col min="26" max="26" width="39.140625" customWidth="1"/>
    <col min="27" max="27" width="12.140625" customWidth="1"/>
    <col min="28" max="28" width="24.5703125" customWidth="1"/>
    <col min="29" max="29" width="21.85546875" customWidth="1"/>
    <col min="30" max="30" width="16.42578125" customWidth="1"/>
    <col min="31" max="31" width="35.7109375" customWidth="1"/>
    <col min="32" max="32" width="16.28515625" customWidth="1"/>
    <col min="33" max="33" width="27.140625" customWidth="1"/>
    <col min="34" max="34" width="26.7109375" customWidth="1"/>
    <col min="35" max="35" width="26.42578125" customWidth="1"/>
    <col min="36" max="36" width="19.7109375" customWidth="1"/>
    <col min="37" max="37" width="21.7109375" customWidth="1"/>
    <col min="38" max="38" width="22.140625" customWidth="1"/>
    <col min="39" max="39" width="30" customWidth="1"/>
    <col min="40" max="40" width="40.28515625" customWidth="1"/>
    <col min="41" max="41" width="19.7109375" customWidth="1"/>
    <col min="42" max="42" width="57" customWidth="1"/>
    <col min="45" max="45" width="38.7109375" customWidth="1"/>
    <col min="46" max="46" width="48.85546875" customWidth="1"/>
    <col min="47" max="47" width="17.42578125" customWidth="1"/>
    <col min="48" max="48" width="19" customWidth="1"/>
    <col min="49" max="49" width="15.140625" customWidth="1"/>
  </cols>
  <sheetData>
    <row r="1" spans="1:49" x14ac:dyDescent="0.25">
      <c r="A1" t="s">
        <v>615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692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616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710</v>
      </c>
      <c r="AQ1" t="s">
        <v>711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</row>
    <row r="2" spans="1:49" x14ac:dyDescent="0.25">
      <c r="A2">
        <v>1</v>
      </c>
      <c r="B2">
        <v>1</v>
      </c>
      <c r="C2">
        <v>80111614</v>
      </c>
      <c r="D2" t="s">
        <v>283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2024</v>
      </c>
      <c r="K2">
        <v>46</v>
      </c>
      <c r="L2" t="s">
        <v>59</v>
      </c>
      <c r="M2" t="s">
        <v>3</v>
      </c>
      <c r="N2" t="s">
        <v>61</v>
      </c>
      <c r="O2" t="s">
        <v>62</v>
      </c>
      <c r="P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s="214">
        <v>45329</v>
      </c>
      <c r="Y2" s="214">
        <v>45331</v>
      </c>
      <c r="Z2" t="s">
        <v>70</v>
      </c>
      <c r="AA2" s="214">
        <v>45504</v>
      </c>
      <c r="AB2" t="s">
        <v>70</v>
      </c>
      <c r="AC2" t="s">
        <v>71</v>
      </c>
      <c r="AD2" t="s">
        <v>72</v>
      </c>
      <c r="AE2" t="s">
        <v>73</v>
      </c>
      <c r="AF2" t="s">
        <v>73</v>
      </c>
      <c r="AG2">
        <v>47500000</v>
      </c>
      <c r="AH2">
        <v>0</v>
      </c>
      <c r="AI2">
        <v>47500000</v>
      </c>
      <c r="AJ2">
        <v>0</v>
      </c>
      <c r="AK2">
        <v>47500000</v>
      </c>
      <c r="AL2">
        <v>0</v>
      </c>
      <c r="AM2">
        <v>47500000</v>
      </c>
      <c r="AN2">
        <v>0</v>
      </c>
      <c r="AP2">
        <v>3</v>
      </c>
      <c r="AQ2">
        <v>35625000</v>
      </c>
      <c r="AR2">
        <v>11875000</v>
      </c>
      <c r="AS2">
        <v>0.75</v>
      </c>
      <c r="AT2">
        <v>11875000</v>
      </c>
      <c r="AU2" t="s">
        <v>74</v>
      </c>
      <c r="AV2" t="s">
        <v>75</v>
      </c>
      <c r="AW2" t="s">
        <v>708</v>
      </c>
    </row>
    <row r="3" spans="1:49" x14ac:dyDescent="0.25">
      <c r="A3">
        <v>2</v>
      </c>
      <c r="B3">
        <v>2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>
        <v>2024</v>
      </c>
      <c r="K3">
        <v>41</v>
      </c>
      <c r="L3" t="s">
        <v>59</v>
      </c>
      <c r="M3" t="s">
        <v>3</v>
      </c>
      <c r="N3" t="s">
        <v>61</v>
      </c>
      <c r="O3" t="s">
        <v>62</v>
      </c>
      <c r="P3" t="s">
        <v>63</v>
      </c>
      <c r="R3" t="s">
        <v>64</v>
      </c>
      <c r="S3" t="s">
        <v>76</v>
      </c>
      <c r="T3" t="s">
        <v>66</v>
      </c>
      <c r="U3" t="s">
        <v>77</v>
      </c>
      <c r="V3" t="s">
        <v>78</v>
      </c>
      <c r="W3" t="s">
        <v>69</v>
      </c>
      <c r="X3" s="214">
        <v>45329</v>
      </c>
      <c r="Y3" s="214">
        <v>45331</v>
      </c>
      <c r="Z3" t="s">
        <v>70</v>
      </c>
      <c r="AA3" s="214">
        <v>45519</v>
      </c>
      <c r="AB3" t="s">
        <v>70</v>
      </c>
      <c r="AC3" t="s">
        <v>71</v>
      </c>
      <c r="AD3" t="s">
        <v>72</v>
      </c>
      <c r="AE3" t="s">
        <v>73</v>
      </c>
      <c r="AF3" t="s">
        <v>73</v>
      </c>
      <c r="AG3">
        <v>47500000</v>
      </c>
      <c r="AH3">
        <v>3450000</v>
      </c>
      <c r="AI3">
        <v>50950000</v>
      </c>
      <c r="AJ3">
        <v>0</v>
      </c>
      <c r="AK3">
        <v>47500000</v>
      </c>
      <c r="AL3">
        <v>0</v>
      </c>
      <c r="AM3">
        <v>47500000</v>
      </c>
      <c r="AN3">
        <v>0</v>
      </c>
      <c r="AP3">
        <v>2</v>
      </c>
      <c r="AQ3">
        <v>23750000</v>
      </c>
      <c r="AR3">
        <v>11875000</v>
      </c>
      <c r="AS3">
        <v>0.5</v>
      </c>
      <c r="AT3">
        <v>23750000</v>
      </c>
      <c r="AU3" t="s">
        <v>79</v>
      </c>
      <c r="AV3" t="s">
        <v>80</v>
      </c>
      <c r="AW3" t="s">
        <v>709</v>
      </c>
    </row>
    <row r="4" spans="1:49" x14ac:dyDescent="0.25">
      <c r="A4">
        <v>35</v>
      </c>
      <c r="B4">
        <v>35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>
        <v>2024</v>
      </c>
      <c r="K4">
        <v>52</v>
      </c>
      <c r="L4" t="s">
        <v>59</v>
      </c>
      <c r="M4" t="s">
        <v>3</v>
      </c>
      <c r="N4" t="s">
        <v>61</v>
      </c>
      <c r="O4" t="s">
        <v>62</v>
      </c>
      <c r="P4" t="s">
        <v>63</v>
      </c>
      <c r="R4" t="s">
        <v>64</v>
      </c>
      <c r="S4" t="s">
        <v>437</v>
      </c>
      <c r="T4" t="s">
        <v>66</v>
      </c>
      <c r="U4" t="s">
        <v>438</v>
      </c>
      <c r="V4" t="s">
        <v>439</v>
      </c>
      <c r="W4" t="s">
        <v>69</v>
      </c>
      <c r="X4" s="214">
        <v>45329</v>
      </c>
      <c r="Y4" s="214">
        <v>45331</v>
      </c>
      <c r="Z4" t="s">
        <v>70</v>
      </c>
      <c r="AA4" s="214">
        <v>45473</v>
      </c>
      <c r="AB4" t="s">
        <v>70</v>
      </c>
      <c r="AC4" t="s">
        <v>71</v>
      </c>
      <c r="AD4" t="s">
        <v>72</v>
      </c>
      <c r="AE4" t="s">
        <v>73</v>
      </c>
      <c r="AF4" t="s">
        <v>73</v>
      </c>
      <c r="AG4">
        <v>47500000</v>
      </c>
      <c r="AH4">
        <v>-47500000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  <c r="AQ4">
        <v>0</v>
      </c>
      <c r="AR4">
        <v>11875000</v>
      </c>
      <c r="AS4">
        <v>0</v>
      </c>
      <c r="AT4">
        <v>0</v>
      </c>
      <c r="AU4" t="s">
        <v>440</v>
      </c>
      <c r="AV4" t="s">
        <v>441</v>
      </c>
      <c r="AW4" t="s">
        <v>436</v>
      </c>
    </row>
    <row r="5" spans="1:49" x14ac:dyDescent="0.25">
      <c r="A5">
        <v>34</v>
      </c>
      <c r="B5">
        <v>34</v>
      </c>
      <c r="C5">
        <v>80111614</v>
      </c>
      <c r="D5" t="s">
        <v>283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>
        <v>2024</v>
      </c>
      <c r="K5">
        <v>38</v>
      </c>
      <c r="L5" t="s">
        <v>59</v>
      </c>
      <c r="M5" t="s">
        <v>3</v>
      </c>
      <c r="N5" t="s">
        <v>61</v>
      </c>
      <c r="O5" t="s">
        <v>62</v>
      </c>
      <c r="P5" t="s">
        <v>63</v>
      </c>
      <c r="R5" t="s">
        <v>64</v>
      </c>
      <c r="S5" t="s">
        <v>431</v>
      </c>
      <c r="T5" t="s">
        <v>66</v>
      </c>
      <c r="U5" t="s">
        <v>432</v>
      </c>
      <c r="V5" t="s">
        <v>433</v>
      </c>
      <c r="W5" t="s">
        <v>69</v>
      </c>
      <c r="X5" s="214">
        <v>45329</v>
      </c>
      <c r="Y5" s="214">
        <v>45330</v>
      </c>
      <c r="Z5" t="s">
        <v>70</v>
      </c>
      <c r="AA5" s="214">
        <v>45473</v>
      </c>
      <c r="AB5" t="s">
        <v>70</v>
      </c>
      <c r="AC5" t="s">
        <v>71</v>
      </c>
      <c r="AD5" t="s">
        <v>72</v>
      </c>
      <c r="AE5" t="s">
        <v>73</v>
      </c>
      <c r="AF5" t="s">
        <v>73</v>
      </c>
      <c r="AG5">
        <v>47500000</v>
      </c>
      <c r="AH5">
        <v>-47500000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  <c r="AQ5">
        <v>0</v>
      </c>
      <c r="AR5">
        <v>11875000</v>
      </c>
      <c r="AS5">
        <v>0</v>
      </c>
      <c r="AT5">
        <v>0</v>
      </c>
      <c r="AU5" t="s">
        <v>434</v>
      </c>
      <c r="AV5" t="s">
        <v>435</v>
      </c>
      <c r="AW5" t="s">
        <v>436</v>
      </c>
    </row>
    <row r="6" spans="1:49" ht="165" x14ac:dyDescent="0.25">
      <c r="A6">
        <v>33</v>
      </c>
      <c r="B6">
        <v>33</v>
      </c>
      <c r="C6">
        <v>80111614</v>
      </c>
      <c r="D6" t="s">
        <v>283</v>
      </c>
      <c r="E6" t="s">
        <v>56</v>
      </c>
      <c r="F6" t="s">
        <v>57</v>
      </c>
      <c r="G6" t="s">
        <v>316</v>
      </c>
      <c r="H6" t="s">
        <v>59</v>
      </c>
      <c r="I6" t="s">
        <v>60</v>
      </c>
      <c r="J6">
        <v>2024</v>
      </c>
      <c r="K6">
        <v>152</v>
      </c>
      <c r="L6" t="s">
        <v>59</v>
      </c>
      <c r="M6" t="s">
        <v>3</v>
      </c>
      <c r="N6" t="s">
        <v>317</v>
      </c>
      <c r="O6" t="s">
        <v>71</v>
      </c>
      <c r="R6" t="s">
        <v>64</v>
      </c>
      <c r="S6" t="s">
        <v>325</v>
      </c>
      <c r="T6" t="s">
        <v>326</v>
      </c>
      <c r="U6" t="s">
        <v>327</v>
      </c>
      <c r="V6" t="s">
        <v>328</v>
      </c>
      <c r="W6" t="s">
        <v>69</v>
      </c>
      <c r="X6" s="214">
        <v>45397</v>
      </c>
      <c r="Y6" s="214">
        <v>45398</v>
      </c>
      <c r="Z6" t="s">
        <v>70</v>
      </c>
      <c r="AA6" s="214">
        <v>45577</v>
      </c>
      <c r="AB6" t="s">
        <v>70</v>
      </c>
      <c r="AC6" t="s">
        <v>71</v>
      </c>
      <c r="AD6" t="s">
        <v>72</v>
      </c>
      <c r="AE6" t="s">
        <v>73</v>
      </c>
      <c r="AF6" t="s">
        <v>302</v>
      </c>
      <c r="AG6">
        <v>51000000</v>
      </c>
      <c r="AH6">
        <v>-42500000</v>
      </c>
      <c r="AI6">
        <v>8500000</v>
      </c>
      <c r="AJ6">
        <v>0</v>
      </c>
      <c r="AK6">
        <v>8500000</v>
      </c>
      <c r="AL6">
        <v>0</v>
      </c>
      <c r="AM6">
        <v>51000000</v>
      </c>
      <c r="AN6">
        <v>0</v>
      </c>
      <c r="AO6" t="s">
        <v>614</v>
      </c>
      <c r="AP6">
        <v>0</v>
      </c>
      <c r="AQ6">
        <v>8500000</v>
      </c>
      <c r="AR6">
        <v>8500000</v>
      </c>
      <c r="AS6">
        <v>1</v>
      </c>
      <c r="AT6">
        <v>0</v>
      </c>
      <c r="AU6" t="s">
        <v>329</v>
      </c>
      <c r="AV6" t="s">
        <v>330</v>
      </c>
      <c r="AW6" s="215" t="s">
        <v>429</v>
      </c>
    </row>
    <row r="7" spans="1:49" ht="285" x14ac:dyDescent="0.25">
      <c r="A7">
        <v>27</v>
      </c>
      <c r="B7">
        <v>27</v>
      </c>
      <c r="C7">
        <v>80111614</v>
      </c>
      <c r="D7" t="s">
        <v>283</v>
      </c>
      <c r="E7" t="s">
        <v>56</v>
      </c>
      <c r="F7" t="s">
        <v>57</v>
      </c>
      <c r="G7" t="s">
        <v>316</v>
      </c>
      <c r="H7" t="s">
        <v>59</v>
      </c>
      <c r="I7" t="s">
        <v>60</v>
      </c>
      <c r="J7">
        <v>2024</v>
      </c>
      <c r="K7">
        <v>153</v>
      </c>
      <c r="L7" t="s">
        <v>59</v>
      </c>
      <c r="M7" t="s">
        <v>3</v>
      </c>
      <c r="N7" t="s">
        <v>61</v>
      </c>
      <c r="O7" t="s">
        <v>675</v>
      </c>
      <c r="P7" t="s">
        <v>674</v>
      </c>
      <c r="R7" t="s">
        <v>64</v>
      </c>
      <c r="S7" t="s">
        <v>318</v>
      </c>
      <c r="T7" t="s">
        <v>319</v>
      </c>
      <c r="U7" t="s">
        <v>320</v>
      </c>
      <c r="V7" t="s">
        <v>321</v>
      </c>
      <c r="W7" t="s">
        <v>69</v>
      </c>
      <c r="X7" s="214">
        <v>45392</v>
      </c>
      <c r="Y7" s="214">
        <v>45393</v>
      </c>
      <c r="Z7" t="s">
        <v>70</v>
      </c>
      <c r="AA7" s="214">
        <v>45575</v>
      </c>
      <c r="AB7" t="s">
        <v>70</v>
      </c>
      <c r="AC7" t="s">
        <v>71</v>
      </c>
      <c r="AD7" t="s">
        <v>72</v>
      </c>
      <c r="AE7" t="s">
        <v>73</v>
      </c>
      <c r="AF7" t="s">
        <v>302</v>
      </c>
      <c r="AG7">
        <v>51000000</v>
      </c>
      <c r="AH7">
        <v>-17000000</v>
      </c>
      <c r="AI7">
        <v>34000000</v>
      </c>
      <c r="AJ7">
        <v>0</v>
      </c>
      <c r="AK7">
        <v>34000000</v>
      </c>
      <c r="AL7">
        <v>0</v>
      </c>
      <c r="AM7">
        <v>51000000</v>
      </c>
      <c r="AN7">
        <v>0</v>
      </c>
      <c r="AP7">
        <v>2</v>
      </c>
      <c r="AQ7">
        <v>17000000</v>
      </c>
      <c r="AR7">
        <v>8500000</v>
      </c>
      <c r="AS7">
        <v>0.5</v>
      </c>
      <c r="AT7">
        <v>17000000</v>
      </c>
      <c r="AU7" t="s">
        <v>322</v>
      </c>
      <c r="AV7" t="s">
        <v>323</v>
      </c>
      <c r="AW7" s="215" t="s">
        <v>719</v>
      </c>
    </row>
    <row r="8" spans="1:49" x14ac:dyDescent="0.25">
      <c r="A8">
        <v>7</v>
      </c>
      <c r="B8">
        <v>7</v>
      </c>
      <c r="E8" t="s">
        <v>713</v>
      </c>
      <c r="F8" t="s">
        <v>126</v>
      </c>
      <c r="G8" t="s">
        <v>127</v>
      </c>
      <c r="H8" t="s">
        <v>109</v>
      </c>
      <c r="I8" t="s">
        <v>128</v>
      </c>
      <c r="J8">
        <v>2023</v>
      </c>
      <c r="K8">
        <v>120</v>
      </c>
      <c r="L8" t="s">
        <v>109</v>
      </c>
      <c r="M8" t="s">
        <v>2</v>
      </c>
      <c r="N8" t="s">
        <v>61</v>
      </c>
      <c r="O8" t="s">
        <v>129</v>
      </c>
      <c r="P8" t="s">
        <v>130</v>
      </c>
      <c r="R8" t="s">
        <v>64</v>
      </c>
      <c r="S8" t="s">
        <v>131</v>
      </c>
      <c r="T8" t="s">
        <v>132</v>
      </c>
      <c r="U8" t="s">
        <v>133</v>
      </c>
      <c r="V8" t="s">
        <v>134</v>
      </c>
      <c r="W8" t="s">
        <v>69</v>
      </c>
      <c r="X8" s="214">
        <v>45141</v>
      </c>
      <c r="Y8" s="214">
        <v>45148</v>
      </c>
      <c r="Z8" s="214">
        <v>45148</v>
      </c>
      <c r="AA8" s="214">
        <v>45565</v>
      </c>
      <c r="AB8" t="s">
        <v>70</v>
      </c>
      <c r="AC8" t="s">
        <v>71</v>
      </c>
      <c r="AD8" t="s">
        <v>72</v>
      </c>
      <c r="AE8" t="s">
        <v>135</v>
      </c>
      <c r="AF8" t="s">
        <v>135</v>
      </c>
      <c r="AG8">
        <v>1038872287</v>
      </c>
      <c r="AH8">
        <v>0</v>
      </c>
      <c r="AI8">
        <v>1038872287</v>
      </c>
      <c r="AJ8">
        <v>93891229</v>
      </c>
      <c r="AK8">
        <v>944981058</v>
      </c>
      <c r="AL8">
        <v>0</v>
      </c>
      <c r="AM8">
        <v>0</v>
      </c>
      <c r="AN8">
        <v>0</v>
      </c>
      <c r="AP8">
        <v>2</v>
      </c>
      <c r="AQ8">
        <v>327405386</v>
      </c>
      <c r="AR8" t="s">
        <v>69</v>
      </c>
      <c r="AS8">
        <v>0.35</v>
      </c>
      <c r="AT8">
        <v>617575672</v>
      </c>
      <c r="AU8" t="s">
        <v>136</v>
      </c>
      <c r="AV8" t="s">
        <v>137</v>
      </c>
      <c r="AW8" t="s">
        <v>138</v>
      </c>
    </row>
    <row r="9" spans="1:49" x14ac:dyDescent="0.25">
      <c r="A9">
        <v>32</v>
      </c>
      <c r="B9">
        <v>32</v>
      </c>
      <c r="C9" t="s">
        <v>348</v>
      </c>
      <c r="D9" t="s">
        <v>283</v>
      </c>
      <c r="E9" t="s">
        <v>714</v>
      </c>
      <c r="F9" t="s">
        <v>107</v>
      </c>
      <c r="G9" t="s">
        <v>352</v>
      </c>
      <c r="H9" t="s">
        <v>59</v>
      </c>
      <c r="I9" t="s">
        <v>60</v>
      </c>
      <c r="J9">
        <v>2024</v>
      </c>
      <c r="K9">
        <v>177</v>
      </c>
      <c r="L9" t="s">
        <v>59</v>
      </c>
      <c r="M9" t="s">
        <v>5</v>
      </c>
      <c r="N9" t="s">
        <v>61</v>
      </c>
      <c r="O9" t="s">
        <v>195</v>
      </c>
      <c r="P9" t="s">
        <v>684</v>
      </c>
      <c r="R9" t="s">
        <v>64</v>
      </c>
      <c r="S9" t="s">
        <v>683</v>
      </c>
      <c r="T9" t="s">
        <v>354</v>
      </c>
      <c r="U9" t="s">
        <v>679</v>
      </c>
      <c r="V9" t="s">
        <v>682</v>
      </c>
      <c r="W9">
        <v>131057</v>
      </c>
      <c r="X9" s="214">
        <v>45492</v>
      </c>
      <c r="Y9" s="214">
        <v>45496</v>
      </c>
      <c r="Z9" s="214">
        <v>45498</v>
      </c>
      <c r="AA9" s="214">
        <v>45653</v>
      </c>
      <c r="AB9" t="s">
        <v>70</v>
      </c>
      <c r="AC9" t="s">
        <v>71</v>
      </c>
      <c r="AD9" t="s">
        <v>72</v>
      </c>
      <c r="AE9" t="s">
        <v>312</v>
      </c>
      <c r="AF9" t="s">
        <v>312</v>
      </c>
      <c r="AG9">
        <v>997302719.26999998</v>
      </c>
      <c r="AH9">
        <v>0</v>
      </c>
      <c r="AI9">
        <v>997302719.26999998</v>
      </c>
      <c r="AJ9">
        <v>0</v>
      </c>
      <c r="AK9">
        <v>997302719.26999998</v>
      </c>
      <c r="AL9">
        <v>0</v>
      </c>
      <c r="AM9">
        <v>1398000000</v>
      </c>
      <c r="AN9">
        <v>400697280.73000002</v>
      </c>
      <c r="AP9">
        <v>0</v>
      </c>
      <c r="AQ9">
        <v>0</v>
      </c>
      <c r="AR9" t="s">
        <v>69</v>
      </c>
      <c r="AS9">
        <v>0</v>
      </c>
      <c r="AT9">
        <v>997302719.26999998</v>
      </c>
      <c r="AU9" t="s">
        <v>677</v>
      </c>
      <c r="AV9" t="s">
        <v>678</v>
      </c>
    </row>
    <row r="10" spans="1:49" x14ac:dyDescent="0.25">
      <c r="A10">
        <v>31</v>
      </c>
      <c r="B10">
        <v>31</v>
      </c>
      <c r="C10">
        <v>81111801</v>
      </c>
      <c r="D10" t="s">
        <v>660</v>
      </c>
      <c r="E10" t="s">
        <v>371</v>
      </c>
      <c r="F10" t="s">
        <v>369</v>
      </c>
      <c r="G10" t="s">
        <v>370</v>
      </c>
      <c r="H10" t="s">
        <v>59</v>
      </c>
      <c r="I10" t="s">
        <v>60</v>
      </c>
      <c r="J10">
        <v>2024</v>
      </c>
      <c r="K10">
        <v>102</v>
      </c>
      <c r="L10" t="s">
        <v>59</v>
      </c>
      <c r="M10" t="s">
        <v>5</v>
      </c>
      <c r="N10" t="s">
        <v>61</v>
      </c>
      <c r="O10" t="s">
        <v>275</v>
      </c>
      <c r="R10" t="s">
        <v>64</v>
      </c>
      <c r="S10" t="s">
        <v>308</v>
      </c>
      <c r="T10" t="s">
        <v>372</v>
      </c>
      <c r="U10" t="s">
        <v>659</v>
      </c>
      <c r="V10" t="s">
        <v>662</v>
      </c>
      <c r="W10" t="s">
        <v>69</v>
      </c>
      <c r="X10" s="214">
        <v>45485</v>
      </c>
      <c r="Y10" s="214">
        <v>45491</v>
      </c>
      <c r="Z10" t="s">
        <v>70</v>
      </c>
      <c r="AA10" s="214">
        <v>45639</v>
      </c>
      <c r="AB10" t="s">
        <v>70</v>
      </c>
      <c r="AC10" t="s">
        <v>71</v>
      </c>
      <c r="AD10" t="s">
        <v>72</v>
      </c>
      <c r="AE10" t="s">
        <v>135</v>
      </c>
      <c r="AF10" t="s">
        <v>302</v>
      </c>
      <c r="AG10">
        <v>99651170</v>
      </c>
      <c r="AH10">
        <v>0</v>
      </c>
      <c r="AI10">
        <v>99651170</v>
      </c>
      <c r="AJ10">
        <v>0</v>
      </c>
      <c r="AK10">
        <v>99651170</v>
      </c>
      <c r="AL10">
        <v>0</v>
      </c>
      <c r="AM10">
        <v>100000000</v>
      </c>
      <c r="AN10">
        <v>348830</v>
      </c>
      <c r="AO10" t="s">
        <v>667</v>
      </c>
      <c r="AP10">
        <v>0</v>
      </c>
      <c r="AQ10">
        <v>0</v>
      </c>
      <c r="AR10" t="s">
        <v>69</v>
      </c>
      <c r="AS10">
        <v>0</v>
      </c>
      <c r="AT10">
        <v>99651170</v>
      </c>
      <c r="AU10" t="s">
        <v>663</v>
      </c>
      <c r="AV10" t="s">
        <v>661</v>
      </c>
    </row>
    <row r="11" spans="1:49" ht="240" x14ac:dyDescent="0.25">
      <c r="A11">
        <v>28</v>
      </c>
      <c r="B11">
        <v>28</v>
      </c>
      <c r="C11">
        <v>80111614</v>
      </c>
      <c r="D11" t="s">
        <v>283</v>
      </c>
      <c r="E11" t="s">
        <v>56</v>
      </c>
      <c r="F11" t="s">
        <v>57</v>
      </c>
      <c r="G11" t="s">
        <v>331</v>
      </c>
      <c r="H11" t="s">
        <v>59</v>
      </c>
      <c r="I11" t="s">
        <v>60</v>
      </c>
      <c r="J11">
        <v>2024</v>
      </c>
      <c r="K11">
        <v>154</v>
      </c>
      <c r="L11" t="s">
        <v>59</v>
      </c>
      <c r="M11" t="s">
        <v>3</v>
      </c>
      <c r="N11" t="s">
        <v>61</v>
      </c>
      <c r="O11" t="s">
        <v>675</v>
      </c>
      <c r="P11" t="s">
        <v>674</v>
      </c>
      <c r="R11" t="s">
        <v>64</v>
      </c>
      <c r="S11" t="s">
        <v>332</v>
      </c>
      <c r="T11" t="s">
        <v>333</v>
      </c>
      <c r="U11" s="215" t="s">
        <v>334</v>
      </c>
      <c r="V11" t="s">
        <v>335</v>
      </c>
      <c r="W11" t="s">
        <v>69</v>
      </c>
      <c r="X11" s="214">
        <v>45397</v>
      </c>
      <c r="Y11" s="214">
        <v>45400</v>
      </c>
      <c r="Z11" t="s">
        <v>70</v>
      </c>
      <c r="AA11" s="214">
        <v>45646</v>
      </c>
      <c r="AB11" t="s">
        <v>70</v>
      </c>
      <c r="AC11" t="s">
        <v>71</v>
      </c>
      <c r="AD11" t="s">
        <v>72</v>
      </c>
      <c r="AE11" t="s">
        <v>73</v>
      </c>
      <c r="AF11" t="s">
        <v>336</v>
      </c>
      <c r="AG11">
        <v>76000000</v>
      </c>
      <c r="AH11">
        <v>0</v>
      </c>
      <c r="AI11">
        <v>76000000</v>
      </c>
      <c r="AJ11">
        <v>0</v>
      </c>
      <c r="AK11">
        <v>76000000</v>
      </c>
      <c r="AL11">
        <v>0</v>
      </c>
      <c r="AM11">
        <v>76000000</v>
      </c>
      <c r="AN11">
        <v>0</v>
      </c>
      <c r="AP11">
        <v>2</v>
      </c>
      <c r="AQ11">
        <v>19000000</v>
      </c>
      <c r="AR11">
        <v>9500000</v>
      </c>
      <c r="AS11">
        <v>0.25</v>
      </c>
      <c r="AT11">
        <v>57000000</v>
      </c>
      <c r="AU11" t="s">
        <v>337</v>
      </c>
      <c r="AV11" t="s">
        <v>338</v>
      </c>
      <c r="AW11" s="215" t="s">
        <v>666</v>
      </c>
    </row>
    <row r="12" spans="1:49" ht="75" x14ac:dyDescent="0.25">
      <c r="A12">
        <v>26</v>
      </c>
      <c r="B12">
        <v>26</v>
      </c>
      <c r="C12">
        <v>81111801</v>
      </c>
      <c r="D12" t="s">
        <v>283</v>
      </c>
      <c r="E12" t="s">
        <v>305</v>
      </c>
      <c r="F12" t="s">
        <v>305</v>
      </c>
      <c r="G12" t="s">
        <v>306</v>
      </c>
      <c r="H12" t="s">
        <v>59</v>
      </c>
      <c r="I12" t="s">
        <v>60</v>
      </c>
      <c r="J12">
        <v>2024</v>
      </c>
      <c r="K12">
        <v>101</v>
      </c>
      <c r="L12" t="s">
        <v>59</v>
      </c>
      <c r="M12" t="s">
        <v>3</v>
      </c>
      <c r="N12" t="s">
        <v>307</v>
      </c>
      <c r="O12" t="s">
        <v>676</v>
      </c>
      <c r="P12" s="215" t="s">
        <v>671</v>
      </c>
      <c r="R12" t="s">
        <v>64</v>
      </c>
      <c r="S12" t="s">
        <v>308</v>
      </c>
      <c r="T12" t="s">
        <v>309</v>
      </c>
      <c r="U12" t="s">
        <v>310</v>
      </c>
      <c r="V12" t="s">
        <v>428</v>
      </c>
      <c r="W12" t="s">
        <v>311</v>
      </c>
      <c r="X12" s="214">
        <v>45411</v>
      </c>
      <c r="Y12" s="214">
        <v>45420</v>
      </c>
      <c r="Z12" s="214">
        <v>45420</v>
      </c>
      <c r="AA12" s="214">
        <v>45626</v>
      </c>
      <c r="AB12" t="s">
        <v>70</v>
      </c>
      <c r="AC12" t="s">
        <v>71</v>
      </c>
      <c r="AD12" t="s">
        <v>72</v>
      </c>
      <c r="AE12" t="s">
        <v>116</v>
      </c>
      <c r="AF12" t="s">
        <v>116</v>
      </c>
      <c r="AG12">
        <v>669139863.29999995</v>
      </c>
      <c r="AH12">
        <v>0</v>
      </c>
      <c r="AI12">
        <v>669139863.29999995</v>
      </c>
      <c r="AJ12">
        <v>0</v>
      </c>
      <c r="AK12">
        <v>669139863.29999995</v>
      </c>
      <c r="AL12">
        <v>0</v>
      </c>
      <c r="AM12">
        <v>700000000</v>
      </c>
      <c r="AN12">
        <v>30860136.700000048</v>
      </c>
      <c r="AO12" t="s">
        <v>313</v>
      </c>
      <c r="AP12">
        <v>2</v>
      </c>
      <c r="AQ12">
        <v>471095732.95999998</v>
      </c>
      <c r="AR12" t="s">
        <v>69</v>
      </c>
      <c r="AS12">
        <v>0.7</v>
      </c>
      <c r="AT12">
        <v>198044130.33999997</v>
      </c>
      <c r="AU12" t="s">
        <v>314</v>
      </c>
      <c r="AV12" t="s">
        <v>315</v>
      </c>
    </row>
    <row r="13" spans="1:49" x14ac:dyDescent="0.25">
      <c r="A13">
        <v>12</v>
      </c>
      <c r="B13">
        <v>12</v>
      </c>
      <c r="E13" t="s">
        <v>56</v>
      </c>
      <c r="F13" t="s">
        <v>57</v>
      </c>
      <c r="G13" t="s">
        <v>166</v>
      </c>
      <c r="H13" t="s">
        <v>59</v>
      </c>
      <c r="I13" t="s">
        <v>60</v>
      </c>
      <c r="J13">
        <v>2024</v>
      </c>
      <c r="K13">
        <v>108</v>
      </c>
      <c r="L13" t="s">
        <v>59</v>
      </c>
      <c r="M13" t="s">
        <v>3</v>
      </c>
      <c r="N13" t="s">
        <v>61</v>
      </c>
      <c r="O13" t="s">
        <v>129</v>
      </c>
      <c r="P13" t="s">
        <v>63</v>
      </c>
      <c r="R13" t="s">
        <v>64</v>
      </c>
      <c r="S13" t="s">
        <v>167</v>
      </c>
      <c r="T13" t="s">
        <v>168</v>
      </c>
      <c r="U13" t="s">
        <v>169</v>
      </c>
      <c r="V13" t="s">
        <v>170</v>
      </c>
      <c r="W13" t="s">
        <v>69</v>
      </c>
      <c r="X13" s="214">
        <v>45323</v>
      </c>
      <c r="Y13" s="214">
        <v>45324</v>
      </c>
      <c r="Z13" t="s">
        <v>70</v>
      </c>
      <c r="AA13" s="214">
        <v>45646</v>
      </c>
      <c r="AB13" t="s">
        <v>70</v>
      </c>
      <c r="AC13" t="s">
        <v>71</v>
      </c>
      <c r="AD13" t="s">
        <v>72</v>
      </c>
      <c r="AE13" t="s">
        <v>73</v>
      </c>
      <c r="AF13" t="s">
        <v>73</v>
      </c>
      <c r="AG13">
        <v>148500000</v>
      </c>
      <c r="AH13">
        <v>0</v>
      </c>
      <c r="AI13">
        <v>148500000</v>
      </c>
      <c r="AJ13">
        <v>0</v>
      </c>
      <c r="AK13">
        <v>148500000</v>
      </c>
      <c r="AL13">
        <v>0</v>
      </c>
      <c r="AM13">
        <v>148500000</v>
      </c>
      <c r="AN13">
        <v>0</v>
      </c>
      <c r="AP13">
        <v>6</v>
      </c>
      <c r="AQ13">
        <v>81000000</v>
      </c>
      <c r="AR13">
        <v>13500000</v>
      </c>
      <c r="AS13">
        <v>0.55000000000000004</v>
      </c>
      <c r="AT13">
        <v>67500000</v>
      </c>
      <c r="AU13" t="s">
        <v>171</v>
      </c>
      <c r="AV13" t="s">
        <v>172</v>
      </c>
    </row>
    <row r="14" spans="1:49" x14ac:dyDescent="0.25">
      <c r="A14">
        <v>13</v>
      </c>
      <c r="B14">
        <v>13</v>
      </c>
      <c r="E14" t="s">
        <v>56</v>
      </c>
      <c r="F14" t="s">
        <v>57</v>
      </c>
      <c r="G14" t="s">
        <v>173</v>
      </c>
      <c r="H14" t="s">
        <v>59</v>
      </c>
      <c r="I14" t="s">
        <v>60</v>
      </c>
      <c r="J14">
        <v>2024</v>
      </c>
      <c r="K14">
        <v>107</v>
      </c>
      <c r="L14" t="s">
        <v>59</v>
      </c>
      <c r="M14" t="s">
        <v>3</v>
      </c>
      <c r="N14" t="s">
        <v>61</v>
      </c>
      <c r="O14" t="s">
        <v>129</v>
      </c>
      <c r="P14" t="s">
        <v>63</v>
      </c>
      <c r="R14" t="s">
        <v>64</v>
      </c>
      <c r="S14" t="s">
        <v>174</v>
      </c>
      <c r="T14" t="s">
        <v>175</v>
      </c>
      <c r="U14" t="s">
        <v>176</v>
      </c>
      <c r="V14" t="s">
        <v>177</v>
      </c>
      <c r="W14" t="s">
        <v>69</v>
      </c>
      <c r="X14" s="214">
        <v>45323</v>
      </c>
      <c r="Y14" s="214">
        <v>44962</v>
      </c>
      <c r="Z14" t="s">
        <v>70</v>
      </c>
      <c r="AA14" s="214">
        <v>45646</v>
      </c>
      <c r="AB14" t="s">
        <v>70</v>
      </c>
      <c r="AC14" t="s">
        <v>71</v>
      </c>
      <c r="AD14" t="s">
        <v>72</v>
      </c>
      <c r="AE14" t="s">
        <v>73</v>
      </c>
      <c r="AF14" t="s">
        <v>73</v>
      </c>
      <c r="AG14">
        <v>148500000</v>
      </c>
      <c r="AH14">
        <v>0</v>
      </c>
      <c r="AI14">
        <v>148500000</v>
      </c>
      <c r="AJ14">
        <v>0</v>
      </c>
      <c r="AK14">
        <v>148500000</v>
      </c>
      <c r="AL14">
        <v>0</v>
      </c>
      <c r="AM14">
        <v>148500000</v>
      </c>
      <c r="AN14">
        <v>0</v>
      </c>
      <c r="AP14">
        <v>6</v>
      </c>
      <c r="AQ14">
        <v>81000000</v>
      </c>
      <c r="AR14">
        <v>13500000</v>
      </c>
      <c r="AS14">
        <v>0.55000000000000004</v>
      </c>
      <c r="AT14">
        <v>67500000</v>
      </c>
      <c r="AU14" t="s">
        <v>178</v>
      </c>
      <c r="AV14" t="s">
        <v>179</v>
      </c>
    </row>
    <row r="15" spans="1:49" x14ac:dyDescent="0.25">
      <c r="A15">
        <v>14</v>
      </c>
      <c r="B15">
        <v>14</v>
      </c>
      <c r="E15" t="s">
        <v>56</v>
      </c>
      <c r="F15" t="s">
        <v>57</v>
      </c>
      <c r="G15" t="s">
        <v>180</v>
      </c>
      <c r="H15" t="s">
        <v>59</v>
      </c>
      <c r="I15" t="s">
        <v>60</v>
      </c>
      <c r="J15">
        <v>2024</v>
      </c>
      <c r="K15">
        <v>115</v>
      </c>
      <c r="L15" t="s">
        <v>59</v>
      </c>
      <c r="M15" t="s">
        <v>3</v>
      </c>
      <c r="N15" t="s">
        <v>61</v>
      </c>
      <c r="O15" t="s">
        <v>129</v>
      </c>
      <c r="P15" t="s">
        <v>63</v>
      </c>
      <c r="R15" t="s">
        <v>64</v>
      </c>
      <c r="S15" t="s">
        <v>181</v>
      </c>
      <c r="T15" t="s">
        <v>182</v>
      </c>
      <c r="U15" t="s">
        <v>183</v>
      </c>
      <c r="V15" t="s">
        <v>184</v>
      </c>
      <c r="W15" t="s">
        <v>69</v>
      </c>
      <c r="X15" s="214">
        <v>45323</v>
      </c>
      <c r="Y15" s="214">
        <v>44962</v>
      </c>
      <c r="Z15" t="s">
        <v>70</v>
      </c>
      <c r="AA15" s="214">
        <v>45646</v>
      </c>
      <c r="AB15" t="s">
        <v>70</v>
      </c>
      <c r="AC15" t="s">
        <v>71</v>
      </c>
      <c r="AD15" t="s">
        <v>72</v>
      </c>
      <c r="AE15" t="s">
        <v>73</v>
      </c>
      <c r="AF15" t="s">
        <v>73</v>
      </c>
      <c r="AG15">
        <v>132000000</v>
      </c>
      <c r="AH15">
        <v>0</v>
      </c>
      <c r="AI15">
        <v>132000000</v>
      </c>
      <c r="AJ15">
        <v>0</v>
      </c>
      <c r="AK15">
        <v>132000000</v>
      </c>
      <c r="AL15">
        <v>0</v>
      </c>
      <c r="AM15">
        <v>132000000</v>
      </c>
      <c r="AN15">
        <v>0</v>
      </c>
      <c r="AP15">
        <v>6</v>
      </c>
      <c r="AQ15">
        <v>72000000</v>
      </c>
      <c r="AR15">
        <v>12000000</v>
      </c>
      <c r="AS15">
        <v>0.55000000000000004</v>
      </c>
      <c r="AT15">
        <v>60000000</v>
      </c>
      <c r="AU15" t="s">
        <v>185</v>
      </c>
      <c r="AV15" t="s">
        <v>186</v>
      </c>
    </row>
    <row r="16" spans="1:49" x14ac:dyDescent="0.25">
      <c r="A16">
        <v>15</v>
      </c>
      <c r="B16">
        <v>15</v>
      </c>
      <c r="E16" t="s">
        <v>56</v>
      </c>
      <c r="F16" t="s">
        <v>57</v>
      </c>
      <c r="G16" t="s">
        <v>187</v>
      </c>
      <c r="H16" t="s">
        <v>59</v>
      </c>
      <c r="I16" t="s">
        <v>60</v>
      </c>
      <c r="J16">
        <v>2024</v>
      </c>
      <c r="K16">
        <v>109</v>
      </c>
      <c r="L16" t="s">
        <v>59</v>
      </c>
      <c r="M16" t="s">
        <v>3</v>
      </c>
      <c r="N16" t="s">
        <v>61</v>
      </c>
      <c r="O16" t="s">
        <v>129</v>
      </c>
      <c r="P16" t="s">
        <v>63</v>
      </c>
      <c r="R16" t="s">
        <v>64</v>
      </c>
      <c r="S16" t="s">
        <v>188</v>
      </c>
      <c r="T16" t="s">
        <v>189</v>
      </c>
      <c r="U16" t="s">
        <v>190</v>
      </c>
      <c r="V16" t="s">
        <v>191</v>
      </c>
      <c r="W16" t="s">
        <v>69</v>
      </c>
      <c r="X16" s="214">
        <v>45323</v>
      </c>
      <c r="Y16" s="214">
        <v>44959</v>
      </c>
      <c r="Z16" t="s">
        <v>70</v>
      </c>
      <c r="AA16" s="214">
        <v>45646</v>
      </c>
      <c r="AB16" t="s">
        <v>70</v>
      </c>
      <c r="AC16" t="s">
        <v>71</v>
      </c>
      <c r="AD16" t="s">
        <v>72</v>
      </c>
      <c r="AE16" t="s">
        <v>73</v>
      </c>
      <c r="AF16" t="s">
        <v>73</v>
      </c>
      <c r="AG16">
        <v>121000000</v>
      </c>
      <c r="AH16">
        <v>0</v>
      </c>
      <c r="AI16">
        <v>121000000</v>
      </c>
      <c r="AJ16">
        <v>0</v>
      </c>
      <c r="AK16">
        <v>121000000</v>
      </c>
      <c r="AL16">
        <v>0</v>
      </c>
      <c r="AM16">
        <v>121000000</v>
      </c>
      <c r="AN16">
        <v>0</v>
      </c>
      <c r="AP16">
        <v>6</v>
      </c>
      <c r="AQ16">
        <v>66000000</v>
      </c>
      <c r="AR16">
        <v>11000000</v>
      </c>
      <c r="AS16">
        <v>0.55000000000000004</v>
      </c>
      <c r="AT16">
        <v>55000000</v>
      </c>
      <c r="AU16" t="s">
        <v>192</v>
      </c>
      <c r="AV16" t="s">
        <v>193</v>
      </c>
    </row>
    <row r="17" spans="1:49" x14ac:dyDescent="0.25">
      <c r="A17">
        <v>16</v>
      </c>
      <c r="B17">
        <v>16</v>
      </c>
      <c r="E17" t="s">
        <v>56</v>
      </c>
      <c r="F17" t="s">
        <v>57</v>
      </c>
      <c r="G17" t="s">
        <v>194</v>
      </c>
      <c r="H17" t="s">
        <v>59</v>
      </c>
      <c r="I17" t="s">
        <v>60</v>
      </c>
      <c r="J17">
        <v>2024</v>
      </c>
      <c r="K17">
        <v>104</v>
      </c>
      <c r="L17" t="s">
        <v>59</v>
      </c>
      <c r="M17" t="s">
        <v>3</v>
      </c>
      <c r="N17" t="s">
        <v>195</v>
      </c>
      <c r="O17" t="s">
        <v>129</v>
      </c>
      <c r="R17" t="s">
        <v>64</v>
      </c>
      <c r="S17" t="s">
        <v>426</v>
      </c>
      <c r="T17" t="s">
        <v>197</v>
      </c>
      <c r="U17" t="s">
        <v>198</v>
      </c>
      <c r="V17" t="s">
        <v>199</v>
      </c>
      <c r="W17" t="s">
        <v>69</v>
      </c>
      <c r="X17" s="214">
        <v>45335</v>
      </c>
      <c r="Y17" s="214">
        <v>45338</v>
      </c>
      <c r="Z17" t="s">
        <v>70</v>
      </c>
      <c r="AA17" s="214">
        <v>45646</v>
      </c>
      <c r="AB17" t="s">
        <v>70</v>
      </c>
      <c r="AC17" t="s">
        <v>71</v>
      </c>
      <c r="AD17" t="s">
        <v>72</v>
      </c>
      <c r="AE17" t="s">
        <v>73</v>
      </c>
      <c r="AF17" t="s">
        <v>73</v>
      </c>
      <c r="AG17">
        <v>165000000</v>
      </c>
      <c r="AH17">
        <v>0</v>
      </c>
      <c r="AI17">
        <v>165000000</v>
      </c>
      <c r="AJ17">
        <v>0</v>
      </c>
      <c r="AK17">
        <v>165000000</v>
      </c>
      <c r="AL17">
        <v>0</v>
      </c>
      <c r="AM17">
        <v>165000000</v>
      </c>
      <c r="AN17">
        <v>0</v>
      </c>
      <c r="AP17">
        <v>6</v>
      </c>
      <c r="AQ17">
        <v>90000000</v>
      </c>
      <c r="AR17">
        <v>15000000</v>
      </c>
      <c r="AS17">
        <v>0.55000000000000004</v>
      </c>
      <c r="AT17">
        <v>75000000</v>
      </c>
      <c r="AU17" t="s">
        <v>200</v>
      </c>
      <c r="AV17" t="s">
        <v>201</v>
      </c>
    </row>
    <row r="18" spans="1:49" x14ac:dyDescent="0.25">
      <c r="A18">
        <v>25</v>
      </c>
      <c r="B18">
        <v>25</v>
      </c>
      <c r="C18">
        <v>80111614</v>
      </c>
      <c r="D18" t="s">
        <v>295</v>
      </c>
      <c r="E18" t="s">
        <v>56</v>
      </c>
      <c r="F18" t="s">
        <v>57</v>
      </c>
      <c r="G18" t="s">
        <v>296</v>
      </c>
      <c r="H18" t="s">
        <v>59</v>
      </c>
      <c r="I18" t="s">
        <v>60</v>
      </c>
      <c r="J18">
        <v>2024</v>
      </c>
      <c r="K18">
        <v>106</v>
      </c>
      <c r="L18" t="s">
        <v>59</v>
      </c>
      <c r="M18" t="s">
        <v>3</v>
      </c>
      <c r="N18" t="s">
        <v>297</v>
      </c>
      <c r="O18" t="s">
        <v>71</v>
      </c>
      <c r="R18" t="s">
        <v>64</v>
      </c>
      <c r="S18" t="s">
        <v>298</v>
      </c>
      <c r="T18" t="s">
        <v>299</v>
      </c>
      <c r="U18" t="s">
        <v>300</v>
      </c>
      <c r="V18" t="s">
        <v>301</v>
      </c>
      <c r="W18" t="s">
        <v>69</v>
      </c>
      <c r="X18" s="214">
        <v>45373</v>
      </c>
      <c r="Y18" s="214">
        <v>45383</v>
      </c>
      <c r="Z18" t="s">
        <v>70</v>
      </c>
      <c r="AA18" s="214">
        <v>45646</v>
      </c>
      <c r="AB18" t="s">
        <v>70</v>
      </c>
      <c r="AC18" t="s">
        <v>71</v>
      </c>
      <c r="AD18" t="s">
        <v>72</v>
      </c>
      <c r="AE18" t="s">
        <v>73</v>
      </c>
      <c r="AF18" t="s">
        <v>302</v>
      </c>
      <c r="AG18">
        <v>140000000</v>
      </c>
      <c r="AH18">
        <v>0</v>
      </c>
      <c r="AI18">
        <v>140000000</v>
      </c>
      <c r="AJ18">
        <v>0</v>
      </c>
      <c r="AK18">
        <v>140000000</v>
      </c>
      <c r="AL18">
        <v>0</v>
      </c>
      <c r="AM18">
        <v>140000000</v>
      </c>
      <c r="AN18">
        <v>0</v>
      </c>
      <c r="AP18">
        <v>4</v>
      </c>
      <c r="AQ18">
        <v>56000000</v>
      </c>
      <c r="AR18">
        <v>14000000</v>
      </c>
      <c r="AS18">
        <v>0.4</v>
      </c>
      <c r="AT18">
        <v>84000000</v>
      </c>
      <c r="AU18" t="s">
        <v>303</v>
      </c>
      <c r="AV18" t="s">
        <v>304</v>
      </c>
      <c r="AW18" t="s">
        <v>294</v>
      </c>
    </row>
    <row r="19" spans="1:49" ht="210" x14ac:dyDescent="0.25">
      <c r="A19">
        <v>24</v>
      </c>
      <c r="B19">
        <v>24</v>
      </c>
      <c r="C19">
        <v>80111614</v>
      </c>
      <c r="D19" t="s">
        <v>283</v>
      </c>
      <c r="E19" t="s">
        <v>56</v>
      </c>
      <c r="F19" t="s">
        <v>57</v>
      </c>
      <c r="G19" t="s">
        <v>284</v>
      </c>
      <c r="H19" t="s">
        <v>59</v>
      </c>
      <c r="I19" t="s">
        <v>60</v>
      </c>
      <c r="J19">
        <v>2024</v>
      </c>
      <c r="K19">
        <v>105</v>
      </c>
      <c r="L19" t="s">
        <v>59</v>
      </c>
      <c r="M19" t="s">
        <v>3</v>
      </c>
      <c r="N19" t="s">
        <v>61</v>
      </c>
      <c r="O19" t="s">
        <v>675</v>
      </c>
      <c r="P19" t="s">
        <v>674</v>
      </c>
      <c r="R19" t="s">
        <v>64</v>
      </c>
      <c r="S19" t="s">
        <v>286</v>
      </c>
      <c r="T19" t="s">
        <v>287</v>
      </c>
      <c r="U19" t="s">
        <v>288</v>
      </c>
      <c r="V19" t="s">
        <v>289</v>
      </c>
      <c r="W19" t="s">
        <v>69</v>
      </c>
      <c r="X19" s="214">
        <v>45373</v>
      </c>
      <c r="Y19" s="214">
        <v>45385</v>
      </c>
      <c r="Z19" t="s">
        <v>70</v>
      </c>
      <c r="AA19" s="214">
        <v>45646</v>
      </c>
      <c r="AB19" t="s">
        <v>70</v>
      </c>
      <c r="AC19" t="s">
        <v>71</v>
      </c>
      <c r="AD19" t="s">
        <v>72</v>
      </c>
      <c r="AE19" t="s">
        <v>73</v>
      </c>
      <c r="AF19" t="s">
        <v>290</v>
      </c>
      <c r="AG19">
        <v>84000000</v>
      </c>
      <c r="AH19">
        <v>0</v>
      </c>
      <c r="AI19">
        <v>84000000</v>
      </c>
      <c r="AJ19">
        <v>0</v>
      </c>
      <c r="AK19">
        <v>84000000</v>
      </c>
      <c r="AL19">
        <v>0</v>
      </c>
      <c r="AM19">
        <v>92400000</v>
      </c>
      <c r="AN19">
        <v>8400000</v>
      </c>
      <c r="AO19" t="s">
        <v>291</v>
      </c>
      <c r="AP19">
        <v>4</v>
      </c>
      <c r="AQ19">
        <v>33600000</v>
      </c>
      <c r="AR19">
        <v>8400000</v>
      </c>
      <c r="AS19">
        <v>0.4</v>
      </c>
      <c r="AT19">
        <v>50400000</v>
      </c>
      <c r="AU19" t="s">
        <v>292</v>
      </c>
      <c r="AV19" t="s">
        <v>293</v>
      </c>
      <c r="AW19" s="215" t="s">
        <v>665</v>
      </c>
    </row>
    <row r="20" spans="1:49" x14ac:dyDescent="0.25">
      <c r="A20">
        <v>19</v>
      </c>
      <c r="B20">
        <v>19</v>
      </c>
      <c r="E20" t="s">
        <v>221</v>
      </c>
      <c r="F20" t="s">
        <v>221</v>
      </c>
      <c r="G20" t="s">
        <v>222</v>
      </c>
      <c r="H20" t="s">
        <v>59</v>
      </c>
      <c r="I20" t="s">
        <v>60</v>
      </c>
      <c r="J20">
        <v>2023</v>
      </c>
      <c r="K20">
        <v>246</v>
      </c>
      <c r="L20" t="s">
        <v>109</v>
      </c>
      <c r="M20" t="s">
        <v>2</v>
      </c>
      <c r="N20" t="s">
        <v>223</v>
      </c>
      <c r="O20" t="s">
        <v>204</v>
      </c>
      <c r="P20" t="s">
        <v>224</v>
      </c>
      <c r="R20" t="s">
        <v>64</v>
      </c>
      <c r="S20" t="s">
        <v>225</v>
      </c>
      <c r="T20" t="s">
        <v>226</v>
      </c>
      <c r="U20" t="s">
        <v>227</v>
      </c>
      <c r="V20" t="s">
        <v>228</v>
      </c>
      <c r="W20" t="s">
        <v>69</v>
      </c>
      <c r="X20" s="214">
        <v>45260</v>
      </c>
      <c r="Y20" s="214">
        <v>45265</v>
      </c>
      <c r="Z20" t="s">
        <v>70</v>
      </c>
      <c r="AA20" s="214">
        <v>45539</v>
      </c>
      <c r="AB20" t="s">
        <v>70</v>
      </c>
      <c r="AC20" t="s">
        <v>71</v>
      </c>
      <c r="AD20" t="s">
        <v>72</v>
      </c>
      <c r="AE20" t="s">
        <v>135</v>
      </c>
      <c r="AF20" t="s">
        <v>135</v>
      </c>
      <c r="AG20">
        <v>1272271483</v>
      </c>
      <c r="AH20">
        <v>0</v>
      </c>
      <c r="AI20">
        <v>1272271483</v>
      </c>
      <c r="AJ20">
        <v>868916461</v>
      </c>
      <c r="AK20">
        <v>403355022</v>
      </c>
      <c r="AL20">
        <v>0</v>
      </c>
      <c r="AM20">
        <v>0</v>
      </c>
      <c r="AN20">
        <v>0</v>
      </c>
      <c r="AP20">
        <v>0</v>
      </c>
      <c r="AQ20">
        <v>0</v>
      </c>
      <c r="AR20" t="s">
        <v>69</v>
      </c>
      <c r="AS20">
        <v>0</v>
      </c>
      <c r="AT20">
        <v>403355022</v>
      </c>
      <c r="AU20" t="s">
        <v>229</v>
      </c>
      <c r="AV20" t="s">
        <v>230</v>
      </c>
      <c r="AW20" t="s">
        <v>634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91FA-65A3-44F4-9EA9-AD06668ABE71}">
  <dimension ref="B3:K146"/>
  <sheetViews>
    <sheetView topLeftCell="A80" workbookViewId="0">
      <selection activeCell="D89" sqref="D89"/>
    </sheetView>
  </sheetViews>
  <sheetFormatPr baseColWidth="10" defaultColWidth="11.5703125" defaultRowHeight="15" x14ac:dyDescent="0.25"/>
  <cols>
    <col min="1" max="1" width="11.5703125" style="1"/>
    <col min="2" max="2" width="18.7109375" style="1" customWidth="1"/>
    <col min="3" max="3" width="11" style="1" customWidth="1"/>
    <col min="4" max="4" width="24.28515625" style="1" customWidth="1"/>
    <col min="5" max="5" width="29.28515625" style="1" customWidth="1"/>
    <col min="6" max="6" width="27.5703125" style="1" customWidth="1"/>
    <col min="7" max="7" width="31.28515625" style="1" customWidth="1"/>
    <col min="8" max="8" width="18.85546875" style="1" bestFit="1" customWidth="1"/>
    <col min="9" max="9" width="20.85546875" style="1" customWidth="1"/>
    <col min="10" max="10" width="32" style="1" customWidth="1"/>
    <col min="11" max="11" width="14.28515625" style="1" customWidth="1"/>
    <col min="12" max="16384" width="11.5703125" style="1"/>
  </cols>
  <sheetData>
    <row r="3" spans="2:10" x14ac:dyDescent="0.25">
      <c r="B3" s="168" t="s">
        <v>0</v>
      </c>
      <c r="C3" s="1" t="s">
        <v>487</v>
      </c>
      <c r="D3" s="1" t="s">
        <v>486</v>
      </c>
    </row>
    <row r="4" spans="2:10" x14ac:dyDescent="0.25">
      <c r="B4" s="169" t="s">
        <v>90</v>
      </c>
      <c r="C4" s="1">
        <v>16</v>
      </c>
      <c r="D4" s="189">
        <v>1843857272.5599999</v>
      </c>
    </row>
    <row r="5" spans="2:10" x14ac:dyDescent="0.25">
      <c r="B5" s="169" t="s">
        <v>72</v>
      </c>
      <c r="C5" s="1">
        <v>19</v>
      </c>
      <c r="D5" s="189">
        <v>4266929832.5700002</v>
      </c>
    </row>
    <row r="6" spans="2:10" x14ac:dyDescent="0.25">
      <c r="B6" s="169" t="s">
        <v>7</v>
      </c>
      <c r="C6" s="1">
        <v>35</v>
      </c>
      <c r="D6" s="189">
        <v>6110787105.1299992</v>
      </c>
    </row>
    <row r="8" spans="2:10" x14ac:dyDescent="0.25">
      <c r="B8" s="91" t="s">
        <v>488</v>
      </c>
    </row>
    <row r="9" spans="2:10" x14ac:dyDescent="0.25">
      <c r="B9" s="92" t="s">
        <v>620</v>
      </c>
      <c r="C9" s="92" t="s">
        <v>621</v>
      </c>
      <c r="D9" s="92" t="s">
        <v>622</v>
      </c>
      <c r="H9" s="92" t="s">
        <v>620</v>
      </c>
      <c r="I9" s="92" t="s">
        <v>503</v>
      </c>
      <c r="J9" s="92" t="s">
        <v>640</v>
      </c>
    </row>
    <row r="10" spans="2:10" ht="22.9" customHeight="1" x14ac:dyDescent="0.25">
      <c r="B10" s="200" t="s">
        <v>623</v>
      </c>
      <c r="C10" s="203">
        <f>GETPIVOTDATA("Cuenta de Fuente vigencia ",$B$3)</f>
        <v>35</v>
      </c>
      <c r="D10" s="204">
        <f>GETPIVOTDATA("Suma de Valor asignado al 2024",$B$3)</f>
        <v>6110787105.1299992</v>
      </c>
      <c r="E10" s="196">
        <f>D10/D12</f>
        <v>0.60649288780896615</v>
      </c>
      <c r="H10" s="7" t="s">
        <v>623</v>
      </c>
      <c r="I10" s="191">
        <f>J10/$J$12</f>
        <v>0.72916666666666663</v>
      </c>
      <c r="J10" s="14">
        <f>GETPIVOTDATA("Cuenta de Fuente vigencia ",$B$3)</f>
        <v>35</v>
      </c>
    </row>
    <row r="11" spans="2:10" ht="19.899999999999999" customHeight="1" x14ac:dyDescent="0.25">
      <c r="B11" s="200" t="s">
        <v>720</v>
      </c>
      <c r="C11" s="203">
        <f>GETPIVOTDATA("Cuenta de Fuente vigencia ",$B$60)</f>
        <v>13</v>
      </c>
      <c r="D11" s="204">
        <f>GETPIVOTDATA("Suma de Valor total asignado al PAA 2024",$B$60)</f>
        <v>3964825038</v>
      </c>
      <c r="E11" s="196">
        <f>D11/D12</f>
        <v>0.3935071121910339</v>
      </c>
      <c r="H11" s="7" t="s">
        <v>624</v>
      </c>
      <c r="I11" s="191">
        <f>J11/$J$12</f>
        <v>0.27083333333333331</v>
      </c>
      <c r="J11" s="14">
        <f>GETPIVOTDATA("Cuenta de Fuente vigencia ",$B$60)</f>
        <v>13</v>
      </c>
    </row>
    <row r="12" spans="2:10" ht="18.75" x14ac:dyDescent="0.25">
      <c r="B12" s="96" t="s">
        <v>496</v>
      </c>
      <c r="C12" s="205">
        <f>SUM(C10:C11)</f>
        <v>48</v>
      </c>
      <c r="D12" s="206">
        <f>SUM(D10:D11)</f>
        <v>10075612143.129999</v>
      </c>
      <c r="H12" s="96" t="s">
        <v>496</v>
      </c>
      <c r="I12" s="99">
        <f>SUM(I10:I11)</f>
        <v>1</v>
      </c>
      <c r="J12" s="93">
        <f>SUM(J10:J11)</f>
        <v>48</v>
      </c>
    </row>
    <row r="14" spans="2:10" x14ac:dyDescent="0.25">
      <c r="B14" s="229" t="s">
        <v>641</v>
      </c>
      <c r="C14" s="229"/>
      <c r="D14" s="229"/>
      <c r="E14" s="229"/>
    </row>
    <row r="15" spans="2:10" ht="43.15" customHeight="1" x14ac:dyDescent="0.25">
      <c r="B15" s="92" t="s">
        <v>492</v>
      </c>
      <c r="C15" s="92" t="s">
        <v>489</v>
      </c>
      <c r="D15" s="92" t="s">
        <v>490</v>
      </c>
      <c r="E15" s="92" t="s">
        <v>55</v>
      </c>
      <c r="G15" s="230" t="s">
        <v>644</v>
      </c>
      <c r="H15" s="230"/>
      <c r="I15" s="230"/>
      <c r="J15" s="193"/>
    </row>
    <row r="16" spans="2:10" ht="62.45" customHeight="1" x14ac:dyDescent="0.25">
      <c r="B16" s="203" t="s">
        <v>90</v>
      </c>
      <c r="C16" s="203">
        <f>GETPIVOTDATA("Cuenta de Fuente vigencia ",$B$3,"Fuente vigencia ","Funcionamiento")</f>
        <v>16</v>
      </c>
      <c r="D16" s="204">
        <f>GETPIVOTDATA("Suma de Valor asignado al 2024",$B$3,"Fuente vigencia ","Funcionamiento")</f>
        <v>1843857272.5599999</v>
      </c>
      <c r="E16" s="102" t="s">
        <v>629</v>
      </c>
      <c r="G16" s="92" t="s">
        <v>492</v>
      </c>
      <c r="H16" s="92" t="s">
        <v>489</v>
      </c>
      <c r="I16" s="92" t="s">
        <v>490</v>
      </c>
    </row>
    <row r="17" spans="2:10" ht="45.6" customHeight="1" x14ac:dyDescent="0.25">
      <c r="B17" s="203" t="s">
        <v>494</v>
      </c>
      <c r="C17" s="203">
        <f>GETPIVOTDATA("Cuenta de Fuente vigencia ",$B$3,"Fuente vigencia ","Inversión BID")</f>
        <v>19</v>
      </c>
      <c r="D17" s="204">
        <f>GETPIVOTDATA("Suma de Valor asignado al 2024",$B$3,"Fuente vigencia ","Inversión BID")</f>
        <v>4266929832.5700002</v>
      </c>
      <c r="E17" s="102" t="s">
        <v>630</v>
      </c>
      <c r="G17" s="14" t="s">
        <v>90</v>
      </c>
      <c r="H17" s="14">
        <f>C16+C72</f>
        <v>21</v>
      </c>
      <c r="I17" s="95">
        <f>D16+D72</f>
        <v>2200143025.5599999</v>
      </c>
    </row>
    <row r="18" spans="2:10" ht="18.75" x14ac:dyDescent="0.25">
      <c r="B18" s="96" t="s">
        <v>496</v>
      </c>
      <c r="C18" s="205">
        <f>SUM(C16:C17)</f>
        <v>35</v>
      </c>
      <c r="D18" s="206">
        <f>SUM(D16:D17)</f>
        <v>6110787105.1300001</v>
      </c>
      <c r="G18" s="14" t="s">
        <v>494</v>
      </c>
      <c r="H18" s="14">
        <f>C17+C73</f>
        <v>27</v>
      </c>
      <c r="I18" s="95">
        <f>D17+D73</f>
        <v>7875469117.5699997</v>
      </c>
    </row>
    <row r="19" spans="2:10" x14ac:dyDescent="0.25">
      <c r="G19" s="96" t="s">
        <v>496</v>
      </c>
      <c r="H19" s="93">
        <f>SUM(H17:H18)</f>
        <v>48</v>
      </c>
      <c r="I19" s="94">
        <f>SUM(I17:I18)</f>
        <v>10075612143.129999</v>
      </c>
    </row>
    <row r="20" spans="2:10" x14ac:dyDescent="0.25">
      <c r="B20" s="168" t="s">
        <v>487</v>
      </c>
      <c r="C20" s="168" t="s">
        <v>498</v>
      </c>
    </row>
    <row r="21" spans="2:10" x14ac:dyDescent="0.25">
      <c r="B21" s="168" t="s">
        <v>0</v>
      </c>
      <c r="C21" s="1" t="s">
        <v>90</v>
      </c>
      <c r="D21" s="1" t="s">
        <v>72</v>
      </c>
      <c r="E21" s="1" t="s">
        <v>7</v>
      </c>
    </row>
    <row r="22" spans="2:10" x14ac:dyDescent="0.25">
      <c r="B22" s="169" t="s">
        <v>116</v>
      </c>
      <c r="C22" s="1">
        <v>5</v>
      </c>
      <c r="D22" s="1">
        <v>1</v>
      </c>
      <c r="E22" s="1">
        <v>6</v>
      </c>
    </row>
    <row r="23" spans="2:10" x14ac:dyDescent="0.25">
      <c r="B23" s="169" t="s">
        <v>267</v>
      </c>
      <c r="C23" s="1">
        <v>3</v>
      </c>
      <c r="E23" s="1">
        <v>3</v>
      </c>
    </row>
    <row r="24" spans="2:10" x14ac:dyDescent="0.25">
      <c r="B24" s="169" t="s">
        <v>73</v>
      </c>
      <c r="C24" s="1">
        <v>7</v>
      </c>
      <c r="D24" s="1">
        <v>14</v>
      </c>
      <c r="E24" s="1">
        <v>21</v>
      </c>
    </row>
    <row r="25" spans="2:10" x14ac:dyDescent="0.25">
      <c r="B25" s="169" t="s">
        <v>104</v>
      </c>
      <c r="C25" s="1">
        <v>1</v>
      </c>
      <c r="E25" s="1">
        <v>1</v>
      </c>
    </row>
    <row r="26" spans="2:10" x14ac:dyDescent="0.25">
      <c r="B26" s="169" t="s">
        <v>135</v>
      </c>
      <c r="D26" s="1">
        <v>3</v>
      </c>
      <c r="E26" s="1">
        <v>3</v>
      </c>
    </row>
    <row r="27" spans="2:10" x14ac:dyDescent="0.25">
      <c r="B27" s="169" t="s">
        <v>312</v>
      </c>
      <c r="D27" s="1">
        <v>1</v>
      </c>
      <c r="E27" s="1">
        <v>1</v>
      </c>
    </row>
    <row r="28" spans="2:10" x14ac:dyDescent="0.25">
      <c r="B28" s="169" t="s">
        <v>7</v>
      </c>
      <c r="C28" s="1">
        <v>16</v>
      </c>
      <c r="D28" s="1">
        <v>19</v>
      </c>
      <c r="E28" s="1">
        <v>35</v>
      </c>
    </row>
    <row r="30" spans="2:10" ht="90" x14ac:dyDescent="0.25">
      <c r="B30" s="92" t="s">
        <v>499</v>
      </c>
      <c r="C30" s="92" t="s">
        <v>500</v>
      </c>
      <c r="D30" s="92" t="s">
        <v>501</v>
      </c>
      <c r="E30" s="92" t="s">
        <v>502</v>
      </c>
      <c r="H30" s="92" t="s">
        <v>499</v>
      </c>
      <c r="I30" s="92" t="s">
        <v>503</v>
      </c>
      <c r="J30" s="92" t="s">
        <v>502</v>
      </c>
    </row>
    <row r="31" spans="2:10" ht="30" x14ac:dyDescent="0.25">
      <c r="B31" s="7" t="str">
        <f>B22</f>
        <v xml:space="preserve">Acuerdo Marco de Precios </v>
      </c>
      <c r="C31" s="14">
        <f>GETPIVOTDATA("Fuente vigencia ",$B$20,"Fuente vigencia ","Funcionamiento","Modalida presentación General Cuadro","Acuerdo Marco de Precios ")</f>
        <v>5</v>
      </c>
      <c r="D31" s="14">
        <f>GETPIVOTDATA("Fuente vigencia ",$B$20,"Fuente vigencia ","Inversión BID","Modalida presentación General Cuadro","Acuerdo Marco de Precios ")</f>
        <v>1</v>
      </c>
      <c r="E31" s="14">
        <f>SUM(C31:D31)</f>
        <v>6</v>
      </c>
      <c r="H31" s="7" t="str">
        <f>B31</f>
        <v xml:space="preserve">Acuerdo Marco de Precios </v>
      </c>
      <c r="I31" s="98">
        <f>J31/$J$36</f>
        <v>0.17647058823529413</v>
      </c>
      <c r="J31" s="14">
        <f>E31</f>
        <v>6</v>
      </c>
    </row>
    <row r="32" spans="2:10" x14ac:dyDescent="0.25">
      <c r="B32" s="7" t="str">
        <f>B23</f>
        <v>Mínima cuantía</v>
      </c>
      <c r="C32" s="14">
        <f>GETPIVOTDATA("Fuente vigencia ",$B$20,"Fuente vigencia ","Funcionamiento","Modalida presentación General Cuadro","Mínima cuantía")</f>
        <v>3</v>
      </c>
      <c r="D32" s="14">
        <f>GETPIVOTDATA("Fuente vigencia ",$B$20,"Fuente vigencia ","Inversión BID","Modalida presentación General Cuadro","Mínima cuantía")</f>
        <v>0</v>
      </c>
      <c r="E32" s="14">
        <f t="shared" ref="E32:E35" si="0">SUM(C32:D32)</f>
        <v>3</v>
      </c>
      <c r="H32" s="7" t="str">
        <f>B32</f>
        <v>Mínima cuantía</v>
      </c>
      <c r="I32" s="98">
        <f>J32/$J$36</f>
        <v>8.8235294117647065E-2</v>
      </c>
      <c r="J32" s="14">
        <f>E32</f>
        <v>3</v>
      </c>
    </row>
    <row r="33" spans="2:10" ht="30" x14ac:dyDescent="0.25">
      <c r="B33" s="7" t="str">
        <f>B24</f>
        <v>Persona Natural (Contratista)</v>
      </c>
      <c r="C33" s="14">
        <f>GETPIVOTDATA("Fuente vigencia ",$B$20,"Fuente vigencia ","Funcionamiento","Modalida presentación General Cuadro","Persona Natural (Contratista)")</f>
        <v>7</v>
      </c>
      <c r="D33" s="14">
        <f>GETPIVOTDATA("Fuente vigencia ",$B$20,"Fuente vigencia ","Inversión BID","Modalida presentación General Cuadro","Persona Natural (Contratista)")</f>
        <v>14</v>
      </c>
      <c r="E33" s="14">
        <f t="shared" si="0"/>
        <v>21</v>
      </c>
      <c r="H33" s="7" t="str">
        <f>B33</f>
        <v>Persona Natural (Contratista)</v>
      </c>
      <c r="I33" s="98">
        <f>J33/$J$36</f>
        <v>0.61764705882352944</v>
      </c>
      <c r="J33" s="14">
        <f>E33</f>
        <v>21</v>
      </c>
    </row>
    <row r="34" spans="2:10" ht="30" x14ac:dyDescent="0.25">
      <c r="B34" s="7" t="str">
        <f>B25</f>
        <v>Selección abreviada subasta inversa</v>
      </c>
      <c r="C34" s="14">
        <f>GETPIVOTDATA("Fuente vigencia ",$B$20,"Fuente vigencia ","Funcionamiento","Modalida presentación General Cuadro","Selección abreviada subasta inversa")</f>
        <v>1</v>
      </c>
      <c r="D34" s="14">
        <f>GETPIVOTDATA("Fuente vigencia ",$B$20,"Fuente vigencia ","Inversión BID","Modalida presentación General Cuadro","Selección abreviada subasta inversa")</f>
        <v>0</v>
      </c>
      <c r="E34" s="14">
        <f t="shared" si="0"/>
        <v>1</v>
      </c>
      <c r="H34" s="7" t="str">
        <f>B34</f>
        <v>Selección abreviada subasta inversa</v>
      </c>
      <c r="I34" s="98">
        <f>J34/$J$36</f>
        <v>2.9411764705882353E-2</v>
      </c>
      <c r="J34" s="14">
        <f>E34</f>
        <v>1</v>
      </c>
    </row>
    <row r="35" spans="2:10" ht="30" x14ac:dyDescent="0.25">
      <c r="B35" s="7" t="str">
        <f>B26</f>
        <v>Servicio de consultoría</v>
      </c>
      <c r="C35" s="14">
        <f>GETPIVOTDATA("Fuente vigencia ",$B$20,"Fuente vigencia ","Funcionamiento","Modalida presentación General Cuadro","Servicio de consultoría")</f>
        <v>0</v>
      </c>
      <c r="D35" s="14">
        <f>GETPIVOTDATA("Fuente vigencia ",$B$20,"Fuente vigencia ","Inversión BID","Modalida presentación General Cuadro","Servicio de consultoría")</f>
        <v>3</v>
      </c>
      <c r="E35" s="14">
        <f t="shared" si="0"/>
        <v>3</v>
      </c>
      <c r="H35" s="7" t="str">
        <f>B35</f>
        <v>Servicio de consultoría</v>
      </c>
      <c r="I35" s="98">
        <f>J35/$J$36</f>
        <v>8.8235294117647065E-2</v>
      </c>
      <c r="J35" s="14">
        <f>E35</f>
        <v>3</v>
      </c>
    </row>
    <row r="36" spans="2:10" x14ac:dyDescent="0.25">
      <c r="B36" s="92" t="s">
        <v>496</v>
      </c>
      <c r="C36" s="93">
        <f>SUM(C31:C35)</f>
        <v>16</v>
      </c>
      <c r="D36" s="93">
        <f>SUM(D31:D35)</f>
        <v>18</v>
      </c>
      <c r="E36" s="93">
        <f>SUM(E31:E35)</f>
        <v>34</v>
      </c>
      <c r="H36" s="100" t="s">
        <v>496</v>
      </c>
      <c r="I36" s="99">
        <f>SUM(I31:I35)</f>
        <v>1</v>
      </c>
      <c r="J36" s="93">
        <f>SUM(J31:J35)</f>
        <v>34</v>
      </c>
    </row>
    <row r="39" spans="2:10" x14ac:dyDescent="0.25">
      <c r="B39" s="168" t="s">
        <v>486</v>
      </c>
      <c r="C39" s="168" t="s">
        <v>498</v>
      </c>
    </row>
    <row r="40" spans="2:10" x14ac:dyDescent="0.25">
      <c r="B40" s="168" t="s">
        <v>0</v>
      </c>
      <c r="C40" s="1" t="s">
        <v>90</v>
      </c>
      <c r="D40" s="1" t="s">
        <v>72</v>
      </c>
      <c r="E40" s="1" t="s">
        <v>7</v>
      </c>
    </row>
    <row r="41" spans="2:10" x14ac:dyDescent="0.25">
      <c r="B41" s="169" t="s">
        <v>116</v>
      </c>
      <c r="C41" s="189">
        <v>782937730.24000013</v>
      </c>
      <c r="D41" s="189">
        <v>669139863.29999995</v>
      </c>
      <c r="E41" s="189">
        <v>1452077593.54</v>
      </c>
    </row>
    <row r="42" spans="2:10" x14ac:dyDescent="0.25">
      <c r="B42" s="169" t="s">
        <v>267</v>
      </c>
      <c r="C42" s="189">
        <v>14144000</v>
      </c>
      <c r="D42" s="189"/>
      <c r="E42" s="189">
        <v>14144000</v>
      </c>
    </row>
    <row r="43" spans="2:10" x14ac:dyDescent="0.25">
      <c r="B43" s="169" t="s">
        <v>73</v>
      </c>
      <c r="C43" s="189">
        <v>852657060</v>
      </c>
      <c r="D43" s="189">
        <v>1152500000</v>
      </c>
      <c r="E43" s="189">
        <v>2005157060</v>
      </c>
    </row>
    <row r="44" spans="2:10" x14ac:dyDescent="0.25">
      <c r="B44" s="169" t="s">
        <v>312</v>
      </c>
      <c r="C44" s="189"/>
      <c r="D44" s="189">
        <v>997302719.26999998</v>
      </c>
      <c r="E44" s="189">
        <v>997302719.26999998</v>
      </c>
    </row>
    <row r="45" spans="2:10" x14ac:dyDescent="0.25">
      <c r="B45" s="169" t="s">
        <v>104</v>
      </c>
      <c r="C45" s="189">
        <v>194118482.31999999</v>
      </c>
      <c r="D45" s="189"/>
      <c r="E45" s="189">
        <v>194118482.31999999</v>
      </c>
    </row>
    <row r="46" spans="2:10" x14ac:dyDescent="0.25">
      <c r="B46" s="169" t="s">
        <v>135</v>
      </c>
      <c r="C46" s="189"/>
      <c r="D46" s="189">
        <v>1447987250</v>
      </c>
      <c r="E46" s="189">
        <v>1447987250</v>
      </c>
    </row>
    <row r="47" spans="2:10" x14ac:dyDescent="0.25">
      <c r="B47" s="169" t="s">
        <v>7</v>
      </c>
      <c r="C47" s="189">
        <v>1843857272.5600002</v>
      </c>
      <c r="D47" s="189">
        <v>4266929832.5699997</v>
      </c>
      <c r="E47" s="189">
        <v>6110787105.1299992</v>
      </c>
    </row>
    <row r="49" spans="2:5" ht="75" x14ac:dyDescent="0.25">
      <c r="B49" s="92" t="s">
        <v>499</v>
      </c>
      <c r="C49" s="92" t="s">
        <v>504</v>
      </c>
      <c r="D49" s="92" t="s">
        <v>505</v>
      </c>
      <c r="E49" s="92" t="s">
        <v>506</v>
      </c>
    </row>
    <row r="50" spans="2:5" ht="28.15" customHeight="1" x14ac:dyDescent="0.25">
      <c r="B50" s="7" t="str">
        <f>B41</f>
        <v xml:space="preserve">Acuerdo Marco de Precios </v>
      </c>
      <c r="C50" s="95">
        <f>GETPIVOTDATA("Valor asignado al 2024",$B$39,"Fuente vigencia ","Funcionamiento","Modalida presentación General Cuadro","Acuerdo Marco de Precios ")</f>
        <v>782937730.24000013</v>
      </c>
      <c r="D50" s="95">
        <f>GETPIVOTDATA("Valor asignado al 2024",$B$39,"Fuente vigencia ","Inversión BID","Modalida presentación General Cuadro","Acuerdo Marco de Precios ")</f>
        <v>669139863.29999995</v>
      </c>
      <c r="E50" s="95">
        <f>SUM(C50:D50)</f>
        <v>1452077593.54</v>
      </c>
    </row>
    <row r="51" spans="2:5" x14ac:dyDescent="0.25">
      <c r="B51" s="7" t="str">
        <f>B42</f>
        <v>Mínima cuantía</v>
      </c>
      <c r="C51" s="95">
        <f>GETPIVOTDATA("Valor asignado al 2024",$B$39,"Fuente vigencia ","Funcionamiento","Modalida presentación General Cuadro","Mínima cuantía")</f>
        <v>14144000</v>
      </c>
      <c r="D51" s="95">
        <f>GETPIVOTDATA("Valor asignado al 2024",$B$39,"Fuente vigencia ","Inversión BID","Modalida presentación General Cuadro","Mínima cuantía")</f>
        <v>0</v>
      </c>
      <c r="E51" s="95">
        <f t="shared" ref="E51:E54" si="1">SUM(C51:D51)</f>
        <v>14144000</v>
      </c>
    </row>
    <row r="52" spans="2:5" ht="36" customHeight="1" x14ac:dyDescent="0.25">
      <c r="B52" s="7" t="str">
        <f>B43</f>
        <v>Persona Natural (Contratista)</v>
      </c>
      <c r="C52" s="95">
        <f>GETPIVOTDATA("Valor asignado al 2024",$B$39,"Fuente vigencia ","Funcionamiento","Modalida presentación General Cuadro","Persona Natural (Contratista)")</f>
        <v>852657060</v>
      </c>
      <c r="D52" s="95">
        <f>GETPIVOTDATA("Valor asignado al 2024",$B$39,"Fuente vigencia ","Inversión BID","Modalida presentación General Cuadro","Persona Natural (Contratista)")</f>
        <v>1152500000</v>
      </c>
      <c r="E52" s="95">
        <f t="shared" si="1"/>
        <v>2005157060</v>
      </c>
    </row>
    <row r="53" spans="2:5" ht="48" customHeight="1" x14ac:dyDescent="0.25">
      <c r="B53" s="7" t="str">
        <f>B44</f>
        <v>Selección abreviada - acuerdo marco</v>
      </c>
      <c r="C53" s="95">
        <f>GETPIVOTDATA("Valor asignado al 2024",$B$39,"Fuente vigencia ","Funcionamiento","Modalida presentación General Cuadro","Selección abreviada subasta inversa")</f>
        <v>194118482.31999999</v>
      </c>
      <c r="D53" s="95">
        <f>GETPIVOTDATA("Valor asignado al 2024",$B$39,"Fuente vigencia ","Inversión BID","Modalida presentación General Cuadro","Selección abreviada subasta inversa")</f>
        <v>0</v>
      </c>
      <c r="E53" s="95">
        <f t="shared" si="1"/>
        <v>194118482.31999999</v>
      </c>
    </row>
    <row r="54" spans="2:5" ht="36" customHeight="1" x14ac:dyDescent="0.25">
      <c r="B54" s="7" t="str">
        <f>B45</f>
        <v>Selección abreviada subasta inversa</v>
      </c>
      <c r="C54" s="95">
        <f>GETPIVOTDATA("Valor asignado al 2024",$B$39,"Fuente vigencia ","Funcionamiento","Modalida presentación General Cuadro","Servicio de consultoría")</f>
        <v>0</v>
      </c>
      <c r="D54" s="95">
        <f>GETPIVOTDATA("Valor asignado al 2024",$B$39,"Fuente vigencia ","Inversión BID","Modalida presentación General Cuadro","Servicio de consultoría")</f>
        <v>1447987250</v>
      </c>
      <c r="E54" s="95">
        <f t="shared" si="1"/>
        <v>1447987250</v>
      </c>
    </row>
    <row r="55" spans="2:5" x14ac:dyDescent="0.25">
      <c r="B55" s="92" t="s">
        <v>496</v>
      </c>
      <c r="C55" s="94">
        <f>SUM(C50:C54)</f>
        <v>1843857272.5600002</v>
      </c>
      <c r="D55" s="94">
        <f t="shared" ref="D55:E55" si="2">SUM(D50:D54)</f>
        <v>3269627113.3000002</v>
      </c>
      <c r="E55" s="94">
        <f t="shared" si="2"/>
        <v>5113484385.8600006</v>
      </c>
    </row>
    <row r="58" spans="2:5" x14ac:dyDescent="0.25">
      <c r="B58" s="231" t="s">
        <v>617</v>
      </c>
      <c r="C58" s="231"/>
      <c r="D58" s="231"/>
      <c r="E58" s="231"/>
    </row>
    <row r="60" spans="2:5" x14ac:dyDescent="0.25">
      <c r="B60" s="24" t="s">
        <v>0</v>
      </c>
      <c r="C60" t="s">
        <v>487</v>
      </c>
      <c r="D60" t="s">
        <v>547</v>
      </c>
    </row>
    <row r="61" spans="2:5" x14ac:dyDescent="0.25">
      <c r="B61" s="25" t="s">
        <v>90</v>
      </c>
      <c r="C61">
        <v>5</v>
      </c>
      <c r="D61" s="190">
        <v>356285753</v>
      </c>
    </row>
    <row r="62" spans="2:5" x14ac:dyDescent="0.25">
      <c r="B62" s="25" t="s">
        <v>72</v>
      </c>
      <c r="C62">
        <v>8</v>
      </c>
      <c r="D62" s="190">
        <v>3608539285</v>
      </c>
    </row>
    <row r="63" spans="2:5" x14ac:dyDescent="0.25">
      <c r="B63" s="25" t="s">
        <v>7</v>
      </c>
      <c r="C63">
        <v>13</v>
      </c>
      <c r="D63" s="190">
        <v>3964825038</v>
      </c>
    </row>
    <row r="64" spans="2:5" x14ac:dyDescent="0.25">
      <c r="B64"/>
      <c r="C64"/>
      <c r="D64"/>
    </row>
    <row r="65" spans="2:6" x14ac:dyDescent="0.25">
      <c r="B65"/>
      <c r="C65"/>
      <c r="D65"/>
    </row>
    <row r="66" spans="2:6" x14ac:dyDescent="0.25">
      <c r="B66" s="91" t="s">
        <v>618</v>
      </c>
    </row>
    <row r="67" spans="2:6" ht="90" x14ac:dyDescent="0.25">
      <c r="B67" s="92" t="s">
        <v>625</v>
      </c>
      <c r="C67" s="92" t="s">
        <v>626</v>
      </c>
    </row>
    <row r="68" spans="2:6" x14ac:dyDescent="0.25">
      <c r="B68" s="93">
        <f>GETPIVOTDATA("Cuenta de Fuente vigencia ",$B$60)</f>
        <v>13</v>
      </c>
      <c r="C68" s="94">
        <f>GETPIVOTDATA("Suma de Valor total asignado al PAA 2024",$B$60)</f>
        <v>3964825038</v>
      </c>
    </row>
    <row r="70" spans="2:6" x14ac:dyDescent="0.25">
      <c r="B70" s="229" t="s">
        <v>642</v>
      </c>
      <c r="C70" s="229"/>
      <c r="D70" s="229"/>
      <c r="E70" s="229"/>
    </row>
    <row r="71" spans="2:6" ht="53.65" customHeight="1" x14ac:dyDescent="0.25">
      <c r="B71" s="92" t="s">
        <v>492</v>
      </c>
      <c r="C71" s="92" t="s">
        <v>625</v>
      </c>
      <c r="D71" s="92" t="s">
        <v>627</v>
      </c>
      <c r="E71" s="92" t="s">
        <v>55</v>
      </c>
    </row>
    <row r="72" spans="2:6" ht="45.4" customHeight="1" x14ac:dyDescent="0.25">
      <c r="B72" s="203" t="s">
        <v>90</v>
      </c>
      <c r="C72" s="203">
        <f>GETPIVOTDATA("Cuenta de Fuente vigencia ",$B$60,"Fuente vigencia ","Funcionamiento")</f>
        <v>5</v>
      </c>
      <c r="D72" s="204">
        <f>GETPIVOTDATA("Suma de Valor total asignado al PAA 2024",$B$60,"Fuente vigencia ","Funcionamiento")</f>
        <v>356285753</v>
      </c>
      <c r="E72" s="102" t="s">
        <v>632</v>
      </c>
    </row>
    <row r="73" spans="2:6" ht="40.5" customHeight="1" x14ac:dyDescent="0.25">
      <c r="B73" s="203" t="s">
        <v>72</v>
      </c>
      <c r="C73" s="203">
        <f>GETPIVOTDATA("Cuenta de Fuente vigencia ",$B$60,"Fuente vigencia ","Inversión BID")</f>
        <v>8</v>
      </c>
      <c r="D73" s="204">
        <f>GETPIVOTDATA("Suma de Valor total asignado al PAA 2024",$B$60,"Fuente vigencia ","Inversión BID")</f>
        <v>3608539285</v>
      </c>
      <c r="E73" s="102" t="s">
        <v>721</v>
      </c>
    </row>
    <row r="74" spans="2:6" ht="18.75" x14ac:dyDescent="0.25">
      <c r="B74" s="96" t="s">
        <v>496</v>
      </c>
      <c r="C74" s="205">
        <f>SUM(C72:C73)</f>
        <v>13</v>
      </c>
      <c r="D74" s="206">
        <f>SUM(D72:D73)</f>
        <v>3964825038</v>
      </c>
    </row>
    <row r="75" spans="2:6" x14ac:dyDescent="0.25">
      <c r="B75"/>
      <c r="C75"/>
      <c r="D75"/>
    </row>
    <row r="76" spans="2:6" x14ac:dyDescent="0.25">
      <c r="B76"/>
      <c r="C76"/>
      <c r="D76"/>
    </row>
    <row r="77" spans="2:6" x14ac:dyDescent="0.25">
      <c r="B77" s="24" t="s">
        <v>487</v>
      </c>
      <c r="C77" s="24" t="s">
        <v>498</v>
      </c>
      <c r="D77"/>
      <c r="E77"/>
      <c r="F77"/>
    </row>
    <row r="78" spans="2:6" x14ac:dyDescent="0.25">
      <c r="B78" s="24" t="s">
        <v>0</v>
      </c>
      <c r="C78" t="s">
        <v>90</v>
      </c>
      <c r="D78" t="s">
        <v>72</v>
      </c>
      <c r="E78" t="s">
        <v>7</v>
      </c>
      <c r="F78"/>
    </row>
    <row r="79" spans="2:6" x14ac:dyDescent="0.25">
      <c r="B79" s="25" t="s">
        <v>267</v>
      </c>
      <c r="C79">
        <v>2</v>
      </c>
      <c r="D79"/>
      <c r="E79">
        <v>2</v>
      </c>
      <c r="F79"/>
    </row>
    <row r="80" spans="2:6" x14ac:dyDescent="0.25">
      <c r="B80" s="25" t="s">
        <v>73</v>
      </c>
      <c r="C80"/>
      <c r="D80">
        <v>5</v>
      </c>
      <c r="E80">
        <v>5</v>
      </c>
      <c r="F80"/>
    </row>
    <row r="81" spans="2:11" x14ac:dyDescent="0.25">
      <c r="B81" s="25" t="s">
        <v>312</v>
      </c>
      <c r="C81">
        <v>2</v>
      </c>
      <c r="D81"/>
      <c r="E81">
        <v>2</v>
      </c>
      <c r="F81"/>
    </row>
    <row r="82" spans="2:11" x14ac:dyDescent="0.25">
      <c r="B82" s="25" t="s">
        <v>104</v>
      </c>
      <c r="C82">
        <v>1</v>
      </c>
      <c r="D82"/>
      <c r="E82">
        <v>1</v>
      </c>
      <c r="F82"/>
    </row>
    <row r="83" spans="2:11" x14ac:dyDescent="0.25">
      <c r="B83" s="25" t="s">
        <v>135</v>
      </c>
      <c r="C83"/>
      <c r="D83">
        <v>3</v>
      </c>
      <c r="E83">
        <v>3</v>
      </c>
      <c r="F83"/>
    </row>
    <row r="84" spans="2:11" x14ac:dyDescent="0.25">
      <c r="B84" s="25" t="s">
        <v>7</v>
      </c>
      <c r="C84">
        <v>5</v>
      </c>
      <c r="D84">
        <v>8</v>
      </c>
      <c r="E84">
        <v>13</v>
      </c>
      <c r="F84"/>
    </row>
    <row r="85" spans="2:11" x14ac:dyDescent="0.25">
      <c r="B85"/>
      <c r="C85"/>
      <c r="D85"/>
    </row>
    <row r="86" spans="2:11" ht="90" x14ac:dyDescent="0.25">
      <c r="B86" s="92" t="s">
        <v>499</v>
      </c>
      <c r="C86" s="92" t="s">
        <v>500</v>
      </c>
      <c r="D86" s="92" t="s">
        <v>619</v>
      </c>
      <c r="E86" s="92" t="s">
        <v>502</v>
      </c>
      <c r="H86" s="92" t="s">
        <v>499</v>
      </c>
      <c r="I86" s="92" t="s">
        <v>503</v>
      </c>
      <c r="J86" s="92" t="s">
        <v>502</v>
      </c>
    </row>
    <row r="87" spans="2:11" x14ac:dyDescent="0.25">
      <c r="B87" s="7" t="str">
        <f>B79</f>
        <v>Mínima cuantía</v>
      </c>
      <c r="C87" s="14">
        <f>GETPIVOTDATA("Fuente vigencia ",$B$77,"Fuente vigencia ","Funcionamiento","Modalida presentación General Cuadro","Mínima cuantía")</f>
        <v>2</v>
      </c>
      <c r="D87" s="14">
        <f>GETPIVOTDATA("Fuente vigencia ",$B$77,"Fuente vigencia ","Inversión BID","Modalida presentación General Cuadro","Mínima cuantía")</f>
        <v>0</v>
      </c>
      <c r="E87" s="14">
        <f>SUM(C87:D87)</f>
        <v>2</v>
      </c>
      <c r="H87" s="7" t="str">
        <f>B87</f>
        <v>Mínima cuantía</v>
      </c>
      <c r="I87" s="98">
        <f>J87/$J$92</f>
        <v>0.15384615384615385</v>
      </c>
      <c r="J87" s="14">
        <f>E87</f>
        <v>2</v>
      </c>
    </row>
    <row r="88" spans="2:11" ht="30" x14ac:dyDescent="0.25">
      <c r="B88" s="7" t="str">
        <f>B80</f>
        <v>Persona Natural (Contratista)</v>
      </c>
      <c r="C88" s="14">
        <f>GETPIVOTDATA("Fuente vigencia ",$B$77,"Fuente vigencia ","Funcionamiento","Modalida presentación General Cuadro","Persona Natural (Contratista)")</f>
        <v>0</v>
      </c>
      <c r="D88" s="14">
        <f>GETPIVOTDATA("Fuente vigencia ",$B$77,"Fuente vigencia ","Inversión BID","Modalida presentación General Cuadro","Persona Natural (Contratista)")</f>
        <v>5</v>
      </c>
      <c r="E88" s="14">
        <f>SUM(C88:D88)</f>
        <v>5</v>
      </c>
      <c r="H88" s="7" t="str">
        <f>B88</f>
        <v>Persona Natural (Contratista)</v>
      </c>
      <c r="I88" s="98">
        <f t="shared" ref="I88:I91" si="3">J88/$J$92</f>
        <v>0.38461538461538464</v>
      </c>
      <c r="J88" s="14">
        <f>E88</f>
        <v>5</v>
      </c>
    </row>
    <row r="89" spans="2:11" ht="30" x14ac:dyDescent="0.25">
      <c r="B89" s="7" t="str">
        <f>B81</f>
        <v>Selección abreviada - acuerdo marco</v>
      </c>
      <c r="C89" s="14">
        <f>GETPIVOTDATA("Fuente vigencia ",$B$77,"Fuente vigencia ","Funcionamiento","Modalida presentación General Cuadro","Selección abreviada - acuerdo marco")</f>
        <v>2</v>
      </c>
      <c r="D89" s="14">
        <f>GETPIVOTDATA("Fuente vigencia ",$B$77,"Fuente vigencia ","Inversión BID","Modalida presentación General Cuadro","Selección abreviada - acuerdo marco")</f>
        <v>0</v>
      </c>
      <c r="E89" s="14">
        <f>SUM(C89:D89)</f>
        <v>2</v>
      </c>
      <c r="H89" s="7" t="str">
        <f>B89</f>
        <v>Selección abreviada - acuerdo marco</v>
      </c>
      <c r="I89" s="98">
        <f t="shared" si="3"/>
        <v>0.15384615384615385</v>
      </c>
      <c r="J89" s="14">
        <f>E89</f>
        <v>2</v>
      </c>
    </row>
    <row r="90" spans="2:11" ht="30" x14ac:dyDescent="0.25">
      <c r="B90" s="7" t="str">
        <f>B82</f>
        <v>Selección abreviada subasta inversa</v>
      </c>
      <c r="C90" s="14">
        <f>GETPIVOTDATA("Fuente vigencia ",$B$77,"Fuente vigencia ","Funcionamiento","Modalida presentación General Cuadro","Selección abreviada subasta inversa")</f>
        <v>1</v>
      </c>
      <c r="D90" s="14">
        <f>GETPIVOTDATA("Fuente vigencia ",$B$77,"Fuente vigencia ","Inversión BID","Modalida presentación General Cuadro","Selección abreviada subasta inversa")</f>
        <v>0</v>
      </c>
      <c r="E90" s="14">
        <f>SUM(C90:D90)</f>
        <v>1</v>
      </c>
      <c r="H90" s="7" t="str">
        <f>B90</f>
        <v>Selección abreviada subasta inversa</v>
      </c>
      <c r="I90" s="98">
        <f t="shared" si="3"/>
        <v>7.6923076923076927E-2</v>
      </c>
      <c r="J90" s="14">
        <f>E90</f>
        <v>1</v>
      </c>
    </row>
    <row r="91" spans="2:11" ht="30" x14ac:dyDescent="0.25">
      <c r="B91" s="7" t="str">
        <f>B83</f>
        <v>Servicio de consultoría</v>
      </c>
      <c r="C91" s="14">
        <f>GETPIVOTDATA("Fuente vigencia ",$B$77,"Fuente vigencia ","Funcionamiento","Modalida presentación General Cuadro","Servicio de consultoría")</f>
        <v>0</v>
      </c>
      <c r="D91" s="14">
        <f>GETPIVOTDATA("Fuente vigencia ",$B$77,"Fuente vigencia ","Inversión BID","Modalida presentación General Cuadro","Servicio de consultoría")</f>
        <v>3</v>
      </c>
      <c r="E91" s="14">
        <f>SUM(C91:D91)</f>
        <v>3</v>
      </c>
      <c r="H91" s="7" t="str">
        <f>B91</f>
        <v>Servicio de consultoría</v>
      </c>
      <c r="I91" s="98">
        <f t="shared" si="3"/>
        <v>0.23076923076923078</v>
      </c>
      <c r="J91" s="14">
        <f>E91</f>
        <v>3</v>
      </c>
    </row>
    <row r="92" spans="2:11" x14ac:dyDescent="0.25">
      <c r="B92" s="92" t="s">
        <v>496</v>
      </c>
      <c r="C92" s="93">
        <f>SUM(C87:C91)</f>
        <v>5</v>
      </c>
      <c r="D92" s="93">
        <f>SUM(D87:D91)</f>
        <v>8</v>
      </c>
      <c r="E92" s="93">
        <f>SUM(E87:E91)</f>
        <v>13</v>
      </c>
      <c r="H92" s="100" t="s">
        <v>496</v>
      </c>
      <c r="I92" s="99">
        <f>SUM(I87:I91)</f>
        <v>1.0000000000000002</v>
      </c>
      <c r="J92" s="93">
        <f>SUM(J87:J91)</f>
        <v>13</v>
      </c>
    </row>
    <row r="93" spans="2:11" x14ac:dyDescent="0.25">
      <c r="B93"/>
      <c r="C93"/>
      <c r="D93"/>
    </row>
    <row r="94" spans="2:11" x14ac:dyDescent="0.25">
      <c r="B94"/>
      <c r="C94"/>
      <c r="D94"/>
    </row>
    <row r="95" spans="2:11" x14ac:dyDescent="0.25">
      <c r="B95" s="24" t="s">
        <v>547</v>
      </c>
      <c r="C95" s="24" t="s">
        <v>498</v>
      </c>
      <c r="D95"/>
      <c r="E95"/>
      <c r="F95"/>
      <c r="G95"/>
      <c r="H95"/>
      <c r="I95"/>
      <c r="J95"/>
      <c r="K95"/>
    </row>
    <row r="96" spans="2:11" x14ac:dyDescent="0.25">
      <c r="B96" s="24" t="s">
        <v>0</v>
      </c>
      <c r="C96" t="s">
        <v>90</v>
      </c>
      <c r="D96" t="s">
        <v>72</v>
      </c>
      <c r="E96" t="s">
        <v>7</v>
      </c>
      <c r="F96"/>
      <c r="G96"/>
      <c r="H96"/>
      <c r="I96"/>
      <c r="J96"/>
      <c r="K96"/>
    </row>
    <row r="97" spans="2:11" x14ac:dyDescent="0.25">
      <c r="B97" s="25" t="s">
        <v>267</v>
      </c>
      <c r="C97" s="190">
        <v>22500000</v>
      </c>
      <c r="D97" s="190"/>
      <c r="E97" s="190">
        <v>22500000</v>
      </c>
      <c r="F97"/>
      <c r="G97"/>
      <c r="H97"/>
      <c r="I97"/>
      <c r="J97"/>
      <c r="K97"/>
    </row>
    <row r="98" spans="2:11" x14ac:dyDescent="0.25">
      <c r="B98" s="25" t="s">
        <v>73</v>
      </c>
      <c r="C98" s="190"/>
      <c r="D98" s="190">
        <v>316500000</v>
      </c>
      <c r="E98" s="190">
        <v>316500000</v>
      </c>
      <c r="F98"/>
      <c r="G98"/>
      <c r="H98"/>
      <c r="I98"/>
      <c r="J98"/>
      <c r="K98"/>
    </row>
    <row r="99" spans="2:11" x14ac:dyDescent="0.25">
      <c r="B99" s="25" t="s">
        <v>312</v>
      </c>
      <c r="C99" s="190">
        <v>63785753</v>
      </c>
      <c r="D99" s="190"/>
      <c r="E99" s="190">
        <v>63785753</v>
      </c>
      <c r="F99"/>
      <c r="G99"/>
      <c r="H99"/>
      <c r="I99"/>
      <c r="J99"/>
      <c r="K99"/>
    </row>
    <row r="100" spans="2:11" x14ac:dyDescent="0.25">
      <c r="B100" s="25" t="s">
        <v>104</v>
      </c>
      <c r="C100" s="190">
        <v>270000000</v>
      </c>
      <c r="D100" s="190"/>
      <c r="E100" s="190">
        <v>270000000</v>
      </c>
      <c r="F100"/>
      <c r="G100"/>
      <c r="H100"/>
      <c r="I100"/>
      <c r="J100"/>
      <c r="K100"/>
    </row>
    <row r="101" spans="2:11" x14ac:dyDescent="0.25">
      <c r="B101" s="25" t="s">
        <v>135</v>
      </c>
      <c r="C101" s="190"/>
      <c r="D101" s="190">
        <v>3292039285</v>
      </c>
      <c r="E101" s="190">
        <v>3292039285</v>
      </c>
      <c r="F101"/>
      <c r="G101"/>
      <c r="H101"/>
      <c r="I101"/>
      <c r="J101"/>
      <c r="K101"/>
    </row>
    <row r="102" spans="2:11" x14ac:dyDescent="0.25">
      <c r="B102" s="25" t="s">
        <v>7</v>
      </c>
      <c r="C102" s="190">
        <v>356285753</v>
      </c>
      <c r="D102" s="190">
        <v>3608539285</v>
      </c>
      <c r="E102" s="190">
        <v>3964825038</v>
      </c>
      <c r="F102"/>
      <c r="G102"/>
      <c r="H102"/>
      <c r="I102"/>
      <c r="J102"/>
      <c r="K102"/>
    </row>
    <row r="103" spans="2:11" x14ac:dyDescent="0.25">
      <c r="B103"/>
      <c r="C103"/>
      <c r="D103"/>
      <c r="E103"/>
      <c r="F103"/>
      <c r="G103"/>
      <c r="H103"/>
      <c r="I103"/>
      <c r="J103"/>
      <c r="K103"/>
    </row>
    <row r="104" spans="2:11" customFormat="1" ht="75" x14ac:dyDescent="0.25">
      <c r="B104" s="92" t="s">
        <v>499</v>
      </c>
      <c r="C104" s="92" t="s">
        <v>504</v>
      </c>
      <c r="D104" s="92" t="s">
        <v>628</v>
      </c>
      <c r="E104" s="92" t="s">
        <v>506</v>
      </c>
    </row>
    <row r="105" spans="2:11" customFormat="1" x14ac:dyDescent="0.25">
      <c r="B105" s="101" t="str">
        <f>B97</f>
        <v>Mínima cuantía</v>
      </c>
      <c r="C105" s="95">
        <f>GETPIVOTDATA("Valor total asignado al PAA 2024",$B$95,"Fuente vigencia ","Funcionamiento","Modalida presentación General Cuadro","Mínima cuantía")</f>
        <v>22500000</v>
      </c>
      <c r="D105" s="95">
        <f>GETPIVOTDATA("Valor total asignado al PAA 2024",$B$95,"Fuente vigencia ","Inversión BID","Modalida presentación General Cuadro","Mínima cuantía")</f>
        <v>0</v>
      </c>
      <c r="E105" s="95">
        <f>SUM(C105:D105)</f>
        <v>22500000</v>
      </c>
    </row>
    <row r="106" spans="2:11" customFormat="1" ht="30" x14ac:dyDescent="0.25">
      <c r="B106" s="101" t="str">
        <f>B98</f>
        <v>Persona Natural (Contratista)</v>
      </c>
      <c r="C106" s="95">
        <f>GETPIVOTDATA("Valor total asignado al PAA 2024",$B$95,"Fuente vigencia ","Funcionamiento","Modalida presentación General Cuadro","Persona Natural (Contratista)")</f>
        <v>0</v>
      </c>
      <c r="D106" s="95">
        <f>GETPIVOTDATA("Valor total asignado al PAA 2024",$B$95,"Fuente vigencia ","Inversión BID","Modalida presentación General Cuadro","Persona Natural (Contratista)")</f>
        <v>316500000</v>
      </c>
      <c r="E106" s="95">
        <f>SUM(C106:D106)</f>
        <v>316500000</v>
      </c>
    </row>
    <row r="107" spans="2:11" customFormat="1" ht="30" x14ac:dyDescent="0.25">
      <c r="B107" s="101" t="str">
        <f>B99</f>
        <v>Selección abreviada - acuerdo marco</v>
      </c>
      <c r="C107" s="95">
        <f>GETPIVOTDATA("Valor total asignado al PAA 2024",$B$95,"Fuente vigencia ","Funcionamiento","Modalida presentación General Cuadro","Selección abreviada - acuerdo marco")</f>
        <v>63785753</v>
      </c>
      <c r="D107" s="95">
        <f>GETPIVOTDATA("Valor total asignado al PAA 2024",$B$95,"Fuente vigencia ","Inversión BID","Modalida presentación General Cuadro","Selección abreviada - acuerdo marco")</f>
        <v>0</v>
      </c>
      <c r="E107" s="95">
        <f>SUM(C107:D107)</f>
        <v>63785753</v>
      </c>
    </row>
    <row r="108" spans="2:11" customFormat="1" ht="30" x14ac:dyDescent="0.25">
      <c r="B108" s="101" t="str">
        <f>B100</f>
        <v>Selección abreviada subasta inversa</v>
      </c>
      <c r="C108" s="95">
        <f>GETPIVOTDATA("Valor total asignado al PAA 2024",$B$95,"Fuente vigencia ","Funcionamiento","Modalida presentación General Cuadro","Selección abreviada subasta inversa")</f>
        <v>270000000</v>
      </c>
      <c r="D108" s="95">
        <f>GETPIVOTDATA("Valor total asignado al PAA 2024",$B$95,"Fuente vigencia ","Inversión BID","Modalida presentación General Cuadro","Selección abreviada subasta inversa")</f>
        <v>0</v>
      </c>
      <c r="E108" s="95">
        <f>SUM(C108:D108)</f>
        <v>270000000</v>
      </c>
    </row>
    <row r="109" spans="2:11" customFormat="1" ht="30" x14ac:dyDescent="0.25">
      <c r="B109" s="101" t="str">
        <f>B101</f>
        <v>Servicio de consultoría</v>
      </c>
      <c r="C109" s="95">
        <f>GETPIVOTDATA("Valor total asignado al PAA 2024",$B$95,"Fuente vigencia ","Funcionamiento","Modalida presentación General Cuadro","Servicio de consultoría")</f>
        <v>0</v>
      </c>
      <c r="D109" s="95">
        <f>GETPIVOTDATA("Valor total asignado al PAA 2024",$B$95,"Fuente vigencia ","Inversión BID","Modalida presentación General Cuadro","Servicio de consultoría")</f>
        <v>3292039285</v>
      </c>
      <c r="E109" s="95">
        <f>SUM(C109:D109)</f>
        <v>3292039285</v>
      </c>
    </row>
    <row r="110" spans="2:11" customFormat="1" x14ac:dyDescent="0.25">
      <c r="B110" s="92" t="s">
        <v>496</v>
      </c>
      <c r="C110" s="94">
        <f>SUM(C105:C109)</f>
        <v>356285753</v>
      </c>
      <c r="D110" s="94">
        <f t="shared" ref="D110" si="4">SUM(D105:D109)</f>
        <v>3608539285</v>
      </c>
      <c r="E110" s="94">
        <f>SUM(E105:E109)</f>
        <v>3964825038</v>
      </c>
    </row>
    <row r="111" spans="2:11" customFormat="1" x14ac:dyDescent="0.25"/>
    <row r="112" spans="2:11" x14ac:dyDescent="0.25">
      <c r="B112"/>
      <c r="C112"/>
      <c r="D112"/>
    </row>
    <row r="114" spans="2:10" x14ac:dyDescent="0.25">
      <c r="B114" s="1" t="s">
        <v>645</v>
      </c>
    </row>
    <row r="116" spans="2:10" x14ac:dyDescent="0.25">
      <c r="B116" s="24" t="s">
        <v>486</v>
      </c>
      <c r="C116" s="24" t="s">
        <v>498</v>
      </c>
      <c r="D116"/>
      <c r="E116"/>
      <c r="G116" s="1" t="s">
        <v>494</v>
      </c>
    </row>
    <row r="117" spans="2:10" ht="45" x14ac:dyDescent="0.25">
      <c r="B117" s="24" t="s">
        <v>0</v>
      </c>
      <c r="C117" t="s">
        <v>90</v>
      </c>
      <c r="D117" t="s">
        <v>72</v>
      </c>
      <c r="E117" t="s">
        <v>7</v>
      </c>
      <c r="G117" s="92" t="s">
        <v>712</v>
      </c>
      <c r="H117" s="92" t="s">
        <v>3</v>
      </c>
      <c r="I117" s="92" t="s">
        <v>716</v>
      </c>
      <c r="J117" s="92" t="s">
        <v>55</v>
      </c>
    </row>
    <row r="118" spans="2:10" ht="31.9" customHeight="1" x14ac:dyDescent="0.25">
      <c r="B118" s="25" t="s">
        <v>56</v>
      </c>
      <c r="C118" s="87">
        <v>852657060</v>
      </c>
      <c r="D118" s="87">
        <v>1152500000</v>
      </c>
      <c r="E118" s="87">
        <v>2005157060</v>
      </c>
      <c r="G118" s="200" t="str">
        <f>B118</f>
        <v>Contratista Persona Natural</v>
      </c>
      <c r="H118" s="204">
        <f>GETPIVOTDATA("Valor asignado al 2024",$B$116,"Grupo","Contratista Persona Natural","Fuente vigencia ","Inversión BID")</f>
        <v>1152500000</v>
      </c>
      <c r="I118" s="204">
        <f>GETPIVOTDATA("Valor ejecutado vigencia 2024
Corte 31 de Julio
presupuesto 2024",$B$129,"Grupo","Contratista Persona Natural","Fuente vigencia ","Inversión BID")</f>
        <v>583475000</v>
      </c>
      <c r="J118" s="195" t="s">
        <v>717</v>
      </c>
    </row>
    <row r="119" spans="2:10" ht="30" customHeight="1" x14ac:dyDescent="0.25">
      <c r="B119" s="25" t="s">
        <v>93</v>
      </c>
      <c r="C119" s="87">
        <v>785365330.24000013</v>
      </c>
      <c r="D119" s="87"/>
      <c r="E119" s="87">
        <v>785365330.24000013</v>
      </c>
      <c r="G119" s="200" t="str">
        <f>B121</f>
        <v>Seguridad</v>
      </c>
      <c r="H119" s="204">
        <f>GETPIVOTDATA("Valor asignado al 2024",$B$116,"Grupo","Seguridad","Fuente vigencia ","Inversión BID")</f>
        <v>669139863.29999995</v>
      </c>
      <c r="I119" s="204">
        <f>GETPIVOTDATA("Valor ejecutado vigencia 2024
Corte 31 de Julio
presupuesto 2024",$B$129,"Grupo","Seguridad","Fuente vigencia ","Inversión BID")</f>
        <v>471095732.95999998</v>
      </c>
      <c r="J119" s="195" t="s">
        <v>651</v>
      </c>
    </row>
    <row r="120" spans="2:10" ht="26.45" customHeight="1" x14ac:dyDescent="0.25">
      <c r="B120" s="25" t="s">
        <v>647</v>
      </c>
      <c r="C120" s="87">
        <v>205834882.31999999</v>
      </c>
      <c r="D120" s="87"/>
      <c r="E120" s="87">
        <v>205834882.31999999</v>
      </c>
      <c r="G120" s="200" t="str">
        <f>B122</f>
        <v>Conciliaciones extrajudiciales</v>
      </c>
      <c r="H120" s="204">
        <f>GETPIVOTDATA("Valor asignado al 2024",$B$116,"Grupo","Conciliaciones extrajudiciales","Fuente vigencia ","Inversión BID")</f>
        <v>944981058</v>
      </c>
      <c r="I120" s="204">
        <f>GETPIVOTDATA("Valor ejecutado vigencia 2024
Corte 31 de Julio
presupuesto 2024",$B$129,"Grupo","Conciliaciones extrajudiciales","Fuente vigencia ","Inversión BID")</f>
        <v>327405386</v>
      </c>
      <c r="J120" s="195" t="s">
        <v>723</v>
      </c>
    </row>
    <row r="121" spans="2:10" ht="22.5" customHeight="1" x14ac:dyDescent="0.25">
      <c r="B121" s="25" t="s">
        <v>305</v>
      </c>
      <c r="C121" s="87"/>
      <c r="D121" s="87">
        <v>669139863.29999995</v>
      </c>
      <c r="E121" s="87">
        <v>669139863.29999995</v>
      </c>
      <c r="G121" s="200" t="str">
        <f>B123</f>
        <v>CRM</v>
      </c>
      <c r="H121" s="204">
        <f>GETPIVOTDATA("Valor asignado al 2024",$B$116,"Grupo","CRM","Fuente vigencia ","Inversión BID")</f>
        <v>99651170</v>
      </c>
      <c r="I121" s="204">
        <v>0</v>
      </c>
      <c r="J121" s="195"/>
    </row>
    <row r="122" spans="2:10" ht="18.75" x14ac:dyDescent="0.25">
      <c r="B122" s="25" t="s">
        <v>713</v>
      </c>
      <c r="C122" s="87"/>
      <c r="D122" s="87">
        <v>944981058</v>
      </c>
      <c r="E122" s="87">
        <v>944981058</v>
      </c>
      <c r="G122" s="200" t="str">
        <f>B124</f>
        <v>Fichas de conciliación</v>
      </c>
      <c r="H122" s="204">
        <f>GETPIVOTDATA("Valor asignado al 2024",$B$116,"Grupo","Fichas de conciliación","Fuente vigencia ","Inversión BID")</f>
        <v>997302719.26999998</v>
      </c>
      <c r="I122" s="204">
        <v>0</v>
      </c>
      <c r="J122" s="195"/>
    </row>
    <row r="123" spans="2:10" ht="30" x14ac:dyDescent="0.25">
      <c r="B123" s="25" t="s">
        <v>371</v>
      </c>
      <c r="C123" s="87"/>
      <c r="D123" s="87">
        <v>99651170</v>
      </c>
      <c r="E123" s="87">
        <v>99651170</v>
      </c>
      <c r="G123" s="200" t="str">
        <f>B125</f>
        <v>Gestión Documental</v>
      </c>
      <c r="H123" s="204">
        <f>GETPIVOTDATA("Valor asignado al 2024",$B$116,"Grupo","Gestión Documental","Fuente vigencia ","Inversión BID")</f>
        <v>403355022</v>
      </c>
      <c r="I123" s="204">
        <v>0</v>
      </c>
      <c r="J123" s="195" t="s">
        <v>722</v>
      </c>
    </row>
    <row r="124" spans="2:10" ht="18.75" x14ac:dyDescent="0.25">
      <c r="B124" s="25" t="s">
        <v>714</v>
      </c>
      <c r="C124" s="87"/>
      <c r="D124" s="87">
        <v>997302719.26999998</v>
      </c>
      <c r="E124" s="87">
        <v>997302719.26999998</v>
      </c>
      <c r="G124" s="96" t="s">
        <v>496</v>
      </c>
      <c r="H124" s="206">
        <f>SUM(H118:H123)</f>
        <v>4266929832.5700002</v>
      </c>
      <c r="I124" s="206">
        <f>SUM(I118:I123)</f>
        <v>1381976118.96</v>
      </c>
      <c r="J124" s="201"/>
    </row>
    <row r="125" spans="2:10" x14ac:dyDescent="0.25">
      <c r="B125" s="25" t="s">
        <v>221</v>
      </c>
      <c r="C125" s="87"/>
      <c r="D125" s="87">
        <v>403355022</v>
      </c>
      <c r="E125" s="87">
        <v>403355022</v>
      </c>
      <c r="J125" s="201"/>
    </row>
    <row r="126" spans="2:10" x14ac:dyDescent="0.25">
      <c r="B126" s="25" t="s">
        <v>7</v>
      </c>
      <c r="C126" s="87">
        <v>1843857272.5600002</v>
      </c>
      <c r="D126" s="87">
        <v>4266929832.5700002</v>
      </c>
      <c r="E126" s="87">
        <v>6110787105.1300011</v>
      </c>
      <c r="H126" s="202">
        <f>H124+H135</f>
        <v>6110787105.1300001</v>
      </c>
      <c r="I126" s="202"/>
    </row>
    <row r="127" spans="2:10" x14ac:dyDescent="0.25">
      <c r="B127" s="25"/>
      <c r="C127" s="87"/>
      <c r="D127" s="87"/>
      <c r="E127" s="87"/>
    </row>
    <row r="128" spans="2:10" x14ac:dyDescent="0.25">
      <c r="B128" s="25" t="s">
        <v>718</v>
      </c>
      <c r="C128"/>
      <c r="D128"/>
      <c r="E128"/>
    </row>
    <row r="129" spans="2:10" x14ac:dyDescent="0.25">
      <c r="B129" s="24" t="s">
        <v>715</v>
      </c>
      <c r="C129" s="24" t="s">
        <v>498</v>
      </c>
      <c r="D129"/>
      <c r="E129"/>
    </row>
    <row r="130" spans="2:10" x14ac:dyDescent="0.25">
      <c r="B130" s="24" t="s">
        <v>0</v>
      </c>
      <c r="C130" t="s">
        <v>90</v>
      </c>
      <c r="D130" t="s">
        <v>72</v>
      </c>
      <c r="E130" t="s">
        <v>7</v>
      </c>
      <c r="G130" s="1" t="s">
        <v>90</v>
      </c>
    </row>
    <row r="131" spans="2:10" ht="45" x14ac:dyDescent="0.25">
      <c r="B131" s="25" t="s">
        <v>56</v>
      </c>
      <c r="C131" s="194">
        <v>458310867.43000001</v>
      </c>
      <c r="D131" s="194">
        <v>583475000</v>
      </c>
      <c r="E131" s="194">
        <v>1041785867.4300001</v>
      </c>
      <c r="G131" s="92" t="s">
        <v>712</v>
      </c>
      <c r="H131" s="92" t="s">
        <v>3</v>
      </c>
      <c r="I131" s="92" t="s">
        <v>716</v>
      </c>
      <c r="J131" s="92" t="s">
        <v>55</v>
      </c>
    </row>
    <row r="132" spans="2:10" ht="37.5" customHeight="1" x14ac:dyDescent="0.25">
      <c r="B132" s="25" t="s">
        <v>647</v>
      </c>
      <c r="C132" s="194">
        <v>205834882.31999999</v>
      </c>
      <c r="D132" s="194"/>
      <c r="E132" s="194">
        <v>205834882.31999999</v>
      </c>
      <c r="G132" s="200" t="str">
        <f>B118</f>
        <v>Contratista Persona Natural</v>
      </c>
      <c r="H132" s="204">
        <f>GETPIVOTDATA("Valor asignado al 2024",$B$116,"Grupo","Contratista Persona Natural","Fuente vigencia ","Funcionamiento")</f>
        <v>852657060</v>
      </c>
      <c r="I132" s="204">
        <f>GETPIVOTDATA("Valor ejecutado vigencia 2024
Corte 31 de Julio
presupuesto 2024",$B$129,"Grupo","Contratista Persona Natural","Fuente vigencia ","Funcionamiento")</f>
        <v>458310867.43000001</v>
      </c>
      <c r="J132" s="195" t="s">
        <v>652</v>
      </c>
    </row>
    <row r="133" spans="2:10" ht="75" x14ac:dyDescent="0.25">
      <c r="B133" s="25" t="s">
        <v>305</v>
      </c>
      <c r="C133" s="194"/>
      <c r="D133" s="194">
        <v>471095732.95999998</v>
      </c>
      <c r="E133" s="194">
        <v>471095732.95999998</v>
      </c>
      <c r="G133" s="200" t="str">
        <f>B119</f>
        <v>Servicios Tecnológicos</v>
      </c>
      <c r="H133" s="204">
        <f>GETPIVOTDATA("Valor asignado al 2024",$B$116,"Grupo","Servicios Tecnológicos","Fuente vigencia ","Funcionamiento")</f>
        <v>785365330.24000013</v>
      </c>
      <c r="I133" s="204">
        <f>GETPIVOTDATA("Valor ejecutado vigencia 2024
Corte 31 de Julio
presupuesto 2024",$B$129,"Grupo","Servicios Tecnológicos","Fuente vigencia ","Funcionamiento")</f>
        <v>398776577.23000002</v>
      </c>
      <c r="J133" s="7" t="s">
        <v>653</v>
      </c>
    </row>
    <row r="134" spans="2:10" ht="45" x14ac:dyDescent="0.25">
      <c r="B134" s="25" t="s">
        <v>93</v>
      </c>
      <c r="C134" s="194">
        <v>398776577.23000002</v>
      </c>
      <c r="D134" s="194"/>
      <c r="E134" s="194">
        <v>398776577.23000002</v>
      </c>
      <c r="G134" s="200" t="str">
        <f>B120</f>
        <v>Renovaciones, suscripciones, licencias</v>
      </c>
      <c r="H134" s="204">
        <f>GETPIVOTDATA("Valor asignado al 2024",$B$116,"Grupo","Renovaciones, suscripciones, licencias","Fuente vigencia ","Funcionamiento")</f>
        <v>205834882.31999999</v>
      </c>
      <c r="I134" s="204">
        <f>GETPIVOTDATA("Valor ejecutado vigencia 2024
Corte 31 de Julio
presupuesto 2024",$B$129,"Grupo","Renovaciones, suscripciones, licencias","Fuente vigencia ","Funcionamiento")</f>
        <v>205834882.31999999</v>
      </c>
      <c r="J134" s="195" t="s">
        <v>654</v>
      </c>
    </row>
    <row r="135" spans="2:10" ht="18.75" x14ac:dyDescent="0.25">
      <c r="B135" s="25" t="s">
        <v>713</v>
      </c>
      <c r="C135" s="194"/>
      <c r="D135" s="194">
        <v>327405386</v>
      </c>
      <c r="E135" s="194">
        <v>327405386</v>
      </c>
      <c r="G135" s="96" t="s">
        <v>496</v>
      </c>
      <c r="H135" s="206">
        <f>SUM(H132:H134)</f>
        <v>1843857272.5600002</v>
      </c>
      <c r="I135" s="206">
        <f>SUM(I132:I134)</f>
        <v>1062922326.98</v>
      </c>
      <c r="J135" s="201"/>
    </row>
    <row r="136" spans="2:10" hidden="1" x14ac:dyDescent="0.25">
      <c r="B136" s="25" t="s">
        <v>371</v>
      </c>
      <c r="C136" s="194"/>
      <c r="D136" s="194">
        <v>0</v>
      </c>
      <c r="E136" s="194">
        <v>0</v>
      </c>
      <c r="G136" s="7" t="str">
        <f>B123</f>
        <v>CRM</v>
      </c>
      <c r="H136" s="95"/>
      <c r="I136" s="95"/>
      <c r="J136" s="195"/>
    </row>
    <row r="137" spans="2:10" hidden="1" x14ac:dyDescent="0.25">
      <c r="B137" s="25" t="s">
        <v>714</v>
      </c>
      <c r="C137" s="194"/>
      <c r="D137" s="194">
        <v>0</v>
      </c>
      <c r="E137" s="194">
        <v>0</v>
      </c>
      <c r="G137" s="96" t="s">
        <v>496</v>
      </c>
      <c r="H137" s="94">
        <f>SUM(H133:H135)</f>
        <v>2835057485.1200004</v>
      </c>
      <c r="I137" s="94">
        <f>SUM(I132:I136)</f>
        <v>2125844653.96</v>
      </c>
    </row>
    <row r="138" spans="2:10" x14ac:dyDescent="0.25">
      <c r="B138" s="25" t="s">
        <v>221</v>
      </c>
      <c r="C138" s="194"/>
      <c r="D138" s="194">
        <v>0</v>
      </c>
      <c r="E138" s="194">
        <v>0</v>
      </c>
    </row>
    <row r="139" spans="2:10" x14ac:dyDescent="0.25">
      <c r="B139" s="25" t="s">
        <v>7</v>
      </c>
      <c r="C139" s="87">
        <v>1062922326.98</v>
      </c>
      <c r="D139" s="87">
        <v>1381976118.96</v>
      </c>
      <c r="E139" s="87">
        <v>2444898445.9400001</v>
      </c>
    </row>
    <row r="140" spans="2:10" x14ac:dyDescent="0.25">
      <c r="B140"/>
      <c r="C140"/>
      <c r="D140"/>
    </row>
    <row r="141" spans="2:10" x14ac:dyDescent="0.25">
      <c r="B141"/>
      <c r="C141"/>
      <c r="D141"/>
    </row>
    <row r="142" spans="2:10" x14ac:dyDescent="0.25">
      <c r="B142"/>
      <c r="C142"/>
      <c r="D142"/>
    </row>
    <row r="143" spans="2:10" x14ac:dyDescent="0.25">
      <c r="B143"/>
      <c r="C143"/>
      <c r="D143"/>
    </row>
    <row r="144" spans="2:10" x14ac:dyDescent="0.25">
      <c r="B144"/>
      <c r="C144"/>
      <c r="D144"/>
    </row>
    <row r="145" spans="2:4" x14ac:dyDescent="0.25">
      <c r="B145"/>
      <c r="C145"/>
      <c r="D145"/>
    </row>
    <row r="146" spans="2:4" x14ac:dyDescent="0.25">
      <c r="B146"/>
      <c r="C146"/>
      <c r="D146"/>
    </row>
  </sheetData>
  <mergeCells count="4">
    <mergeCell ref="B14:E14"/>
    <mergeCell ref="G15:I15"/>
    <mergeCell ref="B58:E58"/>
    <mergeCell ref="B70:E70"/>
  </mergeCells>
  <pageMargins left="0.7" right="0.7" top="0.75" bottom="0.75" header="0.3" footer="0.3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7285-6E8A-4A82-A4FE-B8DBEF9ABCA1}">
  <dimension ref="B3:D19"/>
  <sheetViews>
    <sheetView workbookViewId="0">
      <selection activeCell="F24" sqref="F24"/>
    </sheetView>
  </sheetViews>
  <sheetFormatPr baseColWidth="10" defaultRowHeight="15" x14ac:dyDescent="0.25"/>
  <cols>
    <col min="2" max="2" width="21" customWidth="1"/>
  </cols>
  <sheetData>
    <row r="3" spans="2:4" x14ac:dyDescent="0.25">
      <c r="B3" t="s">
        <v>724</v>
      </c>
      <c r="C3" t="s">
        <v>725</v>
      </c>
    </row>
    <row r="5" spans="2:4" x14ac:dyDescent="0.25">
      <c r="B5" t="s">
        <v>726</v>
      </c>
      <c r="C5" t="s">
        <v>727</v>
      </c>
      <c r="D5" t="s">
        <v>728</v>
      </c>
    </row>
    <row r="6" spans="2:4" x14ac:dyDescent="0.25">
      <c r="B6" t="s">
        <v>702</v>
      </c>
      <c r="C6" t="s">
        <v>727</v>
      </c>
    </row>
    <row r="7" spans="2:4" x14ac:dyDescent="0.25">
      <c r="B7" t="s">
        <v>729</v>
      </c>
    </row>
    <row r="8" spans="2:4" x14ac:dyDescent="0.25">
      <c r="B8" t="s">
        <v>730</v>
      </c>
      <c r="C8" t="s">
        <v>731</v>
      </c>
    </row>
    <row r="9" spans="2:4" x14ac:dyDescent="0.25">
      <c r="B9" t="s">
        <v>732</v>
      </c>
      <c r="C9" t="s">
        <v>733</v>
      </c>
    </row>
    <row r="10" spans="2:4" x14ac:dyDescent="0.25">
      <c r="B10" t="s">
        <v>734</v>
      </c>
      <c r="C10" t="s">
        <v>735</v>
      </c>
    </row>
    <row r="12" spans="2:4" x14ac:dyDescent="0.25">
      <c r="B12" t="s">
        <v>736</v>
      </c>
    </row>
    <row r="13" spans="2:4" x14ac:dyDescent="0.25">
      <c r="B13" t="s">
        <v>737</v>
      </c>
    </row>
    <row r="15" spans="2:4" x14ac:dyDescent="0.25">
      <c r="B15" t="s">
        <v>402</v>
      </c>
      <c r="C15" t="s">
        <v>738</v>
      </c>
    </row>
    <row r="16" spans="2:4" x14ac:dyDescent="0.25">
      <c r="B16" t="s">
        <v>739</v>
      </c>
      <c r="C16" t="s">
        <v>740</v>
      </c>
    </row>
    <row r="17" spans="2:3" x14ac:dyDescent="0.25">
      <c r="B17" t="s">
        <v>741</v>
      </c>
      <c r="C17" t="s">
        <v>742</v>
      </c>
    </row>
    <row r="19" spans="2:3" x14ac:dyDescent="0.25">
      <c r="B19" t="s">
        <v>743</v>
      </c>
      <c r="C19" t="s">
        <v>744</v>
      </c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7B3-350B-4102-8709-A431909299C4}">
  <dimension ref="B3:N145"/>
  <sheetViews>
    <sheetView topLeftCell="A122" workbookViewId="0">
      <selection activeCell="I132" sqref="I132"/>
    </sheetView>
  </sheetViews>
  <sheetFormatPr baseColWidth="10" defaultColWidth="11.5703125" defaultRowHeight="15" x14ac:dyDescent="0.25"/>
  <cols>
    <col min="1" max="1" width="11.5703125" style="1"/>
    <col min="2" max="2" width="34.28515625" style="1" bestFit="1" customWidth="1"/>
    <col min="3" max="3" width="21.7109375" style="1" bestFit="1" customWidth="1"/>
    <col min="4" max="5" width="16.7109375" style="1" bestFit="1" customWidth="1"/>
    <col min="6" max="6" width="27.5703125" style="1" customWidth="1"/>
    <col min="7" max="7" width="28.140625" style="1" customWidth="1"/>
    <col min="8" max="8" width="15.42578125" style="1" bestFit="1" customWidth="1"/>
    <col min="9" max="9" width="15.42578125" style="1" customWidth="1"/>
    <col min="10" max="10" width="32" style="1" customWidth="1"/>
    <col min="11" max="11" width="14.28515625" style="1" customWidth="1"/>
    <col min="12" max="12" width="28.28515625" style="1" customWidth="1"/>
    <col min="13" max="14" width="14.140625" style="1" bestFit="1" customWidth="1"/>
    <col min="15" max="16384" width="11.5703125" style="1"/>
  </cols>
  <sheetData>
    <row r="3" spans="2:10" x14ac:dyDescent="0.25">
      <c r="B3" s="168" t="s">
        <v>0</v>
      </c>
      <c r="C3" s="1" t="s">
        <v>487</v>
      </c>
      <c r="D3" s="1" t="s">
        <v>486</v>
      </c>
    </row>
    <row r="4" spans="2:10" x14ac:dyDescent="0.25">
      <c r="B4" s="169" t="s">
        <v>90</v>
      </c>
      <c r="C4" s="1">
        <v>16</v>
      </c>
      <c r="D4" s="189">
        <v>1843857272.5599999</v>
      </c>
    </row>
    <row r="5" spans="2:10" x14ac:dyDescent="0.25">
      <c r="B5" s="169" t="s">
        <v>72</v>
      </c>
      <c r="C5" s="1">
        <v>19</v>
      </c>
      <c r="D5" s="189">
        <v>4266929832.5700002</v>
      </c>
    </row>
    <row r="6" spans="2:10" x14ac:dyDescent="0.25">
      <c r="B6" s="169" t="s">
        <v>7</v>
      </c>
      <c r="C6" s="1">
        <v>35</v>
      </c>
      <c r="D6" s="189">
        <v>6110787105.1299992</v>
      </c>
    </row>
    <row r="8" spans="2:10" x14ac:dyDescent="0.25">
      <c r="B8" s="91" t="s">
        <v>488</v>
      </c>
    </row>
    <row r="9" spans="2:10" x14ac:dyDescent="0.25">
      <c r="B9" s="92" t="s">
        <v>620</v>
      </c>
      <c r="C9" s="92" t="s">
        <v>621</v>
      </c>
      <c r="D9" s="92" t="s">
        <v>622</v>
      </c>
      <c r="H9" s="92" t="s">
        <v>620</v>
      </c>
      <c r="I9" s="92" t="s">
        <v>503</v>
      </c>
      <c r="J9" s="92" t="s">
        <v>640</v>
      </c>
    </row>
    <row r="10" spans="2:10" ht="22.9" customHeight="1" x14ac:dyDescent="0.25">
      <c r="B10" s="7" t="s">
        <v>623</v>
      </c>
      <c r="C10" s="14">
        <f>GETPIVOTDATA("Cuenta de Fuente vigencia ",$B$3)</f>
        <v>35</v>
      </c>
      <c r="D10" s="95">
        <f>GETPIVOTDATA("Suma de Valor asignado al 2024",$B$3)</f>
        <v>6110787105.1299992</v>
      </c>
      <c r="E10" s="196">
        <f>D10/D12</f>
        <v>0.60649288780896615</v>
      </c>
      <c r="H10" s="7" t="s">
        <v>623</v>
      </c>
      <c r="I10" s="191">
        <f>J10/$J$12</f>
        <v>0.72916666666666663</v>
      </c>
      <c r="J10" s="14">
        <f>GETPIVOTDATA("Cuenta de Fuente vigencia ",$B$3)</f>
        <v>35</v>
      </c>
    </row>
    <row r="11" spans="2:10" ht="19.899999999999999" customHeight="1" x14ac:dyDescent="0.25">
      <c r="B11" s="7" t="s">
        <v>624</v>
      </c>
      <c r="C11" s="14">
        <f>GETPIVOTDATA("Cuenta de Fuente vigencia ",$B$60)</f>
        <v>13</v>
      </c>
      <c r="D11" s="95">
        <f>GETPIVOTDATA("Suma de Valor total asignado al PAA 2024",$B$60)</f>
        <v>3964825038</v>
      </c>
      <c r="E11" s="196">
        <f>D11/D12</f>
        <v>0.3935071121910339</v>
      </c>
      <c r="H11" s="7" t="s">
        <v>624</v>
      </c>
      <c r="I11" s="191">
        <f>J11/$J$12</f>
        <v>0.27083333333333331</v>
      </c>
      <c r="J11" s="14">
        <f>GETPIVOTDATA("Cuenta de Fuente vigencia ",$B$60)</f>
        <v>13</v>
      </c>
    </row>
    <row r="12" spans="2:10" x14ac:dyDescent="0.25">
      <c r="B12" s="96" t="s">
        <v>496</v>
      </c>
      <c r="C12" s="93">
        <f>SUM(C10:C11)</f>
        <v>48</v>
      </c>
      <c r="D12" s="94">
        <f>SUM(D10:D11)</f>
        <v>10075612143.129999</v>
      </c>
      <c r="H12" s="96" t="s">
        <v>496</v>
      </c>
      <c r="I12" s="99">
        <f>SUM(I10:I11)</f>
        <v>1</v>
      </c>
      <c r="J12" s="93">
        <f>SUM(J10:J11)</f>
        <v>48</v>
      </c>
    </row>
    <row r="14" spans="2:10" x14ac:dyDescent="0.25">
      <c r="B14" s="229" t="s">
        <v>641</v>
      </c>
      <c r="C14" s="229"/>
      <c r="D14" s="229"/>
      <c r="E14" s="229"/>
    </row>
    <row r="15" spans="2:10" ht="43.15" customHeight="1" x14ac:dyDescent="0.25">
      <c r="B15" s="92" t="s">
        <v>492</v>
      </c>
      <c r="C15" s="92" t="s">
        <v>489</v>
      </c>
      <c r="D15" s="92" t="s">
        <v>490</v>
      </c>
      <c r="E15" s="92" t="s">
        <v>55</v>
      </c>
      <c r="G15" s="230" t="s">
        <v>644</v>
      </c>
      <c r="H15" s="230"/>
      <c r="I15" s="230"/>
      <c r="J15" s="193"/>
    </row>
    <row r="16" spans="2:10" ht="63.6" customHeight="1" x14ac:dyDescent="0.25">
      <c r="B16" s="14" t="s">
        <v>90</v>
      </c>
      <c r="C16" s="14">
        <f>GETPIVOTDATA("Cuenta de Fuente vigencia ",$B$3,"Fuente vigencia ","Funcionamiento")</f>
        <v>16</v>
      </c>
      <c r="D16" s="95">
        <f>GETPIVOTDATA("Suma de Valor asignado al 2024",$B$3,"Fuente vigencia ","Funcionamiento")</f>
        <v>1843857272.5599999</v>
      </c>
      <c r="E16" s="102" t="s">
        <v>629</v>
      </c>
      <c r="G16" s="92" t="s">
        <v>492</v>
      </c>
      <c r="H16" s="92" t="s">
        <v>489</v>
      </c>
      <c r="I16" s="92" t="s">
        <v>490</v>
      </c>
    </row>
    <row r="17" spans="2:10" ht="45.6" customHeight="1" x14ac:dyDescent="0.25">
      <c r="B17" s="14" t="s">
        <v>494</v>
      </c>
      <c r="C17" s="14">
        <f>GETPIVOTDATA("Cuenta de Fuente vigencia ",$B$3,"Fuente vigencia ","Inversión BID")</f>
        <v>19</v>
      </c>
      <c r="D17" s="95">
        <f>GETPIVOTDATA("Suma de Valor asignado al 2024",$B$3,"Fuente vigencia ","Inversión BID")</f>
        <v>4266929832.5700002</v>
      </c>
      <c r="E17" s="102" t="s">
        <v>630</v>
      </c>
      <c r="G17" s="14" t="s">
        <v>90</v>
      </c>
      <c r="H17" s="14">
        <f>C16+C72</f>
        <v>21</v>
      </c>
      <c r="I17" s="95">
        <f>D16+D72</f>
        <v>2200143025.5599999</v>
      </c>
    </row>
    <row r="18" spans="2:10" x14ac:dyDescent="0.25">
      <c r="B18" s="96" t="s">
        <v>496</v>
      </c>
      <c r="C18" s="93">
        <f>SUM(C16:C17)</f>
        <v>35</v>
      </c>
      <c r="D18" s="94">
        <f>SUM(D16:D17)</f>
        <v>6110787105.1300001</v>
      </c>
      <c r="G18" s="14" t="s">
        <v>494</v>
      </c>
      <c r="H18" s="14">
        <f>C17+C73</f>
        <v>27</v>
      </c>
      <c r="I18" s="95">
        <f>D17+D73</f>
        <v>7875469117.5699997</v>
      </c>
    </row>
    <row r="19" spans="2:10" x14ac:dyDescent="0.25">
      <c r="G19" s="96" t="s">
        <v>496</v>
      </c>
      <c r="H19" s="93">
        <f>SUM(H17:H18)</f>
        <v>48</v>
      </c>
      <c r="I19" s="94">
        <f>SUM(I17:I18)</f>
        <v>10075612143.129999</v>
      </c>
    </row>
    <row r="20" spans="2:10" x14ac:dyDescent="0.25">
      <c r="B20" s="168" t="s">
        <v>487</v>
      </c>
      <c r="C20" s="168" t="s">
        <v>498</v>
      </c>
    </row>
    <row r="21" spans="2:10" x14ac:dyDescent="0.25">
      <c r="B21" s="168" t="s">
        <v>0</v>
      </c>
      <c r="C21" s="1" t="s">
        <v>90</v>
      </c>
      <c r="D21" s="1" t="s">
        <v>72</v>
      </c>
      <c r="E21" s="1" t="s">
        <v>7</v>
      </c>
    </row>
    <row r="22" spans="2:10" x14ac:dyDescent="0.25">
      <c r="B22" s="169" t="s">
        <v>116</v>
      </c>
      <c r="C22" s="1">
        <v>5</v>
      </c>
      <c r="D22" s="1">
        <v>1</v>
      </c>
      <c r="E22" s="1">
        <v>6</v>
      </c>
    </row>
    <row r="23" spans="2:10" x14ac:dyDescent="0.25">
      <c r="B23" s="169" t="s">
        <v>267</v>
      </c>
      <c r="C23" s="1">
        <v>3</v>
      </c>
      <c r="E23" s="1">
        <v>3</v>
      </c>
    </row>
    <row r="24" spans="2:10" x14ac:dyDescent="0.25">
      <c r="B24" s="169" t="s">
        <v>73</v>
      </c>
      <c r="C24" s="1">
        <v>7</v>
      </c>
      <c r="D24" s="1">
        <v>14</v>
      </c>
      <c r="E24" s="1">
        <v>21</v>
      </c>
    </row>
    <row r="25" spans="2:10" x14ac:dyDescent="0.25">
      <c r="B25" s="169" t="s">
        <v>104</v>
      </c>
      <c r="C25" s="1">
        <v>1</v>
      </c>
      <c r="E25" s="1">
        <v>1</v>
      </c>
    </row>
    <row r="26" spans="2:10" x14ac:dyDescent="0.25">
      <c r="B26" s="169" t="s">
        <v>135</v>
      </c>
      <c r="D26" s="1">
        <v>3</v>
      </c>
      <c r="E26" s="1">
        <v>3</v>
      </c>
    </row>
    <row r="27" spans="2:10" x14ac:dyDescent="0.25">
      <c r="B27" s="169" t="s">
        <v>312</v>
      </c>
      <c r="D27" s="1">
        <v>1</v>
      </c>
      <c r="E27" s="1">
        <v>1</v>
      </c>
    </row>
    <row r="28" spans="2:10" x14ac:dyDescent="0.25">
      <c r="B28" s="169" t="s">
        <v>7</v>
      </c>
      <c r="C28" s="1">
        <v>16</v>
      </c>
      <c r="D28" s="1">
        <v>19</v>
      </c>
      <c r="E28" s="1">
        <v>35</v>
      </c>
    </row>
    <row r="30" spans="2:10" ht="45" x14ac:dyDescent="0.25">
      <c r="B30" s="92" t="s">
        <v>499</v>
      </c>
      <c r="C30" s="92" t="s">
        <v>500</v>
      </c>
      <c r="D30" s="92" t="s">
        <v>501</v>
      </c>
      <c r="E30" s="92" t="s">
        <v>502</v>
      </c>
      <c r="H30" s="92" t="s">
        <v>499</v>
      </c>
      <c r="I30" s="92" t="s">
        <v>503</v>
      </c>
      <c r="J30" s="92" t="s">
        <v>502</v>
      </c>
    </row>
    <row r="31" spans="2:10" ht="30" x14ac:dyDescent="0.25">
      <c r="B31" s="7" t="str">
        <f>B22</f>
        <v xml:space="preserve">Acuerdo Marco de Precios </v>
      </c>
      <c r="C31" s="14">
        <f>GETPIVOTDATA("Fuente vigencia ",$B$20,"Fuente vigencia ","Funcionamiento","Modalida presentación General Cuadro","Acuerdo Marco de Precios ")</f>
        <v>5</v>
      </c>
      <c r="D31" s="14">
        <f>GETPIVOTDATA("Fuente vigencia ",$B$20,"Fuente vigencia ","Inversión BID","Modalida presentación General Cuadro","Acuerdo Marco de Precios ")</f>
        <v>1</v>
      </c>
      <c r="E31" s="14">
        <f>SUM(C31:D31)</f>
        <v>6</v>
      </c>
      <c r="H31" s="7" t="str">
        <f>B31</f>
        <v xml:space="preserve">Acuerdo Marco de Precios </v>
      </c>
      <c r="I31" s="98">
        <f>J31/$J$36</f>
        <v>0.17647058823529413</v>
      </c>
      <c r="J31" s="14">
        <f>E31</f>
        <v>6</v>
      </c>
    </row>
    <row r="32" spans="2:10" x14ac:dyDescent="0.25">
      <c r="B32" s="7" t="str">
        <f>B23</f>
        <v>Mínima cuantía</v>
      </c>
      <c r="C32" s="14">
        <f>GETPIVOTDATA("Fuente vigencia ",$B$20,"Fuente vigencia ","Funcionamiento","Modalida presentación General Cuadro","Mínima cuantía")</f>
        <v>3</v>
      </c>
      <c r="D32" s="14">
        <f>GETPIVOTDATA("Fuente vigencia ",$B$20,"Fuente vigencia ","Inversión BID","Modalida presentación General Cuadro","Mínima cuantía")</f>
        <v>0</v>
      </c>
      <c r="E32" s="14">
        <f t="shared" ref="E32:E34" si="0">SUM(C32:D32)</f>
        <v>3</v>
      </c>
      <c r="H32" s="7" t="str">
        <f>B32</f>
        <v>Mínima cuantía</v>
      </c>
      <c r="I32" s="98">
        <f>J32/$J$36</f>
        <v>8.8235294117647065E-2</v>
      </c>
      <c r="J32" s="14">
        <f>E32</f>
        <v>3</v>
      </c>
    </row>
    <row r="33" spans="2:10" ht="30" x14ac:dyDescent="0.25">
      <c r="B33" s="7" t="str">
        <f>B24</f>
        <v>Persona Natural (Contratista)</v>
      </c>
      <c r="C33" s="14">
        <f>GETPIVOTDATA("Fuente vigencia ",$B$20,"Fuente vigencia ","Funcionamiento","Modalida presentación General Cuadro","Persona Natural (Contratista)")</f>
        <v>7</v>
      </c>
      <c r="D33" s="14">
        <f>GETPIVOTDATA("Fuente vigencia ",$B$20,"Fuente vigencia ","Inversión BID","Modalida presentación General Cuadro","Persona Natural (Contratista)")</f>
        <v>14</v>
      </c>
      <c r="E33" s="14">
        <f t="shared" si="0"/>
        <v>21</v>
      </c>
      <c r="H33" s="7" t="str">
        <f>B33</f>
        <v>Persona Natural (Contratista)</v>
      </c>
      <c r="I33" s="98">
        <f>J33/$J$36</f>
        <v>0.61764705882352944</v>
      </c>
      <c r="J33" s="14">
        <f>E33</f>
        <v>21</v>
      </c>
    </row>
    <row r="34" spans="2:10" ht="45" x14ac:dyDescent="0.25">
      <c r="B34" s="7" t="str">
        <f>B25</f>
        <v>Selección abreviada subasta inversa</v>
      </c>
      <c r="C34" s="14">
        <f>GETPIVOTDATA("Fuente vigencia ",$B$20,"Fuente vigencia ","Funcionamiento","Modalida presentación General Cuadro","Selección abreviada subasta inversa")</f>
        <v>1</v>
      </c>
      <c r="D34" s="14">
        <f>GETPIVOTDATA("Fuente vigencia ",$B$20,"Fuente vigencia ","Inversión BID","Modalida presentación General Cuadro","Selección abreviada subasta inversa")</f>
        <v>0</v>
      </c>
      <c r="E34" s="14">
        <f t="shared" si="0"/>
        <v>1</v>
      </c>
      <c r="H34" s="7" t="str">
        <f>B34</f>
        <v>Selección abreviada subasta inversa</v>
      </c>
      <c r="I34" s="98">
        <f>J34/$J$36</f>
        <v>2.9411764705882353E-2</v>
      </c>
      <c r="J34" s="14">
        <f>E34</f>
        <v>1</v>
      </c>
    </row>
    <row r="35" spans="2:10" ht="30" x14ac:dyDescent="0.25">
      <c r="B35" s="7" t="str">
        <f>B26</f>
        <v>Servicio de consultoría</v>
      </c>
      <c r="C35" s="14">
        <f>GETPIVOTDATA("Fuente vigencia ",$B$20,"Fuente vigencia ","Funcionamiento","Modalida presentación General Cuadro","Servicio de consultoría")</f>
        <v>0</v>
      </c>
      <c r="D35" s="14">
        <f>GETPIVOTDATA("Fuente vigencia ",$B$20,"Fuente vigencia ","Inversión BID","Modalida presentación General Cuadro","Servicio de consultoría")</f>
        <v>3</v>
      </c>
      <c r="E35" s="14">
        <f t="shared" ref="E35" si="1">SUM(C35:D35)</f>
        <v>3</v>
      </c>
      <c r="H35" s="7" t="str">
        <f>B35</f>
        <v>Servicio de consultoría</v>
      </c>
      <c r="I35" s="98">
        <f>J35/$J$36</f>
        <v>8.8235294117647065E-2</v>
      </c>
      <c r="J35" s="14">
        <f>E35</f>
        <v>3</v>
      </c>
    </row>
    <row r="36" spans="2:10" x14ac:dyDescent="0.25">
      <c r="B36" s="92" t="s">
        <v>496</v>
      </c>
      <c r="C36" s="93">
        <f>SUM(C31:C35)</f>
        <v>16</v>
      </c>
      <c r="D36" s="93">
        <f>SUM(D31:D35)</f>
        <v>18</v>
      </c>
      <c r="E36" s="93">
        <f>SUM(E31:E35)</f>
        <v>34</v>
      </c>
      <c r="H36" s="100" t="s">
        <v>496</v>
      </c>
      <c r="I36" s="99">
        <f>SUM(I31:I35)</f>
        <v>1</v>
      </c>
      <c r="J36" s="93">
        <f>SUM(J31:J35)</f>
        <v>34</v>
      </c>
    </row>
    <row r="39" spans="2:10" x14ac:dyDescent="0.25">
      <c r="B39" s="168" t="s">
        <v>486</v>
      </c>
      <c r="C39" s="168" t="s">
        <v>498</v>
      </c>
    </row>
    <row r="40" spans="2:10" x14ac:dyDescent="0.25">
      <c r="B40" s="168" t="s">
        <v>0</v>
      </c>
      <c r="C40" s="1" t="s">
        <v>90</v>
      </c>
      <c r="D40" s="1" t="s">
        <v>72</v>
      </c>
      <c r="E40" s="1" t="s">
        <v>7</v>
      </c>
    </row>
    <row r="41" spans="2:10" x14ac:dyDescent="0.25">
      <c r="B41" s="169" t="s">
        <v>116</v>
      </c>
      <c r="C41" s="189">
        <v>782937730.24000013</v>
      </c>
      <c r="D41" s="189">
        <v>669139863.29999995</v>
      </c>
      <c r="E41" s="189">
        <v>1452077593.54</v>
      </c>
    </row>
    <row r="42" spans="2:10" x14ac:dyDescent="0.25">
      <c r="B42" s="169" t="s">
        <v>267</v>
      </c>
      <c r="C42" s="189">
        <v>14144000</v>
      </c>
      <c r="D42" s="189"/>
      <c r="E42" s="189">
        <v>14144000</v>
      </c>
    </row>
    <row r="43" spans="2:10" x14ac:dyDescent="0.25">
      <c r="B43" s="169" t="s">
        <v>73</v>
      </c>
      <c r="C43" s="189">
        <v>852657060</v>
      </c>
      <c r="D43" s="189">
        <v>1152500000</v>
      </c>
      <c r="E43" s="189">
        <v>2005157060</v>
      </c>
    </row>
    <row r="44" spans="2:10" x14ac:dyDescent="0.25">
      <c r="B44" s="169" t="s">
        <v>312</v>
      </c>
      <c r="C44" s="189"/>
      <c r="D44" s="189">
        <v>997302719.26999998</v>
      </c>
      <c r="E44" s="189">
        <v>997302719.26999998</v>
      </c>
    </row>
    <row r="45" spans="2:10" x14ac:dyDescent="0.25">
      <c r="B45" s="169" t="s">
        <v>104</v>
      </c>
      <c r="C45" s="189">
        <v>194118482.31999999</v>
      </c>
      <c r="D45" s="189"/>
      <c r="E45" s="189">
        <v>194118482.31999999</v>
      </c>
      <c r="J45" s="1">
        <v>82</v>
      </c>
    </row>
    <row r="46" spans="2:10" x14ac:dyDescent="0.25">
      <c r="B46" s="169" t="s">
        <v>135</v>
      </c>
      <c r="C46" s="189"/>
      <c r="D46" s="189">
        <v>1447987250</v>
      </c>
      <c r="E46" s="189">
        <v>1447987250</v>
      </c>
      <c r="J46" s="1">
        <v>4000</v>
      </c>
    </row>
    <row r="47" spans="2:10" x14ac:dyDescent="0.25">
      <c r="B47" s="169" t="s">
        <v>7</v>
      </c>
      <c r="C47" s="189">
        <v>1843857272.5600002</v>
      </c>
      <c r="D47" s="189">
        <v>4266929832.5699997</v>
      </c>
      <c r="E47" s="189">
        <v>6110787105.1299992</v>
      </c>
      <c r="J47" s="1">
        <v>335680</v>
      </c>
    </row>
    <row r="48" spans="2:10" x14ac:dyDescent="0.25">
      <c r="J48" s="1">
        <f>J47/12</f>
        <v>27973.333333333332</v>
      </c>
    </row>
    <row r="49" spans="2:5" ht="45" x14ac:dyDescent="0.25">
      <c r="B49" s="92" t="s">
        <v>499</v>
      </c>
      <c r="C49" s="92" t="s">
        <v>504</v>
      </c>
      <c r="D49" s="92" t="s">
        <v>505</v>
      </c>
      <c r="E49" s="92" t="s">
        <v>506</v>
      </c>
    </row>
    <row r="50" spans="2:5" ht="28.15" customHeight="1" x14ac:dyDescent="0.25">
      <c r="B50" s="7" t="str">
        <f>B41</f>
        <v xml:space="preserve">Acuerdo Marco de Precios </v>
      </c>
      <c r="C50" s="95">
        <f>GETPIVOTDATA("Valor asignado al 2024",$B$39,"Fuente vigencia ","Funcionamiento","Modalida presentación General Cuadro","Acuerdo Marco de Precios ")</f>
        <v>782937730.24000013</v>
      </c>
      <c r="D50" s="95">
        <f>GETPIVOTDATA("Valor asignado al 2024",$B$39,"Fuente vigencia ","Inversión BID","Modalida presentación General Cuadro","Acuerdo Marco de Precios ")</f>
        <v>669139863.29999995</v>
      </c>
      <c r="E50" s="95">
        <f>SUM(C50:D50)</f>
        <v>1452077593.54</v>
      </c>
    </row>
    <row r="51" spans="2:5" x14ac:dyDescent="0.25">
      <c r="B51" s="7" t="str">
        <f>B42</f>
        <v>Mínima cuantía</v>
      </c>
      <c r="C51" s="95">
        <f>GETPIVOTDATA("Valor asignado al 2024",$B$39,"Fuente vigencia ","Funcionamiento","Modalida presentación General Cuadro","Mínima cuantía")</f>
        <v>14144000</v>
      </c>
      <c r="D51" s="95">
        <f>GETPIVOTDATA("Valor asignado al 2024",$B$39,"Fuente vigencia ","Inversión BID","Modalida presentación General Cuadro","Mínima cuantía")</f>
        <v>0</v>
      </c>
      <c r="E51" s="95">
        <f t="shared" ref="E51:E53" si="2">SUM(C51:D51)</f>
        <v>14144000</v>
      </c>
    </row>
    <row r="52" spans="2:5" ht="36" customHeight="1" x14ac:dyDescent="0.25">
      <c r="B52" s="7" t="str">
        <f>B43</f>
        <v>Persona Natural (Contratista)</v>
      </c>
      <c r="C52" s="95">
        <f>GETPIVOTDATA("Valor asignado al 2024",$B$39,"Fuente vigencia ","Funcionamiento","Modalida presentación General Cuadro","Persona Natural (Contratista)")</f>
        <v>852657060</v>
      </c>
      <c r="D52" s="95">
        <f>GETPIVOTDATA("Valor asignado al 2024",$B$39,"Fuente vigencia ","Inversión BID","Modalida presentación General Cuadro","Persona Natural (Contratista)")</f>
        <v>1152500000</v>
      </c>
      <c r="E52" s="95">
        <f t="shared" si="2"/>
        <v>2005157060</v>
      </c>
    </row>
    <row r="53" spans="2:5" ht="48" customHeight="1" x14ac:dyDescent="0.25">
      <c r="B53" s="7" t="str">
        <f>B44</f>
        <v>Selección abreviada - acuerdo marco</v>
      </c>
      <c r="C53" s="95">
        <f>GETPIVOTDATA("Valor asignado al 2024",$B$39,"Fuente vigencia ","Funcionamiento","Modalida presentación General Cuadro","Selección abreviada subasta inversa")</f>
        <v>194118482.31999999</v>
      </c>
      <c r="D53" s="95">
        <f>GETPIVOTDATA("Valor asignado al 2024",$B$39,"Fuente vigencia ","Inversión BID","Modalida presentación General Cuadro","Selección abreviada subasta inversa")</f>
        <v>0</v>
      </c>
      <c r="E53" s="95">
        <f t="shared" si="2"/>
        <v>194118482.31999999</v>
      </c>
    </row>
    <row r="54" spans="2:5" ht="36" customHeight="1" x14ac:dyDescent="0.25">
      <c r="B54" s="7" t="str">
        <f>B45</f>
        <v>Selección abreviada subasta inversa</v>
      </c>
      <c r="C54" s="95">
        <f>GETPIVOTDATA("Valor asignado al 2024",$B$39,"Fuente vigencia ","Funcionamiento","Modalida presentación General Cuadro","Servicio de consultoría")</f>
        <v>0</v>
      </c>
      <c r="D54" s="95">
        <f>GETPIVOTDATA("Valor asignado al 2024",$B$39,"Fuente vigencia ","Inversión BID","Modalida presentación General Cuadro","Servicio de consultoría")</f>
        <v>1447987250</v>
      </c>
      <c r="E54" s="95">
        <f t="shared" ref="E54" si="3">SUM(C54:D54)</f>
        <v>1447987250</v>
      </c>
    </row>
    <row r="55" spans="2:5" x14ac:dyDescent="0.25">
      <c r="B55" s="92" t="s">
        <v>496</v>
      </c>
      <c r="C55" s="94">
        <f>SUM(C50:C54)</f>
        <v>1843857272.5600002</v>
      </c>
      <c r="D55" s="94">
        <f t="shared" ref="D55:E55" si="4">SUM(D50:D54)</f>
        <v>3269627113.3000002</v>
      </c>
      <c r="E55" s="94">
        <f t="shared" si="4"/>
        <v>5113484385.8600006</v>
      </c>
    </row>
    <row r="58" spans="2:5" x14ac:dyDescent="0.25">
      <c r="B58" s="231" t="s">
        <v>617</v>
      </c>
      <c r="C58" s="231"/>
      <c r="D58" s="231"/>
      <c r="E58" s="231"/>
    </row>
    <row r="60" spans="2:5" x14ac:dyDescent="0.25">
      <c r="B60" s="24" t="s">
        <v>0</v>
      </c>
      <c r="C60" t="s">
        <v>487</v>
      </c>
      <c r="D60" t="s">
        <v>547</v>
      </c>
    </row>
    <row r="61" spans="2:5" x14ac:dyDescent="0.25">
      <c r="B61" s="25" t="s">
        <v>90</v>
      </c>
      <c r="C61">
        <v>5</v>
      </c>
      <c r="D61" s="190">
        <v>356285753</v>
      </c>
    </row>
    <row r="62" spans="2:5" x14ac:dyDescent="0.25">
      <c r="B62" s="25" t="s">
        <v>72</v>
      </c>
      <c r="C62">
        <v>8</v>
      </c>
      <c r="D62" s="190">
        <v>3608539285</v>
      </c>
    </row>
    <row r="63" spans="2:5" x14ac:dyDescent="0.25">
      <c r="B63" s="25" t="s">
        <v>7</v>
      </c>
      <c r="C63">
        <v>13</v>
      </c>
      <c r="D63" s="190">
        <v>3964825038</v>
      </c>
    </row>
    <row r="64" spans="2:5" x14ac:dyDescent="0.25">
      <c r="B64"/>
      <c r="C64"/>
      <c r="D64"/>
    </row>
    <row r="65" spans="2:6" x14ac:dyDescent="0.25">
      <c r="B65"/>
      <c r="C65"/>
      <c r="D65"/>
    </row>
    <row r="66" spans="2:6" x14ac:dyDescent="0.25">
      <c r="B66" s="91" t="s">
        <v>618</v>
      </c>
    </row>
    <row r="67" spans="2:6" ht="45" x14ac:dyDescent="0.25">
      <c r="B67" s="92" t="s">
        <v>625</v>
      </c>
      <c r="C67" s="92" t="s">
        <v>626</v>
      </c>
    </row>
    <row r="68" spans="2:6" x14ac:dyDescent="0.25">
      <c r="B68" s="93">
        <f>GETPIVOTDATA("Cuenta de Fuente vigencia ",$B$60)</f>
        <v>13</v>
      </c>
      <c r="C68" s="94">
        <f>GETPIVOTDATA("Suma de Valor total asignado al PAA 2024",$B$60)</f>
        <v>3964825038</v>
      </c>
    </row>
    <row r="70" spans="2:6" x14ac:dyDescent="0.25">
      <c r="B70" s="229" t="s">
        <v>642</v>
      </c>
      <c r="C70" s="229"/>
      <c r="D70" s="229"/>
      <c r="E70" s="229"/>
    </row>
    <row r="71" spans="2:6" ht="45" x14ac:dyDescent="0.25">
      <c r="B71" s="92" t="s">
        <v>492</v>
      </c>
      <c r="C71" s="92" t="s">
        <v>625</v>
      </c>
      <c r="D71" s="92" t="s">
        <v>627</v>
      </c>
      <c r="E71" s="92" t="s">
        <v>655</v>
      </c>
      <c r="F71" s="92" t="s">
        <v>656</v>
      </c>
    </row>
    <row r="72" spans="2:6" ht="70.900000000000006" customHeight="1" x14ac:dyDescent="0.25">
      <c r="B72" s="14" t="s">
        <v>90</v>
      </c>
      <c r="C72" s="14">
        <f>GETPIVOTDATA("Cuenta de Fuente vigencia ",$B$60,"Fuente vigencia ","Funcionamiento")</f>
        <v>5</v>
      </c>
      <c r="D72" s="95">
        <f>GETPIVOTDATA("Suma de Valor total asignado al PAA 2024",$B$60,"Fuente vigencia ","Funcionamiento")</f>
        <v>356285753</v>
      </c>
      <c r="E72" s="102"/>
      <c r="F72" s="102" t="s">
        <v>632</v>
      </c>
    </row>
    <row r="73" spans="2:6" ht="72.599999999999994" customHeight="1" x14ac:dyDescent="0.25">
      <c r="B73" s="14" t="s">
        <v>72</v>
      </c>
      <c r="C73" s="14">
        <f>GETPIVOTDATA("Cuenta de Fuente vigencia ",$B$60,"Fuente vigencia ","Inversión BID")</f>
        <v>8</v>
      </c>
      <c r="D73" s="95">
        <f>GETPIVOTDATA("Suma de Valor total asignado al PAA 2024",$B$60,"Fuente vigencia ","Inversión BID")</f>
        <v>3608539285</v>
      </c>
      <c r="E73" s="102" t="s">
        <v>631</v>
      </c>
      <c r="F73" s="102"/>
    </row>
    <row r="74" spans="2:6" x14ac:dyDescent="0.25">
      <c r="B74" s="96" t="s">
        <v>496</v>
      </c>
      <c r="C74" s="93">
        <f>SUM(C72:C73)</f>
        <v>13</v>
      </c>
      <c r="D74" s="94">
        <f>SUM(D72:D73)</f>
        <v>3964825038</v>
      </c>
    </row>
    <row r="75" spans="2:6" x14ac:dyDescent="0.25">
      <c r="B75"/>
      <c r="C75"/>
      <c r="D75"/>
    </row>
    <row r="76" spans="2:6" x14ac:dyDescent="0.25">
      <c r="B76"/>
      <c r="C76"/>
      <c r="D76"/>
    </row>
    <row r="77" spans="2:6" x14ac:dyDescent="0.25">
      <c r="B77" s="24" t="s">
        <v>487</v>
      </c>
      <c r="C77" s="24" t="s">
        <v>498</v>
      </c>
      <c r="D77"/>
      <c r="E77"/>
      <c r="F77"/>
    </row>
    <row r="78" spans="2:6" x14ac:dyDescent="0.25">
      <c r="B78" s="24" t="s">
        <v>0</v>
      </c>
      <c r="C78" t="s">
        <v>90</v>
      </c>
      <c r="D78" t="s">
        <v>72</v>
      </c>
      <c r="E78" t="s">
        <v>7</v>
      </c>
      <c r="F78"/>
    </row>
    <row r="79" spans="2:6" x14ac:dyDescent="0.25">
      <c r="B79" s="25" t="s">
        <v>267</v>
      </c>
      <c r="C79">
        <v>2</v>
      </c>
      <c r="D79"/>
      <c r="E79">
        <v>2</v>
      </c>
      <c r="F79"/>
    </row>
    <row r="80" spans="2:6" x14ac:dyDescent="0.25">
      <c r="B80" s="25" t="s">
        <v>73</v>
      </c>
      <c r="C80"/>
      <c r="D80">
        <v>5</v>
      </c>
      <c r="E80">
        <v>5</v>
      </c>
      <c r="F80"/>
    </row>
    <row r="81" spans="2:11" x14ac:dyDescent="0.25">
      <c r="B81" s="25" t="s">
        <v>312</v>
      </c>
      <c r="C81">
        <v>2</v>
      </c>
      <c r="D81"/>
      <c r="E81">
        <v>2</v>
      </c>
      <c r="F81"/>
    </row>
    <row r="82" spans="2:11" x14ac:dyDescent="0.25">
      <c r="B82" s="25" t="s">
        <v>104</v>
      </c>
      <c r="C82">
        <v>1</v>
      </c>
      <c r="D82"/>
      <c r="E82">
        <v>1</v>
      </c>
      <c r="F82"/>
    </row>
    <row r="83" spans="2:11" x14ac:dyDescent="0.25">
      <c r="B83" s="25" t="s">
        <v>135</v>
      </c>
      <c r="C83"/>
      <c r="D83">
        <v>3</v>
      </c>
      <c r="E83">
        <v>3</v>
      </c>
      <c r="F83"/>
    </row>
    <row r="84" spans="2:11" x14ac:dyDescent="0.25">
      <c r="B84" s="25" t="s">
        <v>7</v>
      </c>
      <c r="C84">
        <v>5</v>
      </c>
      <c r="D84">
        <v>8</v>
      </c>
      <c r="E84">
        <v>13</v>
      </c>
      <c r="F84"/>
    </row>
    <row r="85" spans="2:11" x14ac:dyDescent="0.25">
      <c r="B85"/>
      <c r="C85"/>
      <c r="D85"/>
    </row>
    <row r="86" spans="2:11" ht="45" x14ac:dyDescent="0.25">
      <c r="B86" s="92" t="s">
        <v>499</v>
      </c>
      <c r="C86" s="92" t="s">
        <v>500</v>
      </c>
      <c r="D86" s="92" t="s">
        <v>619</v>
      </c>
      <c r="E86" s="92" t="s">
        <v>502</v>
      </c>
      <c r="H86" s="92" t="s">
        <v>499</v>
      </c>
      <c r="I86" s="92" t="s">
        <v>503</v>
      </c>
      <c r="J86" s="92" t="s">
        <v>502</v>
      </c>
    </row>
    <row r="87" spans="2:11" x14ac:dyDescent="0.25">
      <c r="B87" s="7" t="str">
        <f>B79</f>
        <v>Mínima cuantía</v>
      </c>
      <c r="C87" s="14">
        <f>GETPIVOTDATA("Fuente vigencia ",$B$77,"Fuente vigencia ","Funcionamiento","Modalida presentación General Cuadro","Mínima cuantía")</f>
        <v>2</v>
      </c>
      <c r="D87" s="14">
        <f>GETPIVOTDATA("Fuente vigencia ",$B$77,"Fuente vigencia ","Inversión BID","Modalida presentación General Cuadro","Mínima cuantía")</f>
        <v>0</v>
      </c>
      <c r="E87" s="14">
        <f>SUM(C87:D87)</f>
        <v>2</v>
      </c>
      <c r="H87" s="7" t="str">
        <f>B87</f>
        <v>Mínima cuantía</v>
      </c>
      <c r="I87" s="98">
        <f>J87/$J$92</f>
        <v>0.15384615384615385</v>
      </c>
      <c r="J87" s="14">
        <f>E87</f>
        <v>2</v>
      </c>
    </row>
    <row r="88" spans="2:11" ht="30" x14ac:dyDescent="0.25">
      <c r="B88" s="7" t="str">
        <f>B80</f>
        <v>Persona Natural (Contratista)</v>
      </c>
      <c r="C88" s="14">
        <f>GETPIVOTDATA("Fuente vigencia ",$B$77,"Fuente vigencia ","Funcionamiento","Modalida presentación General Cuadro","Persona Natural (Contratista)")</f>
        <v>0</v>
      </c>
      <c r="D88" s="14">
        <f>GETPIVOTDATA("Fuente vigencia ",$B$77,"Fuente vigencia ","Inversión BID","Modalida presentación General Cuadro","Persona Natural (Contratista)")</f>
        <v>5</v>
      </c>
      <c r="E88" s="14">
        <f>SUM(C88:D88)</f>
        <v>5</v>
      </c>
      <c r="H88" s="7" t="str">
        <f>B88</f>
        <v>Persona Natural (Contratista)</v>
      </c>
      <c r="I88" s="98">
        <f t="shared" ref="I88:I91" si="5">J88/$J$92</f>
        <v>0.38461538461538464</v>
      </c>
      <c r="J88" s="14">
        <f>E88</f>
        <v>5</v>
      </c>
    </row>
    <row r="89" spans="2:11" ht="45" x14ac:dyDescent="0.25">
      <c r="B89" s="7" t="str">
        <f>B81</f>
        <v>Selección abreviada - acuerdo marco</v>
      </c>
      <c r="C89" s="14">
        <f>GETPIVOTDATA("Fuente vigencia ",$B$77,"Fuente vigencia ","Funcionamiento","Modalida presentación General Cuadro","Selección abreviada - acuerdo marco")</f>
        <v>2</v>
      </c>
      <c r="D89" s="14">
        <f>GETPIVOTDATA("Fuente vigencia ",$B$77,"Fuente vigencia ","Inversión BID","Modalida presentación General Cuadro","Selección abreviada - acuerdo marco")</f>
        <v>0</v>
      </c>
      <c r="E89" s="14">
        <f>SUM(C89:D89)</f>
        <v>2</v>
      </c>
      <c r="H89" s="7" t="str">
        <f>B89</f>
        <v>Selección abreviada - acuerdo marco</v>
      </c>
      <c r="I89" s="98">
        <f t="shared" si="5"/>
        <v>0.15384615384615385</v>
      </c>
      <c r="J89" s="14">
        <f>E89</f>
        <v>2</v>
      </c>
    </row>
    <row r="90" spans="2:11" ht="45" x14ac:dyDescent="0.25">
      <c r="B90" s="7" t="str">
        <f>B82</f>
        <v>Selección abreviada subasta inversa</v>
      </c>
      <c r="C90" s="14">
        <f>GETPIVOTDATA("Fuente vigencia ",$B$77,"Fuente vigencia ","Funcionamiento","Modalida presentación General Cuadro","Selección abreviada subasta inversa")</f>
        <v>1</v>
      </c>
      <c r="D90" s="14">
        <f>GETPIVOTDATA("Fuente vigencia ",$B$77,"Fuente vigencia ","Inversión BID","Modalida presentación General Cuadro","Selección abreviada subasta inversa")</f>
        <v>0</v>
      </c>
      <c r="E90" s="14">
        <f>SUM(C90:D90)</f>
        <v>1</v>
      </c>
      <c r="H90" s="7" t="str">
        <f>B90</f>
        <v>Selección abreviada subasta inversa</v>
      </c>
      <c r="I90" s="98">
        <f t="shared" si="5"/>
        <v>7.6923076923076927E-2</v>
      </c>
      <c r="J90" s="14">
        <f>E90</f>
        <v>1</v>
      </c>
    </row>
    <row r="91" spans="2:11" ht="30" x14ac:dyDescent="0.25">
      <c r="B91" s="7" t="str">
        <f>B83</f>
        <v>Servicio de consultoría</v>
      </c>
      <c r="C91" s="14">
        <f>GETPIVOTDATA("Fuente vigencia ",$B$77,"Fuente vigencia ","Funcionamiento","Modalida presentación General Cuadro","Servicio de consultoría")</f>
        <v>0</v>
      </c>
      <c r="D91" s="14">
        <f>GETPIVOTDATA("Fuente vigencia ",$B$77,"Fuente vigencia ","Inversión BID","Modalida presentación General Cuadro","Servicio de consultoría")</f>
        <v>3</v>
      </c>
      <c r="E91" s="14">
        <f>SUM(C91:D91)</f>
        <v>3</v>
      </c>
      <c r="H91" s="7" t="str">
        <f>B91</f>
        <v>Servicio de consultoría</v>
      </c>
      <c r="I91" s="98">
        <f t="shared" si="5"/>
        <v>0.23076923076923078</v>
      </c>
      <c r="J91" s="14">
        <f>E91</f>
        <v>3</v>
      </c>
    </row>
    <row r="92" spans="2:11" x14ac:dyDescent="0.25">
      <c r="B92" s="92" t="s">
        <v>496</v>
      </c>
      <c r="C92" s="93">
        <f>SUM(C87:C91)</f>
        <v>5</v>
      </c>
      <c r="D92" s="93">
        <f>SUM(D87:D91)</f>
        <v>8</v>
      </c>
      <c r="E92" s="93">
        <f>SUM(E87:E91)</f>
        <v>13</v>
      </c>
      <c r="H92" s="100" t="s">
        <v>496</v>
      </c>
      <c r="I92" s="99">
        <f>SUM(I87:I91)</f>
        <v>1.0000000000000002</v>
      </c>
      <c r="J92" s="93">
        <f>SUM(J87:J91)</f>
        <v>13</v>
      </c>
    </row>
    <row r="93" spans="2:11" x14ac:dyDescent="0.25">
      <c r="B93"/>
      <c r="C93"/>
      <c r="D93"/>
    </row>
    <row r="94" spans="2:11" x14ac:dyDescent="0.25">
      <c r="B94"/>
      <c r="C94"/>
      <c r="D94"/>
    </row>
    <row r="95" spans="2:11" x14ac:dyDescent="0.25">
      <c r="B95" s="24" t="s">
        <v>547</v>
      </c>
      <c r="C95" s="24" t="s">
        <v>498</v>
      </c>
      <c r="D95"/>
      <c r="E95"/>
      <c r="F95"/>
      <c r="G95"/>
      <c r="H95"/>
      <c r="I95"/>
      <c r="J95"/>
      <c r="K95"/>
    </row>
    <row r="96" spans="2:11" x14ac:dyDescent="0.25">
      <c r="B96" s="24" t="s">
        <v>0</v>
      </c>
      <c r="C96" t="s">
        <v>90</v>
      </c>
      <c r="D96" t="s">
        <v>72</v>
      </c>
      <c r="E96" t="s">
        <v>7</v>
      </c>
      <c r="F96"/>
      <c r="G96"/>
      <c r="H96"/>
      <c r="I96"/>
      <c r="J96"/>
      <c r="K96"/>
    </row>
    <row r="97" spans="2:11" x14ac:dyDescent="0.25">
      <c r="B97" s="25" t="s">
        <v>267</v>
      </c>
      <c r="C97" s="190">
        <v>22500000</v>
      </c>
      <c r="D97" s="190"/>
      <c r="E97" s="190">
        <v>22500000</v>
      </c>
      <c r="F97"/>
      <c r="G97"/>
      <c r="H97"/>
      <c r="I97"/>
      <c r="J97"/>
      <c r="K97"/>
    </row>
    <row r="98" spans="2:11" x14ac:dyDescent="0.25">
      <c r="B98" s="25" t="s">
        <v>73</v>
      </c>
      <c r="C98" s="190"/>
      <c r="D98" s="190">
        <v>316500000</v>
      </c>
      <c r="E98" s="190">
        <v>316500000</v>
      </c>
      <c r="F98"/>
      <c r="G98"/>
      <c r="H98"/>
      <c r="I98"/>
      <c r="J98"/>
      <c r="K98"/>
    </row>
    <row r="99" spans="2:11" x14ac:dyDescent="0.25">
      <c r="B99" s="25" t="s">
        <v>312</v>
      </c>
      <c r="C99" s="190">
        <v>63785753</v>
      </c>
      <c r="D99" s="190"/>
      <c r="E99" s="190">
        <v>63785753</v>
      </c>
      <c r="F99"/>
      <c r="G99"/>
      <c r="H99"/>
      <c r="I99"/>
      <c r="J99"/>
      <c r="K99"/>
    </row>
    <row r="100" spans="2:11" x14ac:dyDescent="0.25">
      <c r="B100" s="25" t="s">
        <v>104</v>
      </c>
      <c r="C100" s="190">
        <v>270000000</v>
      </c>
      <c r="D100" s="190"/>
      <c r="E100" s="190">
        <v>270000000</v>
      </c>
      <c r="F100"/>
      <c r="G100"/>
      <c r="H100"/>
      <c r="I100"/>
      <c r="J100"/>
      <c r="K100"/>
    </row>
    <row r="101" spans="2:11" x14ac:dyDescent="0.25">
      <c r="B101" s="25" t="s">
        <v>135</v>
      </c>
      <c r="C101" s="190"/>
      <c r="D101" s="190">
        <v>3292039285</v>
      </c>
      <c r="E101" s="190">
        <v>3292039285</v>
      </c>
      <c r="F101"/>
      <c r="G101"/>
      <c r="H101"/>
      <c r="I101"/>
      <c r="J101"/>
      <c r="K101"/>
    </row>
    <row r="102" spans="2:11" x14ac:dyDescent="0.25">
      <c r="B102" s="25" t="s">
        <v>7</v>
      </c>
      <c r="C102" s="190">
        <v>356285753</v>
      </c>
      <c r="D102" s="190">
        <v>3608539285</v>
      </c>
      <c r="E102" s="190">
        <v>3964825038</v>
      </c>
      <c r="F102"/>
      <c r="G102"/>
      <c r="H102"/>
      <c r="I102"/>
      <c r="J102"/>
      <c r="K102"/>
    </row>
    <row r="103" spans="2:11" x14ac:dyDescent="0.25">
      <c r="B103"/>
      <c r="C103"/>
      <c r="D103"/>
      <c r="E103"/>
      <c r="F103"/>
      <c r="G103"/>
      <c r="H103"/>
      <c r="I103"/>
      <c r="J103"/>
      <c r="K103"/>
    </row>
    <row r="104" spans="2:11" customFormat="1" ht="45" x14ac:dyDescent="0.25">
      <c r="B104" s="92" t="s">
        <v>499</v>
      </c>
      <c r="C104" s="92" t="s">
        <v>504</v>
      </c>
      <c r="D104" s="92" t="s">
        <v>628</v>
      </c>
      <c r="E104" s="92" t="s">
        <v>506</v>
      </c>
    </row>
    <row r="105" spans="2:11" customFormat="1" x14ac:dyDescent="0.25">
      <c r="B105" s="101" t="str">
        <f>B97</f>
        <v>Mínima cuantía</v>
      </c>
      <c r="C105" s="95">
        <f>GETPIVOTDATA("Valor total asignado al PAA 2024",$B$95,"Fuente vigencia ","Funcionamiento","Modalida presentación General Cuadro","Mínima cuantía")</f>
        <v>22500000</v>
      </c>
      <c r="D105" s="95">
        <f>GETPIVOTDATA("Valor total asignado al PAA 2024",$B$95,"Fuente vigencia ","Inversión BID","Modalida presentación General Cuadro","Mínima cuantía")</f>
        <v>0</v>
      </c>
      <c r="E105" s="95">
        <f>SUM(C105:D105)</f>
        <v>22500000</v>
      </c>
    </row>
    <row r="106" spans="2:11" customFormat="1" x14ac:dyDescent="0.25">
      <c r="B106" s="101" t="str">
        <f>B98</f>
        <v>Persona Natural (Contratista)</v>
      </c>
      <c r="C106" s="95">
        <f>GETPIVOTDATA("Valor total asignado al PAA 2024",$B$95,"Fuente vigencia ","Funcionamiento","Modalida presentación General Cuadro","Persona Natural (Contratista)")</f>
        <v>0</v>
      </c>
      <c r="D106" s="95">
        <f>GETPIVOTDATA("Valor total asignado al PAA 2024",$B$95,"Fuente vigencia ","Inversión BID","Modalida presentación General Cuadro","Persona Natural (Contratista)")</f>
        <v>316500000</v>
      </c>
      <c r="E106" s="95">
        <f>SUM(C106:D106)</f>
        <v>316500000</v>
      </c>
    </row>
    <row r="107" spans="2:11" customFormat="1" x14ac:dyDescent="0.25">
      <c r="B107" s="101" t="str">
        <f>B99</f>
        <v>Selección abreviada - acuerdo marco</v>
      </c>
      <c r="C107" s="95">
        <f>GETPIVOTDATA("Valor total asignado al PAA 2024",$B$95,"Fuente vigencia ","Funcionamiento","Modalida presentación General Cuadro","Selección abreviada - acuerdo marco")</f>
        <v>63785753</v>
      </c>
      <c r="D107" s="95">
        <f>GETPIVOTDATA("Valor total asignado al PAA 2024",$B$95,"Fuente vigencia ","Inversión BID","Modalida presentación General Cuadro","Selección abreviada - acuerdo marco")</f>
        <v>0</v>
      </c>
      <c r="E107" s="95">
        <f>SUM(C107:D107)</f>
        <v>63785753</v>
      </c>
    </row>
    <row r="108" spans="2:11" customFormat="1" x14ac:dyDescent="0.25">
      <c r="B108" s="101" t="str">
        <f>B100</f>
        <v>Selección abreviada subasta inversa</v>
      </c>
      <c r="C108" s="95">
        <f>GETPIVOTDATA("Valor total asignado al PAA 2024",$B$95,"Fuente vigencia ","Funcionamiento","Modalida presentación General Cuadro","Selección abreviada subasta inversa")</f>
        <v>270000000</v>
      </c>
      <c r="D108" s="95">
        <f>GETPIVOTDATA("Valor total asignado al PAA 2024",$B$95,"Fuente vigencia ","Inversión BID","Modalida presentación General Cuadro","Selección abreviada subasta inversa")</f>
        <v>0</v>
      </c>
      <c r="E108" s="95">
        <f>SUM(C108:D108)</f>
        <v>270000000</v>
      </c>
    </row>
    <row r="109" spans="2:11" customFormat="1" x14ac:dyDescent="0.25">
      <c r="B109" s="101" t="str">
        <f>B101</f>
        <v>Servicio de consultoría</v>
      </c>
      <c r="C109" s="95">
        <f>GETPIVOTDATA("Valor total asignado al PAA 2024",$B$95,"Fuente vigencia ","Funcionamiento","Modalida presentación General Cuadro","Servicio de consultoría")</f>
        <v>0</v>
      </c>
      <c r="D109" s="95">
        <f>GETPIVOTDATA("Valor total asignado al PAA 2024",$B$95,"Fuente vigencia ","Inversión BID","Modalida presentación General Cuadro","Servicio de consultoría")</f>
        <v>3292039285</v>
      </c>
      <c r="E109" s="95">
        <f>SUM(C109:D109)</f>
        <v>3292039285</v>
      </c>
    </row>
    <row r="110" spans="2:11" customFormat="1" x14ac:dyDescent="0.25">
      <c r="B110" s="92" t="s">
        <v>496</v>
      </c>
      <c r="C110" s="94">
        <f>SUM(C105:C109)</f>
        <v>356285753</v>
      </c>
      <c r="D110" s="94">
        <f t="shared" ref="D110" si="6">SUM(D105:D109)</f>
        <v>3608539285</v>
      </c>
      <c r="E110" s="94">
        <f>SUM(E105:E109)</f>
        <v>3964825038</v>
      </c>
    </row>
    <row r="111" spans="2:11" customFormat="1" x14ac:dyDescent="0.25"/>
    <row r="112" spans="2:11" x14ac:dyDescent="0.25">
      <c r="B112"/>
      <c r="C112"/>
      <c r="D112"/>
    </row>
    <row r="114" spans="2:14" x14ac:dyDescent="0.25">
      <c r="B114" s="1" t="s">
        <v>645</v>
      </c>
    </row>
    <row r="116" spans="2:14" x14ac:dyDescent="0.25">
      <c r="B116" s="24" t="s">
        <v>486</v>
      </c>
      <c r="C116" s="24" t="s">
        <v>498</v>
      </c>
      <c r="D116"/>
      <c r="E116"/>
      <c r="G116" s="1" t="s">
        <v>494</v>
      </c>
    </row>
    <row r="117" spans="2:14" ht="60" x14ac:dyDescent="0.25">
      <c r="B117" s="24" t="s">
        <v>0</v>
      </c>
      <c r="C117" t="s">
        <v>90</v>
      </c>
      <c r="D117" t="s">
        <v>72</v>
      </c>
      <c r="E117" t="s">
        <v>7</v>
      </c>
      <c r="G117" s="92" t="s">
        <v>646</v>
      </c>
      <c r="H117" s="92" t="s">
        <v>3</v>
      </c>
      <c r="I117" s="92" t="s">
        <v>657</v>
      </c>
      <c r="J117" s="92" t="s">
        <v>55</v>
      </c>
      <c r="L117" s="92" t="s">
        <v>646</v>
      </c>
      <c r="M117" s="92" t="s">
        <v>3</v>
      </c>
      <c r="N117" s="92" t="s">
        <v>3</v>
      </c>
    </row>
    <row r="118" spans="2:14" ht="30" x14ac:dyDescent="0.25">
      <c r="B118" s="25" t="s">
        <v>56</v>
      </c>
      <c r="C118" s="87">
        <v>852657060</v>
      </c>
      <c r="D118" s="87">
        <v>1152500000</v>
      </c>
      <c r="E118" s="87">
        <v>2005157060</v>
      </c>
      <c r="G118" s="14" t="s">
        <v>658</v>
      </c>
      <c r="H118" s="95" t="e">
        <f>GETPIVOTDATA("Valor asignado al 2024",$B$116,"Grupo","Aplicaciones","Fuente vigencia ","Inversión BID")</f>
        <v>#REF!</v>
      </c>
      <c r="I118" s="95" t="e">
        <f>GETPIVOTDATA("Valor ejecutado vigencia 2024
Corte 30 de Junio
presupuesto 2024",$B$128,"Grupo","Aplicaciones","Fuente vigencia ","Inversión BID")</f>
        <v>#REF!</v>
      </c>
      <c r="J118" s="195" t="s">
        <v>648</v>
      </c>
      <c r="L118" s="14" t="str">
        <f>G118</f>
        <v>Gestión Documental Mercurio</v>
      </c>
      <c r="M118" s="98" t="e">
        <f>N118/$N$122</f>
        <v>#REF!</v>
      </c>
      <c r="N118" s="95" t="e">
        <f>H118</f>
        <v>#REF!</v>
      </c>
    </row>
    <row r="119" spans="2:14" ht="30" x14ac:dyDescent="0.25">
      <c r="B119" s="25" t="s">
        <v>93</v>
      </c>
      <c r="C119" s="87">
        <v>785365330.24000013</v>
      </c>
      <c r="D119" s="87"/>
      <c r="E119" s="87">
        <v>785365330.24000013</v>
      </c>
      <c r="G119" s="14" t="str">
        <f t="shared" ref="G119:G123" si="7">B119</f>
        <v>Servicios Tecnológicos</v>
      </c>
      <c r="H119" s="95">
        <f>GETPIVOTDATA("Valor asignado al 2024",$B$116,"Grupo","Contratista Persona Natural","Fuente vigencia ","Inversión BID")</f>
        <v>1152500000</v>
      </c>
      <c r="I119" s="95" t="e">
        <f>GETPIVOTDATA("Valor ejecutado vigencia 2024
Corte 30 de Junio
presupuesto 2024",$B$128,"Grupo","Contratista Persona Natural","Fuente vigencia ","Inversión BID")</f>
        <v>#REF!</v>
      </c>
      <c r="J119" s="195" t="s">
        <v>649</v>
      </c>
      <c r="L119" s="14" t="str">
        <f t="shared" ref="L119" si="8">G119</f>
        <v>Servicios Tecnológicos</v>
      </c>
      <c r="M119" s="98" t="e">
        <f t="shared" ref="M119:M121" si="9">N119/$N$122</f>
        <v>#REF!</v>
      </c>
      <c r="N119" s="95">
        <f>H119</f>
        <v>1152500000</v>
      </c>
    </row>
    <row r="120" spans="2:14" hidden="1" x14ac:dyDescent="0.25">
      <c r="B120" s="25" t="s">
        <v>647</v>
      </c>
      <c r="C120" s="87">
        <v>205834882.31999999</v>
      </c>
      <c r="D120" s="87"/>
      <c r="E120" s="87">
        <v>205834882.31999999</v>
      </c>
      <c r="G120" s="14"/>
      <c r="H120" s="95"/>
      <c r="I120" s="95"/>
      <c r="J120" s="7"/>
      <c r="L120" s="14" t="str">
        <f>G122</f>
        <v>Conciliaciones extrajudiciales</v>
      </c>
      <c r="M120" s="98" t="e">
        <f t="shared" si="9"/>
        <v>#REF!</v>
      </c>
      <c r="N120" s="95" t="e">
        <f>H122</f>
        <v>#REF!</v>
      </c>
    </row>
    <row r="121" spans="2:14" hidden="1" x14ac:dyDescent="0.25">
      <c r="B121" s="25" t="s">
        <v>305</v>
      </c>
      <c r="C121" s="87"/>
      <c r="D121" s="87">
        <v>669139863.29999995</v>
      </c>
      <c r="E121" s="87">
        <v>669139863.29999995</v>
      </c>
      <c r="G121" s="14"/>
      <c r="H121" s="95"/>
      <c r="I121" s="95"/>
      <c r="J121" s="7"/>
      <c r="L121" s="14" t="str">
        <f>G123</f>
        <v>CRM</v>
      </c>
      <c r="M121" s="98" t="e">
        <f t="shared" si="9"/>
        <v>#REF!</v>
      </c>
      <c r="N121" s="95">
        <f>H123</f>
        <v>669139863.29999995</v>
      </c>
    </row>
    <row r="122" spans="2:14" x14ac:dyDescent="0.25">
      <c r="B122" s="25" t="s">
        <v>713</v>
      </c>
      <c r="C122" s="87"/>
      <c r="D122" s="87">
        <v>944981058</v>
      </c>
      <c r="E122" s="87">
        <v>944981058</v>
      </c>
      <c r="G122" s="14" t="str">
        <f t="shared" si="7"/>
        <v>Conciliaciones extrajudiciales</v>
      </c>
      <c r="H122" s="95" t="e">
        <f>GETPIVOTDATA("Valor asignado al 2024",$B$116,"Grupo","Fábrica de software","Fuente vigencia ","Inversión BID")</f>
        <v>#REF!</v>
      </c>
      <c r="I122" s="95" t="e">
        <f>GETPIVOTDATA("Valor ejecutado vigencia 2024
Corte 30 de Junio
presupuesto 2024",$B$128,"Grupo","Fábrica de software","Fuente vigencia ","Inversión BID")</f>
        <v>#REF!</v>
      </c>
      <c r="J122" s="195" t="s">
        <v>650</v>
      </c>
      <c r="L122" s="197" t="s">
        <v>496</v>
      </c>
      <c r="N122" s="94" t="e">
        <f>SUM(N118:N121)</f>
        <v>#REF!</v>
      </c>
    </row>
    <row r="123" spans="2:14" ht="30" x14ac:dyDescent="0.25">
      <c r="B123" s="25" t="s">
        <v>371</v>
      </c>
      <c r="C123" s="87"/>
      <c r="D123" s="87">
        <v>99651170</v>
      </c>
      <c r="E123" s="87">
        <v>99651170</v>
      </c>
      <c r="G123" s="14" t="str">
        <f t="shared" si="7"/>
        <v>CRM</v>
      </c>
      <c r="H123" s="95">
        <f>GETPIVOTDATA("Valor asignado al 2024",$B$116,"Grupo","Seguridad","Fuente vigencia ","Inversión BID")</f>
        <v>669139863.29999995</v>
      </c>
      <c r="I123" s="95" t="e">
        <f>GETPIVOTDATA("Valor ejecutado vigencia 2024
Corte 30 de Junio
presupuesto 2024",$B$128,"Grupo","Seguridad","Fuente vigencia ","Inversión BID")</f>
        <v>#REF!</v>
      </c>
      <c r="J123" s="195" t="s">
        <v>651</v>
      </c>
    </row>
    <row r="124" spans="2:14" x14ac:dyDescent="0.25">
      <c r="B124" s="25" t="s">
        <v>714</v>
      </c>
      <c r="C124" s="87"/>
      <c r="D124" s="87">
        <v>997302719.26999998</v>
      </c>
      <c r="E124" s="87">
        <v>997302719.26999998</v>
      </c>
      <c r="G124" s="96" t="s">
        <v>496</v>
      </c>
      <c r="H124" s="94" t="e">
        <f>SUM(H118:H123)</f>
        <v>#REF!</v>
      </c>
      <c r="I124" s="94" t="e">
        <f>SUM(I118:I123)</f>
        <v>#REF!</v>
      </c>
    </row>
    <row r="125" spans="2:14" x14ac:dyDescent="0.25">
      <c r="B125" s="25" t="s">
        <v>221</v>
      </c>
      <c r="C125" s="87"/>
      <c r="D125" s="87">
        <v>403355022</v>
      </c>
      <c r="E125" s="87">
        <v>403355022</v>
      </c>
    </row>
    <row r="126" spans="2:14" x14ac:dyDescent="0.25">
      <c r="B126" s="25" t="s">
        <v>7</v>
      </c>
      <c r="C126" s="87">
        <v>1843857272.5600002</v>
      </c>
      <c r="D126" s="87">
        <v>4266929832.5700002</v>
      </c>
      <c r="E126" s="87">
        <v>6110787105.1300011</v>
      </c>
    </row>
    <row r="127" spans="2:14" x14ac:dyDescent="0.25">
      <c r="B127"/>
      <c r="C127"/>
      <c r="D127"/>
      <c r="E127"/>
    </row>
    <row r="128" spans="2:14" x14ac:dyDescent="0.25">
      <c r="B128"/>
      <c r="C128" s="24" t="s">
        <v>498</v>
      </c>
      <c r="D128"/>
      <c r="E128"/>
    </row>
    <row r="129" spans="2:14" x14ac:dyDescent="0.25">
      <c r="B129" s="24" t="s">
        <v>0</v>
      </c>
      <c r="C129" t="s">
        <v>90</v>
      </c>
      <c r="D129" t="s">
        <v>72</v>
      </c>
      <c r="E129" t="s">
        <v>7</v>
      </c>
      <c r="G129" s="1" t="s">
        <v>90</v>
      </c>
    </row>
    <row r="130" spans="2:14" ht="60" x14ac:dyDescent="0.25">
      <c r="B130" s="25" t="s">
        <v>56</v>
      </c>
      <c r="C130" s="194"/>
      <c r="D130" s="194"/>
      <c r="E130" s="194"/>
      <c r="G130" s="92" t="s">
        <v>646</v>
      </c>
      <c r="H130" s="92" t="s">
        <v>3</v>
      </c>
      <c r="I130" s="92" t="s">
        <v>657</v>
      </c>
      <c r="J130" s="92" t="s">
        <v>55</v>
      </c>
      <c r="L130" s="92" t="s">
        <v>646</v>
      </c>
      <c r="M130" s="92" t="s">
        <v>3</v>
      </c>
      <c r="N130" s="92" t="s">
        <v>3</v>
      </c>
    </row>
    <row r="131" spans="2:14" hidden="1" x14ac:dyDescent="0.25">
      <c r="B131" s="25" t="s">
        <v>647</v>
      </c>
      <c r="C131" s="194"/>
      <c r="D131" s="194"/>
      <c r="E131" s="194"/>
      <c r="G131" s="7" t="str">
        <f>B118</f>
        <v>Contratista Persona Natural</v>
      </c>
      <c r="I131" s="95"/>
      <c r="J131" s="195"/>
      <c r="L131" s="14" t="str">
        <f>G132</f>
        <v>Servicios Tecnológicos</v>
      </c>
      <c r="M131" s="98">
        <f>N131/$N$134</f>
        <v>0.46243116139687762</v>
      </c>
      <c r="N131" s="95">
        <f>H132</f>
        <v>852657060</v>
      </c>
    </row>
    <row r="132" spans="2:14" ht="30" x14ac:dyDescent="0.25">
      <c r="B132" s="25" t="s">
        <v>305</v>
      </c>
      <c r="C132" s="194"/>
      <c r="D132" s="194"/>
      <c r="E132" s="194"/>
      <c r="G132" s="7" t="str">
        <f>B119</f>
        <v>Servicios Tecnológicos</v>
      </c>
      <c r="H132" s="95">
        <f>GETPIVOTDATA("Valor asignado al 2024",$B$116,"Grupo","Contratista Persona Natural","Fuente vigencia ","Funcionamiento")</f>
        <v>852657060</v>
      </c>
      <c r="I132" s="95" t="e">
        <f>GETPIVOTDATA("Valor ejecutado vigencia 2024
Corte 30 de Junio
presupuesto 2024",$B$128,"Grupo","Contratista Persona Natural","Fuente vigencia ","Funcionamiento")</f>
        <v>#REF!</v>
      </c>
      <c r="J132" s="195" t="s">
        <v>652</v>
      </c>
      <c r="L132" s="14" t="str">
        <f>G133</f>
        <v>Renovaciones, suscripciones, licencias</v>
      </c>
      <c r="M132" s="98">
        <f t="shared" ref="M132:M133" si="10">N132/$N$134</f>
        <v>0.42593607538266975</v>
      </c>
      <c r="N132" s="95">
        <f>H133</f>
        <v>785365330.24000013</v>
      </c>
    </row>
    <row r="133" spans="2:14" ht="75" x14ac:dyDescent="0.25">
      <c r="B133" s="25" t="s">
        <v>93</v>
      </c>
      <c r="C133" s="194"/>
      <c r="D133" s="194"/>
      <c r="E133" s="194"/>
      <c r="G133" s="7" t="str">
        <f t="shared" ref="G133:G136" si="11">B120</f>
        <v>Renovaciones, suscripciones, licencias</v>
      </c>
      <c r="H133" s="95">
        <f>GETPIVOTDATA("Valor asignado al 2024",$B$116,"Grupo","Servicios Tecnológicos","Fuente vigencia ","Funcionamiento")</f>
        <v>785365330.24000013</v>
      </c>
      <c r="I133" s="95" t="e">
        <f>GETPIVOTDATA("Valor ejecutado vigencia 2024
Corte 30 de Junio
presupuesto 2024",$B$128,"Grupo","Servicios Tecnológicos","Fuente vigencia ","Funcionamiento")</f>
        <v>#REF!</v>
      </c>
      <c r="J133" s="7" t="s">
        <v>653</v>
      </c>
      <c r="L133" s="14" t="str">
        <f>G134</f>
        <v>Seguridad</v>
      </c>
      <c r="M133" s="98">
        <f t="shared" si="10"/>
        <v>0.11163276322045258</v>
      </c>
      <c r="N133" s="95">
        <f>H134</f>
        <v>205834882.31999999</v>
      </c>
    </row>
    <row r="134" spans="2:14" ht="45" x14ac:dyDescent="0.25">
      <c r="B134" s="25" t="s">
        <v>713</v>
      </c>
      <c r="C134" s="194"/>
      <c r="D134" s="194"/>
      <c r="E134" s="194"/>
      <c r="G134" s="7" t="str">
        <f t="shared" si="11"/>
        <v>Seguridad</v>
      </c>
      <c r="H134" s="95">
        <f>GETPIVOTDATA("Valor asignado al 2024",$B$116,"Grupo","Renovaciones, suscripciones, licencias","Fuente vigencia ","Funcionamiento")</f>
        <v>205834882.31999999</v>
      </c>
      <c r="I134" s="95" t="e">
        <f>GETPIVOTDATA("Valor ejecutado vigencia 2024
Corte 30 de Junio
presupuesto 2024",$B$128,"Grupo","Renovaciones, suscripciones, licencias","Fuente vigencia ","Funcionamiento")</f>
        <v>#REF!</v>
      </c>
      <c r="J134" s="195" t="s">
        <v>654</v>
      </c>
      <c r="L134" s="197" t="s">
        <v>496</v>
      </c>
      <c r="N134" s="94">
        <f>SUM(N131:N133)</f>
        <v>1843857272.5600002</v>
      </c>
    </row>
    <row r="135" spans="2:14" hidden="1" x14ac:dyDescent="0.25">
      <c r="B135" s="25" t="s">
        <v>371</v>
      </c>
      <c r="C135" s="194"/>
      <c r="D135" s="194"/>
      <c r="E135" s="194"/>
      <c r="G135" s="7" t="str">
        <f t="shared" si="11"/>
        <v>Conciliaciones extrajudiciales</v>
      </c>
      <c r="H135" s="95"/>
      <c r="I135" s="95"/>
      <c r="J135" s="195"/>
    </row>
    <row r="136" spans="2:14" hidden="1" x14ac:dyDescent="0.25">
      <c r="B136" s="25" t="s">
        <v>714</v>
      </c>
      <c r="C136" s="194"/>
      <c r="D136" s="194"/>
      <c r="E136" s="194"/>
      <c r="G136" s="7" t="str">
        <f t="shared" si="11"/>
        <v>CRM</v>
      </c>
      <c r="H136" s="95"/>
      <c r="I136" s="95"/>
      <c r="J136" s="195"/>
    </row>
    <row r="137" spans="2:14" x14ac:dyDescent="0.25">
      <c r="B137" s="25" t="s">
        <v>221</v>
      </c>
      <c r="C137" s="194"/>
      <c r="D137" s="194"/>
      <c r="E137" s="194"/>
      <c r="G137" s="96" t="s">
        <v>496</v>
      </c>
      <c r="H137" s="94">
        <f>SUM(H132:H134)</f>
        <v>1843857272.5600002</v>
      </c>
      <c r="I137" s="94" t="e">
        <f>SUM(I132:I134)</f>
        <v>#REF!</v>
      </c>
    </row>
    <row r="138" spans="2:14" x14ac:dyDescent="0.25">
      <c r="B138" s="25" t="s">
        <v>7</v>
      </c>
      <c r="C138" s="87"/>
      <c r="D138" s="87"/>
      <c r="E138" s="87"/>
    </row>
    <row r="139" spans="2:14" x14ac:dyDescent="0.25">
      <c r="B139"/>
      <c r="C139"/>
      <c r="D139"/>
    </row>
    <row r="140" spans="2:14" x14ac:dyDescent="0.25">
      <c r="B140"/>
      <c r="C140"/>
      <c r="D140"/>
    </row>
    <row r="141" spans="2:14" x14ac:dyDescent="0.25">
      <c r="B141"/>
      <c r="C141"/>
      <c r="D141"/>
    </row>
    <row r="142" spans="2:14" x14ac:dyDescent="0.25">
      <c r="B142"/>
      <c r="C142"/>
      <c r="D142"/>
    </row>
    <row r="143" spans="2:14" x14ac:dyDescent="0.25">
      <c r="B143"/>
      <c r="C143"/>
      <c r="D143"/>
    </row>
    <row r="144" spans="2:14" x14ac:dyDescent="0.25">
      <c r="B144"/>
      <c r="C144"/>
      <c r="D144"/>
    </row>
    <row r="145" spans="2:4" x14ac:dyDescent="0.25">
      <c r="B145"/>
      <c r="C145"/>
      <c r="D145"/>
    </row>
  </sheetData>
  <mergeCells count="4">
    <mergeCell ref="B58:E58"/>
    <mergeCell ref="B14:E14"/>
    <mergeCell ref="B70:E70"/>
    <mergeCell ref="G15:I15"/>
  </mergeCells>
  <pageMargins left="0.7" right="0.7" top="0.75" bottom="0.75" header="0.3" footer="0.3"/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C0F8-4D2D-4C43-B64B-8BBA9C8737E6}">
  <sheetPr>
    <pageSetUpPr autoPageBreaks="0"/>
  </sheetPr>
  <dimension ref="A3:F29"/>
  <sheetViews>
    <sheetView topLeftCell="A10" zoomScale="80" zoomScaleNormal="80" zoomScaleSheetLayoutView="100" workbookViewId="0">
      <selection activeCell="D17" sqref="D17"/>
    </sheetView>
  </sheetViews>
  <sheetFormatPr baseColWidth="10" defaultColWidth="11.7109375" defaultRowHeight="14.25" x14ac:dyDescent="0.25"/>
  <cols>
    <col min="1" max="1" width="11.7109375" style="27"/>
    <col min="2" max="2" width="27.42578125" style="27" customWidth="1"/>
    <col min="3" max="3" width="23.7109375" style="27" customWidth="1"/>
    <col min="4" max="4" width="51.7109375" style="27" customWidth="1"/>
    <col min="5" max="5" width="11.7109375" style="33" customWidth="1"/>
    <col min="6" max="6" width="27.28515625" style="33" customWidth="1"/>
    <col min="7" max="16384" width="11.7109375" style="27"/>
  </cols>
  <sheetData>
    <row r="3" spans="1:6" ht="45" x14ac:dyDescent="0.25">
      <c r="A3" s="28" t="s">
        <v>615</v>
      </c>
      <c r="B3" s="28" t="s">
        <v>688</v>
      </c>
      <c r="C3" s="28" t="s">
        <v>26</v>
      </c>
      <c r="D3" s="28" t="s">
        <v>27</v>
      </c>
      <c r="E3" s="40" t="s">
        <v>689</v>
      </c>
      <c r="F3" s="40" t="s">
        <v>691</v>
      </c>
    </row>
    <row r="4" spans="1:6" ht="57" x14ac:dyDescent="0.25">
      <c r="A4" s="47">
        <v>1</v>
      </c>
      <c r="B4" s="29" t="s">
        <v>58</v>
      </c>
      <c r="C4" s="31" t="s">
        <v>65</v>
      </c>
      <c r="D4" s="32" t="s">
        <v>66</v>
      </c>
      <c r="E4" s="45"/>
      <c r="F4" s="45"/>
    </row>
    <row r="5" spans="1:6" ht="57" x14ac:dyDescent="0.25">
      <c r="A5" s="47">
        <v>2</v>
      </c>
      <c r="B5" s="29" t="s">
        <v>58</v>
      </c>
      <c r="C5" s="31" t="s">
        <v>76</v>
      </c>
      <c r="D5" s="32" t="s">
        <v>66</v>
      </c>
      <c r="E5" s="46"/>
      <c r="F5" s="46"/>
    </row>
    <row r="6" spans="1:6" ht="28.5" x14ac:dyDescent="0.25">
      <c r="A6" s="47">
        <v>3</v>
      </c>
      <c r="B6" s="29" t="s">
        <v>83</v>
      </c>
      <c r="C6" s="30" t="s">
        <v>86</v>
      </c>
      <c r="D6" s="32" t="s">
        <v>87</v>
      </c>
      <c r="E6" s="45"/>
      <c r="F6" s="45"/>
    </row>
    <row r="7" spans="1:6" ht="42.75" x14ac:dyDescent="0.25">
      <c r="A7" s="47">
        <v>4</v>
      </c>
      <c r="B7" s="29" t="s">
        <v>139</v>
      </c>
      <c r="C7" s="30" t="s">
        <v>141</v>
      </c>
      <c r="D7" s="32" t="s">
        <v>142</v>
      </c>
      <c r="E7" s="46"/>
      <c r="F7" s="46"/>
    </row>
    <row r="8" spans="1:6" ht="42.75" x14ac:dyDescent="0.25">
      <c r="A8" s="47">
        <v>5</v>
      </c>
      <c r="B8" s="29" t="s">
        <v>139</v>
      </c>
      <c r="C8" s="30" t="s">
        <v>147</v>
      </c>
      <c r="D8" s="32" t="s">
        <v>142</v>
      </c>
      <c r="E8" s="57"/>
      <c r="F8" s="57"/>
    </row>
    <row r="9" spans="1:6" ht="28.5" x14ac:dyDescent="0.25">
      <c r="A9" s="47">
        <v>6</v>
      </c>
      <c r="B9" s="29" t="s">
        <v>152</v>
      </c>
      <c r="C9" s="30" t="s">
        <v>153</v>
      </c>
      <c r="D9" s="32" t="s">
        <v>154</v>
      </c>
      <c r="E9" s="55"/>
      <c r="F9" s="55"/>
    </row>
    <row r="10" spans="1:6" ht="42.75" x14ac:dyDescent="0.25">
      <c r="A10" s="47">
        <v>7</v>
      </c>
      <c r="B10" s="29" t="s">
        <v>159</v>
      </c>
      <c r="C10" s="30" t="s">
        <v>160</v>
      </c>
      <c r="D10" s="32" t="s">
        <v>161</v>
      </c>
      <c r="E10" s="55"/>
      <c r="F10" s="55"/>
    </row>
    <row r="11" spans="1:6" ht="28.5" x14ac:dyDescent="0.25">
      <c r="A11" s="47">
        <v>8</v>
      </c>
      <c r="B11" s="29" t="s">
        <v>166</v>
      </c>
      <c r="C11" s="30" t="s">
        <v>167</v>
      </c>
      <c r="D11" s="32" t="s">
        <v>168</v>
      </c>
      <c r="E11" s="45"/>
      <c r="F11" s="45"/>
    </row>
    <row r="12" spans="1:6" ht="57" x14ac:dyDescent="0.25">
      <c r="A12" s="47">
        <v>9</v>
      </c>
      <c r="B12" s="29" t="s">
        <v>173</v>
      </c>
      <c r="C12" s="30" t="s">
        <v>174</v>
      </c>
      <c r="D12" s="32" t="s">
        <v>175</v>
      </c>
      <c r="E12" s="45"/>
      <c r="F12" s="45"/>
    </row>
    <row r="13" spans="1:6" ht="57" x14ac:dyDescent="0.25">
      <c r="A13" s="47">
        <v>10</v>
      </c>
      <c r="B13" s="29" t="s">
        <v>180</v>
      </c>
      <c r="C13" s="30" t="s">
        <v>181</v>
      </c>
      <c r="D13" s="32" t="s">
        <v>182</v>
      </c>
      <c r="E13" s="45"/>
      <c r="F13" s="45"/>
    </row>
    <row r="14" spans="1:6" ht="57" x14ac:dyDescent="0.25">
      <c r="A14" s="47">
        <v>11</v>
      </c>
      <c r="B14" s="29" t="s">
        <v>187</v>
      </c>
      <c r="C14" s="30" t="s">
        <v>188</v>
      </c>
      <c r="D14" s="32" t="s">
        <v>189</v>
      </c>
      <c r="E14" s="45"/>
      <c r="F14" s="45"/>
    </row>
    <row r="15" spans="1:6" ht="71.25" x14ac:dyDescent="0.25">
      <c r="A15" s="47">
        <v>12</v>
      </c>
      <c r="B15" s="29" t="s">
        <v>194</v>
      </c>
      <c r="C15" s="30" t="s">
        <v>426</v>
      </c>
      <c r="D15" s="32" t="s">
        <v>197</v>
      </c>
      <c r="E15" s="46"/>
      <c r="F15" s="46"/>
    </row>
    <row r="16" spans="1:6" ht="85.5" x14ac:dyDescent="0.25">
      <c r="A16" s="47">
        <v>13</v>
      </c>
      <c r="B16" s="29" t="s">
        <v>284</v>
      </c>
      <c r="C16" s="30" t="s">
        <v>286</v>
      </c>
      <c r="D16" s="32" t="s">
        <v>287</v>
      </c>
      <c r="E16" s="46"/>
      <c r="F16" s="46"/>
    </row>
    <row r="17" spans="1:6" ht="57" x14ac:dyDescent="0.25">
      <c r="A17" s="47">
        <v>14</v>
      </c>
      <c r="B17" s="29" t="s">
        <v>316</v>
      </c>
      <c r="C17" s="30" t="s">
        <v>318</v>
      </c>
      <c r="D17" s="199" t="s">
        <v>319</v>
      </c>
      <c r="E17" s="46"/>
      <c r="F17" s="46"/>
    </row>
    <row r="18" spans="1:6" ht="57" x14ac:dyDescent="0.25">
      <c r="A18" s="47">
        <v>15</v>
      </c>
      <c r="B18" s="29" t="s">
        <v>331</v>
      </c>
      <c r="C18" s="30" t="s">
        <v>332</v>
      </c>
      <c r="D18" s="32" t="s">
        <v>333</v>
      </c>
      <c r="E18" s="46"/>
      <c r="F18" s="46"/>
    </row>
    <row r="19" spans="1:6" ht="57" x14ac:dyDescent="0.25">
      <c r="A19" s="47">
        <v>16</v>
      </c>
      <c r="B19" s="29" t="s">
        <v>316</v>
      </c>
      <c r="C19" s="30" t="s">
        <v>690</v>
      </c>
      <c r="D19" s="32" t="s">
        <v>606</v>
      </c>
      <c r="E19" s="46"/>
      <c r="F19" s="46"/>
    </row>
    <row r="20" spans="1:6" ht="57" x14ac:dyDescent="0.25">
      <c r="A20" s="47">
        <v>17</v>
      </c>
      <c r="B20" s="29" t="s">
        <v>316</v>
      </c>
      <c r="C20" s="30" t="s">
        <v>690</v>
      </c>
      <c r="D20" s="32" t="s">
        <v>607</v>
      </c>
      <c r="E20" s="46"/>
      <c r="F20" s="46"/>
    </row>
    <row r="21" spans="1:6" ht="57" x14ac:dyDescent="0.25">
      <c r="A21" s="47">
        <v>18</v>
      </c>
      <c r="B21" s="29" t="s">
        <v>316</v>
      </c>
      <c r="C21" s="30" t="s">
        <v>690</v>
      </c>
      <c r="D21" s="32" t="s">
        <v>608</v>
      </c>
      <c r="E21" s="46"/>
      <c r="F21" s="46"/>
    </row>
    <row r="22" spans="1:6" ht="85.5" x14ac:dyDescent="0.25">
      <c r="A22" s="47">
        <v>19</v>
      </c>
      <c r="B22" s="29" t="s">
        <v>316</v>
      </c>
      <c r="C22" s="30" t="s">
        <v>690</v>
      </c>
      <c r="D22" s="32" t="s">
        <v>609</v>
      </c>
      <c r="E22" s="46"/>
      <c r="F22" s="46"/>
    </row>
    <row r="23" spans="1:6" ht="85.5" x14ac:dyDescent="0.25">
      <c r="A23" s="47">
        <v>20</v>
      </c>
      <c r="B23" s="29" t="s">
        <v>316</v>
      </c>
      <c r="C23" s="30" t="s">
        <v>690</v>
      </c>
      <c r="D23" s="32" t="s">
        <v>610</v>
      </c>
      <c r="E23" s="46"/>
      <c r="F23" s="46"/>
    </row>
    <row r="24" spans="1:6" x14ac:dyDescent="0.25">
      <c r="A24" s="47"/>
      <c r="B24" s="32"/>
      <c r="C24" s="30"/>
      <c r="D24" s="32"/>
      <c r="E24" s="46"/>
      <c r="F24" s="46"/>
    </row>
    <row r="25" spans="1:6" x14ac:dyDescent="0.25">
      <c r="A25" s="47"/>
      <c r="B25" s="32"/>
      <c r="C25" s="30"/>
      <c r="D25" s="32"/>
      <c r="E25" s="45"/>
      <c r="F25" s="45"/>
    </row>
    <row r="26" spans="1:6" x14ac:dyDescent="0.25">
      <c r="A26" s="47"/>
      <c r="B26" s="32"/>
      <c r="C26" s="30"/>
      <c r="D26" s="32"/>
      <c r="E26" s="45"/>
      <c r="F26" s="45"/>
    </row>
    <row r="27" spans="1:6" x14ac:dyDescent="0.25">
      <c r="A27" s="47"/>
      <c r="B27" s="32"/>
      <c r="C27" s="30"/>
      <c r="D27" s="32"/>
      <c r="E27" s="45"/>
      <c r="F27" s="45"/>
    </row>
    <row r="28" spans="1:6" x14ac:dyDescent="0.25">
      <c r="A28" s="47"/>
      <c r="B28" s="32"/>
      <c r="C28" s="30"/>
      <c r="D28" s="32"/>
      <c r="E28" s="45"/>
      <c r="F28" s="45"/>
    </row>
    <row r="29" spans="1:6" x14ac:dyDescent="0.25">
      <c r="A29" s="47"/>
      <c r="B29" s="32"/>
      <c r="C29" s="30"/>
      <c r="D29" s="32"/>
      <c r="E29" s="57"/>
      <c r="F29" s="57"/>
    </row>
  </sheetData>
  <phoneticPr fontId="14" type="noConversion"/>
  <pageMargins left="0.23622047244094491" right="0.23622047244094491" top="0.74803149606299213" bottom="0.74803149606299213" header="0.31496062992125984" footer="0.31496062992125984"/>
  <pageSetup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6477-3F98-4A46-B9BA-A32FEFEC3910}">
  <sheetPr>
    <pageSetUpPr autoPageBreaks="0"/>
  </sheetPr>
  <dimension ref="A1:AV18"/>
  <sheetViews>
    <sheetView zoomScale="70" zoomScaleNormal="70" zoomScaleSheetLayoutView="100" workbookViewId="0">
      <pane ySplit="1" topLeftCell="A8" activePane="bottomLeft" state="frozen"/>
      <selection pane="bottomLeft" activeCell="H10" sqref="H10"/>
    </sheetView>
  </sheetViews>
  <sheetFormatPr baseColWidth="10" defaultColWidth="11.7109375" defaultRowHeight="14.25" x14ac:dyDescent="0.25"/>
  <cols>
    <col min="1" max="2" width="11.7109375" style="27"/>
    <col min="3" max="3" width="11.7109375" style="62"/>
    <col min="4" max="4" width="11.7109375" style="27"/>
    <col min="5" max="5" width="21" style="27" customWidth="1"/>
    <col min="6" max="7" width="11.7109375" style="27"/>
    <col min="8" max="11" width="11.7109375" style="42"/>
    <col min="12" max="12" width="11.7109375" style="27"/>
    <col min="13" max="13" width="11.7109375" style="42" customWidth="1"/>
    <col min="14" max="14" width="11.7109375" style="42" hidden="1" customWidth="1"/>
    <col min="15" max="15" width="11.7109375" style="27" hidden="1" customWidth="1"/>
    <col min="16" max="16" width="25.28515625" style="27" hidden="1" customWidth="1"/>
    <col min="17" max="18" width="11.7109375" style="27" hidden="1" customWidth="1"/>
    <col min="19" max="19" width="23.7109375" style="27" hidden="1" customWidth="1"/>
    <col min="20" max="20" width="51.7109375" style="27" customWidth="1"/>
    <col min="21" max="21" width="11.7109375" style="33" customWidth="1"/>
    <col min="22" max="32" width="11.7109375" style="27" customWidth="1"/>
    <col min="33" max="33" width="19.7109375" style="27" customWidth="1"/>
    <col min="34" max="34" width="17.42578125" style="27" customWidth="1"/>
    <col min="35" max="35" width="19.7109375" style="27" customWidth="1"/>
    <col min="36" max="37" width="18" style="27" customWidth="1"/>
    <col min="38" max="38" width="16.7109375" style="27" customWidth="1"/>
    <col min="39" max="40" width="19.7109375" style="27" customWidth="1"/>
    <col min="41" max="41" width="18.7109375" style="27" customWidth="1"/>
    <col min="42" max="43" width="16.7109375" style="27" customWidth="1"/>
    <col min="44" max="44" width="11.7109375" style="27" customWidth="1"/>
    <col min="45" max="45" width="18" style="27" customWidth="1"/>
    <col min="46" max="46" width="20.28515625" style="27" customWidth="1"/>
    <col min="47" max="47" width="82.7109375" style="27" customWidth="1"/>
    <col min="48" max="48" width="71.5703125" style="27" customWidth="1"/>
    <col min="49" max="16384" width="11.7109375" style="27"/>
  </cols>
  <sheetData>
    <row r="1" spans="1:48" ht="105" x14ac:dyDescent="0.25">
      <c r="A1" s="28" t="s">
        <v>615</v>
      </c>
      <c r="B1" s="28" t="s">
        <v>10</v>
      </c>
      <c r="C1" s="60" t="s">
        <v>11</v>
      </c>
      <c r="D1" s="28" t="s">
        <v>12</v>
      </c>
      <c r="E1" s="28" t="s">
        <v>13</v>
      </c>
      <c r="F1" s="28" t="s">
        <v>14</v>
      </c>
      <c r="G1" s="28" t="s">
        <v>15</v>
      </c>
      <c r="H1" s="40" t="s">
        <v>16</v>
      </c>
      <c r="I1" s="40" t="s">
        <v>17</v>
      </c>
      <c r="J1" s="40" t="s">
        <v>18</v>
      </c>
      <c r="K1" s="40" t="s">
        <v>19</v>
      </c>
      <c r="L1" s="28" t="s">
        <v>38</v>
      </c>
      <c r="M1" s="40" t="s">
        <v>20</v>
      </c>
      <c r="N1" s="40" t="s">
        <v>21</v>
      </c>
      <c r="O1" s="28" t="s">
        <v>22</v>
      </c>
      <c r="P1" s="28" t="s">
        <v>23</v>
      </c>
      <c r="Q1" s="28" t="s">
        <v>24</v>
      </c>
      <c r="R1" s="28" t="s">
        <v>25</v>
      </c>
      <c r="S1" s="28" t="s">
        <v>26</v>
      </c>
      <c r="T1" s="28" t="s">
        <v>27</v>
      </c>
      <c r="U1" s="40" t="s">
        <v>28</v>
      </c>
      <c r="V1" s="28" t="s">
        <v>29</v>
      </c>
      <c r="W1" s="28" t="s">
        <v>30</v>
      </c>
      <c r="X1" s="28" t="s">
        <v>31</v>
      </c>
      <c r="Y1" s="28" t="s">
        <v>32</v>
      </c>
      <c r="Z1" s="28" t="s">
        <v>33</v>
      </c>
      <c r="AA1" s="28" t="s">
        <v>34</v>
      </c>
      <c r="AB1" s="28" t="s">
        <v>35</v>
      </c>
      <c r="AC1" s="28" t="s">
        <v>36</v>
      </c>
      <c r="AD1" s="28" t="s">
        <v>37</v>
      </c>
      <c r="AE1" s="28" t="s">
        <v>616</v>
      </c>
      <c r="AF1" s="28" t="s">
        <v>39</v>
      </c>
      <c r="AG1" s="28" t="s">
        <v>40</v>
      </c>
      <c r="AH1" s="28" t="s">
        <v>41</v>
      </c>
      <c r="AI1" s="28" t="s">
        <v>42</v>
      </c>
      <c r="AJ1" s="28" t="s">
        <v>43</v>
      </c>
      <c r="AK1" s="28" t="s">
        <v>44</v>
      </c>
      <c r="AL1" s="28" t="s">
        <v>45</v>
      </c>
      <c r="AM1" s="28" t="s">
        <v>46</v>
      </c>
      <c r="AN1" s="28" t="s">
        <v>47</v>
      </c>
      <c r="AO1" s="28" t="s">
        <v>48</v>
      </c>
      <c r="AP1" s="28" t="s">
        <v>49</v>
      </c>
      <c r="AQ1" s="28" t="s">
        <v>50</v>
      </c>
      <c r="AR1" s="28" t="s">
        <v>51</v>
      </c>
      <c r="AS1" s="28" t="s">
        <v>52</v>
      </c>
      <c r="AT1" s="28" t="s">
        <v>53</v>
      </c>
      <c r="AU1" s="28" t="s">
        <v>54</v>
      </c>
      <c r="AV1" s="28" t="s">
        <v>55</v>
      </c>
    </row>
    <row r="2" spans="1:48" ht="129" customHeight="1" x14ac:dyDescent="0.25">
      <c r="A2" s="47">
        <v>37</v>
      </c>
      <c r="B2" s="47">
        <v>4</v>
      </c>
      <c r="C2" s="176" t="s">
        <v>378</v>
      </c>
      <c r="D2" s="177" t="s">
        <v>379</v>
      </c>
      <c r="E2" s="178" t="s">
        <v>93</v>
      </c>
      <c r="F2" s="178" t="s">
        <v>305</v>
      </c>
      <c r="G2" s="178" t="s">
        <v>380</v>
      </c>
      <c r="H2" s="179" t="s">
        <v>59</v>
      </c>
      <c r="I2" s="179" t="s">
        <v>60</v>
      </c>
      <c r="J2" s="179">
        <v>2024</v>
      </c>
      <c r="K2" s="179">
        <v>84</v>
      </c>
      <c r="L2" s="180" t="s">
        <v>90</v>
      </c>
      <c r="M2" s="178" t="s">
        <v>59</v>
      </c>
      <c r="N2" s="178" t="s">
        <v>5</v>
      </c>
      <c r="O2" s="177" t="s">
        <v>110</v>
      </c>
      <c r="P2" s="177" t="s">
        <v>71</v>
      </c>
      <c r="Q2" s="177"/>
      <c r="R2" s="177" t="s">
        <v>64</v>
      </c>
      <c r="S2" s="181"/>
      <c r="T2" s="177" t="s">
        <v>381</v>
      </c>
      <c r="U2" s="57"/>
      <c r="V2" s="30"/>
      <c r="W2" s="35"/>
      <c r="X2" s="68">
        <v>0</v>
      </c>
      <c r="Y2" s="36"/>
      <c r="Z2" s="36"/>
      <c r="AA2" s="36"/>
      <c r="AB2" s="36"/>
      <c r="AC2" s="36"/>
      <c r="AD2" s="36"/>
      <c r="AE2" s="30" t="s">
        <v>267</v>
      </c>
      <c r="AF2" s="30" t="s">
        <v>267</v>
      </c>
      <c r="AG2" s="38"/>
      <c r="AH2" s="38">
        <v>0</v>
      </c>
      <c r="AI2" s="38">
        <f t="shared" ref="AI2:AI11" si="0">AG2+AH2</f>
        <v>0</v>
      </c>
      <c r="AJ2" s="38"/>
      <c r="AK2" s="66"/>
      <c r="AL2" s="38"/>
      <c r="AM2" s="38">
        <v>4500000</v>
      </c>
      <c r="AN2" s="38">
        <f t="shared" ref="AN2:AN11" si="1">IF(M2="Si",(AM2-AG2),0)</f>
        <v>4500000</v>
      </c>
      <c r="AO2" s="38"/>
      <c r="AP2" s="66"/>
      <c r="AQ2" s="38"/>
      <c r="AR2" s="54">
        <f t="shared" ref="AR2:AR11" si="2">IF(AK2=0,0,ROUND(AP2/AK2,2))</f>
        <v>0</v>
      </c>
      <c r="AS2" s="65">
        <f t="shared" ref="AS2:AS11" si="3">AK2-AP2</f>
        <v>0</v>
      </c>
      <c r="AT2" s="30"/>
      <c r="AU2" s="30"/>
      <c r="AV2" s="32"/>
    </row>
    <row r="3" spans="1:48" ht="57" x14ac:dyDescent="0.25">
      <c r="A3" s="47">
        <v>38</v>
      </c>
      <c r="B3" s="47">
        <v>5</v>
      </c>
      <c r="C3" s="176"/>
      <c r="D3" s="177"/>
      <c r="E3" s="178" t="s">
        <v>93</v>
      </c>
      <c r="F3" s="178" t="s">
        <v>272</v>
      </c>
      <c r="G3" s="178" t="s">
        <v>382</v>
      </c>
      <c r="H3" s="179" t="s">
        <v>59</v>
      </c>
      <c r="I3" s="179" t="s">
        <v>60</v>
      </c>
      <c r="J3" s="179">
        <v>2024</v>
      </c>
      <c r="K3" s="179">
        <v>87</v>
      </c>
      <c r="L3" s="180" t="s">
        <v>90</v>
      </c>
      <c r="M3" s="178" t="s">
        <v>59</v>
      </c>
      <c r="N3" s="178" t="s">
        <v>5</v>
      </c>
      <c r="O3" s="177" t="s">
        <v>110</v>
      </c>
      <c r="P3" s="177" t="s">
        <v>71</v>
      </c>
      <c r="Q3" s="177"/>
      <c r="R3" s="177" t="s">
        <v>64</v>
      </c>
      <c r="S3" s="181"/>
      <c r="T3" s="177" t="s">
        <v>383</v>
      </c>
      <c r="U3" s="45"/>
      <c r="V3" s="30"/>
      <c r="W3" s="35"/>
      <c r="X3" s="68">
        <v>0</v>
      </c>
      <c r="Y3" s="36"/>
      <c r="Z3" s="36"/>
      <c r="AA3" s="36"/>
      <c r="AB3" s="36"/>
      <c r="AC3" s="36"/>
      <c r="AD3" s="36"/>
      <c r="AE3" s="30" t="s">
        <v>104</v>
      </c>
      <c r="AF3" s="30" t="s">
        <v>104</v>
      </c>
      <c r="AG3" s="38"/>
      <c r="AH3" s="38">
        <v>0</v>
      </c>
      <c r="AI3" s="38">
        <f t="shared" si="0"/>
        <v>0</v>
      </c>
      <c r="AJ3" s="38"/>
      <c r="AK3" s="66"/>
      <c r="AL3" s="38"/>
      <c r="AM3" s="38">
        <v>270000000</v>
      </c>
      <c r="AN3" s="38">
        <f t="shared" si="1"/>
        <v>270000000</v>
      </c>
      <c r="AO3" s="38"/>
      <c r="AP3" s="66"/>
      <c r="AQ3" s="38"/>
      <c r="AR3" s="54">
        <f t="shared" si="2"/>
        <v>0</v>
      </c>
      <c r="AS3" s="65">
        <f t="shared" si="3"/>
        <v>0</v>
      </c>
      <c r="AT3" s="30"/>
      <c r="AU3" s="30"/>
      <c r="AV3" s="32"/>
    </row>
    <row r="4" spans="1:48" ht="42.75" x14ac:dyDescent="0.25">
      <c r="A4" s="47">
        <v>47</v>
      </c>
      <c r="B4" s="47">
        <v>14</v>
      </c>
      <c r="C4" s="176">
        <v>81112501</v>
      </c>
      <c r="D4" s="177" t="s">
        <v>379</v>
      </c>
      <c r="E4" s="178" t="s">
        <v>93</v>
      </c>
      <c r="F4" s="178" t="s">
        <v>272</v>
      </c>
      <c r="G4" s="178" t="s">
        <v>384</v>
      </c>
      <c r="H4" s="179" t="s">
        <v>59</v>
      </c>
      <c r="I4" s="179" t="s">
        <v>60</v>
      </c>
      <c r="J4" s="179">
        <v>2024</v>
      </c>
      <c r="K4" s="179">
        <v>88</v>
      </c>
      <c r="L4" s="180" t="s">
        <v>90</v>
      </c>
      <c r="M4" s="178" t="s">
        <v>59</v>
      </c>
      <c r="N4" s="178" t="s">
        <v>5</v>
      </c>
      <c r="O4" s="177" t="s">
        <v>385</v>
      </c>
      <c r="P4" s="177" t="s">
        <v>71</v>
      </c>
      <c r="Q4" s="177"/>
      <c r="R4" s="177" t="s">
        <v>64</v>
      </c>
      <c r="S4" s="181"/>
      <c r="T4" s="177" t="s">
        <v>386</v>
      </c>
      <c r="U4" s="45"/>
      <c r="V4" s="30"/>
      <c r="W4" s="35"/>
      <c r="X4" s="68">
        <v>0</v>
      </c>
      <c r="Y4" s="36"/>
      <c r="Z4" s="36"/>
      <c r="AA4" s="36"/>
      <c r="AB4" s="36"/>
      <c r="AC4" s="36"/>
      <c r="AD4" s="36"/>
      <c r="AE4" s="30" t="s">
        <v>267</v>
      </c>
      <c r="AF4" s="30" t="s">
        <v>267</v>
      </c>
      <c r="AG4" s="38"/>
      <c r="AH4" s="38">
        <v>0</v>
      </c>
      <c r="AI4" s="38">
        <f t="shared" si="0"/>
        <v>0</v>
      </c>
      <c r="AJ4" s="38"/>
      <c r="AK4" s="66"/>
      <c r="AL4" s="38"/>
      <c r="AM4" s="38">
        <v>18000000</v>
      </c>
      <c r="AN4" s="38">
        <f t="shared" si="1"/>
        <v>18000000</v>
      </c>
      <c r="AO4" s="38"/>
      <c r="AP4" s="66"/>
      <c r="AQ4" s="38"/>
      <c r="AR4" s="54">
        <f t="shared" si="2"/>
        <v>0</v>
      </c>
      <c r="AS4" s="65">
        <f t="shared" si="3"/>
        <v>0</v>
      </c>
      <c r="AT4" s="30"/>
      <c r="AU4" s="43"/>
      <c r="AV4" s="32"/>
    </row>
    <row r="5" spans="1:48" ht="99.75" x14ac:dyDescent="0.25">
      <c r="A5" s="47">
        <v>48</v>
      </c>
      <c r="B5" s="47">
        <v>15</v>
      </c>
      <c r="C5" s="176"/>
      <c r="D5" s="177"/>
      <c r="E5" s="178" t="s">
        <v>93</v>
      </c>
      <c r="F5" s="178" t="s">
        <v>119</v>
      </c>
      <c r="G5" s="178" t="s">
        <v>387</v>
      </c>
      <c r="H5" s="179" t="s">
        <v>59</v>
      </c>
      <c r="I5" s="179" t="s">
        <v>60</v>
      </c>
      <c r="J5" s="179">
        <v>2024</v>
      </c>
      <c r="K5" s="179">
        <v>89</v>
      </c>
      <c r="L5" s="180" t="s">
        <v>90</v>
      </c>
      <c r="M5" s="178" t="s">
        <v>59</v>
      </c>
      <c r="N5" s="178" t="s">
        <v>5</v>
      </c>
      <c r="O5" s="177" t="s">
        <v>110</v>
      </c>
      <c r="P5" s="177" t="s">
        <v>71</v>
      </c>
      <c r="Q5" s="177"/>
      <c r="R5" s="177" t="s">
        <v>112</v>
      </c>
      <c r="S5" s="181"/>
      <c r="T5" s="177" t="s">
        <v>388</v>
      </c>
      <c r="U5" s="45"/>
      <c r="V5" s="44"/>
      <c r="W5" s="35"/>
      <c r="X5" s="68">
        <v>0</v>
      </c>
      <c r="Y5" s="36"/>
      <c r="Z5" s="36"/>
      <c r="AA5" s="36"/>
      <c r="AB5" s="36"/>
      <c r="AC5" s="36"/>
      <c r="AD5" s="36"/>
      <c r="AE5" s="30" t="s">
        <v>312</v>
      </c>
      <c r="AF5" s="30" t="s">
        <v>312</v>
      </c>
      <c r="AG5" s="38"/>
      <c r="AH5" s="38">
        <v>0</v>
      </c>
      <c r="AI5" s="38">
        <f t="shared" si="0"/>
        <v>0</v>
      </c>
      <c r="AJ5" s="38"/>
      <c r="AK5" s="66"/>
      <c r="AL5" s="38"/>
      <c r="AM5" s="38">
        <v>15000000</v>
      </c>
      <c r="AN5" s="38">
        <f t="shared" si="1"/>
        <v>15000000</v>
      </c>
      <c r="AO5" s="38"/>
      <c r="AP5" s="66"/>
      <c r="AQ5" s="38"/>
      <c r="AR5" s="54">
        <f t="shared" si="2"/>
        <v>0</v>
      </c>
      <c r="AS5" s="65">
        <f t="shared" si="3"/>
        <v>0</v>
      </c>
      <c r="AT5" s="30"/>
      <c r="AU5" s="30"/>
      <c r="AV5" s="32"/>
    </row>
    <row r="6" spans="1:48" ht="71.25" x14ac:dyDescent="0.25">
      <c r="A6" s="47">
        <v>49</v>
      </c>
      <c r="B6" s="47">
        <v>16</v>
      </c>
      <c r="C6" s="176"/>
      <c r="D6" s="177"/>
      <c r="E6" s="178" t="s">
        <v>389</v>
      </c>
      <c r="F6" s="178" t="s">
        <v>212</v>
      </c>
      <c r="G6" s="178" t="s">
        <v>390</v>
      </c>
      <c r="H6" s="179" t="s">
        <v>59</v>
      </c>
      <c r="I6" s="179" t="s">
        <v>60</v>
      </c>
      <c r="J6" s="179">
        <v>2024</v>
      </c>
      <c r="K6" s="179">
        <v>93</v>
      </c>
      <c r="L6" s="180" t="s">
        <v>90</v>
      </c>
      <c r="M6" s="178" t="s">
        <v>59</v>
      </c>
      <c r="N6" s="178" t="s">
        <v>5</v>
      </c>
      <c r="O6" s="177" t="s">
        <v>366</v>
      </c>
      <c r="P6" s="177" t="s">
        <v>71</v>
      </c>
      <c r="Q6" s="177"/>
      <c r="R6" s="177" t="s">
        <v>64</v>
      </c>
      <c r="S6" s="181"/>
      <c r="T6" s="177" t="s">
        <v>391</v>
      </c>
      <c r="U6" s="45"/>
      <c r="V6" s="44"/>
      <c r="W6" s="35"/>
      <c r="X6" s="68">
        <v>0</v>
      </c>
      <c r="Y6" s="36"/>
      <c r="Z6" s="36"/>
      <c r="AA6" s="36"/>
      <c r="AB6" s="36"/>
      <c r="AC6" s="36"/>
      <c r="AD6" s="36"/>
      <c r="AE6" s="30" t="s">
        <v>312</v>
      </c>
      <c r="AF6" s="30" t="s">
        <v>312</v>
      </c>
      <c r="AG6" s="38"/>
      <c r="AH6" s="38">
        <v>0</v>
      </c>
      <c r="AI6" s="38">
        <f t="shared" si="0"/>
        <v>0</v>
      </c>
      <c r="AJ6" s="38"/>
      <c r="AK6" s="66"/>
      <c r="AL6" s="38"/>
      <c r="AM6" s="38">
        <v>38023681</v>
      </c>
      <c r="AN6" s="38">
        <f t="shared" si="1"/>
        <v>38023681</v>
      </c>
      <c r="AO6" s="38"/>
      <c r="AP6" s="66"/>
      <c r="AQ6" s="38"/>
      <c r="AR6" s="54">
        <f t="shared" si="2"/>
        <v>0</v>
      </c>
      <c r="AS6" s="65">
        <f t="shared" si="3"/>
        <v>0</v>
      </c>
      <c r="AT6" s="30"/>
      <c r="AU6" s="43"/>
      <c r="AV6" s="32"/>
    </row>
    <row r="7" spans="1:48" ht="71.25" x14ac:dyDescent="0.25">
      <c r="A7" s="47">
        <v>40</v>
      </c>
      <c r="B7" s="47">
        <v>7</v>
      </c>
      <c r="C7" s="170">
        <v>80111614</v>
      </c>
      <c r="D7" s="171" t="s">
        <v>283</v>
      </c>
      <c r="E7" s="172" t="s">
        <v>56</v>
      </c>
      <c r="F7" s="172" t="s">
        <v>82</v>
      </c>
      <c r="G7" s="172" t="s">
        <v>331</v>
      </c>
      <c r="H7" s="173" t="s">
        <v>59</v>
      </c>
      <c r="I7" s="173" t="s">
        <v>60</v>
      </c>
      <c r="J7" s="173">
        <v>2024</v>
      </c>
      <c r="K7" s="173">
        <v>200</v>
      </c>
      <c r="L7" s="174" t="s">
        <v>72</v>
      </c>
      <c r="M7" s="172" t="s">
        <v>59</v>
      </c>
      <c r="N7" s="172" t="s">
        <v>5</v>
      </c>
      <c r="O7" s="171" t="s">
        <v>61</v>
      </c>
      <c r="P7" s="171" t="s">
        <v>71</v>
      </c>
      <c r="Q7" s="171"/>
      <c r="R7" s="171" t="s">
        <v>64</v>
      </c>
      <c r="S7" s="175" t="s">
        <v>605</v>
      </c>
      <c r="T7" s="171" t="s">
        <v>607</v>
      </c>
      <c r="U7" s="46"/>
      <c r="V7" s="30"/>
      <c r="W7" s="35"/>
      <c r="X7" s="68">
        <v>0</v>
      </c>
      <c r="Y7" s="36"/>
      <c r="Z7" s="36"/>
      <c r="AA7" s="36"/>
      <c r="AB7" s="36"/>
      <c r="AC7" s="36"/>
      <c r="AD7" s="36"/>
      <c r="AE7" s="32" t="s">
        <v>73</v>
      </c>
      <c r="AF7" s="30" t="s">
        <v>302</v>
      </c>
      <c r="AG7" s="38"/>
      <c r="AH7" s="38">
        <v>0</v>
      </c>
      <c r="AI7" s="38">
        <f t="shared" si="0"/>
        <v>0</v>
      </c>
      <c r="AJ7" s="38">
        <v>0</v>
      </c>
      <c r="AK7" s="66"/>
      <c r="AL7" s="38">
        <v>0</v>
      </c>
      <c r="AM7" s="38">
        <v>51000000</v>
      </c>
      <c r="AN7" s="38">
        <f t="shared" si="1"/>
        <v>51000000</v>
      </c>
      <c r="AO7" s="38"/>
      <c r="AP7" s="66">
        <v>0</v>
      </c>
      <c r="AQ7" s="38"/>
      <c r="AR7" s="54">
        <f t="shared" si="2"/>
        <v>0</v>
      </c>
      <c r="AS7" s="65">
        <f t="shared" si="3"/>
        <v>0</v>
      </c>
      <c r="AT7" s="30"/>
      <c r="AU7" s="43"/>
      <c r="AV7" s="32"/>
    </row>
    <row r="8" spans="1:48" ht="129" customHeight="1" x14ac:dyDescent="0.25">
      <c r="A8" s="47">
        <v>41</v>
      </c>
      <c r="B8" s="47">
        <v>8</v>
      </c>
      <c r="C8" s="170">
        <v>80111614</v>
      </c>
      <c r="D8" s="171" t="s">
        <v>612</v>
      </c>
      <c r="E8" s="172" t="s">
        <v>56</v>
      </c>
      <c r="F8" s="172" t="s">
        <v>82</v>
      </c>
      <c r="G8" s="172" t="s">
        <v>331</v>
      </c>
      <c r="H8" s="173" t="s">
        <v>59</v>
      </c>
      <c r="I8" s="173" t="s">
        <v>60</v>
      </c>
      <c r="J8" s="173">
        <v>2024</v>
      </c>
      <c r="K8" s="173">
        <v>201</v>
      </c>
      <c r="L8" s="174" t="s">
        <v>72</v>
      </c>
      <c r="M8" s="172" t="s">
        <v>59</v>
      </c>
      <c r="N8" s="172" t="s">
        <v>5</v>
      </c>
      <c r="O8" s="171" t="s">
        <v>61</v>
      </c>
      <c r="P8" s="171" t="s">
        <v>71</v>
      </c>
      <c r="Q8" s="171"/>
      <c r="R8" s="171" t="s">
        <v>64</v>
      </c>
      <c r="S8" s="175" t="s">
        <v>605</v>
      </c>
      <c r="T8" s="171" t="s">
        <v>608</v>
      </c>
      <c r="U8" s="46"/>
      <c r="V8" s="30"/>
      <c r="W8" s="35"/>
      <c r="X8" s="68">
        <v>0</v>
      </c>
      <c r="Y8" s="36"/>
      <c r="Z8" s="36"/>
      <c r="AA8" s="36"/>
      <c r="AB8" s="36"/>
      <c r="AC8" s="36"/>
      <c r="AD8" s="36"/>
      <c r="AE8" s="32" t="s">
        <v>73</v>
      </c>
      <c r="AF8" s="30" t="s">
        <v>302</v>
      </c>
      <c r="AG8" s="38"/>
      <c r="AH8" s="38">
        <v>0</v>
      </c>
      <c r="AI8" s="38">
        <f t="shared" si="0"/>
        <v>0</v>
      </c>
      <c r="AJ8" s="38">
        <v>0</v>
      </c>
      <c r="AK8" s="66"/>
      <c r="AL8" s="38">
        <v>0</v>
      </c>
      <c r="AM8" s="38">
        <v>51000000</v>
      </c>
      <c r="AN8" s="38">
        <f t="shared" si="1"/>
        <v>51000000</v>
      </c>
      <c r="AO8" s="38"/>
      <c r="AP8" s="66">
        <v>0</v>
      </c>
      <c r="AQ8" s="38"/>
      <c r="AR8" s="54">
        <f t="shared" si="2"/>
        <v>0</v>
      </c>
      <c r="AS8" s="65">
        <f t="shared" si="3"/>
        <v>0</v>
      </c>
      <c r="AT8" s="30"/>
      <c r="AU8" s="43"/>
      <c r="AV8" s="32"/>
    </row>
    <row r="9" spans="1:48" ht="147" customHeight="1" x14ac:dyDescent="0.25">
      <c r="A9" s="47">
        <v>42</v>
      </c>
      <c r="B9" s="47">
        <v>9</v>
      </c>
      <c r="C9" s="170">
        <v>80111614</v>
      </c>
      <c r="D9" s="171" t="s">
        <v>283</v>
      </c>
      <c r="E9" s="172" t="s">
        <v>56</v>
      </c>
      <c r="F9" s="172" t="s">
        <v>82</v>
      </c>
      <c r="G9" s="172" t="s">
        <v>331</v>
      </c>
      <c r="H9" s="173" t="s">
        <v>59</v>
      </c>
      <c r="I9" s="173" t="s">
        <v>60</v>
      </c>
      <c r="J9" s="173">
        <v>2024</v>
      </c>
      <c r="K9" s="173">
        <v>202</v>
      </c>
      <c r="L9" s="174" t="s">
        <v>72</v>
      </c>
      <c r="M9" s="172" t="s">
        <v>59</v>
      </c>
      <c r="N9" s="172" t="s">
        <v>5</v>
      </c>
      <c r="O9" s="171" t="s">
        <v>61</v>
      </c>
      <c r="P9" s="171" t="s">
        <v>71</v>
      </c>
      <c r="Q9" s="171"/>
      <c r="R9" s="171" t="s">
        <v>64</v>
      </c>
      <c r="S9" s="175" t="s">
        <v>605</v>
      </c>
      <c r="T9" s="171" t="s">
        <v>609</v>
      </c>
      <c r="U9" s="46"/>
      <c r="V9" s="30"/>
      <c r="W9" s="35"/>
      <c r="X9" s="68">
        <v>0</v>
      </c>
      <c r="Y9" s="36"/>
      <c r="Z9" s="36"/>
      <c r="AA9" s="36"/>
      <c r="AB9" s="36"/>
      <c r="AC9" s="36"/>
      <c r="AD9" s="36"/>
      <c r="AE9" s="32" t="s">
        <v>73</v>
      </c>
      <c r="AF9" s="30" t="s">
        <v>302</v>
      </c>
      <c r="AG9" s="38"/>
      <c r="AH9" s="38">
        <v>0</v>
      </c>
      <c r="AI9" s="38">
        <f t="shared" si="0"/>
        <v>0</v>
      </c>
      <c r="AJ9" s="38">
        <v>0</v>
      </c>
      <c r="AK9" s="66"/>
      <c r="AL9" s="38">
        <v>0</v>
      </c>
      <c r="AM9" s="38">
        <v>86000000</v>
      </c>
      <c r="AN9" s="38">
        <f t="shared" si="1"/>
        <v>86000000</v>
      </c>
      <c r="AO9" s="38"/>
      <c r="AP9" s="66">
        <v>0</v>
      </c>
      <c r="AQ9" s="38"/>
      <c r="AR9" s="54">
        <f t="shared" si="2"/>
        <v>0</v>
      </c>
      <c r="AS9" s="65">
        <f t="shared" si="3"/>
        <v>0</v>
      </c>
      <c r="AT9" s="30"/>
      <c r="AU9" s="43"/>
      <c r="AV9" s="32"/>
    </row>
    <row r="10" spans="1:48" ht="192.6" customHeight="1" x14ac:dyDescent="0.25">
      <c r="A10" s="47">
        <v>43</v>
      </c>
      <c r="B10" s="47">
        <v>10</v>
      </c>
      <c r="C10" s="170">
        <v>80111614</v>
      </c>
      <c r="D10" s="171" t="s">
        <v>613</v>
      </c>
      <c r="E10" s="172" t="s">
        <v>56</v>
      </c>
      <c r="F10" s="172" t="s">
        <v>82</v>
      </c>
      <c r="G10" s="172" t="s">
        <v>331</v>
      </c>
      <c r="H10" s="173" t="s">
        <v>59</v>
      </c>
      <c r="I10" s="173" t="s">
        <v>60</v>
      </c>
      <c r="J10" s="173">
        <v>2024</v>
      </c>
      <c r="K10" s="173">
        <v>203</v>
      </c>
      <c r="L10" s="174" t="s">
        <v>72</v>
      </c>
      <c r="M10" s="172" t="s">
        <v>59</v>
      </c>
      <c r="N10" s="172" t="s">
        <v>5</v>
      </c>
      <c r="O10" s="171" t="s">
        <v>61</v>
      </c>
      <c r="P10" s="171" t="s">
        <v>71</v>
      </c>
      <c r="Q10" s="171"/>
      <c r="R10" s="171" t="s">
        <v>64</v>
      </c>
      <c r="S10" s="175" t="s">
        <v>605</v>
      </c>
      <c r="T10" s="171" t="s">
        <v>610</v>
      </c>
      <c r="U10" s="46"/>
      <c r="V10" s="34"/>
      <c r="W10" s="35"/>
      <c r="X10" s="68">
        <v>0</v>
      </c>
      <c r="Y10" s="36"/>
      <c r="Z10" s="36"/>
      <c r="AA10" s="36"/>
      <c r="AB10" s="36"/>
      <c r="AC10" s="36"/>
      <c r="AD10" s="36"/>
      <c r="AE10" s="32" t="s">
        <v>73</v>
      </c>
      <c r="AF10" s="30" t="s">
        <v>302</v>
      </c>
      <c r="AG10" s="38"/>
      <c r="AH10" s="38">
        <v>0</v>
      </c>
      <c r="AI10" s="38">
        <f t="shared" si="0"/>
        <v>0</v>
      </c>
      <c r="AJ10" s="38">
        <v>0</v>
      </c>
      <c r="AK10" s="66"/>
      <c r="AL10" s="38">
        <v>0</v>
      </c>
      <c r="AM10" s="38">
        <v>86000000</v>
      </c>
      <c r="AN10" s="38">
        <f t="shared" si="1"/>
        <v>86000000</v>
      </c>
      <c r="AO10" s="38"/>
      <c r="AP10" s="66">
        <v>0</v>
      </c>
      <c r="AQ10" s="38"/>
      <c r="AR10" s="54">
        <f t="shared" si="2"/>
        <v>0</v>
      </c>
      <c r="AS10" s="65">
        <f t="shared" si="3"/>
        <v>0</v>
      </c>
      <c r="AT10" s="30"/>
      <c r="AU10" s="43"/>
      <c r="AV10" s="32"/>
    </row>
    <row r="11" spans="1:48" ht="99.75" x14ac:dyDescent="0.25">
      <c r="A11" s="47">
        <v>44</v>
      </c>
      <c r="B11" s="47">
        <v>11</v>
      </c>
      <c r="C11" s="182" t="s">
        <v>348</v>
      </c>
      <c r="D11" s="183" t="s">
        <v>283</v>
      </c>
      <c r="E11" s="184" t="s">
        <v>93</v>
      </c>
      <c r="F11" s="184" t="s">
        <v>107</v>
      </c>
      <c r="G11" s="184" t="s">
        <v>349</v>
      </c>
      <c r="H11" s="185" t="s">
        <v>59</v>
      </c>
      <c r="I11" s="185" t="s">
        <v>60</v>
      </c>
      <c r="J11" s="185">
        <v>2024</v>
      </c>
      <c r="K11" s="185">
        <v>176</v>
      </c>
      <c r="L11" s="186" t="s">
        <v>345</v>
      </c>
      <c r="M11" s="184" t="s">
        <v>59</v>
      </c>
      <c r="N11" s="184" t="s">
        <v>5</v>
      </c>
      <c r="O11" s="183" t="s">
        <v>61</v>
      </c>
      <c r="P11" s="183"/>
      <c r="Q11" s="183"/>
      <c r="R11" s="183" t="s">
        <v>64</v>
      </c>
      <c r="S11" s="187" t="s">
        <v>350</v>
      </c>
      <c r="T11" s="183" t="s">
        <v>351</v>
      </c>
      <c r="U11" s="57"/>
      <c r="V11" s="30"/>
      <c r="W11" s="35"/>
      <c r="X11" s="68">
        <v>0</v>
      </c>
      <c r="Y11" s="36"/>
      <c r="Z11" s="36"/>
      <c r="AA11" s="36"/>
      <c r="AB11" s="36"/>
      <c r="AC11" s="36"/>
      <c r="AD11" s="36"/>
      <c r="AE11" s="30" t="s">
        <v>312</v>
      </c>
      <c r="AF11" s="30" t="s">
        <v>312</v>
      </c>
      <c r="AG11" s="38"/>
      <c r="AH11" s="38">
        <v>0</v>
      </c>
      <c r="AI11" s="38">
        <f t="shared" si="0"/>
        <v>0</v>
      </c>
      <c r="AJ11" s="38"/>
      <c r="AK11" s="66"/>
      <c r="AL11" s="38"/>
      <c r="AM11" s="38">
        <v>1234647379</v>
      </c>
      <c r="AN11" s="38">
        <f t="shared" si="1"/>
        <v>1234647379</v>
      </c>
      <c r="AO11" s="38"/>
      <c r="AP11" s="66"/>
      <c r="AQ11" s="38"/>
      <c r="AR11" s="54">
        <f t="shared" si="2"/>
        <v>0</v>
      </c>
      <c r="AS11" s="65">
        <f t="shared" si="3"/>
        <v>0</v>
      </c>
      <c r="AT11" s="30"/>
      <c r="AU11" s="30"/>
      <c r="AV11" s="32"/>
    </row>
    <row r="12" spans="1:48" ht="15" x14ac:dyDescent="0.25">
      <c r="A12" s="47"/>
      <c r="B12" s="47"/>
      <c r="C12" s="188"/>
      <c r="D12" s="183"/>
      <c r="E12" s="184"/>
      <c r="F12" s="184"/>
      <c r="G12" s="184"/>
      <c r="H12" s="185"/>
      <c r="I12" s="185"/>
      <c r="J12" s="185"/>
      <c r="K12" s="185"/>
      <c r="L12" s="186"/>
      <c r="M12" s="184"/>
      <c r="N12" s="184"/>
      <c r="O12" s="183"/>
      <c r="P12" s="183"/>
      <c r="Q12" s="183"/>
      <c r="R12" s="183"/>
      <c r="S12" s="187"/>
      <c r="T12" s="183"/>
      <c r="U12" s="46"/>
      <c r="V12" s="30"/>
      <c r="W12" s="35"/>
      <c r="X12" s="68"/>
      <c r="Y12" s="36"/>
      <c r="Z12" s="36"/>
      <c r="AA12" s="36"/>
      <c r="AB12" s="36"/>
      <c r="AC12" s="36"/>
      <c r="AD12" s="36"/>
      <c r="AE12" s="30"/>
      <c r="AF12" s="30"/>
      <c r="AG12" s="38"/>
      <c r="AH12" s="38"/>
      <c r="AI12" s="38"/>
      <c r="AJ12" s="38"/>
      <c r="AK12" s="38"/>
      <c r="AL12" s="38"/>
      <c r="AM12" s="38"/>
      <c r="AN12" s="38"/>
      <c r="AO12" s="38"/>
      <c r="AP12" s="66"/>
      <c r="AQ12" s="38"/>
      <c r="AR12" s="39"/>
      <c r="AS12" s="38"/>
      <c r="AT12" s="30"/>
      <c r="AU12" s="43"/>
      <c r="AV12" s="32"/>
    </row>
    <row r="13" spans="1:48" x14ac:dyDescent="0.25">
      <c r="A13" s="47"/>
      <c r="B13" s="47"/>
      <c r="C13" s="61"/>
      <c r="D13" s="32"/>
      <c r="E13" s="29"/>
      <c r="F13" s="29"/>
      <c r="G13" s="29"/>
      <c r="H13" s="41"/>
      <c r="I13" s="41"/>
      <c r="J13" s="41"/>
      <c r="K13" s="41"/>
      <c r="L13" s="37"/>
      <c r="M13" s="29"/>
      <c r="N13" s="29"/>
      <c r="O13" s="32"/>
      <c r="P13" s="32"/>
      <c r="Q13" s="32"/>
      <c r="R13" s="32"/>
      <c r="S13" s="30"/>
      <c r="T13" s="32"/>
      <c r="U13" s="45"/>
      <c r="V13" s="30"/>
      <c r="W13" s="35"/>
      <c r="X13" s="68"/>
      <c r="Y13" s="36"/>
      <c r="Z13" s="36"/>
      <c r="AA13" s="36"/>
      <c r="AB13" s="36"/>
      <c r="AC13" s="36"/>
      <c r="AD13" s="36"/>
      <c r="AE13" s="32"/>
      <c r="AF13" s="32"/>
      <c r="AG13" s="38"/>
      <c r="AH13" s="38"/>
      <c r="AI13" s="38"/>
      <c r="AJ13" s="38"/>
      <c r="AK13" s="38"/>
      <c r="AL13" s="38"/>
      <c r="AM13" s="38"/>
      <c r="AN13" s="38"/>
      <c r="AO13" s="38"/>
      <c r="AP13" s="66"/>
      <c r="AQ13" s="38"/>
      <c r="AR13" s="39"/>
      <c r="AS13" s="38"/>
      <c r="AT13" s="30"/>
      <c r="AU13" s="30"/>
      <c r="AV13" s="32"/>
    </row>
    <row r="14" spans="1:48" ht="15" x14ac:dyDescent="0.25">
      <c r="A14" s="47"/>
      <c r="B14" s="47"/>
      <c r="C14" s="61"/>
      <c r="D14" s="32"/>
      <c r="E14" s="29"/>
      <c r="F14" s="29"/>
      <c r="G14" s="29"/>
      <c r="H14" s="41"/>
      <c r="I14" s="41"/>
      <c r="J14" s="41"/>
      <c r="K14" s="41"/>
      <c r="L14" s="37"/>
      <c r="M14" s="29"/>
      <c r="N14" s="29"/>
      <c r="O14" s="32"/>
      <c r="P14" s="32"/>
      <c r="Q14" s="32"/>
      <c r="R14" s="32"/>
      <c r="S14" s="30"/>
      <c r="T14" s="32"/>
      <c r="U14" s="45"/>
      <c r="V14" s="30"/>
      <c r="W14" s="35"/>
      <c r="X14" s="68"/>
      <c r="Y14" s="36"/>
      <c r="Z14" s="36"/>
      <c r="AA14" s="36"/>
      <c r="AB14" s="36"/>
      <c r="AC14" s="36"/>
      <c r="AD14" s="36"/>
      <c r="AE14" s="30"/>
      <c r="AF14" s="30"/>
      <c r="AG14" s="38"/>
      <c r="AH14" s="38"/>
      <c r="AI14" s="38"/>
      <c r="AJ14" s="38"/>
      <c r="AK14" s="38"/>
      <c r="AL14" s="38"/>
      <c r="AM14" s="38"/>
      <c r="AN14" s="38"/>
      <c r="AO14" s="38"/>
      <c r="AP14" s="66"/>
      <c r="AQ14" s="38"/>
      <c r="AR14" s="39"/>
      <c r="AS14" s="38"/>
      <c r="AT14" s="30"/>
      <c r="AU14" s="43"/>
      <c r="AV14" s="32"/>
    </row>
    <row r="15" spans="1:48" x14ac:dyDescent="0.25">
      <c r="A15" s="47"/>
      <c r="B15" s="47"/>
      <c r="C15" s="61"/>
      <c r="D15" s="32"/>
      <c r="E15" s="29"/>
      <c r="F15" s="29"/>
      <c r="G15" s="29"/>
      <c r="H15" s="41"/>
      <c r="I15" s="41"/>
      <c r="J15" s="41"/>
      <c r="K15" s="41"/>
      <c r="L15" s="37"/>
      <c r="M15" s="29"/>
      <c r="N15" s="29"/>
      <c r="O15" s="32"/>
      <c r="P15" s="32"/>
      <c r="Q15" s="32"/>
      <c r="R15" s="32"/>
      <c r="S15" s="30"/>
      <c r="T15" s="32"/>
      <c r="U15" s="45"/>
      <c r="V15" s="44"/>
      <c r="W15" s="35"/>
      <c r="X15" s="68"/>
      <c r="Y15" s="36"/>
      <c r="Z15" s="36"/>
      <c r="AA15" s="36"/>
      <c r="AB15" s="36"/>
      <c r="AC15" s="36"/>
      <c r="AD15" s="36"/>
      <c r="AE15" s="30"/>
      <c r="AF15" s="30"/>
      <c r="AG15" s="38"/>
      <c r="AH15" s="38"/>
      <c r="AI15" s="38"/>
      <c r="AJ15" s="38"/>
      <c r="AK15" s="38"/>
      <c r="AL15" s="38"/>
      <c r="AM15" s="38"/>
      <c r="AN15" s="38"/>
      <c r="AO15" s="38"/>
      <c r="AP15" s="66"/>
      <c r="AQ15" s="38"/>
      <c r="AR15" s="39"/>
      <c r="AS15" s="38"/>
      <c r="AT15" s="30"/>
      <c r="AU15" s="30"/>
      <c r="AV15" s="32"/>
    </row>
    <row r="16" spans="1:48" ht="15" x14ac:dyDescent="0.25">
      <c r="A16" s="47"/>
      <c r="B16" s="47"/>
      <c r="C16" s="61"/>
      <c r="D16" s="32"/>
      <c r="E16" s="29"/>
      <c r="F16" s="29"/>
      <c r="G16" s="29"/>
      <c r="H16" s="41"/>
      <c r="I16" s="41"/>
      <c r="J16" s="41"/>
      <c r="K16" s="41"/>
      <c r="L16" s="37"/>
      <c r="M16" s="29"/>
      <c r="N16" s="29"/>
      <c r="O16" s="32"/>
      <c r="P16" s="32"/>
      <c r="Q16" s="32"/>
      <c r="R16" s="32"/>
      <c r="S16" s="30"/>
      <c r="T16" s="32"/>
      <c r="U16" s="45"/>
      <c r="V16" s="44"/>
      <c r="W16" s="35"/>
      <c r="X16" s="68"/>
      <c r="Y16" s="36"/>
      <c r="Z16" s="36"/>
      <c r="AA16" s="36"/>
      <c r="AB16" s="36"/>
      <c r="AC16" s="36"/>
      <c r="AD16" s="36"/>
      <c r="AE16" s="30"/>
      <c r="AF16" s="30"/>
      <c r="AG16" s="38"/>
      <c r="AH16" s="38"/>
      <c r="AI16" s="38"/>
      <c r="AJ16" s="38"/>
      <c r="AK16" s="38"/>
      <c r="AL16" s="38"/>
      <c r="AM16" s="38"/>
      <c r="AN16" s="38"/>
      <c r="AO16" s="38"/>
      <c r="AP16" s="66"/>
      <c r="AQ16" s="38"/>
      <c r="AR16" s="39"/>
      <c r="AS16" s="38"/>
      <c r="AT16" s="30"/>
      <c r="AU16" s="43"/>
      <c r="AV16" s="32"/>
    </row>
    <row r="17" spans="1:48" x14ac:dyDescent="0.25">
      <c r="A17" s="47"/>
      <c r="B17" s="47"/>
      <c r="C17" s="61"/>
      <c r="D17" s="32"/>
      <c r="E17" s="29"/>
      <c r="F17" s="29"/>
      <c r="G17" s="29"/>
      <c r="H17" s="41"/>
      <c r="I17" s="41"/>
      <c r="J17" s="41"/>
      <c r="K17" s="41"/>
      <c r="L17" s="37"/>
      <c r="M17" s="29"/>
      <c r="N17" s="29"/>
      <c r="O17" s="32"/>
      <c r="P17" s="32"/>
      <c r="Q17" s="32"/>
      <c r="R17" s="32"/>
      <c r="S17" s="30"/>
      <c r="T17" s="32"/>
      <c r="U17" s="57"/>
      <c r="V17" s="34"/>
      <c r="W17" s="35"/>
      <c r="X17" s="68"/>
      <c r="Y17" s="36"/>
      <c r="Z17" s="36"/>
      <c r="AA17" s="36"/>
      <c r="AB17" s="36"/>
      <c r="AC17" s="36"/>
      <c r="AD17" s="36"/>
      <c r="AE17" s="30"/>
      <c r="AF17" s="30"/>
      <c r="AG17" s="38"/>
      <c r="AH17" s="38"/>
      <c r="AI17" s="38"/>
      <c r="AJ17" s="38"/>
      <c r="AK17" s="38"/>
      <c r="AL17" s="38"/>
      <c r="AM17" s="38"/>
      <c r="AN17" s="38"/>
      <c r="AO17" s="38"/>
      <c r="AP17" s="66"/>
      <c r="AQ17" s="38"/>
      <c r="AR17" s="39"/>
      <c r="AS17" s="38"/>
      <c r="AT17" s="30"/>
      <c r="AU17" s="30"/>
      <c r="AV17" s="32"/>
    </row>
    <row r="18" spans="1:48" x14ac:dyDescent="0.25">
      <c r="AP18" s="67"/>
    </row>
  </sheetData>
  <pageMargins left="0.23622047244094491" right="0.23622047244094491" top="0.74803149606299213" bottom="0.74803149606299213" header="0.31496062992125984" footer="0.31496062992125984"/>
  <pageSetup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57C4-DB79-45F5-9B31-C4D8EE1D588B}">
  <sheetPr codeName="Hoja7"/>
  <dimension ref="B2:U80"/>
  <sheetViews>
    <sheetView topLeftCell="A2" zoomScaleNormal="100" workbookViewId="0">
      <selection activeCell="S6" sqref="S6"/>
    </sheetView>
  </sheetViews>
  <sheetFormatPr baseColWidth="10" defaultColWidth="11.42578125" defaultRowHeight="15" x14ac:dyDescent="0.25"/>
  <cols>
    <col min="1" max="1" width="5.28515625" customWidth="1"/>
    <col min="2" max="2" width="10" customWidth="1"/>
    <col min="3" max="3" width="16.5703125" customWidth="1"/>
    <col min="4" max="4" width="17.5703125" customWidth="1"/>
    <col min="5" max="5" width="18.7109375" customWidth="1"/>
    <col min="6" max="6" width="23" customWidth="1"/>
    <col min="7" max="7" width="35.28515625" customWidth="1"/>
    <col min="8" max="8" width="20.7109375" customWidth="1"/>
    <col min="9" max="9" width="23.7109375" customWidth="1"/>
    <col min="10" max="10" width="19.28515625" customWidth="1"/>
    <col min="11" max="11" width="23" customWidth="1"/>
    <col min="12" max="12" width="17.28515625" customWidth="1"/>
    <col min="13" max="13" width="19" customWidth="1"/>
    <col min="14" max="14" width="14.42578125" customWidth="1"/>
    <col min="15" max="15" width="17.28515625" customWidth="1"/>
    <col min="16" max="16" width="13" customWidth="1"/>
    <col min="17" max="17" width="14.7109375" customWidth="1"/>
    <col min="18" max="18" width="15.7109375" customWidth="1"/>
    <col min="19" max="19" width="14.85546875" bestFit="1" customWidth="1"/>
    <col min="21" max="21" width="14.85546875" bestFit="1" customWidth="1"/>
  </cols>
  <sheetData>
    <row r="2" spans="2:21" ht="105" x14ac:dyDescent="0.25">
      <c r="B2" s="28" t="s">
        <v>26</v>
      </c>
      <c r="C2" s="28" t="s">
        <v>27</v>
      </c>
      <c r="D2" s="28" t="s">
        <v>29</v>
      </c>
      <c r="E2" s="28" t="s">
        <v>32</v>
      </c>
      <c r="F2" s="28" t="s">
        <v>33</v>
      </c>
      <c r="G2" s="28" t="s">
        <v>34</v>
      </c>
      <c r="H2" s="28" t="s">
        <v>35</v>
      </c>
      <c r="I2" s="28" t="s">
        <v>40</v>
      </c>
      <c r="J2" s="28" t="s">
        <v>41</v>
      </c>
      <c r="K2" s="28" t="s">
        <v>42</v>
      </c>
      <c r="L2" s="28" t="s">
        <v>43</v>
      </c>
      <c r="M2" s="28" t="s">
        <v>44</v>
      </c>
      <c r="N2" s="28" t="s">
        <v>45</v>
      </c>
      <c r="O2" s="28" t="s">
        <v>46</v>
      </c>
      <c r="P2" s="28" t="s">
        <v>47</v>
      </c>
      <c r="Q2" s="28" t="s">
        <v>49</v>
      </c>
      <c r="R2" s="28" t="s">
        <v>50</v>
      </c>
    </row>
    <row r="3" spans="2:21" ht="71.25" x14ac:dyDescent="0.25">
      <c r="B3" s="30" t="s">
        <v>241</v>
      </c>
      <c r="C3" s="70" t="s">
        <v>242</v>
      </c>
      <c r="D3" s="44" t="s">
        <v>244</v>
      </c>
      <c r="E3" s="36">
        <v>45314</v>
      </c>
      <c r="F3" s="36">
        <v>45315</v>
      </c>
      <c r="G3" s="69">
        <v>45315</v>
      </c>
      <c r="H3" s="36">
        <v>45646</v>
      </c>
      <c r="I3" s="38">
        <v>101790360</v>
      </c>
      <c r="J3" s="38">
        <v>0</v>
      </c>
      <c r="K3" s="38">
        <v>101790360</v>
      </c>
      <c r="L3" s="38">
        <v>0</v>
      </c>
      <c r="M3" s="66">
        <v>101790360</v>
      </c>
      <c r="N3" s="38">
        <v>0</v>
      </c>
      <c r="O3" s="38">
        <v>101790360.76000001</v>
      </c>
      <c r="P3" s="38">
        <v>0.76000000536441803</v>
      </c>
      <c r="Q3" s="66">
        <v>2159189.4300000002</v>
      </c>
      <c r="R3" s="38">
        <v>9253669</v>
      </c>
    </row>
    <row r="4" spans="2:21" ht="42.75" x14ac:dyDescent="0.25">
      <c r="B4" s="30" t="s">
        <v>141</v>
      </c>
      <c r="C4" s="70" t="s">
        <v>142</v>
      </c>
      <c r="D4" s="48" t="s">
        <v>144</v>
      </c>
      <c r="E4" s="36">
        <v>45310</v>
      </c>
      <c r="F4" s="36">
        <v>45313</v>
      </c>
      <c r="G4" s="69">
        <v>45314</v>
      </c>
      <c r="H4" s="36">
        <v>45646</v>
      </c>
      <c r="I4" s="38">
        <v>104183350</v>
      </c>
      <c r="J4" s="38">
        <v>0</v>
      </c>
      <c r="K4" s="38">
        <v>104183350</v>
      </c>
      <c r="L4" s="38">
        <v>0</v>
      </c>
      <c r="M4" s="66">
        <v>104183350</v>
      </c>
      <c r="N4" s="38">
        <v>0</v>
      </c>
      <c r="O4" s="38">
        <v>104500000</v>
      </c>
      <c r="P4" s="38">
        <v>316650</v>
      </c>
      <c r="Q4" s="66">
        <v>2533333</v>
      </c>
      <c r="R4" s="38">
        <v>9500000</v>
      </c>
    </row>
    <row r="5" spans="2:21" ht="71.25" x14ac:dyDescent="0.25">
      <c r="B5" s="30" t="s">
        <v>147</v>
      </c>
      <c r="C5" s="70" t="s">
        <v>142</v>
      </c>
      <c r="D5" s="44" t="s">
        <v>149</v>
      </c>
      <c r="E5" s="36">
        <v>45310</v>
      </c>
      <c r="F5" s="36">
        <v>45313</v>
      </c>
      <c r="G5" s="69">
        <v>45314</v>
      </c>
      <c r="H5" s="36">
        <v>45646</v>
      </c>
      <c r="I5" s="38">
        <v>104183350</v>
      </c>
      <c r="J5" s="38">
        <v>0</v>
      </c>
      <c r="K5" s="38">
        <v>104183350</v>
      </c>
      <c r="L5" s="38">
        <v>0</v>
      </c>
      <c r="M5" s="66">
        <v>104183350</v>
      </c>
      <c r="N5" s="38">
        <v>0</v>
      </c>
      <c r="O5" s="38">
        <v>104500000</v>
      </c>
      <c r="P5" s="38">
        <v>316650</v>
      </c>
      <c r="Q5" s="66">
        <v>2533333</v>
      </c>
      <c r="R5" s="38">
        <v>9500000</v>
      </c>
    </row>
    <row r="6" spans="2:21" ht="71.25" x14ac:dyDescent="0.25">
      <c r="B6" s="30" t="s">
        <v>153</v>
      </c>
      <c r="C6" s="70" t="s">
        <v>154</v>
      </c>
      <c r="D6" s="48" t="s">
        <v>156</v>
      </c>
      <c r="E6" s="36">
        <v>45308</v>
      </c>
      <c r="F6" s="36">
        <v>45310</v>
      </c>
      <c r="G6" s="69">
        <v>45313</v>
      </c>
      <c r="H6" s="36">
        <v>45646</v>
      </c>
      <c r="I6" s="38">
        <v>187000000</v>
      </c>
      <c r="J6" s="38">
        <v>0</v>
      </c>
      <c r="K6" s="38">
        <v>187000000</v>
      </c>
      <c r="L6" s="38">
        <v>0</v>
      </c>
      <c r="M6" s="66">
        <v>187000000</v>
      </c>
      <c r="N6" s="38">
        <v>0</v>
      </c>
      <c r="O6" s="38">
        <v>187000000</v>
      </c>
      <c r="P6" s="38">
        <v>0</v>
      </c>
      <c r="Q6" s="66">
        <v>5100000</v>
      </c>
      <c r="R6" s="38">
        <v>17000000</v>
      </c>
      <c r="S6" s="194">
        <f>+R6*10+R6/30*20+R6/30*9</f>
        <v>186433333.33333334</v>
      </c>
      <c r="T6" s="73">
        <v>566666.66666665697</v>
      </c>
      <c r="U6" s="194">
        <f>+T6+S6</f>
        <v>187000000</v>
      </c>
    </row>
    <row r="7" spans="2:21" ht="71.25" x14ac:dyDescent="0.25">
      <c r="B7" s="30" t="s">
        <v>160</v>
      </c>
      <c r="C7" s="70" t="s">
        <v>161</v>
      </c>
      <c r="D7" s="56" t="s">
        <v>163</v>
      </c>
      <c r="E7" s="36">
        <v>45314</v>
      </c>
      <c r="F7" s="36">
        <v>45315</v>
      </c>
      <c r="G7" s="69">
        <v>45316</v>
      </c>
      <c r="H7" s="36">
        <v>45646</v>
      </c>
      <c r="I7" s="38">
        <v>187000000</v>
      </c>
      <c r="J7" s="38">
        <v>0</v>
      </c>
      <c r="K7" s="38">
        <v>187000000</v>
      </c>
      <c r="L7" s="38">
        <v>0</v>
      </c>
      <c r="M7" s="66">
        <v>187000000</v>
      </c>
      <c r="N7" s="38">
        <v>0</v>
      </c>
      <c r="O7" s="38">
        <v>187000000</v>
      </c>
      <c r="P7" s="38">
        <v>0</v>
      </c>
      <c r="Q7" s="66">
        <v>3400000</v>
      </c>
      <c r="R7" s="38">
        <v>17000000</v>
      </c>
    </row>
    <row r="12" spans="2:21" ht="15.75" thickBot="1" x14ac:dyDescent="0.3"/>
    <row r="13" spans="2:21" s="1" customFormat="1" ht="26.25" thickBot="1" x14ac:dyDescent="0.3">
      <c r="B13" s="84" t="s">
        <v>455</v>
      </c>
      <c r="C13" s="85" t="s">
        <v>456</v>
      </c>
      <c r="D13" s="85" t="s">
        <v>457</v>
      </c>
      <c r="E13" s="85" t="s">
        <v>458</v>
      </c>
      <c r="F13" s="85" t="s">
        <v>459</v>
      </c>
      <c r="G13" s="85" t="s">
        <v>460</v>
      </c>
      <c r="H13" s="85" t="s">
        <v>461</v>
      </c>
      <c r="I13" s="85" t="s">
        <v>462</v>
      </c>
      <c r="J13" s="85" t="s">
        <v>463</v>
      </c>
      <c r="K13" s="85" t="s">
        <v>464</v>
      </c>
      <c r="L13" s="85" t="s">
        <v>465</v>
      </c>
      <c r="M13" s="85" t="s">
        <v>466</v>
      </c>
      <c r="N13" s="119" t="s">
        <v>467</v>
      </c>
    </row>
    <row r="14" spans="2:21" s="1" customFormat="1" ht="38.25" x14ac:dyDescent="0.25">
      <c r="B14" s="77">
        <v>3424</v>
      </c>
      <c r="C14" s="77">
        <v>4624</v>
      </c>
      <c r="D14" s="78">
        <v>104500000</v>
      </c>
      <c r="E14" s="78">
        <v>104183350</v>
      </c>
      <c r="F14" s="79">
        <v>316683.66666667163</v>
      </c>
      <c r="G14" s="80" t="s">
        <v>142</v>
      </c>
      <c r="H14" s="80" t="s">
        <v>81</v>
      </c>
      <c r="I14" s="81" t="s">
        <v>468</v>
      </c>
      <c r="J14" s="82">
        <v>52351910</v>
      </c>
      <c r="K14" s="83" t="s">
        <v>141</v>
      </c>
      <c r="L14" s="77" t="s">
        <v>469</v>
      </c>
      <c r="M14" s="120" t="s">
        <v>144</v>
      </c>
      <c r="N14" s="124">
        <v>45352</v>
      </c>
    </row>
    <row r="15" spans="2:21" s="1" customFormat="1" ht="38.25" x14ac:dyDescent="0.25">
      <c r="B15" s="71">
        <v>3324</v>
      </c>
      <c r="C15" s="71">
        <v>4724</v>
      </c>
      <c r="D15" s="72">
        <v>104500000</v>
      </c>
      <c r="E15" s="72">
        <v>104183350</v>
      </c>
      <c r="F15" s="73">
        <v>316683.66666667163</v>
      </c>
      <c r="G15" s="74" t="s">
        <v>142</v>
      </c>
      <c r="H15" s="74" t="s">
        <v>81</v>
      </c>
      <c r="I15" s="75" t="s">
        <v>468</v>
      </c>
      <c r="J15" s="125">
        <v>65553760</v>
      </c>
      <c r="K15" s="76" t="s">
        <v>147</v>
      </c>
      <c r="L15" s="71" t="s">
        <v>469</v>
      </c>
      <c r="M15" s="121" t="s">
        <v>149</v>
      </c>
      <c r="N15" s="124">
        <v>45352</v>
      </c>
    </row>
    <row r="16" spans="2:21" s="1" customFormat="1" ht="38.25" x14ac:dyDescent="0.25">
      <c r="B16" s="71">
        <v>3624</v>
      </c>
      <c r="C16" s="71">
        <v>4124</v>
      </c>
      <c r="D16" s="72">
        <v>187000000</v>
      </c>
      <c r="E16" s="72">
        <v>187000000</v>
      </c>
      <c r="F16" s="73">
        <v>566666.66666665697</v>
      </c>
      <c r="G16" s="74" t="s">
        <v>154</v>
      </c>
      <c r="H16" s="74" t="s">
        <v>81</v>
      </c>
      <c r="I16" s="75" t="s">
        <v>468</v>
      </c>
      <c r="J16" s="125">
        <v>52327666</v>
      </c>
      <c r="K16" s="76" t="s">
        <v>153</v>
      </c>
      <c r="L16" s="71" t="s">
        <v>469</v>
      </c>
      <c r="M16" s="122" t="s">
        <v>156</v>
      </c>
      <c r="N16" s="124">
        <v>45352</v>
      </c>
    </row>
    <row r="17" spans="2:14" s="1" customFormat="1" ht="51" x14ac:dyDescent="0.25">
      <c r="B17" s="71">
        <v>3724</v>
      </c>
      <c r="C17" s="86">
        <v>5224</v>
      </c>
      <c r="D17" s="72">
        <v>187000000</v>
      </c>
      <c r="E17" s="72">
        <v>187000000</v>
      </c>
      <c r="F17" s="73">
        <v>2266666.66666666</v>
      </c>
      <c r="G17" s="74" t="s">
        <v>161</v>
      </c>
      <c r="H17" s="74" t="s">
        <v>81</v>
      </c>
      <c r="I17" s="75" t="s">
        <v>468</v>
      </c>
      <c r="J17" s="125">
        <v>52560916</v>
      </c>
      <c r="K17" s="76" t="s">
        <v>160</v>
      </c>
      <c r="L17" s="71" t="s">
        <v>469</v>
      </c>
      <c r="M17" s="123" t="s">
        <v>163</v>
      </c>
      <c r="N17" s="124">
        <v>45352</v>
      </c>
    </row>
    <row r="19" spans="2:14" ht="15.75" thickBot="1" x14ac:dyDescent="0.3"/>
    <row r="20" spans="2:14" ht="27.75" thickBot="1" x14ac:dyDescent="0.3">
      <c r="B20" s="135" t="s">
        <v>470</v>
      </c>
      <c r="C20" s="136" t="s">
        <v>471</v>
      </c>
      <c r="D20" s="136" t="s">
        <v>472</v>
      </c>
      <c r="E20" s="136" t="s">
        <v>464</v>
      </c>
      <c r="F20" s="136" t="s">
        <v>461</v>
      </c>
      <c r="G20" s="136" t="s">
        <v>465</v>
      </c>
      <c r="H20" s="136" t="s">
        <v>473</v>
      </c>
      <c r="I20" s="136" t="s">
        <v>474</v>
      </c>
      <c r="J20" s="136" t="s">
        <v>475</v>
      </c>
      <c r="K20" s="136" t="s">
        <v>476</v>
      </c>
      <c r="L20" s="137" t="s">
        <v>477</v>
      </c>
    </row>
    <row r="21" spans="2:14" ht="108.75" thickBot="1" x14ac:dyDescent="0.3">
      <c r="B21" s="138">
        <v>5624</v>
      </c>
      <c r="C21" s="139">
        <v>5324</v>
      </c>
      <c r="D21" s="140">
        <v>80030902</v>
      </c>
      <c r="E21" s="139" t="s">
        <v>478</v>
      </c>
      <c r="F21" s="139" t="s">
        <v>479</v>
      </c>
      <c r="G21" s="139" t="s">
        <v>469</v>
      </c>
      <c r="H21" s="139" t="s">
        <v>244</v>
      </c>
      <c r="I21" s="141">
        <v>101790360</v>
      </c>
      <c r="J21" s="142">
        <v>3084557.33</v>
      </c>
      <c r="K21" s="142">
        <v>2159189.4300000002</v>
      </c>
      <c r="L21" s="143">
        <v>925367.9</v>
      </c>
    </row>
    <row r="24" spans="2:14" x14ac:dyDescent="0.25">
      <c r="K24">
        <v>889</v>
      </c>
      <c r="L24">
        <v>1321</v>
      </c>
    </row>
    <row r="25" spans="2:14" x14ac:dyDescent="0.25">
      <c r="K25">
        <v>696</v>
      </c>
      <c r="L25" t="s">
        <v>480</v>
      </c>
    </row>
    <row r="45" spans="2:12" ht="15.75" thickBot="1" x14ac:dyDescent="0.3"/>
    <row r="46" spans="2:12" ht="27.75" thickBot="1" x14ac:dyDescent="0.3">
      <c r="B46" s="135" t="s">
        <v>470</v>
      </c>
      <c r="C46" s="136" t="s">
        <v>471</v>
      </c>
      <c r="D46" s="136" t="s">
        <v>472</v>
      </c>
      <c r="E46" s="136" t="s">
        <v>464</v>
      </c>
      <c r="F46" s="136" t="s">
        <v>461</v>
      </c>
      <c r="G46" s="136" t="s">
        <v>465</v>
      </c>
      <c r="H46" s="136" t="s">
        <v>473</v>
      </c>
      <c r="I46" s="136" t="s">
        <v>474</v>
      </c>
      <c r="J46" s="136" t="s">
        <v>481</v>
      </c>
      <c r="K46" s="136" t="s">
        <v>476</v>
      </c>
      <c r="L46" s="137" t="s">
        <v>482</v>
      </c>
    </row>
    <row r="47" spans="2:12" ht="54.75" thickBot="1" x14ac:dyDescent="0.3">
      <c r="B47" s="138">
        <v>1624</v>
      </c>
      <c r="C47" s="139">
        <v>2224</v>
      </c>
      <c r="D47" s="140">
        <v>79272974</v>
      </c>
      <c r="E47" s="139" t="s">
        <v>483</v>
      </c>
      <c r="F47" s="139" t="s">
        <v>484</v>
      </c>
      <c r="G47" s="139" t="s">
        <v>469</v>
      </c>
      <c r="H47" s="139" t="s">
        <v>485</v>
      </c>
      <c r="I47" s="141">
        <v>191064000</v>
      </c>
      <c r="J47" s="142">
        <v>17912250</v>
      </c>
      <c r="K47" s="142">
        <v>12538575</v>
      </c>
      <c r="L47" s="143">
        <f>J47-K47</f>
        <v>5373675</v>
      </c>
    </row>
    <row r="77" spans="2:12" ht="15.75" thickBot="1" x14ac:dyDescent="0.3"/>
    <row r="78" spans="2:12" ht="41.25" thickBot="1" x14ac:dyDescent="0.3">
      <c r="B78" s="158" t="s">
        <v>591</v>
      </c>
      <c r="C78" s="159" t="s">
        <v>604</v>
      </c>
      <c r="D78" s="160" t="s">
        <v>592</v>
      </c>
      <c r="E78" s="160" t="s">
        <v>593</v>
      </c>
      <c r="F78" s="160" t="s">
        <v>594</v>
      </c>
      <c r="G78" s="160" t="s">
        <v>595</v>
      </c>
      <c r="H78" s="160" t="s">
        <v>596</v>
      </c>
      <c r="I78" s="160" t="s">
        <v>27</v>
      </c>
      <c r="J78" s="160" t="s">
        <v>601</v>
      </c>
      <c r="K78" s="160" t="s">
        <v>603</v>
      </c>
      <c r="L78" s="160" t="s">
        <v>602</v>
      </c>
    </row>
    <row r="79" spans="2:12" ht="68.25" thickBot="1" x14ac:dyDescent="0.3">
      <c r="B79" s="161">
        <v>44723</v>
      </c>
      <c r="C79" s="162">
        <v>381922.01</v>
      </c>
      <c r="D79" s="163">
        <v>800153993</v>
      </c>
      <c r="E79" s="164" t="s">
        <v>597</v>
      </c>
      <c r="F79" s="164">
        <v>17523</v>
      </c>
      <c r="G79" s="164" t="s">
        <v>598</v>
      </c>
      <c r="H79" s="164">
        <v>120075</v>
      </c>
      <c r="I79" s="165" t="s">
        <v>599</v>
      </c>
      <c r="J79" s="166">
        <v>1700000</v>
      </c>
      <c r="K79" s="166">
        <v>1318077.99</v>
      </c>
      <c r="L79" s="167">
        <f>J79-K79</f>
        <v>381922.01</v>
      </c>
    </row>
    <row r="80" spans="2:12" ht="95.25" thickBot="1" x14ac:dyDescent="0.3">
      <c r="B80" s="161">
        <v>46223</v>
      </c>
      <c r="C80" s="162">
        <v>1048387</v>
      </c>
      <c r="D80" s="163">
        <v>800153993</v>
      </c>
      <c r="E80" s="164" t="s">
        <v>597</v>
      </c>
      <c r="F80" s="164">
        <v>17723</v>
      </c>
      <c r="G80" s="164" t="s">
        <v>598</v>
      </c>
      <c r="H80" s="164">
        <v>121005</v>
      </c>
      <c r="I80" s="165" t="s">
        <v>600</v>
      </c>
      <c r="J80" s="166">
        <v>3500000</v>
      </c>
      <c r="K80" s="166">
        <v>2451613</v>
      </c>
      <c r="L80" s="167">
        <f>J80-K80</f>
        <v>1048387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A251-7EC8-46B8-896B-0569A625CFE5}">
  <sheetPr codeName="Hoja1">
    <pageSetUpPr autoPageBreaks="0"/>
  </sheetPr>
  <dimension ref="A1:M45"/>
  <sheetViews>
    <sheetView zoomScale="70" zoomScaleNormal="70" zoomScaleSheetLayoutView="100" workbookViewId="0">
      <pane ySplit="1" topLeftCell="A26" activePane="bottomLeft" state="frozen"/>
      <selection pane="bottomLeft" activeCell="E40" sqref="E40"/>
    </sheetView>
  </sheetViews>
  <sheetFormatPr baseColWidth="10" defaultColWidth="11.7109375" defaultRowHeight="14.25" x14ac:dyDescent="0.25"/>
  <cols>
    <col min="1" max="1" width="11.7109375" style="105" bestFit="1" customWidth="1"/>
    <col min="2" max="3" width="11.7109375" style="105"/>
    <col min="4" max="4" width="23.7109375" style="105" customWidth="1"/>
    <col min="5" max="5" width="51.7109375" style="105" customWidth="1"/>
    <col min="6" max="6" width="11.7109375" style="105"/>
    <col min="7" max="8" width="14" style="105" bestFit="1" customWidth="1"/>
    <col min="9" max="9" width="26.28515625" style="105" customWidth="1"/>
    <col min="10" max="16384" width="11.7109375" style="105"/>
  </cols>
  <sheetData>
    <row r="1" spans="1:11" ht="41.1" customHeight="1" x14ac:dyDescent="0.25">
      <c r="A1" s="103" t="s">
        <v>10</v>
      </c>
      <c r="B1" s="103" t="s">
        <v>392</v>
      </c>
      <c r="C1" s="103" t="s">
        <v>393</v>
      </c>
      <c r="D1" s="104" t="s">
        <v>394</v>
      </c>
      <c r="E1" s="104" t="s">
        <v>27</v>
      </c>
      <c r="F1" s="104" t="s">
        <v>395</v>
      </c>
      <c r="G1" s="104" t="s">
        <v>396</v>
      </c>
      <c r="H1" s="104" t="s">
        <v>35</v>
      </c>
      <c r="I1" s="104" t="s">
        <v>397</v>
      </c>
      <c r="J1" s="104" t="s">
        <v>38</v>
      </c>
      <c r="K1" s="104" t="s">
        <v>398</v>
      </c>
    </row>
    <row r="2" spans="1:11" ht="57" x14ac:dyDescent="0.25">
      <c r="A2" s="106">
        <v>1</v>
      </c>
      <c r="B2" s="107" t="s">
        <v>60</v>
      </c>
      <c r="C2" s="107" t="s">
        <v>399</v>
      </c>
      <c r="D2" s="108" t="s">
        <v>113</v>
      </c>
      <c r="E2" s="109" t="s">
        <v>114</v>
      </c>
      <c r="F2" s="110" t="s">
        <v>115</v>
      </c>
      <c r="G2" s="111">
        <v>45274</v>
      </c>
      <c r="H2" s="111">
        <v>46013</v>
      </c>
      <c r="I2" s="112">
        <v>120586666.84999999</v>
      </c>
      <c r="J2" s="107" t="s">
        <v>90</v>
      </c>
      <c r="K2" s="107" t="s">
        <v>60</v>
      </c>
    </row>
    <row r="3" spans="1:11" ht="42.75" x14ac:dyDescent="0.25">
      <c r="A3" s="106">
        <v>2</v>
      </c>
      <c r="B3" s="107" t="s">
        <v>60</v>
      </c>
      <c r="C3" s="107" t="s">
        <v>399</v>
      </c>
      <c r="D3" s="108" t="s">
        <v>113</v>
      </c>
      <c r="E3" s="109" t="s">
        <v>122</v>
      </c>
      <c r="F3" s="113" t="s">
        <v>123</v>
      </c>
      <c r="G3" s="111">
        <v>45283</v>
      </c>
      <c r="H3" s="111">
        <v>45603</v>
      </c>
      <c r="I3" s="112">
        <v>52210518.659999996</v>
      </c>
      <c r="J3" s="107" t="s">
        <v>90</v>
      </c>
      <c r="K3" s="107" t="s">
        <v>60</v>
      </c>
    </row>
    <row r="4" spans="1:11" ht="40.5" customHeight="1" x14ac:dyDescent="0.25">
      <c r="A4" s="106">
        <v>3</v>
      </c>
      <c r="B4" s="107" t="s">
        <v>60</v>
      </c>
      <c r="C4" s="107" t="s">
        <v>399</v>
      </c>
      <c r="D4" s="108" t="s">
        <v>206</v>
      </c>
      <c r="E4" s="109" t="s">
        <v>207</v>
      </c>
      <c r="F4" s="113" t="s">
        <v>208</v>
      </c>
      <c r="G4" s="111">
        <v>45265</v>
      </c>
      <c r="H4" s="111">
        <v>45777</v>
      </c>
      <c r="I4" s="112">
        <v>37300074</v>
      </c>
      <c r="J4" s="107" t="s">
        <v>90</v>
      </c>
      <c r="K4" s="107" t="s">
        <v>60</v>
      </c>
    </row>
    <row r="5" spans="1:11" ht="71.25" x14ac:dyDescent="0.25">
      <c r="A5" s="106">
        <v>4</v>
      </c>
      <c r="B5" s="107" t="s">
        <v>60</v>
      </c>
      <c r="C5" s="107" t="s">
        <v>399</v>
      </c>
      <c r="D5" s="113" t="s">
        <v>215</v>
      </c>
      <c r="E5" s="109" t="s">
        <v>216</v>
      </c>
      <c r="F5" s="110" t="s">
        <v>217</v>
      </c>
      <c r="G5" s="111">
        <v>45273</v>
      </c>
      <c r="H5" s="111">
        <v>45639</v>
      </c>
      <c r="I5" s="112">
        <v>599635803.8499999</v>
      </c>
      <c r="J5" s="107" t="s">
        <v>90</v>
      </c>
      <c r="K5" s="107" t="s">
        <v>60</v>
      </c>
    </row>
    <row r="6" spans="1:11" s="27" customFormat="1" ht="85.5" x14ac:dyDescent="0.25">
      <c r="A6" s="106">
        <v>5</v>
      </c>
      <c r="B6" s="107" t="s">
        <v>400</v>
      </c>
      <c r="C6" s="107" t="s">
        <v>399</v>
      </c>
      <c r="D6" s="30" t="s">
        <v>225</v>
      </c>
      <c r="E6" s="32" t="s">
        <v>226</v>
      </c>
      <c r="F6" s="44" t="s">
        <v>228</v>
      </c>
      <c r="G6" s="36">
        <v>45260</v>
      </c>
      <c r="H6" s="36">
        <v>45473</v>
      </c>
      <c r="I6" s="38">
        <v>1272271483</v>
      </c>
      <c r="J6" s="37" t="s">
        <v>72</v>
      </c>
      <c r="K6" s="37" t="s">
        <v>401</v>
      </c>
    </row>
    <row r="7" spans="1:11" ht="42.75" x14ac:dyDescent="0.25">
      <c r="A7" s="106">
        <v>6</v>
      </c>
      <c r="B7" s="107" t="s">
        <v>60</v>
      </c>
      <c r="C7" s="107" t="s">
        <v>399</v>
      </c>
      <c r="D7" s="113" t="s">
        <v>233</v>
      </c>
      <c r="E7" s="109" t="s">
        <v>234</v>
      </c>
      <c r="F7" s="114" t="s">
        <v>235</v>
      </c>
      <c r="G7" s="111">
        <v>45275</v>
      </c>
      <c r="H7" s="111">
        <v>45983</v>
      </c>
      <c r="I7" s="112">
        <v>120685506.48</v>
      </c>
      <c r="J7" s="107" t="s">
        <v>90</v>
      </c>
      <c r="K7" s="107" t="s">
        <v>60</v>
      </c>
    </row>
    <row r="8" spans="1:11" ht="110.1" customHeight="1" x14ac:dyDescent="0.25">
      <c r="A8" s="106">
        <v>7</v>
      </c>
      <c r="B8" s="107" t="s">
        <v>60</v>
      </c>
      <c r="C8" s="107" t="s">
        <v>399</v>
      </c>
      <c r="D8" s="113" t="s">
        <v>241</v>
      </c>
      <c r="E8" s="109" t="s">
        <v>242</v>
      </c>
      <c r="F8" s="115" t="s">
        <v>244</v>
      </c>
      <c r="G8" s="111">
        <v>45315</v>
      </c>
      <c r="H8" s="111">
        <v>45646</v>
      </c>
      <c r="I8" s="112">
        <v>101790360</v>
      </c>
      <c r="J8" s="107" t="s">
        <v>90</v>
      </c>
      <c r="K8" s="107" t="s">
        <v>60</v>
      </c>
    </row>
    <row r="9" spans="1:11" ht="42.75" x14ac:dyDescent="0.25">
      <c r="A9" s="106">
        <v>8</v>
      </c>
      <c r="B9" s="107" t="s">
        <v>60</v>
      </c>
      <c r="C9" s="107" t="s">
        <v>399</v>
      </c>
      <c r="D9" s="113" t="s">
        <v>141</v>
      </c>
      <c r="E9" s="109" t="s">
        <v>142</v>
      </c>
      <c r="F9" s="110" t="s">
        <v>144</v>
      </c>
      <c r="G9" s="111">
        <v>45314</v>
      </c>
      <c r="H9" s="111">
        <v>45646</v>
      </c>
      <c r="I9" s="112">
        <v>104183350</v>
      </c>
      <c r="J9" s="107" t="s">
        <v>90</v>
      </c>
      <c r="K9" s="107" t="s">
        <v>60</v>
      </c>
    </row>
    <row r="10" spans="1:11" ht="42.75" x14ac:dyDescent="0.25">
      <c r="A10" s="106">
        <v>9</v>
      </c>
      <c r="B10" s="107" t="s">
        <v>60</v>
      </c>
      <c r="C10" s="107" t="s">
        <v>399</v>
      </c>
      <c r="D10" s="113" t="s">
        <v>147</v>
      </c>
      <c r="E10" s="109" t="s">
        <v>142</v>
      </c>
      <c r="F10" s="115" t="s">
        <v>149</v>
      </c>
      <c r="G10" s="111">
        <v>45314</v>
      </c>
      <c r="H10" s="111">
        <v>45646</v>
      </c>
      <c r="I10" s="112">
        <v>104183350</v>
      </c>
      <c r="J10" s="107" t="s">
        <v>90</v>
      </c>
      <c r="K10" s="107" t="s">
        <v>60</v>
      </c>
    </row>
    <row r="11" spans="1:11" ht="42.75" x14ac:dyDescent="0.25">
      <c r="A11" s="106">
        <v>10</v>
      </c>
      <c r="B11" s="107" t="s">
        <v>60</v>
      </c>
      <c r="C11" s="107" t="s">
        <v>399</v>
      </c>
      <c r="D11" s="113" t="s">
        <v>153</v>
      </c>
      <c r="E11" s="109" t="s">
        <v>154</v>
      </c>
      <c r="F11" s="110" t="s">
        <v>156</v>
      </c>
      <c r="G11" s="111">
        <v>45313</v>
      </c>
      <c r="H11" s="111">
        <v>45646</v>
      </c>
      <c r="I11" s="112">
        <v>187000000</v>
      </c>
      <c r="J11" s="107" t="s">
        <v>90</v>
      </c>
      <c r="K11" s="107" t="s">
        <v>60</v>
      </c>
    </row>
    <row r="12" spans="1:11" ht="57" x14ac:dyDescent="0.25">
      <c r="A12" s="106">
        <v>11</v>
      </c>
      <c r="B12" s="107" t="s">
        <v>60</v>
      </c>
      <c r="C12" s="107" t="s">
        <v>399</v>
      </c>
      <c r="D12" s="113" t="s">
        <v>160</v>
      </c>
      <c r="E12" s="109" t="s">
        <v>161</v>
      </c>
      <c r="F12" s="116" t="s">
        <v>163</v>
      </c>
      <c r="G12" s="111">
        <v>45316</v>
      </c>
      <c r="H12" s="111">
        <v>45646</v>
      </c>
      <c r="I12" s="112">
        <v>187000000</v>
      </c>
      <c r="J12" s="107" t="s">
        <v>90</v>
      </c>
      <c r="K12" s="107" t="s">
        <v>60</v>
      </c>
    </row>
    <row r="13" spans="1:11" s="27" customFormat="1" ht="42.75" x14ac:dyDescent="0.25">
      <c r="A13" s="106">
        <v>12</v>
      </c>
      <c r="B13" s="107" t="s">
        <v>60</v>
      </c>
      <c r="C13" s="107" t="s">
        <v>399</v>
      </c>
      <c r="D13" s="30" t="s">
        <v>167</v>
      </c>
      <c r="E13" s="32" t="s">
        <v>168</v>
      </c>
      <c r="F13" s="48" t="s">
        <v>170</v>
      </c>
      <c r="G13" s="36">
        <v>45324</v>
      </c>
      <c r="H13" s="36">
        <v>45646</v>
      </c>
      <c r="I13" s="38">
        <v>148500000</v>
      </c>
      <c r="J13" s="37" t="s">
        <v>72</v>
      </c>
      <c r="K13" s="107" t="s">
        <v>60</v>
      </c>
    </row>
    <row r="14" spans="1:11" s="27" customFormat="1" ht="57" x14ac:dyDescent="0.25">
      <c r="A14" s="106">
        <v>13</v>
      </c>
      <c r="B14" s="107" t="s">
        <v>60</v>
      </c>
      <c r="C14" s="107" t="s">
        <v>399</v>
      </c>
      <c r="D14" s="30" t="s">
        <v>174</v>
      </c>
      <c r="E14" s="32" t="s">
        <v>175</v>
      </c>
      <c r="F14" s="56" t="s">
        <v>177</v>
      </c>
      <c r="G14" s="36">
        <v>45327</v>
      </c>
      <c r="H14" s="36">
        <v>45646</v>
      </c>
      <c r="I14" s="38">
        <v>148500000</v>
      </c>
      <c r="J14" s="37" t="s">
        <v>72</v>
      </c>
      <c r="K14" s="107" t="s">
        <v>60</v>
      </c>
    </row>
    <row r="15" spans="1:11" s="27" customFormat="1" ht="57" x14ac:dyDescent="0.25">
      <c r="A15" s="106">
        <v>14</v>
      </c>
      <c r="B15" s="107" t="s">
        <v>60</v>
      </c>
      <c r="C15" s="107" t="s">
        <v>399</v>
      </c>
      <c r="D15" s="30" t="s">
        <v>181</v>
      </c>
      <c r="E15" s="32" t="s">
        <v>182</v>
      </c>
      <c r="F15" s="48" t="s">
        <v>184</v>
      </c>
      <c r="G15" s="36">
        <v>45327</v>
      </c>
      <c r="H15" s="36">
        <v>45646</v>
      </c>
      <c r="I15" s="38">
        <v>132000000</v>
      </c>
      <c r="J15" s="37" t="s">
        <v>72</v>
      </c>
      <c r="K15" s="107" t="s">
        <v>60</v>
      </c>
    </row>
    <row r="16" spans="1:11" s="27" customFormat="1" ht="57" x14ac:dyDescent="0.25">
      <c r="A16" s="106">
        <v>15</v>
      </c>
      <c r="B16" s="107" t="s">
        <v>60</v>
      </c>
      <c r="C16" s="107" t="s">
        <v>399</v>
      </c>
      <c r="D16" s="30" t="s">
        <v>188</v>
      </c>
      <c r="E16" s="32" t="s">
        <v>189</v>
      </c>
      <c r="F16" s="56" t="s">
        <v>191</v>
      </c>
      <c r="G16" s="36">
        <v>45327</v>
      </c>
      <c r="H16" s="36">
        <v>45646</v>
      </c>
      <c r="I16" s="38">
        <v>121000000</v>
      </c>
      <c r="J16" s="37" t="s">
        <v>72</v>
      </c>
      <c r="K16" s="107" t="s">
        <v>60</v>
      </c>
    </row>
    <row r="17" spans="1:13" s="27" customFormat="1" ht="57" x14ac:dyDescent="0.25">
      <c r="A17" s="106">
        <v>16</v>
      </c>
      <c r="B17" s="107" t="s">
        <v>60</v>
      </c>
      <c r="C17" s="107" t="s">
        <v>399</v>
      </c>
      <c r="D17" s="30" t="s">
        <v>252</v>
      </c>
      <c r="E17" s="36" t="s">
        <v>253</v>
      </c>
      <c r="F17" s="56" t="s">
        <v>255</v>
      </c>
      <c r="G17" s="36">
        <v>45331</v>
      </c>
      <c r="H17" s="36">
        <v>45646</v>
      </c>
      <c r="I17" s="38">
        <v>191064000</v>
      </c>
      <c r="J17" s="37" t="s">
        <v>72</v>
      </c>
      <c r="K17" s="107" t="s">
        <v>60</v>
      </c>
    </row>
    <row r="18" spans="1:13" s="27" customFormat="1" ht="31.35" customHeight="1" x14ac:dyDescent="0.25">
      <c r="A18" s="106">
        <v>17</v>
      </c>
      <c r="B18" s="107" t="s">
        <v>400</v>
      </c>
      <c r="C18" s="107" t="s">
        <v>399</v>
      </c>
      <c r="D18" s="30" t="s">
        <v>86</v>
      </c>
      <c r="E18" s="32" t="s">
        <v>87</v>
      </c>
      <c r="F18" s="48" t="s">
        <v>89</v>
      </c>
      <c r="G18" s="36">
        <v>45316</v>
      </c>
      <c r="H18" s="36">
        <v>45646</v>
      </c>
      <c r="I18" s="38">
        <v>93500000</v>
      </c>
      <c r="J18" s="37" t="s">
        <v>90</v>
      </c>
      <c r="K18" s="37" t="s">
        <v>402</v>
      </c>
    </row>
    <row r="19" spans="1:13" s="27" customFormat="1" ht="59.1" customHeight="1" x14ac:dyDescent="0.25">
      <c r="A19" s="106">
        <v>18</v>
      </c>
      <c r="B19" s="107" t="s">
        <v>400</v>
      </c>
      <c r="C19" s="107" t="s">
        <v>399</v>
      </c>
      <c r="D19" s="31" t="s">
        <v>65</v>
      </c>
      <c r="E19" s="32" t="s">
        <v>66</v>
      </c>
      <c r="F19" s="30" t="s">
        <v>68</v>
      </c>
      <c r="G19" s="36">
        <v>45329</v>
      </c>
      <c r="H19" s="36">
        <v>45473</v>
      </c>
      <c r="I19" s="38">
        <v>47500000</v>
      </c>
      <c r="J19" s="37" t="s">
        <v>72</v>
      </c>
      <c r="K19" s="37" t="s">
        <v>402</v>
      </c>
    </row>
    <row r="20" spans="1:13" ht="42.75" x14ac:dyDescent="0.25">
      <c r="A20" s="106">
        <v>19</v>
      </c>
      <c r="B20" s="107" t="s">
        <v>60</v>
      </c>
      <c r="C20" s="107" t="s">
        <v>399</v>
      </c>
      <c r="D20" s="113" t="s">
        <v>98</v>
      </c>
      <c r="E20" s="109" t="s">
        <v>99</v>
      </c>
      <c r="F20" s="114" t="s">
        <v>101</v>
      </c>
      <c r="G20" s="111">
        <v>45331</v>
      </c>
      <c r="H20" s="111">
        <v>45359</v>
      </c>
      <c r="I20" s="112">
        <v>194118482.31999999</v>
      </c>
      <c r="J20" s="107" t="s">
        <v>90</v>
      </c>
      <c r="K20" s="107" t="s">
        <v>60</v>
      </c>
    </row>
    <row r="21" spans="1:13" s="27" customFormat="1" ht="71.25" x14ac:dyDescent="0.25">
      <c r="A21" s="106">
        <v>20</v>
      </c>
      <c r="B21" s="107" t="s">
        <v>60</v>
      </c>
      <c r="C21" s="107" t="s">
        <v>399</v>
      </c>
      <c r="D21" s="30" t="s">
        <v>196</v>
      </c>
      <c r="E21" s="32" t="s">
        <v>197</v>
      </c>
      <c r="F21" s="30" t="s">
        <v>199</v>
      </c>
      <c r="G21" s="36">
        <v>45338</v>
      </c>
      <c r="H21" s="36">
        <v>45646</v>
      </c>
      <c r="I21" s="38">
        <v>165000000</v>
      </c>
      <c r="J21" s="37" t="s">
        <v>72</v>
      </c>
      <c r="K21" s="107" t="s">
        <v>60</v>
      </c>
    </row>
    <row r="22" spans="1:13" ht="58.35" customHeight="1" x14ac:dyDescent="0.25">
      <c r="A22" s="106">
        <v>21</v>
      </c>
      <c r="B22" s="107" t="s">
        <v>400</v>
      </c>
      <c r="C22" s="107" t="s">
        <v>399</v>
      </c>
      <c r="D22" s="31" t="s">
        <v>76</v>
      </c>
      <c r="E22" s="32" t="s">
        <v>66</v>
      </c>
      <c r="F22" s="30" t="s">
        <v>78</v>
      </c>
      <c r="G22" s="36">
        <v>45329</v>
      </c>
      <c r="H22" s="36">
        <v>45331</v>
      </c>
      <c r="I22" s="38">
        <v>47500000</v>
      </c>
      <c r="J22" s="37" t="s">
        <v>72</v>
      </c>
      <c r="K22" s="37" t="s">
        <v>402</v>
      </c>
    </row>
    <row r="23" spans="1:13" s="27" customFormat="1" ht="71.25" x14ac:dyDescent="0.25">
      <c r="A23" s="106">
        <v>22</v>
      </c>
      <c r="B23" s="107" t="s">
        <v>400</v>
      </c>
      <c r="C23" s="107" t="s">
        <v>403</v>
      </c>
      <c r="D23" s="117" t="s">
        <v>131</v>
      </c>
      <c r="E23" s="32" t="s">
        <v>132</v>
      </c>
      <c r="F23" s="44" t="s">
        <v>134</v>
      </c>
      <c r="G23" s="36">
        <v>45148</v>
      </c>
      <c r="H23" s="36">
        <v>45380</v>
      </c>
      <c r="I23" s="38">
        <v>1038872287</v>
      </c>
      <c r="J23" s="37" t="s">
        <v>72</v>
      </c>
      <c r="K23" s="37" t="s">
        <v>402</v>
      </c>
    </row>
    <row r="24" spans="1:13" ht="42.75" x14ac:dyDescent="0.25">
      <c r="A24" s="106">
        <v>1</v>
      </c>
      <c r="B24" s="107" t="s">
        <v>60</v>
      </c>
      <c r="C24" s="113" t="s">
        <v>404</v>
      </c>
      <c r="D24" s="113"/>
      <c r="E24" s="113" t="s">
        <v>263</v>
      </c>
      <c r="F24" s="113"/>
      <c r="G24" s="113"/>
      <c r="H24" s="113"/>
      <c r="I24" s="38">
        <v>18371251</v>
      </c>
      <c r="J24" s="37" t="s">
        <v>90</v>
      </c>
      <c r="K24" s="107" t="s">
        <v>60</v>
      </c>
      <c r="M24" s="105" t="s">
        <v>259</v>
      </c>
    </row>
    <row r="25" spans="1:13" ht="85.5" x14ac:dyDescent="0.25">
      <c r="A25" s="106">
        <v>2</v>
      </c>
      <c r="B25" s="107" t="s">
        <v>400</v>
      </c>
      <c r="C25" s="113" t="s">
        <v>404</v>
      </c>
      <c r="D25" s="113"/>
      <c r="E25" s="113" t="s">
        <v>287</v>
      </c>
      <c r="F25" s="113"/>
      <c r="G25" s="113"/>
      <c r="H25" s="113"/>
      <c r="I25" s="38">
        <v>92400000</v>
      </c>
      <c r="J25" s="37" t="s">
        <v>72</v>
      </c>
      <c r="K25" s="107" t="s">
        <v>402</v>
      </c>
      <c r="M25" s="105" t="s">
        <v>82</v>
      </c>
    </row>
    <row r="26" spans="1:13" ht="99.75" x14ac:dyDescent="0.25">
      <c r="A26" s="106">
        <v>3</v>
      </c>
      <c r="B26" s="107" t="s">
        <v>400</v>
      </c>
      <c r="C26" s="113" t="s">
        <v>404</v>
      </c>
      <c r="D26" s="113"/>
      <c r="E26" s="113" t="s">
        <v>299</v>
      </c>
      <c r="F26" s="113"/>
      <c r="G26" s="113"/>
      <c r="H26" s="113"/>
      <c r="I26" s="38">
        <v>197034750</v>
      </c>
      <c r="J26" s="37" t="s">
        <v>72</v>
      </c>
      <c r="K26" s="107" t="s">
        <v>402</v>
      </c>
      <c r="M26" s="105" t="s">
        <v>82</v>
      </c>
    </row>
    <row r="27" spans="1:13" ht="42.75" x14ac:dyDescent="0.25">
      <c r="A27" s="106">
        <v>4</v>
      </c>
      <c r="B27" s="107" t="s">
        <v>60</v>
      </c>
      <c r="C27" s="113" t="s">
        <v>404</v>
      </c>
      <c r="D27" s="113"/>
      <c r="E27" s="113" t="s">
        <v>277</v>
      </c>
      <c r="F27" s="113"/>
      <c r="G27" s="113"/>
      <c r="H27" s="113"/>
      <c r="I27" s="38">
        <v>2550000</v>
      </c>
      <c r="J27" s="37" t="s">
        <v>90</v>
      </c>
      <c r="K27" s="107" t="s">
        <v>60</v>
      </c>
      <c r="M27" s="105" t="s">
        <v>272</v>
      </c>
    </row>
    <row r="28" spans="1:13" ht="71.25" x14ac:dyDescent="0.25">
      <c r="A28" s="106">
        <v>5</v>
      </c>
      <c r="B28" s="107" t="s">
        <v>400</v>
      </c>
      <c r="C28" s="113" t="s">
        <v>404</v>
      </c>
      <c r="D28" s="113"/>
      <c r="E28" s="113" t="s">
        <v>326</v>
      </c>
      <c r="F28" s="113"/>
      <c r="G28" s="113"/>
      <c r="H28" s="113"/>
      <c r="I28" s="38">
        <v>51000000</v>
      </c>
      <c r="J28" s="37" t="s">
        <v>72</v>
      </c>
      <c r="K28" s="107" t="s">
        <v>402</v>
      </c>
      <c r="M28" s="105" t="s">
        <v>82</v>
      </c>
    </row>
    <row r="29" spans="1:13" ht="71.25" x14ac:dyDescent="0.25">
      <c r="A29" s="106">
        <v>6</v>
      </c>
      <c r="B29" s="107" t="s">
        <v>400</v>
      </c>
      <c r="C29" s="113" t="s">
        <v>404</v>
      </c>
      <c r="D29" s="113"/>
      <c r="E29" s="113" t="s">
        <v>319</v>
      </c>
      <c r="F29" s="113"/>
      <c r="G29" s="113"/>
      <c r="H29" s="113"/>
      <c r="I29" s="38">
        <v>51000000</v>
      </c>
      <c r="J29" s="37" t="s">
        <v>72</v>
      </c>
      <c r="K29" s="107" t="s">
        <v>402</v>
      </c>
      <c r="M29" s="105" t="s">
        <v>82</v>
      </c>
    </row>
    <row r="30" spans="1:13" ht="57" x14ac:dyDescent="0.25">
      <c r="A30" s="106">
        <v>7</v>
      </c>
      <c r="B30" s="107" t="s">
        <v>400</v>
      </c>
      <c r="C30" s="113" t="s">
        <v>404</v>
      </c>
      <c r="D30" s="113"/>
      <c r="E30" s="113" t="s">
        <v>333</v>
      </c>
      <c r="F30" s="113"/>
      <c r="G30" s="113"/>
      <c r="H30" s="113"/>
      <c r="I30" s="38">
        <v>76000000</v>
      </c>
      <c r="J30" s="37" t="s">
        <v>72</v>
      </c>
      <c r="K30" s="107" t="s">
        <v>402</v>
      </c>
      <c r="M30" s="105" t="s">
        <v>82</v>
      </c>
    </row>
    <row r="31" spans="1:13" ht="57" x14ac:dyDescent="0.25">
      <c r="A31" s="106">
        <v>8</v>
      </c>
      <c r="B31" s="107" t="s">
        <v>400</v>
      </c>
      <c r="C31" s="113" t="s">
        <v>404</v>
      </c>
      <c r="D31" s="113"/>
      <c r="E31" s="113" t="s">
        <v>333</v>
      </c>
      <c r="F31" s="113"/>
      <c r="G31" s="113"/>
      <c r="H31" s="113"/>
      <c r="I31" s="38">
        <v>76000000</v>
      </c>
      <c r="J31" s="37" t="s">
        <v>72</v>
      </c>
      <c r="K31" s="107" t="s">
        <v>402</v>
      </c>
      <c r="M31" s="105" t="s">
        <v>82</v>
      </c>
    </row>
    <row r="32" spans="1:13" ht="57" x14ac:dyDescent="0.25">
      <c r="A32" s="106">
        <v>9</v>
      </c>
      <c r="B32" s="113" t="s">
        <v>60</v>
      </c>
      <c r="C32" s="113" t="s">
        <v>404</v>
      </c>
      <c r="D32" s="113"/>
      <c r="E32" s="113" t="s">
        <v>381</v>
      </c>
      <c r="F32" s="113"/>
      <c r="G32" s="113"/>
      <c r="H32" s="113"/>
      <c r="I32" s="38">
        <v>4500000</v>
      </c>
      <c r="J32" s="37" t="s">
        <v>90</v>
      </c>
      <c r="K32" s="107" t="s">
        <v>60</v>
      </c>
      <c r="M32" s="105" t="s">
        <v>305</v>
      </c>
    </row>
    <row r="33" spans="1:13" ht="42.75" x14ac:dyDescent="0.25">
      <c r="A33" s="106">
        <v>10</v>
      </c>
      <c r="B33" s="113" t="s">
        <v>60</v>
      </c>
      <c r="C33" s="113" t="s">
        <v>404</v>
      </c>
      <c r="D33" s="113"/>
      <c r="E33" s="113" t="s">
        <v>368</v>
      </c>
      <c r="F33" s="113"/>
      <c r="G33" s="113"/>
      <c r="H33" s="113"/>
      <c r="I33" s="38">
        <v>20000000</v>
      </c>
      <c r="J33" s="37" t="s">
        <v>90</v>
      </c>
      <c r="K33" s="107" t="s">
        <v>60</v>
      </c>
      <c r="M33" s="105" t="s">
        <v>272</v>
      </c>
    </row>
    <row r="34" spans="1:13" ht="42.75" x14ac:dyDescent="0.25">
      <c r="A34" s="106">
        <v>11</v>
      </c>
      <c r="B34" s="113" t="s">
        <v>60</v>
      </c>
      <c r="C34" s="113" t="s">
        <v>404</v>
      </c>
      <c r="D34" s="113"/>
      <c r="E34" s="113" t="s">
        <v>383</v>
      </c>
      <c r="F34" s="113"/>
      <c r="G34" s="113"/>
      <c r="H34" s="113"/>
      <c r="I34" s="38">
        <v>270000000</v>
      </c>
      <c r="J34" s="37" t="s">
        <v>90</v>
      </c>
      <c r="K34" s="107" t="s">
        <v>60</v>
      </c>
      <c r="M34" s="105" t="s">
        <v>272</v>
      </c>
    </row>
    <row r="35" spans="1:13" ht="42.75" x14ac:dyDescent="0.25">
      <c r="A35" s="106">
        <v>12</v>
      </c>
      <c r="B35" s="113" t="s">
        <v>60</v>
      </c>
      <c r="C35" s="113" t="s">
        <v>404</v>
      </c>
      <c r="D35" s="113"/>
      <c r="E35" s="113" t="s">
        <v>386</v>
      </c>
      <c r="F35" s="113"/>
      <c r="G35" s="113"/>
      <c r="H35" s="113"/>
      <c r="I35" s="38">
        <v>18000000</v>
      </c>
      <c r="J35" s="37" t="s">
        <v>90</v>
      </c>
      <c r="K35" s="107" t="s">
        <v>60</v>
      </c>
      <c r="M35" s="105" t="s">
        <v>272</v>
      </c>
    </row>
    <row r="36" spans="1:13" ht="42.75" x14ac:dyDescent="0.25">
      <c r="A36" s="106">
        <v>13</v>
      </c>
      <c r="B36" s="113" t="s">
        <v>60</v>
      </c>
      <c r="C36" s="113" t="s">
        <v>404</v>
      </c>
      <c r="D36" s="113"/>
      <c r="E36" s="113" t="s">
        <v>388</v>
      </c>
      <c r="F36" s="113"/>
      <c r="G36" s="113"/>
      <c r="H36" s="113"/>
      <c r="I36" s="38">
        <v>15000000</v>
      </c>
      <c r="J36" s="37" t="s">
        <v>90</v>
      </c>
      <c r="K36" s="107" t="s">
        <v>60</v>
      </c>
      <c r="M36" s="105" t="s">
        <v>119</v>
      </c>
    </row>
    <row r="37" spans="1:13" ht="71.25" x14ac:dyDescent="0.25">
      <c r="A37" s="106">
        <v>14</v>
      </c>
      <c r="B37" s="113" t="s">
        <v>60</v>
      </c>
      <c r="C37" s="113" t="s">
        <v>404</v>
      </c>
      <c r="D37" s="113"/>
      <c r="E37" s="113" t="s">
        <v>391</v>
      </c>
      <c r="F37" s="113"/>
      <c r="G37" s="113"/>
      <c r="H37" s="113"/>
      <c r="I37" s="38">
        <v>38023681</v>
      </c>
      <c r="J37" s="37" t="s">
        <v>90</v>
      </c>
      <c r="K37" s="107" t="s">
        <v>60</v>
      </c>
      <c r="M37" s="105" t="s">
        <v>212</v>
      </c>
    </row>
    <row r="38" spans="1:13" ht="114" x14ac:dyDescent="0.25">
      <c r="A38" s="106">
        <v>15</v>
      </c>
      <c r="B38" s="113" t="s">
        <v>60</v>
      </c>
      <c r="C38" s="113" t="s">
        <v>404</v>
      </c>
      <c r="D38" s="113"/>
      <c r="E38" s="113" t="s">
        <v>405</v>
      </c>
      <c r="F38" s="113"/>
      <c r="G38" s="113"/>
      <c r="H38" s="113"/>
      <c r="I38" s="38">
        <v>60000000</v>
      </c>
      <c r="J38" s="37" t="s">
        <v>90</v>
      </c>
      <c r="K38" s="107" t="s">
        <v>60</v>
      </c>
      <c r="M38" s="105" t="s">
        <v>406</v>
      </c>
    </row>
    <row r="39" spans="1:13" ht="57" x14ac:dyDescent="0.25">
      <c r="A39" s="106">
        <v>16</v>
      </c>
      <c r="B39" s="113" t="s">
        <v>60</v>
      </c>
      <c r="C39" s="113" t="s">
        <v>404</v>
      </c>
      <c r="D39" s="113"/>
      <c r="E39" s="113" t="s">
        <v>376</v>
      </c>
      <c r="F39" s="113"/>
      <c r="G39" s="113"/>
      <c r="H39" s="113"/>
      <c r="I39" s="38">
        <v>350000000</v>
      </c>
      <c r="J39" s="37" t="s">
        <v>72</v>
      </c>
      <c r="K39" s="107" t="s">
        <v>60</v>
      </c>
      <c r="M39" s="105" t="s">
        <v>369</v>
      </c>
    </row>
    <row r="40" spans="1:13" ht="171" x14ac:dyDescent="0.25">
      <c r="A40" s="106">
        <v>17</v>
      </c>
      <c r="B40" s="107" t="s">
        <v>400</v>
      </c>
      <c r="C40" s="113" t="s">
        <v>404</v>
      </c>
      <c r="D40" s="113"/>
      <c r="E40" s="113" t="s">
        <v>358</v>
      </c>
      <c r="F40" s="113"/>
      <c r="G40" s="113"/>
      <c r="H40" s="113"/>
      <c r="I40" s="38">
        <v>2245889285</v>
      </c>
      <c r="J40" s="37" t="s">
        <v>72</v>
      </c>
      <c r="K40" s="107" t="s">
        <v>402</v>
      </c>
      <c r="M40" s="105" t="s">
        <v>126</v>
      </c>
    </row>
    <row r="41" spans="1:13" ht="213.75" x14ac:dyDescent="0.25">
      <c r="A41" s="106">
        <v>18</v>
      </c>
      <c r="B41" s="107" t="s">
        <v>400</v>
      </c>
      <c r="C41" s="113" t="s">
        <v>404</v>
      </c>
      <c r="D41" s="113"/>
      <c r="E41" s="113" t="s">
        <v>363</v>
      </c>
      <c r="F41" s="113"/>
      <c r="G41" s="113"/>
      <c r="H41" s="113"/>
      <c r="I41" s="38">
        <v>696150000</v>
      </c>
      <c r="J41" s="37" t="s">
        <v>72</v>
      </c>
      <c r="K41" s="107" t="s">
        <v>402</v>
      </c>
      <c r="M41" s="105" t="s">
        <v>361</v>
      </c>
    </row>
    <row r="42" spans="1:13" ht="57" x14ac:dyDescent="0.25">
      <c r="A42" s="106">
        <v>19</v>
      </c>
      <c r="B42" s="113" t="s">
        <v>60</v>
      </c>
      <c r="C42" s="113" t="s">
        <v>404</v>
      </c>
      <c r="D42" s="113"/>
      <c r="E42" s="113" t="s">
        <v>309</v>
      </c>
      <c r="F42" s="113"/>
      <c r="G42" s="113"/>
      <c r="H42" s="113"/>
      <c r="I42" s="38">
        <v>700000000</v>
      </c>
      <c r="J42" s="37" t="s">
        <v>72</v>
      </c>
      <c r="K42" s="107" t="s">
        <v>60</v>
      </c>
      <c r="M42" s="105" t="s">
        <v>305</v>
      </c>
    </row>
    <row r="43" spans="1:13" ht="71.25" x14ac:dyDescent="0.25">
      <c r="A43" s="106">
        <v>20</v>
      </c>
      <c r="B43" s="113" t="s">
        <v>60</v>
      </c>
      <c r="C43" s="113" t="s">
        <v>404</v>
      </c>
      <c r="D43" s="113"/>
      <c r="E43" s="113" t="s">
        <v>372</v>
      </c>
      <c r="F43" s="113"/>
      <c r="G43" s="113"/>
      <c r="H43" s="113"/>
      <c r="I43" s="38">
        <v>100000000</v>
      </c>
      <c r="J43" s="37" t="s">
        <v>72</v>
      </c>
      <c r="K43" s="107" t="s">
        <v>60</v>
      </c>
      <c r="M43" s="105" t="s">
        <v>369</v>
      </c>
    </row>
    <row r="44" spans="1:13" ht="71.25" x14ac:dyDescent="0.25">
      <c r="A44" s="106">
        <v>21</v>
      </c>
      <c r="B44" s="113" t="s">
        <v>60</v>
      </c>
      <c r="C44" s="113" t="s">
        <v>404</v>
      </c>
      <c r="D44" s="113"/>
      <c r="E44" s="113" t="s">
        <v>407</v>
      </c>
      <c r="F44" s="113"/>
      <c r="G44" s="113"/>
      <c r="H44" s="113"/>
      <c r="I44" s="38">
        <v>2200000000</v>
      </c>
      <c r="J44" s="37" t="s">
        <v>90</v>
      </c>
      <c r="K44" s="107" t="s">
        <v>60</v>
      </c>
      <c r="M44" s="105" t="s">
        <v>107</v>
      </c>
    </row>
    <row r="45" spans="1:13" ht="71.25" x14ac:dyDescent="0.25">
      <c r="A45" s="106">
        <v>22</v>
      </c>
      <c r="B45" s="107" t="s">
        <v>400</v>
      </c>
      <c r="C45" s="113" t="s">
        <v>404</v>
      </c>
      <c r="D45" s="113"/>
      <c r="E45" s="113" t="s">
        <v>408</v>
      </c>
      <c r="F45" s="113"/>
      <c r="G45" s="113"/>
      <c r="H45" s="113"/>
      <c r="I45" s="38">
        <v>180177900</v>
      </c>
      <c r="J45" s="37" t="s">
        <v>72</v>
      </c>
      <c r="K45" s="107" t="s">
        <v>402</v>
      </c>
      <c r="M45" s="105" t="s">
        <v>369</v>
      </c>
    </row>
  </sheetData>
  <pageMargins left="0.23622047244094491" right="0.23622047244094491" top="0.74803149606299213" bottom="0.74803149606299213" header="0.31496062992125984" footer="0.31496062992125984"/>
  <pageSetup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CD03-B8B3-48EE-A16B-E1084191EF3A}">
  <sheetPr codeName="Hoja3"/>
  <dimension ref="B1"/>
  <sheetViews>
    <sheetView workbookViewId="0">
      <selection activeCell="D34" sqref="D34"/>
    </sheetView>
  </sheetViews>
  <sheetFormatPr baseColWidth="10" defaultColWidth="11.42578125" defaultRowHeight="15" x14ac:dyDescent="0.25"/>
  <sheetData>
    <row r="1" spans="2:2" x14ac:dyDescent="0.25">
      <c r="B1" s="23" t="s">
        <v>409</v>
      </c>
    </row>
  </sheetData>
  <hyperlinks>
    <hyperlink ref="B1" r:id="rId1" xr:uid="{2401C5B7-4975-476F-A5FA-CFB659B62294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CF5E-045E-4229-A4E8-D6DF0B09A5D7}">
  <sheetPr codeName="Hoja4"/>
  <dimension ref="A3:D24"/>
  <sheetViews>
    <sheetView topLeftCell="A10" workbookViewId="0">
      <selection activeCell="B3" sqref="B3"/>
    </sheetView>
  </sheetViews>
  <sheetFormatPr baseColWidth="10" defaultColWidth="11.42578125" defaultRowHeight="15" x14ac:dyDescent="0.25"/>
  <cols>
    <col min="1" max="1" width="40.28515625" bestFit="1" customWidth="1"/>
    <col min="2" max="2" width="33.42578125" bestFit="1" customWidth="1"/>
    <col min="3" max="3" width="45.7109375" bestFit="1" customWidth="1"/>
    <col min="4" max="4" width="48" bestFit="1" customWidth="1"/>
  </cols>
  <sheetData>
    <row r="3" spans="1:4" x14ac:dyDescent="0.25">
      <c r="A3" s="24" t="s">
        <v>0</v>
      </c>
      <c r="B3" t="s">
        <v>410</v>
      </c>
      <c r="C3" t="s">
        <v>411</v>
      </c>
      <c r="D3" t="s">
        <v>412</v>
      </c>
    </row>
    <row r="4" spans="1:4" x14ac:dyDescent="0.25">
      <c r="A4" s="25" t="s">
        <v>220</v>
      </c>
      <c r="B4">
        <v>5861509580.2700005</v>
      </c>
      <c r="C4">
        <v>3631522110.8600001</v>
      </c>
      <c r="D4">
        <v>2229987469.4099998</v>
      </c>
    </row>
    <row r="5" spans="1:4" x14ac:dyDescent="0.25">
      <c r="A5" s="26" t="s">
        <v>221</v>
      </c>
      <c r="B5">
        <v>60249353</v>
      </c>
      <c r="C5">
        <v>20906659</v>
      </c>
      <c r="D5">
        <v>39342694</v>
      </c>
    </row>
    <row r="6" spans="1:4" x14ac:dyDescent="0.25">
      <c r="A6" s="26" t="s">
        <v>413</v>
      </c>
      <c r="B6">
        <v>128500000</v>
      </c>
      <c r="C6">
        <v>128500000</v>
      </c>
      <c r="D6">
        <v>0</v>
      </c>
    </row>
    <row r="7" spans="1:4" x14ac:dyDescent="0.25">
      <c r="A7" s="26" t="s">
        <v>414</v>
      </c>
      <c r="B7">
        <v>303990000</v>
      </c>
      <c r="C7">
        <v>0</v>
      </c>
      <c r="D7">
        <v>303990000</v>
      </c>
    </row>
    <row r="8" spans="1:4" x14ac:dyDescent="0.25">
      <c r="A8" s="26" t="s">
        <v>64</v>
      </c>
      <c r="B8">
        <v>3272300627.2700005</v>
      </c>
      <c r="C8">
        <v>1424399326.8600001</v>
      </c>
      <c r="D8">
        <v>1847901300.4100001</v>
      </c>
    </row>
    <row r="9" spans="1:4" x14ac:dyDescent="0.25">
      <c r="A9" s="26" t="s">
        <v>112</v>
      </c>
      <c r="B9">
        <v>2096469600</v>
      </c>
      <c r="C9">
        <v>2057716125</v>
      </c>
      <c r="D9">
        <v>38753475</v>
      </c>
    </row>
    <row r="10" spans="1:4" x14ac:dyDescent="0.25">
      <c r="A10" s="25" t="s">
        <v>415</v>
      </c>
      <c r="B10">
        <v>1358150193</v>
      </c>
      <c r="C10">
        <v>522114616</v>
      </c>
      <c r="D10">
        <v>836035577</v>
      </c>
    </row>
    <row r="11" spans="1:4" x14ac:dyDescent="0.25">
      <c r="A11" s="26" t="s">
        <v>416</v>
      </c>
      <c r="B11">
        <v>28024962</v>
      </c>
      <c r="C11">
        <v>11015592</v>
      </c>
      <c r="D11">
        <v>17009370</v>
      </c>
    </row>
    <row r="12" spans="1:4" x14ac:dyDescent="0.25">
      <c r="A12" s="26" t="s">
        <v>417</v>
      </c>
      <c r="B12">
        <v>554910466</v>
      </c>
      <c r="C12">
        <v>218454493</v>
      </c>
      <c r="D12">
        <v>336455973</v>
      </c>
    </row>
    <row r="13" spans="1:4" x14ac:dyDescent="0.25">
      <c r="A13" s="26" t="s">
        <v>418</v>
      </c>
      <c r="B13">
        <v>598757272</v>
      </c>
      <c r="C13">
        <v>223120031</v>
      </c>
      <c r="D13">
        <v>375637241</v>
      </c>
    </row>
    <row r="14" spans="1:4" x14ac:dyDescent="0.25">
      <c r="A14" s="26" t="s">
        <v>419</v>
      </c>
      <c r="B14">
        <v>41466667</v>
      </c>
      <c r="C14">
        <v>13466667</v>
      </c>
      <c r="D14">
        <v>28000000</v>
      </c>
    </row>
    <row r="15" spans="1:4" x14ac:dyDescent="0.25">
      <c r="A15" s="26" t="s">
        <v>340</v>
      </c>
      <c r="B15">
        <v>134990826</v>
      </c>
      <c r="C15">
        <v>56057833</v>
      </c>
      <c r="D15">
        <v>78932993</v>
      </c>
    </row>
    <row r="16" spans="1:4" x14ac:dyDescent="0.25">
      <c r="A16" s="25" t="s">
        <v>389</v>
      </c>
      <c r="B16">
        <v>2055503678.5999999</v>
      </c>
      <c r="C16">
        <v>517852894</v>
      </c>
      <c r="D16">
        <v>1537650784.5999999</v>
      </c>
    </row>
    <row r="17" spans="1:4" x14ac:dyDescent="0.25">
      <c r="A17" s="26" t="s">
        <v>420</v>
      </c>
      <c r="B17">
        <v>2055503678.5999999</v>
      </c>
      <c r="C17">
        <v>517852894</v>
      </c>
      <c r="D17">
        <v>1537650784.5999999</v>
      </c>
    </row>
    <row r="18" spans="1:4" x14ac:dyDescent="0.25">
      <c r="A18" s="25" t="s">
        <v>93</v>
      </c>
      <c r="B18">
        <v>534300199.63999999</v>
      </c>
      <c r="C18">
        <v>162391505.19999999</v>
      </c>
      <c r="D18">
        <v>371908694.44</v>
      </c>
    </row>
    <row r="19" spans="1:4" x14ac:dyDescent="0.25">
      <c r="A19" s="26" t="s">
        <v>421</v>
      </c>
      <c r="B19">
        <v>145000000</v>
      </c>
      <c r="C19">
        <v>0</v>
      </c>
      <c r="D19">
        <v>145000000</v>
      </c>
    </row>
    <row r="20" spans="1:4" x14ac:dyDescent="0.25">
      <c r="A20" s="26" t="s">
        <v>119</v>
      </c>
      <c r="B20">
        <v>14495314.540000001</v>
      </c>
      <c r="C20">
        <v>6039715.1000000006</v>
      </c>
      <c r="D20">
        <v>8455599.4400000013</v>
      </c>
    </row>
    <row r="21" spans="1:4" x14ac:dyDescent="0.25">
      <c r="A21" s="26" t="s">
        <v>422</v>
      </c>
      <c r="B21">
        <v>95108790</v>
      </c>
      <c r="C21">
        <v>0</v>
      </c>
      <c r="D21">
        <v>95108790</v>
      </c>
    </row>
    <row r="22" spans="1:4" x14ac:dyDescent="0.25">
      <c r="A22" s="26" t="s">
        <v>423</v>
      </c>
      <c r="B22">
        <v>256696095.09999999</v>
      </c>
      <c r="C22">
        <v>156351790.09999999</v>
      </c>
      <c r="D22">
        <v>100344305</v>
      </c>
    </row>
    <row r="23" spans="1:4" x14ac:dyDescent="0.25">
      <c r="A23" s="26" t="s">
        <v>424</v>
      </c>
      <c r="B23">
        <v>23000000</v>
      </c>
      <c r="C23">
        <v>0</v>
      </c>
      <c r="D23">
        <v>23000000</v>
      </c>
    </row>
    <row r="24" spans="1:4" x14ac:dyDescent="0.25">
      <c r="A24" s="25" t="s">
        <v>7</v>
      </c>
      <c r="B24">
        <v>9809463651.5100021</v>
      </c>
      <c r="C24">
        <v>4833881126.0600014</v>
      </c>
      <c r="D24">
        <v>4975582525.4499998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FB71-8946-40F3-BFB3-820DDE24CD1D}">
  <sheetPr codeName="Hoja9"/>
  <dimension ref="A2:W33"/>
  <sheetViews>
    <sheetView topLeftCell="R15" workbookViewId="0">
      <selection activeCell="V17" sqref="V17"/>
    </sheetView>
  </sheetViews>
  <sheetFormatPr baseColWidth="10" defaultColWidth="11.42578125" defaultRowHeight="15" x14ac:dyDescent="0.25"/>
  <cols>
    <col min="1" max="1" width="30.7109375" bestFit="1" customWidth="1"/>
    <col min="2" max="2" width="21.28515625" bestFit="1" customWidth="1"/>
    <col min="3" max="3" width="17.7109375" customWidth="1"/>
    <col min="4" max="4" width="19.7109375" customWidth="1"/>
    <col min="5" max="5" width="2.28515625" customWidth="1"/>
    <col min="6" max="6" width="7.42578125" customWidth="1"/>
    <col min="7" max="7" width="16" customWidth="1"/>
    <col min="8" max="8" width="19.7109375" customWidth="1"/>
    <col min="9" max="9" width="13.7109375" bestFit="1" customWidth="1"/>
    <col min="10" max="10" width="18.7109375" customWidth="1"/>
    <col min="14" max="14" width="7.42578125" customWidth="1"/>
    <col min="15" max="15" width="16" customWidth="1"/>
    <col min="16" max="16" width="19.7109375" customWidth="1"/>
    <col min="17" max="17" width="20.42578125" customWidth="1"/>
    <col min="18" max="18" width="18.7109375" customWidth="1"/>
    <col min="21" max="21" width="18.28515625" customWidth="1"/>
  </cols>
  <sheetData>
    <row r="2" spans="1:23" x14ac:dyDescent="0.25">
      <c r="A2" s="91" t="s">
        <v>488</v>
      </c>
      <c r="B2" s="1"/>
      <c r="C2" s="1"/>
      <c r="G2" s="91" t="s">
        <v>507</v>
      </c>
      <c r="H2" s="1"/>
      <c r="O2" s="91" t="s">
        <v>508</v>
      </c>
      <c r="P2" s="1"/>
    </row>
    <row r="3" spans="1:23" ht="30" x14ac:dyDescent="0.25">
      <c r="A3" s="92" t="s">
        <v>489</v>
      </c>
      <c r="B3" s="92" t="s">
        <v>490</v>
      </c>
      <c r="C3" s="1"/>
      <c r="G3" s="92" t="s">
        <v>489</v>
      </c>
      <c r="H3" s="92" t="s">
        <v>509</v>
      </c>
      <c r="O3" s="92" t="s">
        <v>489</v>
      </c>
      <c r="P3" s="92" t="s">
        <v>509</v>
      </c>
    </row>
    <row r="4" spans="1:23" x14ac:dyDescent="0.25">
      <c r="A4" s="93">
        <v>24</v>
      </c>
      <c r="B4" s="94">
        <v>4104113352.5600004</v>
      </c>
      <c r="C4" s="1"/>
      <c r="G4" s="93">
        <v>47</v>
      </c>
      <c r="H4" s="94">
        <v>9494714741.6989994</v>
      </c>
      <c r="O4" s="93">
        <f>A4+G4</f>
        <v>71</v>
      </c>
      <c r="P4" s="94">
        <f>B4+H4</f>
        <v>13598828094.258999</v>
      </c>
    </row>
    <row r="5" spans="1:23" x14ac:dyDescent="0.25">
      <c r="A5" s="1"/>
      <c r="B5" s="1"/>
      <c r="C5" s="1"/>
    </row>
    <row r="6" spans="1:23" x14ac:dyDescent="0.25">
      <c r="A6" s="91" t="s">
        <v>491</v>
      </c>
      <c r="B6" s="1"/>
      <c r="C6" s="1"/>
      <c r="G6" s="91" t="s">
        <v>491</v>
      </c>
      <c r="H6" s="1"/>
      <c r="I6" s="1"/>
      <c r="O6" s="91" t="s">
        <v>491</v>
      </c>
      <c r="P6" s="1"/>
      <c r="Q6" s="1"/>
    </row>
    <row r="7" spans="1:23" ht="45" x14ac:dyDescent="0.25">
      <c r="A7" s="92" t="s">
        <v>492</v>
      </c>
      <c r="B7" s="92" t="s">
        <v>489</v>
      </c>
      <c r="C7" s="92" t="s">
        <v>490</v>
      </c>
      <c r="G7" s="92" t="s">
        <v>492</v>
      </c>
      <c r="H7" s="92" t="s">
        <v>489</v>
      </c>
      <c r="I7" s="92" t="s">
        <v>509</v>
      </c>
      <c r="O7" s="92" t="s">
        <v>492</v>
      </c>
      <c r="P7" s="92" t="s">
        <v>489</v>
      </c>
      <c r="Q7" s="92" t="s">
        <v>510</v>
      </c>
    </row>
    <row r="8" spans="1:23" x14ac:dyDescent="0.25">
      <c r="A8" s="14" t="s">
        <v>90</v>
      </c>
      <c r="B8" s="14">
        <v>12</v>
      </c>
      <c r="C8" s="95">
        <v>1754713272.5600002</v>
      </c>
      <c r="G8" s="14" t="s">
        <v>90</v>
      </c>
      <c r="H8" s="14">
        <v>33</v>
      </c>
      <c r="I8" s="95">
        <v>3514521385.2289996</v>
      </c>
      <c r="O8" s="14" t="s">
        <v>90</v>
      </c>
      <c r="P8" s="14">
        <f>H8+B8-5</f>
        <v>40</v>
      </c>
      <c r="Q8" s="95">
        <f>C8+I8</f>
        <v>5269234657.7889996</v>
      </c>
    </row>
    <row r="9" spans="1:23" x14ac:dyDescent="0.25">
      <c r="A9" s="14" t="s">
        <v>494</v>
      </c>
      <c r="B9" s="14">
        <v>12</v>
      </c>
      <c r="C9" s="95">
        <v>2349400080</v>
      </c>
      <c r="G9" s="14" t="s">
        <v>494</v>
      </c>
      <c r="H9" s="14">
        <v>14</v>
      </c>
      <c r="I9" s="95">
        <v>5980193356.4700003</v>
      </c>
      <c r="O9" s="14" t="s">
        <v>494</v>
      </c>
      <c r="P9" s="14">
        <f>H9+B9-2</f>
        <v>24</v>
      </c>
      <c r="Q9" s="95">
        <f>C9+I9</f>
        <v>8329593436.4700003</v>
      </c>
    </row>
    <row r="10" spans="1:23" x14ac:dyDescent="0.25">
      <c r="A10" s="96" t="s">
        <v>496</v>
      </c>
      <c r="B10" s="93">
        <f>SUM(B8:B9)</f>
        <v>24</v>
      </c>
      <c r="C10" s="94">
        <f>SUM(C8:C9)</f>
        <v>4104113352.5600004</v>
      </c>
      <c r="G10" s="96" t="s">
        <v>496</v>
      </c>
      <c r="H10" s="93">
        <f>SUM(H8:H9)</f>
        <v>47</v>
      </c>
      <c r="I10" s="94">
        <f>SUM(I8:I9)</f>
        <v>9494714741.6989994</v>
      </c>
      <c r="O10" s="96" t="s">
        <v>496</v>
      </c>
      <c r="P10" s="93">
        <f>SUM(P8:P9)</f>
        <v>64</v>
      </c>
      <c r="Q10" s="94">
        <f>SUM(Q8:Q9)</f>
        <v>13598828094.258999</v>
      </c>
    </row>
    <row r="12" spans="1:23" x14ac:dyDescent="0.25">
      <c r="A12" s="91" t="s">
        <v>497</v>
      </c>
      <c r="G12" s="91" t="s">
        <v>497</v>
      </c>
      <c r="O12" s="91" t="s">
        <v>497</v>
      </c>
    </row>
    <row r="15" spans="1:23" ht="45" x14ac:dyDescent="0.25">
      <c r="A15" s="92" t="s">
        <v>499</v>
      </c>
      <c r="B15" s="92" t="s">
        <v>500</v>
      </c>
      <c r="C15" s="92" t="s">
        <v>501</v>
      </c>
      <c r="D15" s="92" t="s">
        <v>502</v>
      </c>
      <c r="G15" s="92" t="s">
        <v>499</v>
      </c>
      <c r="H15" s="92" t="s">
        <v>500</v>
      </c>
      <c r="I15" s="92" t="s">
        <v>501</v>
      </c>
      <c r="J15" s="92" t="s">
        <v>502</v>
      </c>
      <c r="O15" s="92" t="s">
        <v>499</v>
      </c>
      <c r="P15" s="92" t="s">
        <v>500</v>
      </c>
      <c r="Q15" s="92" t="s">
        <v>501</v>
      </c>
      <c r="R15" s="92" t="s">
        <v>502</v>
      </c>
      <c r="U15" s="92" t="s">
        <v>499</v>
      </c>
      <c r="V15" s="92" t="s">
        <v>503</v>
      </c>
      <c r="W15" s="92" t="s">
        <v>502</v>
      </c>
    </row>
    <row r="16" spans="1:23" x14ac:dyDescent="0.25">
      <c r="A16" s="14" t="s">
        <v>116</v>
      </c>
      <c r="B16" s="14">
        <v>5</v>
      </c>
      <c r="C16" s="97">
        <v>0</v>
      </c>
      <c r="D16" s="14">
        <f>SUM(B16:C16)</f>
        <v>5</v>
      </c>
      <c r="G16" s="14" t="s">
        <v>116</v>
      </c>
      <c r="H16" s="14">
        <v>16</v>
      </c>
      <c r="I16" s="97">
        <v>4</v>
      </c>
      <c r="J16" s="14">
        <f>SUM(H16:I16)</f>
        <v>20</v>
      </c>
      <c r="O16" s="14" t="s">
        <v>116</v>
      </c>
      <c r="P16" s="14">
        <f>H16+B16-5</f>
        <v>16</v>
      </c>
      <c r="Q16" s="97">
        <f>I16</f>
        <v>4</v>
      </c>
      <c r="R16" s="14">
        <f>SUM(P16:Q16)</f>
        <v>20</v>
      </c>
      <c r="U16" s="14" t="s">
        <v>116</v>
      </c>
      <c r="V16" s="98">
        <f>W16/$W$22</f>
        <v>0.3125</v>
      </c>
      <c r="W16" s="14">
        <f>R16</f>
        <v>20</v>
      </c>
    </row>
    <row r="17" spans="1:23" x14ac:dyDescent="0.25">
      <c r="A17" s="14" t="s">
        <v>73</v>
      </c>
      <c r="B17" s="14">
        <v>6</v>
      </c>
      <c r="C17" s="97">
        <v>10</v>
      </c>
      <c r="D17" s="14">
        <f t="shared" ref="D17:D19" si="0">SUM(B17:C17)</f>
        <v>16</v>
      </c>
      <c r="G17" s="14" t="s">
        <v>511</v>
      </c>
      <c r="H17" s="14">
        <v>2</v>
      </c>
      <c r="I17" s="97">
        <v>0</v>
      </c>
      <c r="J17" s="14">
        <f t="shared" ref="J17:J21" si="1">SUM(H17:I17)</f>
        <v>2</v>
      </c>
      <c r="O17" s="14" t="s">
        <v>511</v>
      </c>
      <c r="P17" s="14">
        <f>H17+0</f>
        <v>2</v>
      </c>
      <c r="Q17" s="97">
        <f t="shared" ref="Q17:Q20" si="2">I17</f>
        <v>0</v>
      </c>
      <c r="R17" s="14">
        <f t="shared" ref="R17:R21" si="3">SUM(P17:Q17)</f>
        <v>2</v>
      </c>
      <c r="U17" s="14" t="s">
        <v>511</v>
      </c>
      <c r="V17" s="98">
        <f t="shared" ref="V17:V21" si="4">W17/$W$22</f>
        <v>3.125E-2</v>
      </c>
      <c r="W17" s="14">
        <f t="shared" ref="W17:W21" si="5">R17</f>
        <v>2</v>
      </c>
    </row>
    <row r="18" spans="1:23" x14ac:dyDescent="0.25">
      <c r="A18" s="97" t="s">
        <v>104</v>
      </c>
      <c r="B18" s="97">
        <v>1</v>
      </c>
      <c r="C18" s="97">
        <v>0</v>
      </c>
      <c r="D18" s="14">
        <f t="shared" si="0"/>
        <v>1</v>
      </c>
      <c r="G18" s="97" t="s">
        <v>512</v>
      </c>
      <c r="H18" s="97">
        <v>4</v>
      </c>
      <c r="I18" s="97">
        <v>0</v>
      </c>
      <c r="J18" s="14">
        <f t="shared" si="1"/>
        <v>4</v>
      </c>
      <c r="O18" s="97" t="s">
        <v>512</v>
      </c>
      <c r="P18" s="14">
        <f>H18+0</f>
        <v>4</v>
      </c>
      <c r="Q18" s="97">
        <f t="shared" si="2"/>
        <v>0</v>
      </c>
      <c r="R18" s="14">
        <f t="shared" si="3"/>
        <v>4</v>
      </c>
      <c r="U18" s="97" t="s">
        <v>512</v>
      </c>
      <c r="V18" s="98">
        <f t="shared" si="4"/>
        <v>6.25E-2</v>
      </c>
      <c r="W18" s="14">
        <f t="shared" si="5"/>
        <v>4</v>
      </c>
    </row>
    <row r="19" spans="1:23" x14ac:dyDescent="0.25">
      <c r="A19" s="97" t="s">
        <v>135</v>
      </c>
      <c r="B19" s="14">
        <v>0</v>
      </c>
      <c r="C19" s="14">
        <v>2</v>
      </c>
      <c r="D19" s="14">
        <f t="shared" si="0"/>
        <v>2</v>
      </c>
      <c r="G19" s="97" t="s">
        <v>73</v>
      </c>
      <c r="H19" s="14">
        <v>4</v>
      </c>
      <c r="I19" s="14">
        <v>5</v>
      </c>
      <c r="J19" s="14">
        <f t="shared" si="1"/>
        <v>9</v>
      </c>
      <c r="O19" s="97" t="s">
        <v>73</v>
      </c>
      <c r="P19" s="14">
        <f>H19+B17</f>
        <v>10</v>
      </c>
      <c r="Q19" s="97">
        <f>I19+C17</f>
        <v>15</v>
      </c>
      <c r="R19" s="14">
        <f t="shared" si="3"/>
        <v>25</v>
      </c>
      <c r="U19" s="97" t="s">
        <v>73</v>
      </c>
      <c r="V19" s="98">
        <f t="shared" si="4"/>
        <v>0.390625</v>
      </c>
      <c r="W19" s="14">
        <f t="shared" si="5"/>
        <v>25</v>
      </c>
    </row>
    <row r="20" spans="1:23" x14ac:dyDescent="0.25">
      <c r="A20" s="92" t="s">
        <v>496</v>
      </c>
      <c r="B20" s="93">
        <f>SUM(B16:B19)</f>
        <v>12</v>
      </c>
      <c r="C20" s="93">
        <f>SUM(C16:C19)</f>
        <v>12</v>
      </c>
      <c r="D20" s="93">
        <f>SUM(D16:D19)</f>
        <v>24</v>
      </c>
      <c r="G20" s="97" t="s">
        <v>104</v>
      </c>
      <c r="H20" s="14">
        <v>7</v>
      </c>
      <c r="I20" s="14">
        <v>0</v>
      </c>
      <c r="J20" s="14">
        <f t="shared" si="1"/>
        <v>7</v>
      </c>
      <c r="O20" s="97" t="s">
        <v>104</v>
      </c>
      <c r="P20" s="14">
        <f>H20+B18</f>
        <v>8</v>
      </c>
      <c r="Q20" s="97">
        <f t="shared" si="2"/>
        <v>0</v>
      </c>
      <c r="R20" s="14">
        <f t="shared" si="3"/>
        <v>8</v>
      </c>
      <c r="U20" s="97" t="s">
        <v>104</v>
      </c>
      <c r="V20" s="98">
        <f t="shared" si="4"/>
        <v>0.125</v>
      </c>
      <c r="W20" s="14">
        <f t="shared" si="5"/>
        <v>8</v>
      </c>
    </row>
    <row r="21" spans="1:23" x14ac:dyDescent="0.25">
      <c r="G21" s="97" t="s">
        <v>135</v>
      </c>
      <c r="H21" s="14">
        <v>0</v>
      </c>
      <c r="I21" s="14">
        <v>5</v>
      </c>
      <c r="J21" s="14">
        <f t="shared" si="1"/>
        <v>5</v>
      </c>
      <c r="O21" s="97" t="s">
        <v>135</v>
      </c>
      <c r="P21" s="14">
        <f t="shared" ref="P21" si="6">H21</f>
        <v>0</v>
      </c>
      <c r="Q21" s="97">
        <f>I21+C19-2</f>
        <v>5</v>
      </c>
      <c r="R21" s="14">
        <f t="shared" si="3"/>
        <v>5</v>
      </c>
      <c r="U21" s="97" t="s">
        <v>135</v>
      </c>
      <c r="V21" s="98">
        <f t="shared" si="4"/>
        <v>7.8125E-2</v>
      </c>
      <c r="W21" s="14">
        <f t="shared" si="5"/>
        <v>5</v>
      </c>
    </row>
    <row r="22" spans="1:23" x14ac:dyDescent="0.25">
      <c r="G22" s="92" t="s">
        <v>496</v>
      </c>
      <c r="H22" s="93">
        <f>SUM(H16:H21)</f>
        <v>33</v>
      </c>
      <c r="I22" s="93">
        <f t="shared" ref="I22:J22" si="7">SUM(I16:I21)</f>
        <v>14</v>
      </c>
      <c r="J22" s="93">
        <f t="shared" si="7"/>
        <v>47</v>
      </c>
      <c r="O22" s="92" t="s">
        <v>496</v>
      </c>
      <c r="P22" s="93">
        <f>SUM(P16:P21)</f>
        <v>40</v>
      </c>
      <c r="Q22" s="93">
        <f>SUM(Q16:Q21)</f>
        <v>24</v>
      </c>
      <c r="R22" s="93">
        <f t="shared" ref="R22" si="8">SUM(R16:R21)</f>
        <v>64</v>
      </c>
      <c r="U22" s="92" t="s">
        <v>496</v>
      </c>
      <c r="V22" s="99">
        <f t="shared" ref="V22:W22" si="9">SUM(V16:V21)</f>
        <v>1</v>
      </c>
      <c r="W22" s="93">
        <f t="shared" si="9"/>
        <v>64</v>
      </c>
    </row>
    <row r="26" spans="1:23" ht="45" x14ac:dyDescent="0.25">
      <c r="A26" s="92" t="s">
        <v>499</v>
      </c>
      <c r="B26" s="92" t="s">
        <v>504</v>
      </c>
      <c r="C26" s="92" t="s">
        <v>505</v>
      </c>
      <c r="D26" s="92" t="s">
        <v>506</v>
      </c>
      <c r="G26" s="92" t="s">
        <v>499</v>
      </c>
      <c r="H26" s="92" t="s">
        <v>500</v>
      </c>
      <c r="I26" s="92" t="s">
        <v>501</v>
      </c>
      <c r="J26" s="92" t="s">
        <v>502</v>
      </c>
      <c r="O26" s="92" t="s">
        <v>499</v>
      </c>
      <c r="P26" s="92" t="s">
        <v>500</v>
      </c>
      <c r="Q26" s="92" t="s">
        <v>501</v>
      </c>
      <c r="R26" s="92" t="s">
        <v>502</v>
      </c>
    </row>
    <row r="27" spans="1:23" x14ac:dyDescent="0.25">
      <c r="A27" s="14" t="s">
        <v>116</v>
      </c>
      <c r="B27" s="95">
        <v>782937730.24000013</v>
      </c>
      <c r="C27" s="95">
        <v>0</v>
      </c>
      <c r="D27" s="95">
        <f>SUM(B27:C27)</f>
        <v>782937730.24000013</v>
      </c>
      <c r="G27" s="14" t="s">
        <v>116</v>
      </c>
      <c r="H27" s="95">
        <v>2245781657.4690003</v>
      </c>
      <c r="I27" s="95">
        <v>3404331382.4700003</v>
      </c>
      <c r="J27" s="95">
        <f>SUM(H27:I27)</f>
        <v>5650113039.9390011</v>
      </c>
      <c r="O27" s="14" t="s">
        <v>116</v>
      </c>
      <c r="P27" s="95">
        <f>H27+B27</f>
        <v>3028719387.7090006</v>
      </c>
      <c r="Q27" s="95">
        <f>I27</f>
        <v>3404331382.4700003</v>
      </c>
      <c r="R27" s="95">
        <f>SUM(P27:Q27)</f>
        <v>6433050770.1790009</v>
      </c>
    </row>
    <row r="28" spans="1:23" x14ac:dyDescent="0.25">
      <c r="A28" s="14" t="s">
        <v>73</v>
      </c>
      <c r="B28" s="95">
        <v>777657060</v>
      </c>
      <c r="C28" s="95">
        <v>1001064000</v>
      </c>
      <c r="D28" s="95">
        <f t="shared" ref="D28:D30" si="10">SUM(B28:C28)</f>
        <v>1778721060</v>
      </c>
      <c r="G28" s="14" t="s">
        <v>511</v>
      </c>
      <c r="H28" s="95">
        <v>125585805</v>
      </c>
      <c r="I28" s="95">
        <v>0</v>
      </c>
      <c r="J28" s="95">
        <f t="shared" ref="J28:J32" si="11">SUM(H28:I28)</f>
        <v>125585805</v>
      </c>
      <c r="O28" s="14" t="s">
        <v>511</v>
      </c>
      <c r="P28" s="95">
        <f t="shared" ref="P28:P32" si="12">H28</f>
        <v>125585805</v>
      </c>
      <c r="Q28" s="95">
        <f t="shared" ref="Q28:Q31" si="13">I28</f>
        <v>0</v>
      </c>
      <c r="R28" s="95">
        <f t="shared" ref="R28:R32" si="14">SUM(P28:Q28)</f>
        <v>125585805</v>
      </c>
    </row>
    <row r="29" spans="1:23" x14ac:dyDescent="0.25">
      <c r="A29" s="97" t="s">
        <v>104</v>
      </c>
      <c r="B29" s="95">
        <v>194118482.31999999</v>
      </c>
      <c r="C29" s="95">
        <v>0</v>
      </c>
      <c r="D29" s="95">
        <f t="shared" si="10"/>
        <v>194118482.31999999</v>
      </c>
      <c r="G29" s="97" t="s">
        <v>512</v>
      </c>
      <c r="H29" s="95">
        <v>43313900</v>
      </c>
      <c r="I29" s="95">
        <v>0</v>
      </c>
      <c r="J29" s="95">
        <f t="shared" si="11"/>
        <v>43313900</v>
      </c>
      <c r="O29" s="97" t="s">
        <v>512</v>
      </c>
      <c r="P29" s="95">
        <f t="shared" si="12"/>
        <v>43313900</v>
      </c>
      <c r="Q29" s="95">
        <f t="shared" si="13"/>
        <v>0</v>
      </c>
      <c r="R29" s="95">
        <f t="shared" si="14"/>
        <v>43313900</v>
      </c>
    </row>
    <row r="30" spans="1:23" x14ac:dyDescent="0.25">
      <c r="A30" s="97" t="s">
        <v>135</v>
      </c>
      <c r="B30" s="95">
        <v>0</v>
      </c>
      <c r="C30" s="95">
        <v>1348336080</v>
      </c>
      <c r="D30" s="95">
        <f t="shared" si="10"/>
        <v>1348336080</v>
      </c>
      <c r="G30" s="97" t="s">
        <v>73</v>
      </c>
      <c r="H30" s="95">
        <v>112511557</v>
      </c>
      <c r="I30" s="95">
        <v>350065863</v>
      </c>
      <c r="J30" s="95">
        <f t="shared" si="11"/>
        <v>462577420</v>
      </c>
      <c r="O30" s="97" t="s">
        <v>73</v>
      </c>
      <c r="P30" s="95">
        <f>H30+B28</f>
        <v>890168617</v>
      </c>
      <c r="Q30" s="95">
        <f>I30+C28</f>
        <v>1351129863</v>
      </c>
      <c r="R30" s="95">
        <f t="shared" si="14"/>
        <v>2241298480</v>
      </c>
    </row>
    <row r="31" spans="1:23" x14ac:dyDescent="0.25">
      <c r="A31" s="92" t="s">
        <v>496</v>
      </c>
      <c r="B31" s="94">
        <f>SUM(B27:B30)</f>
        <v>1754713272.5600002</v>
      </c>
      <c r="C31" s="94">
        <f>SUM(C27:C30)</f>
        <v>2349400080</v>
      </c>
      <c r="D31" s="94">
        <f>SUM(D27:D30)</f>
        <v>4104113352.5600004</v>
      </c>
      <c r="G31" s="97" t="s">
        <v>104</v>
      </c>
      <c r="H31" s="95">
        <v>987328465.75999999</v>
      </c>
      <c r="I31" s="95">
        <v>0</v>
      </c>
      <c r="J31" s="95">
        <f t="shared" si="11"/>
        <v>987328465.75999999</v>
      </c>
      <c r="O31" s="97" t="s">
        <v>104</v>
      </c>
      <c r="P31" s="95">
        <f>H31+B29</f>
        <v>1181446948.0799999</v>
      </c>
      <c r="Q31" s="95">
        <f t="shared" si="13"/>
        <v>0</v>
      </c>
      <c r="R31" s="95">
        <f t="shared" si="14"/>
        <v>1181446948.0799999</v>
      </c>
    </row>
    <row r="32" spans="1:23" x14ac:dyDescent="0.25">
      <c r="G32" s="97" t="s">
        <v>135</v>
      </c>
      <c r="H32" s="95">
        <v>0</v>
      </c>
      <c r="I32" s="95">
        <v>2225796111</v>
      </c>
      <c r="J32" s="95">
        <f t="shared" si="11"/>
        <v>2225796111</v>
      </c>
      <c r="O32" s="97" t="s">
        <v>135</v>
      </c>
      <c r="P32" s="95">
        <f t="shared" si="12"/>
        <v>0</v>
      </c>
      <c r="Q32" s="95">
        <f>I32+C30</f>
        <v>3574132191</v>
      </c>
      <c r="R32" s="95">
        <f t="shared" si="14"/>
        <v>3574132191</v>
      </c>
    </row>
    <row r="33" spans="7:18" x14ac:dyDescent="0.25">
      <c r="G33" s="92" t="s">
        <v>496</v>
      </c>
      <c r="H33" s="94">
        <f>SUM(H27:H32)</f>
        <v>3514521385.2290001</v>
      </c>
      <c r="I33" s="94">
        <f t="shared" ref="I33" si="15">SUM(I27:I32)</f>
        <v>5980193356.4700003</v>
      </c>
      <c r="J33" s="94">
        <f t="shared" ref="J33" si="16">SUM(J27:J32)</f>
        <v>9494714741.6990013</v>
      </c>
      <c r="O33" s="92" t="s">
        <v>496</v>
      </c>
      <c r="P33" s="94">
        <f>SUM(P27:P32)</f>
        <v>5269234657.7890005</v>
      </c>
      <c r="Q33" s="94">
        <f t="shared" ref="Q33" si="17">SUM(Q27:Q32)</f>
        <v>8329593436.4700003</v>
      </c>
      <c r="R33" s="94">
        <f t="shared" ref="R33" si="18">SUM(R27:R32)</f>
        <v>13598828094.259001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D238-0B98-440C-81F2-904832AB621D}">
  <sheetPr codeName="Hoja10"/>
  <dimension ref="A3:S17"/>
  <sheetViews>
    <sheetView topLeftCell="F1" workbookViewId="0">
      <selection activeCell="J23" sqref="J23"/>
    </sheetView>
  </sheetViews>
  <sheetFormatPr baseColWidth="10" defaultColWidth="11.5703125" defaultRowHeight="15" x14ac:dyDescent="0.25"/>
  <cols>
    <col min="1" max="1" width="26.5703125" style="87" bestFit="1" customWidth="1"/>
    <col min="2" max="2" width="18.7109375" style="87" customWidth="1"/>
    <col min="3" max="3" width="15" style="87" bestFit="1" customWidth="1"/>
    <col min="4" max="4" width="15" style="87" customWidth="1"/>
    <col min="5" max="5" width="18.7109375" style="87" customWidth="1"/>
    <col min="6" max="6" width="15" style="87" bestFit="1" customWidth="1"/>
    <col min="7" max="7" width="15" style="87" customWidth="1"/>
    <col min="8" max="8" width="18.7109375" style="87" customWidth="1"/>
    <col min="9" max="9" width="15" style="87" bestFit="1" customWidth="1"/>
    <col min="10" max="10" width="15" style="87" customWidth="1"/>
    <col min="11" max="11" width="18.7109375" style="87" customWidth="1"/>
    <col min="12" max="12" width="15" style="87" bestFit="1" customWidth="1"/>
    <col min="13" max="13" width="15" style="87" customWidth="1"/>
    <col min="14" max="14" width="18.7109375" style="87" customWidth="1"/>
    <col min="15" max="15" width="15" style="87" bestFit="1" customWidth="1"/>
    <col min="16" max="16" width="15" style="87" customWidth="1"/>
    <col min="17" max="17" width="18.7109375" style="87" customWidth="1"/>
    <col min="18" max="18" width="15" style="87" bestFit="1" customWidth="1"/>
    <col min="19" max="19" width="15" style="87" customWidth="1"/>
    <col min="20" max="20" width="14" style="87" bestFit="1" customWidth="1"/>
    <col min="21" max="21" width="14" style="87" customWidth="1"/>
    <col min="22" max="22" width="11.5703125" style="87"/>
    <col min="23" max="23" width="14" style="87" bestFit="1" customWidth="1"/>
    <col min="24" max="24" width="14" style="87" customWidth="1"/>
    <col min="25" max="25" width="14" style="87" bestFit="1" customWidth="1"/>
    <col min="26" max="26" width="14" style="87" customWidth="1"/>
    <col min="27" max="31" width="11.5703125" style="87"/>
    <col min="32" max="32" width="14" style="87" bestFit="1" customWidth="1"/>
    <col min="33" max="33" width="15" style="87" bestFit="1" customWidth="1"/>
    <col min="34" max="16384" width="11.5703125" style="87"/>
  </cols>
  <sheetData>
    <row r="3" spans="1:19" x14ac:dyDescent="0.25">
      <c r="B3" s="235" t="s">
        <v>167</v>
      </c>
      <c r="C3" s="235"/>
      <c r="D3" s="235"/>
      <c r="E3" s="234" t="s">
        <v>513</v>
      </c>
      <c r="F3" s="234"/>
      <c r="G3" s="234"/>
      <c r="H3" s="235" t="s">
        <v>181</v>
      </c>
      <c r="I3" s="235"/>
      <c r="J3" s="235"/>
      <c r="K3" s="234" t="s">
        <v>188</v>
      </c>
      <c r="L3" s="234"/>
      <c r="M3" s="234"/>
      <c r="N3" s="235" t="s">
        <v>252</v>
      </c>
      <c r="O3" s="235"/>
      <c r="P3" s="235"/>
      <c r="Q3" s="234" t="s">
        <v>196</v>
      </c>
      <c r="R3" s="234"/>
      <c r="S3" s="234"/>
    </row>
    <row r="4" spans="1:19" x14ac:dyDescent="0.25">
      <c r="A4" s="88" t="s">
        <v>514</v>
      </c>
      <c r="B4" s="233">
        <v>148500000</v>
      </c>
      <c r="C4" s="233"/>
      <c r="D4" s="233"/>
      <c r="E4" s="232">
        <v>148500000</v>
      </c>
      <c r="F4" s="232"/>
      <c r="G4" s="232"/>
      <c r="H4" s="233">
        <v>132000000</v>
      </c>
      <c r="I4" s="233"/>
      <c r="J4" s="233"/>
      <c r="K4" s="232">
        <v>121000000</v>
      </c>
      <c r="L4" s="232"/>
      <c r="M4" s="232"/>
      <c r="N4" s="233">
        <v>191064000</v>
      </c>
      <c r="O4" s="233"/>
      <c r="P4" s="233"/>
      <c r="Q4" s="232">
        <v>165000000</v>
      </c>
      <c r="R4" s="232"/>
      <c r="S4" s="232"/>
    </row>
    <row r="5" spans="1:19" ht="30" x14ac:dyDescent="0.25">
      <c r="A5" s="89" t="s">
        <v>515</v>
      </c>
      <c r="B5" s="89" t="s">
        <v>516</v>
      </c>
      <c r="C5" s="89" t="s">
        <v>517</v>
      </c>
      <c r="D5" s="89" t="s">
        <v>518</v>
      </c>
      <c r="E5" s="89" t="s">
        <v>516</v>
      </c>
      <c r="F5" s="89" t="s">
        <v>517</v>
      </c>
      <c r="G5" s="89" t="s">
        <v>518</v>
      </c>
      <c r="H5" s="89" t="s">
        <v>516</v>
      </c>
      <c r="I5" s="89" t="s">
        <v>517</v>
      </c>
      <c r="J5" s="89" t="s">
        <v>518</v>
      </c>
      <c r="K5" s="89" t="s">
        <v>516</v>
      </c>
      <c r="L5" s="89" t="s">
        <v>517</v>
      </c>
      <c r="M5" s="89" t="s">
        <v>518</v>
      </c>
      <c r="N5" s="89" t="s">
        <v>516</v>
      </c>
      <c r="O5" s="89" t="s">
        <v>517</v>
      </c>
      <c r="P5" s="89" t="s">
        <v>518</v>
      </c>
      <c r="Q5" s="89" t="s">
        <v>516</v>
      </c>
      <c r="R5" s="89" t="s">
        <v>517</v>
      </c>
      <c r="S5" s="89" t="s">
        <v>518</v>
      </c>
    </row>
    <row r="6" spans="1:19" x14ac:dyDescent="0.25">
      <c r="A6" s="87" t="s">
        <v>519</v>
      </c>
      <c r="B6" s="87">
        <v>0</v>
      </c>
      <c r="C6" s="87">
        <f>B6</f>
        <v>0</v>
      </c>
      <c r="D6" s="90">
        <f>ROUND(C6/$B$4,2)</f>
        <v>0</v>
      </c>
      <c r="E6" s="87">
        <v>0</v>
      </c>
      <c r="F6" s="87">
        <f>E6</f>
        <v>0</v>
      </c>
      <c r="G6" s="90">
        <f>ROUND(F6/$E$4,2)</f>
        <v>0</v>
      </c>
      <c r="H6" s="87">
        <v>0</v>
      </c>
      <c r="I6" s="87">
        <f>H6</f>
        <v>0</v>
      </c>
      <c r="J6" s="90">
        <f>ROUND(I6/$H$4,2)</f>
        <v>0</v>
      </c>
      <c r="K6" s="87">
        <v>0</v>
      </c>
      <c r="L6" s="87">
        <f>K6</f>
        <v>0</v>
      </c>
      <c r="M6" s="90">
        <f>ROUND(L6/$K$4,2)</f>
        <v>0</v>
      </c>
      <c r="N6" s="87">
        <v>0</v>
      </c>
      <c r="O6" s="87">
        <f>N6</f>
        <v>0</v>
      </c>
      <c r="P6" s="90">
        <f>ROUND(O6/$N$4,2)</f>
        <v>0</v>
      </c>
      <c r="Q6" s="87">
        <v>0</v>
      </c>
      <c r="R6" s="87">
        <f>Q6</f>
        <v>0</v>
      </c>
      <c r="S6" s="90">
        <f>ROUND(R6/$Q$4,2)</f>
        <v>0</v>
      </c>
    </row>
    <row r="7" spans="1:19" x14ac:dyDescent="0.25">
      <c r="A7" s="87" t="s">
        <v>520</v>
      </c>
      <c r="B7" s="87">
        <v>13500000</v>
      </c>
      <c r="C7" s="87">
        <f>C6+B7</f>
        <v>13500000</v>
      </c>
      <c r="D7" s="90">
        <f t="shared" ref="D7:D16" si="0">ROUND(C7/$B$4,2)</f>
        <v>0.09</v>
      </c>
      <c r="E7" s="87">
        <v>13500000</v>
      </c>
      <c r="F7" s="87">
        <f>F6+E7</f>
        <v>13500000</v>
      </c>
      <c r="G7" s="90">
        <f t="shared" ref="G7:G16" si="1">ROUND(F7/$E$4,2)</f>
        <v>0.09</v>
      </c>
      <c r="H7" s="87">
        <v>12000000</v>
      </c>
      <c r="I7" s="87">
        <f>I6+H7</f>
        <v>12000000</v>
      </c>
      <c r="J7" s="90">
        <f t="shared" ref="J7:J16" si="2">ROUND(I7/$H$4,2)</f>
        <v>0.09</v>
      </c>
      <c r="K7" s="87">
        <v>11000000</v>
      </c>
      <c r="L7" s="87">
        <f>L6+K7</f>
        <v>11000000</v>
      </c>
      <c r="M7" s="90">
        <f t="shared" ref="M7:M16" si="3">ROUND(L7/$K$4,2)</f>
        <v>0.09</v>
      </c>
      <c r="N7" s="87">
        <v>17912250</v>
      </c>
      <c r="O7" s="87">
        <f>O6+N7</f>
        <v>17912250</v>
      </c>
      <c r="P7" s="90">
        <f t="shared" ref="P7:P16" si="4">ROUND(O7/$N$4,2)</f>
        <v>0.09</v>
      </c>
      <c r="Q7" s="87">
        <v>15000000</v>
      </c>
      <c r="R7" s="87">
        <f>R6+Q7</f>
        <v>15000000</v>
      </c>
      <c r="S7" s="90">
        <f t="shared" ref="S7:S16" si="5">ROUND(R7/$Q$4,2)</f>
        <v>0.09</v>
      </c>
    </row>
    <row r="8" spans="1:19" x14ac:dyDescent="0.25">
      <c r="A8" s="87" t="s">
        <v>521</v>
      </c>
      <c r="B8" s="87">
        <f>B7</f>
        <v>13500000</v>
      </c>
      <c r="C8" s="87">
        <f>C7+B8</f>
        <v>27000000</v>
      </c>
      <c r="D8" s="90">
        <f t="shared" si="0"/>
        <v>0.18</v>
      </c>
      <c r="E8" s="87">
        <f>E7</f>
        <v>13500000</v>
      </c>
      <c r="F8" s="87">
        <f>F7+E8</f>
        <v>27000000</v>
      </c>
      <c r="G8" s="90">
        <f t="shared" si="1"/>
        <v>0.18</v>
      </c>
      <c r="H8" s="87">
        <f>H7</f>
        <v>12000000</v>
      </c>
      <c r="I8" s="87">
        <f>I7+H8</f>
        <v>24000000</v>
      </c>
      <c r="J8" s="90">
        <f t="shared" si="2"/>
        <v>0.18</v>
      </c>
      <c r="K8" s="87">
        <f>K7</f>
        <v>11000000</v>
      </c>
      <c r="L8" s="87">
        <f>L7+K8</f>
        <v>22000000</v>
      </c>
      <c r="M8" s="90">
        <f t="shared" si="3"/>
        <v>0.18</v>
      </c>
      <c r="N8" s="87">
        <v>17912250</v>
      </c>
      <c r="O8" s="87">
        <f>O7+N8</f>
        <v>35824500</v>
      </c>
      <c r="P8" s="90">
        <f t="shared" si="4"/>
        <v>0.19</v>
      </c>
      <c r="Q8" s="87">
        <f>Q7</f>
        <v>15000000</v>
      </c>
      <c r="R8" s="87">
        <f>R7+Q8</f>
        <v>30000000</v>
      </c>
      <c r="S8" s="90">
        <f t="shared" si="5"/>
        <v>0.18</v>
      </c>
    </row>
    <row r="9" spans="1:19" x14ac:dyDescent="0.25">
      <c r="A9" s="87" t="s">
        <v>522</v>
      </c>
      <c r="B9" s="87">
        <f>B8</f>
        <v>13500000</v>
      </c>
      <c r="C9" s="87">
        <f t="shared" ref="C9:C16" si="6">C8+B9</f>
        <v>40500000</v>
      </c>
      <c r="D9" s="90">
        <f t="shared" si="0"/>
        <v>0.27</v>
      </c>
      <c r="E9" s="87">
        <f>E8</f>
        <v>13500000</v>
      </c>
      <c r="F9" s="87">
        <f t="shared" ref="F9:F16" si="7">F8+E9</f>
        <v>40500000</v>
      </c>
      <c r="G9" s="90">
        <f t="shared" si="1"/>
        <v>0.27</v>
      </c>
      <c r="H9" s="87">
        <f>H8</f>
        <v>12000000</v>
      </c>
      <c r="I9" s="87">
        <f t="shared" ref="I9:I16" si="8">I8+H9</f>
        <v>36000000</v>
      </c>
      <c r="J9" s="90">
        <f t="shared" si="2"/>
        <v>0.27</v>
      </c>
      <c r="K9" s="87">
        <f>K8</f>
        <v>11000000</v>
      </c>
      <c r="L9" s="87">
        <f t="shared" ref="L9:L16" si="9">L8+K9</f>
        <v>33000000</v>
      </c>
      <c r="M9" s="90">
        <f t="shared" si="3"/>
        <v>0.27</v>
      </c>
      <c r="N9" s="87">
        <f>N8</f>
        <v>17912250</v>
      </c>
      <c r="O9" s="87">
        <f t="shared" ref="O9:O16" si="10">O8+N9</f>
        <v>53736750</v>
      </c>
      <c r="P9" s="90">
        <f t="shared" si="4"/>
        <v>0.28000000000000003</v>
      </c>
      <c r="Q9" s="87">
        <f>Q8</f>
        <v>15000000</v>
      </c>
      <c r="R9" s="87">
        <f t="shared" ref="R9:R16" si="11">R8+Q9</f>
        <v>45000000</v>
      </c>
      <c r="S9" s="90">
        <f t="shared" si="5"/>
        <v>0.27</v>
      </c>
    </row>
    <row r="10" spans="1:19" x14ac:dyDescent="0.25">
      <c r="A10" s="87" t="s">
        <v>523</v>
      </c>
      <c r="B10" s="87">
        <f t="shared" ref="B10:B15" si="12">B9</f>
        <v>13500000</v>
      </c>
      <c r="C10" s="87">
        <f t="shared" si="6"/>
        <v>54000000</v>
      </c>
      <c r="D10" s="90">
        <f t="shared" si="0"/>
        <v>0.36</v>
      </c>
      <c r="E10" s="87">
        <f t="shared" ref="E10:E15" si="13">E9</f>
        <v>13500000</v>
      </c>
      <c r="F10" s="87">
        <f t="shared" si="7"/>
        <v>54000000</v>
      </c>
      <c r="G10" s="90">
        <f t="shared" si="1"/>
        <v>0.36</v>
      </c>
      <c r="H10" s="87">
        <f t="shared" ref="H10:H15" si="14">H9</f>
        <v>12000000</v>
      </c>
      <c r="I10" s="87">
        <f t="shared" si="8"/>
        <v>48000000</v>
      </c>
      <c r="J10" s="90">
        <f t="shared" si="2"/>
        <v>0.36</v>
      </c>
      <c r="K10" s="87">
        <f t="shared" ref="K10:K15" si="15">K9</f>
        <v>11000000</v>
      </c>
      <c r="L10" s="87">
        <f t="shared" si="9"/>
        <v>44000000</v>
      </c>
      <c r="M10" s="90">
        <f t="shared" si="3"/>
        <v>0.36</v>
      </c>
      <c r="N10" s="87">
        <f t="shared" ref="N10:N15" si="16">N9</f>
        <v>17912250</v>
      </c>
      <c r="O10" s="87">
        <f t="shared" si="10"/>
        <v>71649000</v>
      </c>
      <c r="P10" s="90">
        <f t="shared" si="4"/>
        <v>0.38</v>
      </c>
      <c r="Q10" s="87">
        <f t="shared" ref="Q10:Q15" si="17">Q9</f>
        <v>15000000</v>
      </c>
      <c r="R10" s="87">
        <f t="shared" si="11"/>
        <v>60000000</v>
      </c>
      <c r="S10" s="90">
        <f t="shared" si="5"/>
        <v>0.36</v>
      </c>
    </row>
    <row r="11" spans="1:19" x14ac:dyDescent="0.25">
      <c r="A11" s="87" t="s">
        <v>524</v>
      </c>
      <c r="B11" s="87">
        <f t="shared" si="12"/>
        <v>13500000</v>
      </c>
      <c r="C11" s="87">
        <f t="shared" si="6"/>
        <v>67500000</v>
      </c>
      <c r="D11" s="90">
        <f t="shared" si="0"/>
        <v>0.45</v>
      </c>
      <c r="E11" s="87">
        <f t="shared" si="13"/>
        <v>13500000</v>
      </c>
      <c r="F11" s="87">
        <f t="shared" si="7"/>
        <v>67500000</v>
      </c>
      <c r="G11" s="90">
        <f t="shared" si="1"/>
        <v>0.45</v>
      </c>
      <c r="H11" s="87">
        <f t="shared" si="14"/>
        <v>12000000</v>
      </c>
      <c r="I11" s="87">
        <f t="shared" si="8"/>
        <v>60000000</v>
      </c>
      <c r="J11" s="90">
        <f t="shared" si="2"/>
        <v>0.45</v>
      </c>
      <c r="K11" s="87">
        <f t="shared" si="15"/>
        <v>11000000</v>
      </c>
      <c r="L11" s="87">
        <f t="shared" si="9"/>
        <v>55000000</v>
      </c>
      <c r="M11" s="90">
        <f t="shared" si="3"/>
        <v>0.45</v>
      </c>
      <c r="N11" s="87">
        <f t="shared" si="16"/>
        <v>17912250</v>
      </c>
      <c r="O11" s="87">
        <f t="shared" si="10"/>
        <v>89561250</v>
      </c>
      <c r="P11" s="90">
        <f t="shared" si="4"/>
        <v>0.47</v>
      </c>
      <c r="Q11" s="87">
        <f t="shared" si="17"/>
        <v>15000000</v>
      </c>
      <c r="R11" s="87">
        <f t="shared" si="11"/>
        <v>75000000</v>
      </c>
      <c r="S11" s="90">
        <f t="shared" si="5"/>
        <v>0.45</v>
      </c>
    </row>
    <row r="12" spans="1:19" x14ac:dyDescent="0.25">
      <c r="A12" s="87" t="s">
        <v>525</v>
      </c>
      <c r="B12" s="87">
        <f t="shared" si="12"/>
        <v>13500000</v>
      </c>
      <c r="C12" s="87">
        <f t="shared" si="6"/>
        <v>81000000</v>
      </c>
      <c r="D12" s="90">
        <f t="shared" si="0"/>
        <v>0.55000000000000004</v>
      </c>
      <c r="E12" s="87">
        <f t="shared" si="13"/>
        <v>13500000</v>
      </c>
      <c r="F12" s="87">
        <f t="shared" si="7"/>
        <v>81000000</v>
      </c>
      <c r="G12" s="90">
        <f t="shared" si="1"/>
        <v>0.55000000000000004</v>
      </c>
      <c r="H12" s="87">
        <f t="shared" si="14"/>
        <v>12000000</v>
      </c>
      <c r="I12" s="87">
        <f t="shared" si="8"/>
        <v>72000000</v>
      </c>
      <c r="J12" s="90">
        <f t="shared" si="2"/>
        <v>0.55000000000000004</v>
      </c>
      <c r="K12" s="87">
        <f t="shared" si="15"/>
        <v>11000000</v>
      </c>
      <c r="L12" s="87">
        <f t="shared" si="9"/>
        <v>66000000</v>
      </c>
      <c r="M12" s="90">
        <f t="shared" si="3"/>
        <v>0.55000000000000004</v>
      </c>
      <c r="N12" s="87">
        <f t="shared" si="16"/>
        <v>17912250</v>
      </c>
      <c r="O12" s="87">
        <f t="shared" si="10"/>
        <v>107473500</v>
      </c>
      <c r="P12" s="90">
        <f t="shared" si="4"/>
        <v>0.56000000000000005</v>
      </c>
      <c r="Q12" s="87">
        <f t="shared" si="17"/>
        <v>15000000</v>
      </c>
      <c r="R12" s="87">
        <f t="shared" si="11"/>
        <v>90000000</v>
      </c>
      <c r="S12" s="90">
        <f t="shared" si="5"/>
        <v>0.55000000000000004</v>
      </c>
    </row>
    <row r="13" spans="1:19" x14ac:dyDescent="0.25">
      <c r="A13" s="87" t="s">
        <v>526</v>
      </c>
      <c r="B13" s="87">
        <f t="shared" si="12"/>
        <v>13500000</v>
      </c>
      <c r="C13" s="87">
        <f t="shared" si="6"/>
        <v>94500000</v>
      </c>
      <c r="D13" s="90">
        <f t="shared" si="0"/>
        <v>0.64</v>
      </c>
      <c r="E13" s="87">
        <f t="shared" si="13"/>
        <v>13500000</v>
      </c>
      <c r="F13" s="87">
        <f t="shared" si="7"/>
        <v>94500000</v>
      </c>
      <c r="G13" s="90">
        <f t="shared" si="1"/>
        <v>0.64</v>
      </c>
      <c r="H13" s="87">
        <f t="shared" si="14"/>
        <v>12000000</v>
      </c>
      <c r="I13" s="87">
        <f t="shared" si="8"/>
        <v>84000000</v>
      </c>
      <c r="J13" s="90">
        <f t="shared" si="2"/>
        <v>0.64</v>
      </c>
      <c r="K13" s="87">
        <f t="shared" si="15"/>
        <v>11000000</v>
      </c>
      <c r="L13" s="87">
        <f t="shared" si="9"/>
        <v>77000000</v>
      </c>
      <c r="M13" s="90">
        <f t="shared" si="3"/>
        <v>0.64</v>
      </c>
      <c r="N13" s="87">
        <f t="shared" si="16"/>
        <v>17912250</v>
      </c>
      <c r="O13" s="87">
        <f t="shared" si="10"/>
        <v>125385750</v>
      </c>
      <c r="P13" s="90">
        <f t="shared" si="4"/>
        <v>0.66</v>
      </c>
      <c r="Q13" s="87">
        <f t="shared" si="17"/>
        <v>15000000</v>
      </c>
      <c r="R13" s="87">
        <f t="shared" si="11"/>
        <v>105000000</v>
      </c>
      <c r="S13" s="90">
        <f t="shared" si="5"/>
        <v>0.64</v>
      </c>
    </row>
    <row r="14" spans="1:19" x14ac:dyDescent="0.25">
      <c r="A14" s="87" t="s">
        <v>527</v>
      </c>
      <c r="B14" s="87">
        <f t="shared" si="12"/>
        <v>13500000</v>
      </c>
      <c r="C14" s="87">
        <f t="shared" si="6"/>
        <v>108000000</v>
      </c>
      <c r="D14" s="90">
        <f t="shared" si="0"/>
        <v>0.73</v>
      </c>
      <c r="E14" s="87">
        <f t="shared" si="13"/>
        <v>13500000</v>
      </c>
      <c r="F14" s="87">
        <f t="shared" si="7"/>
        <v>108000000</v>
      </c>
      <c r="G14" s="90">
        <f t="shared" si="1"/>
        <v>0.73</v>
      </c>
      <c r="H14" s="87">
        <f t="shared" si="14"/>
        <v>12000000</v>
      </c>
      <c r="I14" s="87">
        <f t="shared" si="8"/>
        <v>96000000</v>
      </c>
      <c r="J14" s="90">
        <f t="shared" si="2"/>
        <v>0.73</v>
      </c>
      <c r="K14" s="87">
        <f t="shared" si="15"/>
        <v>11000000</v>
      </c>
      <c r="L14" s="87">
        <f t="shared" si="9"/>
        <v>88000000</v>
      </c>
      <c r="M14" s="90">
        <f t="shared" si="3"/>
        <v>0.73</v>
      </c>
      <c r="N14" s="87">
        <f t="shared" si="16"/>
        <v>17912250</v>
      </c>
      <c r="O14" s="87">
        <f t="shared" si="10"/>
        <v>143298000</v>
      </c>
      <c r="P14" s="90">
        <f t="shared" si="4"/>
        <v>0.75</v>
      </c>
      <c r="Q14" s="87">
        <f t="shared" si="17"/>
        <v>15000000</v>
      </c>
      <c r="R14" s="87">
        <f t="shared" si="11"/>
        <v>120000000</v>
      </c>
      <c r="S14" s="90">
        <f t="shared" si="5"/>
        <v>0.73</v>
      </c>
    </row>
    <row r="15" spans="1:19" x14ac:dyDescent="0.25">
      <c r="A15" s="87" t="s">
        <v>528</v>
      </c>
      <c r="B15" s="87">
        <f t="shared" si="12"/>
        <v>13500000</v>
      </c>
      <c r="C15" s="87">
        <f t="shared" si="6"/>
        <v>121500000</v>
      </c>
      <c r="D15" s="90">
        <f t="shared" si="0"/>
        <v>0.82</v>
      </c>
      <c r="E15" s="87">
        <f t="shared" si="13"/>
        <v>13500000</v>
      </c>
      <c r="F15" s="87">
        <f t="shared" si="7"/>
        <v>121500000</v>
      </c>
      <c r="G15" s="90">
        <f t="shared" si="1"/>
        <v>0.82</v>
      </c>
      <c r="H15" s="87">
        <f t="shared" si="14"/>
        <v>12000000</v>
      </c>
      <c r="I15" s="87">
        <f t="shared" si="8"/>
        <v>108000000</v>
      </c>
      <c r="J15" s="90">
        <f t="shared" si="2"/>
        <v>0.82</v>
      </c>
      <c r="K15" s="87">
        <f t="shared" si="15"/>
        <v>11000000</v>
      </c>
      <c r="L15" s="87">
        <f t="shared" si="9"/>
        <v>99000000</v>
      </c>
      <c r="M15" s="90">
        <f t="shared" si="3"/>
        <v>0.82</v>
      </c>
      <c r="N15" s="87">
        <f t="shared" si="16"/>
        <v>17912250</v>
      </c>
      <c r="O15" s="87">
        <f t="shared" si="10"/>
        <v>161210250</v>
      </c>
      <c r="P15" s="90">
        <f t="shared" si="4"/>
        <v>0.84</v>
      </c>
      <c r="Q15" s="87">
        <f t="shared" si="17"/>
        <v>15000000</v>
      </c>
      <c r="R15" s="87">
        <f t="shared" si="11"/>
        <v>135000000</v>
      </c>
      <c r="S15" s="90">
        <f t="shared" si="5"/>
        <v>0.82</v>
      </c>
    </row>
    <row r="16" spans="1:19" x14ac:dyDescent="0.25">
      <c r="A16" s="87" t="s">
        <v>529</v>
      </c>
      <c r="B16" s="87">
        <f>B15+B7</f>
        <v>27000000</v>
      </c>
      <c r="C16" s="87">
        <f t="shared" si="6"/>
        <v>148500000</v>
      </c>
      <c r="D16" s="90">
        <f t="shared" si="0"/>
        <v>1</v>
      </c>
      <c r="E16" s="87">
        <f>E15+E7</f>
        <v>27000000</v>
      </c>
      <c r="F16" s="87">
        <f t="shared" si="7"/>
        <v>148500000</v>
      </c>
      <c r="G16" s="90">
        <f t="shared" si="1"/>
        <v>1</v>
      </c>
      <c r="H16" s="87">
        <f>H15+H7</f>
        <v>24000000</v>
      </c>
      <c r="I16" s="87">
        <f t="shared" si="8"/>
        <v>132000000</v>
      </c>
      <c r="J16" s="90">
        <f t="shared" si="2"/>
        <v>1</v>
      </c>
      <c r="K16" s="87">
        <f>K15+K7</f>
        <v>22000000</v>
      </c>
      <c r="L16" s="87">
        <f t="shared" si="9"/>
        <v>121000000</v>
      </c>
      <c r="M16" s="90">
        <f t="shared" si="3"/>
        <v>1</v>
      </c>
      <c r="N16" s="87">
        <f>N15+11941500</f>
        <v>29853750</v>
      </c>
      <c r="O16" s="87">
        <f t="shared" si="10"/>
        <v>191064000</v>
      </c>
      <c r="P16" s="90">
        <f t="shared" si="4"/>
        <v>1</v>
      </c>
      <c r="Q16" s="87">
        <f>Q15+Q7</f>
        <v>30000000</v>
      </c>
      <c r="R16" s="87">
        <f t="shared" si="11"/>
        <v>165000000</v>
      </c>
      <c r="S16" s="90">
        <f t="shared" si="5"/>
        <v>1</v>
      </c>
    </row>
    <row r="17" spans="1:19" x14ac:dyDescent="0.25">
      <c r="A17" s="88" t="s">
        <v>530</v>
      </c>
      <c r="B17" s="233">
        <f>SUM(B6:B16)</f>
        <v>148500000</v>
      </c>
      <c r="C17" s="233"/>
      <c r="D17" s="233"/>
      <c r="E17" s="232">
        <f>SUM(E6:E16)</f>
        <v>148500000</v>
      </c>
      <c r="F17" s="232"/>
      <c r="G17" s="232"/>
      <c r="H17" s="233">
        <f>SUM(H6:H16)</f>
        <v>132000000</v>
      </c>
      <c r="I17" s="233"/>
      <c r="J17" s="233"/>
      <c r="K17" s="232">
        <f>SUM(K6:K16)</f>
        <v>121000000</v>
      </c>
      <c r="L17" s="232"/>
      <c r="M17" s="232"/>
      <c r="N17" s="233">
        <f>SUM(N6:N16)</f>
        <v>191064000</v>
      </c>
      <c r="O17" s="233"/>
      <c r="P17" s="233"/>
      <c r="Q17" s="232">
        <f>SUM(Q6:Q16)</f>
        <v>165000000</v>
      </c>
      <c r="R17" s="232"/>
      <c r="S17" s="232"/>
    </row>
  </sheetData>
  <mergeCells count="18">
    <mergeCell ref="Q3:S3"/>
    <mergeCell ref="B3:D3"/>
    <mergeCell ref="E3:G3"/>
    <mergeCell ref="H3:J3"/>
    <mergeCell ref="K3:M3"/>
    <mergeCell ref="N3:P3"/>
    <mergeCell ref="Q17:S17"/>
    <mergeCell ref="B4:D4"/>
    <mergeCell ref="E4:G4"/>
    <mergeCell ref="H4:J4"/>
    <mergeCell ref="K4:M4"/>
    <mergeCell ref="N4:P4"/>
    <mergeCell ref="Q4:S4"/>
    <mergeCell ref="B17:D17"/>
    <mergeCell ref="E17:G17"/>
    <mergeCell ref="H17:J17"/>
    <mergeCell ref="K17:M17"/>
    <mergeCell ref="N17:P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8DC5-CD45-4E7F-8D46-D6DAC890752D}">
  <sheetPr>
    <pageSetUpPr autoPageBreaks="0"/>
  </sheetPr>
  <dimension ref="A1:AT62"/>
  <sheetViews>
    <sheetView zoomScale="80" zoomScaleNormal="80" zoomScaleSheetLayoutView="100" workbookViewId="0">
      <pane ySplit="1" topLeftCell="A21" activePane="bottomLeft" state="frozen"/>
      <selection pane="bottomLeft" activeCell="E25" sqref="E25"/>
    </sheetView>
  </sheetViews>
  <sheetFormatPr baseColWidth="10" defaultColWidth="11.7109375" defaultRowHeight="14.25" x14ac:dyDescent="0.25"/>
  <cols>
    <col min="1" max="1" width="11.7109375" style="27"/>
    <col min="2" max="2" width="11.7109375" style="62"/>
    <col min="3" max="3" width="11.7109375" style="27"/>
    <col min="4" max="4" width="21" style="27" customWidth="1"/>
    <col min="5" max="6" width="11.7109375" style="27"/>
    <col min="7" max="10" width="11.7109375" style="42"/>
    <col min="11" max="12" width="11.7109375" style="42" customWidth="1"/>
    <col min="13" max="13" width="11.7109375" style="27" customWidth="1"/>
    <col min="14" max="14" width="25.28515625" style="27" customWidth="1"/>
    <col min="15" max="16" width="11.7109375" style="27" customWidth="1"/>
    <col min="17" max="17" width="23.7109375" style="27" customWidth="1"/>
    <col min="18" max="18" width="51.7109375" style="27" customWidth="1"/>
    <col min="19" max="19" width="11.7109375" style="33" customWidth="1"/>
    <col min="20" max="30" width="11.7109375" style="27" customWidth="1"/>
    <col min="31" max="31" width="19.7109375" style="27" customWidth="1"/>
    <col min="32" max="32" width="17.42578125" style="27" customWidth="1"/>
    <col min="33" max="33" width="19.7109375" style="27" customWidth="1"/>
    <col min="34" max="35" width="18" style="27" customWidth="1"/>
    <col min="36" max="36" width="16.7109375" style="27" customWidth="1"/>
    <col min="37" max="38" width="19.7109375" style="27" customWidth="1"/>
    <col min="39" max="39" width="18.7109375" style="27" customWidth="1"/>
    <col min="40" max="41" width="16.7109375" style="27" customWidth="1"/>
    <col min="42" max="42" width="11.7109375" style="27" customWidth="1"/>
    <col min="43" max="43" width="18" style="27" customWidth="1"/>
    <col min="44" max="44" width="20.28515625" style="27" customWidth="1"/>
    <col min="45" max="45" width="82.7109375" style="27" customWidth="1"/>
    <col min="46" max="46" width="71.5703125" style="27" customWidth="1"/>
    <col min="47" max="16384" width="11.7109375" style="27"/>
  </cols>
  <sheetData>
    <row r="1" spans="1:46" ht="105" x14ac:dyDescent="0.25">
      <c r="A1" s="28" t="s">
        <v>10</v>
      </c>
      <c r="B1" s="60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40" t="s">
        <v>16</v>
      </c>
      <c r="H1" s="40" t="s">
        <v>17</v>
      </c>
      <c r="I1" s="40" t="s">
        <v>18</v>
      </c>
      <c r="J1" s="40" t="s">
        <v>19</v>
      </c>
      <c r="K1" s="40" t="s">
        <v>20</v>
      </c>
      <c r="L1" s="40" t="s">
        <v>21</v>
      </c>
      <c r="M1" s="28" t="s">
        <v>22</v>
      </c>
      <c r="N1" s="28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40" t="s">
        <v>28</v>
      </c>
      <c r="T1" s="28" t="s">
        <v>29</v>
      </c>
      <c r="U1" s="28" t="s">
        <v>30</v>
      </c>
      <c r="V1" s="28" t="s">
        <v>31</v>
      </c>
      <c r="W1" s="28" t="s">
        <v>32</v>
      </c>
      <c r="X1" s="28" t="s">
        <v>33</v>
      </c>
      <c r="Y1" s="28" t="s">
        <v>34</v>
      </c>
      <c r="Z1" s="28" t="s">
        <v>35</v>
      </c>
      <c r="AA1" s="28" t="s">
        <v>36</v>
      </c>
      <c r="AB1" s="28" t="s">
        <v>37</v>
      </c>
      <c r="AC1" s="28" t="s">
        <v>38</v>
      </c>
      <c r="AD1" s="28" t="s">
        <v>39</v>
      </c>
      <c r="AE1" s="28" t="s">
        <v>40</v>
      </c>
      <c r="AF1" s="28" t="s">
        <v>41</v>
      </c>
      <c r="AG1" s="28" t="s">
        <v>42</v>
      </c>
      <c r="AH1" s="28" t="s">
        <v>43</v>
      </c>
      <c r="AI1" s="28" t="s">
        <v>44</v>
      </c>
      <c r="AJ1" s="28" t="s">
        <v>45</v>
      </c>
      <c r="AK1" s="28" t="s">
        <v>46</v>
      </c>
      <c r="AL1" s="28" t="s">
        <v>47</v>
      </c>
      <c r="AM1" s="28" t="s">
        <v>48</v>
      </c>
      <c r="AN1" s="28" t="s">
        <v>49</v>
      </c>
      <c r="AO1" s="28" t="s">
        <v>50</v>
      </c>
      <c r="AP1" s="28" t="s">
        <v>51</v>
      </c>
      <c r="AQ1" s="28" t="s">
        <v>52</v>
      </c>
      <c r="AR1" s="28" t="s">
        <v>53</v>
      </c>
      <c r="AS1" s="28" t="s">
        <v>54</v>
      </c>
      <c r="AT1" s="28" t="s">
        <v>55</v>
      </c>
    </row>
    <row r="2" spans="1:46" ht="150" x14ac:dyDescent="0.25">
      <c r="A2" s="47">
        <v>1</v>
      </c>
      <c r="B2" s="63"/>
      <c r="C2" s="32"/>
      <c r="D2" s="29" t="s">
        <v>56</v>
      </c>
      <c r="E2" s="29" t="s">
        <v>57</v>
      </c>
      <c r="F2" s="29" t="s">
        <v>58</v>
      </c>
      <c r="G2" s="41" t="s">
        <v>59</v>
      </c>
      <c r="H2" s="41" t="s">
        <v>60</v>
      </c>
      <c r="I2" s="41">
        <v>2024</v>
      </c>
      <c r="J2" s="41">
        <v>46</v>
      </c>
      <c r="K2" s="29" t="s">
        <v>59</v>
      </c>
      <c r="L2" s="29" t="s">
        <v>3</v>
      </c>
      <c r="M2" s="32" t="s">
        <v>61</v>
      </c>
      <c r="N2" s="32" t="s">
        <v>62</v>
      </c>
      <c r="O2" s="32" t="s">
        <v>63</v>
      </c>
      <c r="P2" s="32" t="s">
        <v>64</v>
      </c>
      <c r="Q2" s="31" t="s">
        <v>65</v>
      </c>
      <c r="R2" s="32" t="s">
        <v>66</v>
      </c>
      <c r="S2" s="45" t="s">
        <v>67</v>
      </c>
      <c r="T2" s="30" t="s">
        <v>68</v>
      </c>
      <c r="U2" s="35" t="s">
        <v>69</v>
      </c>
      <c r="V2" s="68">
        <v>0</v>
      </c>
      <c r="W2" s="36">
        <v>45329</v>
      </c>
      <c r="X2" s="36">
        <v>45331</v>
      </c>
      <c r="Y2" s="36" t="s">
        <v>70</v>
      </c>
      <c r="Z2" s="36">
        <v>45473</v>
      </c>
      <c r="AA2" s="36" t="s">
        <v>70</v>
      </c>
      <c r="AB2" s="36" t="s">
        <v>71</v>
      </c>
      <c r="AC2" s="37" t="s">
        <v>72</v>
      </c>
      <c r="AD2" s="32" t="s">
        <v>73</v>
      </c>
      <c r="AE2" s="38">
        <v>47500000</v>
      </c>
      <c r="AF2" s="38">
        <v>0</v>
      </c>
      <c r="AG2" s="38">
        <f t="shared" ref="AG2:AG8" si="0">AE2+AF2</f>
        <v>47500000</v>
      </c>
      <c r="AH2" s="38">
        <v>0</v>
      </c>
      <c r="AI2" s="66">
        <v>47500000</v>
      </c>
      <c r="AJ2" s="38">
        <v>0</v>
      </c>
      <c r="AK2" s="38">
        <v>47500000</v>
      </c>
      <c r="AL2" s="38">
        <f>IF(K2="Si",(AK2-AE2),0)</f>
        <v>0</v>
      </c>
      <c r="AM2" s="38"/>
      <c r="AN2" s="66">
        <v>0</v>
      </c>
      <c r="AO2" s="38">
        <v>11875000</v>
      </c>
      <c r="AP2" s="54">
        <f t="shared" ref="AP2:AP5" si="1">IF(AI2=0,0,ROUND(AN2/AI2,2))</f>
        <v>0</v>
      </c>
      <c r="AQ2" s="65">
        <f t="shared" ref="AQ2:AQ53" si="2">AI2-AN2</f>
        <v>47500000</v>
      </c>
      <c r="AR2" s="30" t="s">
        <v>74</v>
      </c>
      <c r="AS2" s="43" t="s">
        <v>75</v>
      </c>
      <c r="AT2" s="32"/>
    </row>
    <row r="3" spans="1:46" ht="135" x14ac:dyDescent="0.25">
      <c r="A3" s="47">
        <v>2</v>
      </c>
      <c r="B3" s="63"/>
      <c r="C3" s="32"/>
      <c r="D3" s="29" t="s">
        <v>56</v>
      </c>
      <c r="E3" s="29" t="s">
        <v>57</v>
      </c>
      <c r="F3" s="29" t="s">
        <v>58</v>
      </c>
      <c r="G3" s="41" t="s">
        <v>59</v>
      </c>
      <c r="H3" s="41" t="s">
        <v>60</v>
      </c>
      <c r="I3" s="41">
        <v>2024</v>
      </c>
      <c r="J3" s="41">
        <v>41</v>
      </c>
      <c r="K3" s="29" t="s">
        <v>59</v>
      </c>
      <c r="L3" s="29" t="s">
        <v>3</v>
      </c>
      <c r="M3" s="32" t="s">
        <v>61</v>
      </c>
      <c r="N3" s="32" t="s">
        <v>62</v>
      </c>
      <c r="O3" s="32" t="s">
        <v>63</v>
      </c>
      <c r="P3" s="32" t="s">
        <v>64</v>
      </c>
      <c r="Q3" s="31" t="s">
        <v>76</v>
      </c>
      <c r="R3" s="32" t="s">
        <v>66</v>
      </c>
      <c r="S3" s="46" t="s">
        <v>77</v>
      </c>
      <c r="T3" s="30" t="s">
        <v>78</v>
      </c>
      <c r="U3" s="35" t="s">
        <v>69</v>
      </c>
      <c r="V3" s="68">
        <v>0</v>
      </c>
      <c r="W3" s="36">
        <v>45329</v>
      </c>
      <c r="X3" s="36">
        <v>45331</v>
      </c>
      <c r="Y3" s="36" t="s">
        <v>70</v>
      </c>
      <c r="Z3" s="36">
        <v>45473</v>
      </c>
      <c r="AA3" s="36" t="s">
        <v>70</v>
      </c>
      <c r="AB3" s="36" t="s">
        <v>71</v>
      </c>
      <c r="AC3" s="37" t="s">
        <v>72</v>
      </c>
      <c r="AD3" s="32" t="s">
        <v>73</v>
      </c>
      <c r="AE3" s="38">
        <v>47500000</v>
      </c>
      <c r="AF3" s="38">
        <v>3450000</v>
      </c>
      <c r="AG3" s="38">
        <f t="shared" si="0"/>
        <v>50950000</v>
      </c>
      <c r="AH3" s="38">
        <v>0</v>
      </c>
      <c r="AI3" s="66">
        <v>47500000</v>
      </c>
      <c r="AJ3" s="38">
        <v>0</v>
      </c>
      <c r="AK3" s="38">
        <v>47500000</v>
      </c>
      <c r="AL3" s="38">
        <f>IF(K3="Si",(AK3-AE3),0)</f>
        <v>0</v>
      </c>
      <c r="AM3" s="38"/>
      <c r="AN3" s="66">
        <v>0</v>
      </c>
      <c r="AO3" s="38">
        <v>11875000</v>
      </c>
      <c r="AP3" s="54">
        <f t="shared" si="1"/>
        <v>0</v>
      </c>
      <c r="AQ3" s="65">
        <f t="shared" si="2"/>
        <v>47500000</v>
      </c>
      <c r="AR3" s="30" t="s">
        <v>79</v>
      </c>
      <c r="AS3" s="43" t="s">
        <v>80</v>
      </c>
      <c r="AT3" s="118" t="s">
        <v>425</v>
      </c>
    </row>
    <row r="4" spans="1:46" ht="85.5" x14ac:dyDescent="0.25">
      <c r="A4" s="47">
        <v>3</v>
      </c>
      <c r="B4" s="63">
        <v>80111614</v>
      </c>
      <c r="C4" s="32" t="s">
        <v>81</v>
      </c>
      <c r="D4" s="29" t="s">
        <v>56</v>
      </c>
      <c r="E4" s="29" t="s">
        <v>82</v>
      </c>
      <c r="F4" s="29" t="s">
        <v>83</v>
      </c>
      <c r="G4" s="41" t="s">
        <v>59</v>
      </c>
      <c r="H4" s="41" t="s">
        <v>60</v>
      </c>
      <c r="I4" s="41">
        <v>2024</v>
      </c>
      <c r="J4" s="41">
        <v>112</v>
      </c>
      <c r="K4" s="29" t="s">
        <v>59</v>
      </c>
      <c r="L4" s="29" t="s">
        <v>3</v>
      </c>
      <c r="M4" s="32" t="s">
        <v>61</v>
      </c>
      <c r="N4" s="32" t="s">
        <v>84</v>
      </c>
      <c r="O4" s="32" t="s">
        <v>85</v>
      </c>
      <c r="P4" s="32" t="s">
        <v>64</v>
      </c>
      <c r="Q4" s="30" t="s">
        <v>86</v>
      </c>
      <c r="R4" s="32" t="s">
        <v>87</v>
      </c>
      <c r="S4" s="45" t="s">
        <v>88</v>
      </c>
      <c r="T4" s="48" t="s">
        <v>89</v>
      </c>
      <c r="U4" s="35" t="s">
        <v>69</v>
      </c>
      <c r="V4" s="68">
        <v>0</v>
      </c>
      <c r="W4" s="36">
        <v>45315</v>
      </c>
      <c r="X4" s="36">
        <v>45315</v>
      </c>
      <c r="Y4" s="36">
        <v>45316</v>
      </c>
      <c r="Z4" s="36">
        <v>45646</v>
      </c>
      <c r="AA4" s="36" t="s">
        <v>70</v>
      </c>
      <c r="AB4" s="36" t="s">
        <v>71</v>
      </c>
      <c r="AC4" s="37" t="s">
        <v>90</v>
      </c>
      <c r="AD4" s="32" t="s">
        <v>73</v>
      </c>
      <c r="AE4" s="38">
        <v>93500000</v>
      </c>
      <c r="AF4" s="38">
        <v>0</v>
      </c>
      <c r="AG4" s="38">
        <f t="shared" si="0"/>
        <v>93500000</v>
      </c>
      <c r="AH4" s="38">
        <v>0</v>
      </c>
      <c r="AI4" s="66">
        <v>93500000</v>
      </c>
      <c r="AJ4" s="38">
        <v>0</v>
      </c>
      <c r="AK4" s="38">
        <v>93500000</v>
      </c>
      <c r="AL4" s="38">
        <f t="shared" ref="AL4:AL53" si="3">IF(K4="Si",(AK4-AE4),0)</f>
        <v>0</v>
      </c>
      <c r="AM4" s="38"/>
      <c r="AN4" s="66">
        <v>0</v>
      </c>
      <c r="AO4" s="38">
        <v>9350000</v>
      </c>
      <c r="AP4" s="54">
        <f t="shared" si="1"/>
        <v>0</v>
      </c>
      <c r="AQ4" s="65">
        <f t="shared" si="2"/>
        <v>93500000</v>
      </c>
      <c r="AR4" s="30" t="s">
        <v>91</v>
      </c>
      <c r="AS4" s="43" t="s">
        <v>92</v>
      </c>
      <c r="AT4" s="32"/>
    </row>
    <row r="5" spans="1:46" ht="99.75" x14ac:dyDescent="0.25">
      <c r="A5" s="47">
        <v>4</v>
      </c>
      <c r="B5" s="63"/>
      <c r="C5" s="32"/>
      <c r="D5" s="29" t="s">
        <v>93</v>
      </c>
      <c r="E5" s="29" t="s">
        <v>94</v>
      </c>
      <c r="F5" s="29" t="s">
        <v>95</v>
      </c>
      <c r="G5" s="47" t="s">
        <v>59</v>
      </c>
      <c r="H5" s="41" t="s">
        <v>60</v>
      </c>
      <c r="I5" s="41">
        <v>2024</v>
      </c>
      <c r="J5" s="41">
        <v>94</v>
      </c>
      <c r="K5" s="29" t="s">
        <v>59</v>
      </c>
      <c r="L5" s="29" t="s">
        <v>3</v>
      </c>
      <c r="M5" s="32" t="s">
        <v>61</v>
      </c>
      <c r="N5" s="32" t="s">
        <v>96</v>
      </c>
      <c r="O5" s="32" t="s">
        <v>97</v>
      </c>
      <c r="P5" s="32" t="s">
        <v>64</v>
      </c>
      <c r="Q5" s="30" t="s">
        <v>98</v>
      </c>
      <c r="R5" s="32" t="s">
        <v>99</v>
      </c>
      <c r="S5" s="57" t="s">
        <v>100</v>
      </c>
      <c r="T5" s="48" t="s">
        <v>101</v>
      </c>
      <c r="U5" s="35" t="s">
        <v>69</v>
      </c>
      <c r="V5" s="68">
        <v>0</v>
      </c>
      <c r="W5" s="36">
        <v>45331</v>
      </c>
      <c r="X5" s="36">
        <v>45331</v>
      </c>
      <c r="Y5" s="36">
        <v>45331</v>
      </c>
      <c r="Z5" s="36">
        <v>45359</v>
      </c>
      <c r="AA5" s="58" t="s">
        <v>102</v>
      </c>
      <c r="AB5" s="58" t="s">
        <v>103</v>
      </c>
      <c r="AC5" s="37" t="s">
        <v>90</v>
      </c>
      <c r="AD5" s="32" t="s">
        <v>104</v>
      </c>
      <c r="AE5" s="38">
        <v>194118482.31999999</v>
      </c>
      <c r="AF5" s="38">
        <v>0</v>
      </c>
      <c r="AG5" s="38">
        <f t="shared" si="0"/>
        <v>194118482.31999999</v>
      </c>
      <c r="AH5" s="38">
        <v>0</v>
      </c>
      <c r="AI5" s="66">
        <v>194118482.31999999</v>
      </c>
      <c r="AJ5" s="38">
        <v>0</v>
      </c>
      <c r="AK5" s="38">
        <v>250000000</v>
      </c>
      <c r="AL5" s="38">
        <f t="shared" si="3"/>
        <v>55881517.680000007</v>
      </c>
      <c r="AM5" s="38"/>
      <c r="AN5" s="66">
        <v>0</v>
      </c>
      <c r="AO5" s="38" t="s">
        <v>69</v>
      </c>
      <c r="AP5" s="54">
        <f t="shared" si="1"/>
        <v>0</v>
      </c>
      <c r="AQ5" s="65">
        <f t="shared" si="2"/>
        <v>194118482.31999999</v>
      </c>
      <c r="AR5" s="30" t="s">
        <v>105</v>
      </c>
      <c r="AS5" s="43" t="s">
        <v>106</v>
      </c>
      <c r="AT5" s="32"/>
    </row>
    <row r="6" spans="1:46" ht="85.5" x14ac:dyDescent="0.25">
      <c r="A6" s="47">
        <v>5</v>
      </c>
      <c r="B6" s="63"/>
      <c r="C6" s="32"/>
      <c r="D6" s="29" t="s">
        <v>93</v>
      </c>
      <c r="E6" s="29" t="s">
        <v>107</v>
      </c>
      <c r="F6" s="29" t="s">
        <v>108</v>
      </c>
      <c r="G6" s="41" t="s">
        <v>59</v>
      </c>
      <c r="H6" s="41" t="s">
        <v>60</v>
      </c>
      <c r="I6" s="41">
        <v>2023</v>
      </c>
      <c r="J6" s="41">
        <v>100</v>
      </c>
      <c r="K6" s="29" t="s">
        <v>109</v>
      </c>
      <c r="L6" s="29" t="s">
        <v>2</v>
      </c>
      <c r="M6" s="32" t="s">
        <v>61</v>
      </c>
      <c r="N6" s="32" t="s">
        <v>110</v>
      </c>
      <c r="O6" s="32" t="s">
        <v>111</v>
      </c>
      <c r="P6" s="32" t="s">
        <v>112</v>
      </c>
      <c r="Q6" s="31" t="s">
        <v>113</v>
      </c>
      <c r="R6" s="32" t="s">
        <v>114</v>
      </c>
      <c r="S6" s="46">
        <v>162174</v>
      </c>
      <c r="T6" s="48" t="s">
        <v>115</v>
      </c>
      <c r="U6" s="35">
        <v>121005</v>
      </c>
      <c r="V6" s="68">
        <v>1</v>
      </c>
      <c r="W6" s="36">
        <v>45258</v>
      </c>
      <c r="X6" s="36">
        <v>45266</v>
      </c>
      <c r="Y6" s="36">
        <v>45274</v>
      </c>
      <c r="Z6" s="36">
        <v>46013</v>
      </c>
      <c r="AA6" s="36" t="s">
        <v>70</v>
      </c>
      <c r="AB6" s="36" t="s">
        <v>71</v>
      </c>
      <c r="AC6" s="37" t="s">
        <v>90</v>
      </c>
      <c r="AD6" s="32" t="s">
        <v>116</v>
      </c>
      <c r="AE6" s="38">
        <v>120586666.84999999</v>
      </c>
      <c r="AF6" s="38">
        <v>0</v>
      </c>
      <c r="AG6" s="38">
        <f t="shared" si="0"/>
        <v>120586666.84999999</v>
      </c>
      <c r="AH6" s="38">
        <v>6381044.4221000075</v>
      </c>
      <c r="AI6" s="66">
        <v>60293333.439999998</v>
      </c>
      <c r="AJ6" s="38">
        <v>53912288.987899996</v>
      </c>
      <c r="AK6" s="38">
        <v>0</v>
      </c>
      <c r="AL6" s="38">
        <f t="shared" si="3"/>
        <v>0</v>
      </c>
      <c r="AM6" s="38"/>
      <c r="AN6" s="66">
        <v>4222222</v>
      </c>
      <c r="AO6" s="38">
        <v>5024444.4099999992</v>
      </c>
      <c r="AP6" s="54">
        <f>ROUND(AN6/AI6,2)</f>
        <v>7.0000000000000007E-2</v>
      </c>
      <c r="AQ6" s="65">
        <f t="shared" si="2"/>
        <v>56071111.439999998</v>
      </c>
      <c r="AR6" s="30" t="s">
        <v>117</v>
      </c>
      <c r="AS6" s="43" t="s">
        <v>118</v>
      </c>
      <c r="AT6" s="32"/>
    </row>
    <row r="7" spans="1:46" ht="99.75" x14ac:dyDescent="0.25">
      <c r="A7" s="47">
        <v>6</v>
      </c>
      <c r="B7" s="63"/>
      <c r="C7" s="32"/>
      <c r="D7" s="29" t="s">
        <v>93</v>
      </c>
      <c r="E7" s="29" t="s">
        <v>119</v>
      </c>
      <c r="F7" s="29" t="s">
        <v>120</v>
      </c>
      <c r="G7" s="41" t="s">
        <v>59</v>
      </c>
      <c r="H7" s="41" t="s">
        <v>60</v>
      </c>
      <c r="I7" s="41">
        <v>2023</v>
      </c>
      <c r="J7" s="41">
        <v>98</v>
      </c>
      <c r="K7" s="29" t="s">
        <v>109</v>
      </c>
      <c r="L7" s="29" t="s">
        <v>2</v>
      </c>
      <c r="M7" s="32" t="s">
        <v>61</v>
      </c>
      <c r="N7" s="32" t="s">
        <v>110</v>
      </c>
      <c r="O7" s="32" t="s">
        <v>121</v>
      </c>
      <c r="P7" s="32" t="s">
        <v>112</v>
      </c>
      <c r="Q7" s="31" t="s">
        <v>113</v>
      </c>
      <c r="R7" s="32" t="s">
        <v>122</v>
      </c>
      <c r="S7" s="46">
        <v>162171</v>
      </c>
      <c r="T7" s="30" t="s">
        <v>123</v>
      </c>
      <c r="U7" s="35">
        <v>120075</v>
      </c>
      <c r="V7" s="68">
        <v>1</v>
      </c>
      <c r="W7" s="36">
        <v>45247</v>
      </c>
      <c r="X7" s="36">
        <v>45257</v>
      </c>
      <c r="Y7" s="36">
        <v>45283</v>
      </c>
      <c r="Z7" s="36">
        <v>45603</v>
      </c>
      <c r="AA7" s="36" t="s">
        <v>70</v>
      </c>
      <c r="AB7" s="36" t="s">
        <v>71</v>
      </c>
      <c r="AC7" s="37" t="s">
        <v>90</v>
      </c>
      <c r="AD7" s="32" t="s">
        <v>116</v>
      </c>
      <c r="AE7" s="38">
        <v>52210518.659999996</v>
      </c>
      <c r="AF7" s="38">
        <v>0</v>
      </c>
      <c r="AG7" s="38">
        <f t="shared" si="0"/>
        <v>52210518.659999996</v>
      </c>
      <c r="AH7" s="38">
        <v>5750723.7799999937</v>
      </c>
      <c r="AI7" s="66">
        <v>46459794.880000003</v>
      </c>
      <c r="AJ7" s="38">
        <v>0</v>
      </c>
      <c r="AK7" s="38">
        <v>0</v>
      </c>
      <c r="AL7" s="38">
        <f t="shared" si="3"/>
        <v>0</v>
      </c>
      <c r="AM7" s="38"/>
      <c r="AN7" s="66">
        <v>4540045</v>
      </c>
      <c r="AO7" s="38">
        <v>4540045.0999999996</v>
      </c>
      <c r="AP7" s="54">
        <f t="shared" ref="AP7:AP53" si="4">IF(AI7=0,0,ROUND(AN7/AI7,2))</f>
        <v>0.1</v>
      </c>
      <c r="AQ7" s="65">
        <f t="shared" si="2"/>
        <v>41919749.880000003</v>
      </c>
      <c r="AR7" s="30" t="s">
        <v>124</v>
      </c>
      <c r="AS7" s="43" t="s">
        <v>125</v>
      </c>
      <c r="AT7" s="32"/>
    </row>
    <row r="8" spans="1:46" ht="142.5" x14ac:dyDescent="0.25">
      <c r="A8" s="47">
        <v>7</v>
      </c>
      <c r="B8" s="63"/>
      <c r="C8" s="32"/>
      <c r="D8" s="29" t="s">
        <v>93</v>
      </c>
      <c r="E8" s="29" t="s">
        <v>126</v>
      </c>
      <c r="F8" s="29" t="s">
        <v>127</v>
      </c>
      <c r="G8" s="41" t="s">
        <v>109</v>
      </c>
      <c r="H8" s="41" t="s">
        <v>128</v>
      </c>
      <c r="I8" s="41">
        <v>2023</v>
      </c>
      <c r="J8" s="41">
        <v>120</v>
      </c>
      <c r="K8" s="29" t="s">
        <v>109</v>
      </c>
      <c r="L8" s="29" t="s">
        <v>2</v>
      </c>
      <c r="M8" s="32" t="s">
        <v>61</v>
      </c>
      <c r="N8" s="32" t="s">
        <v>129</v>
      </c>
      <c r="O8" s="32" t="s">
        <v>130</v>
      </c>
      <c r="P8" s="32" t="s">
        <v>64</v>
      </c>
      <c r="Q8" s="30" t="s">
        <v>131</v>
      </c>
      <c r="R8" s="32" t="s">
        <v>132</v>
      </c>
      <c r="S8" s="45" t="s">
        <v>133</v>
      </c>
      <c r="T8" s="44" t="s">
        <v>134</v>
      </c>
      <c r="U8" s="35" t="s">
        <v>69</v>
      </c>
      <c r="V8" s="68">
        <v>0</v>
      </c>
      <c r="W8" s="36">
        <v>45141</v>
      </c>
      <c r="X8" s="36">
        <v>45148</v>
      </c>
      <c r="Y8" s="36">
        <v>45148</v>
      </c>
      <c r="Z8" s="36">
        <v>45565</v>
      </c>
      <c r="AA8" s="36" t="s">
        <v>70</v>
      </c>
      <c r="AB8" s="36" t="s">
        <v>71</v>
      </c>
      <c r="AC8" s="37" t="s">
        <v>72</v>
      </c>
      <c r="AD8" s="30" t="s">
        <v>135</v>
      </c>
      <c r="AE8" s="38">
        <v>1038872287</v>
      </c>
      <c r="AF8" s="38">
        <v>0</v>
      </c>
      <c r="AG8" s="38">
        <f t="shared" si="0"/>
        <v>1038872287</v>
      </c>
      <c r="AH8" s="38">
        <v>93891229</v>
      </c>
      <c r="AI8" s="66">
        <f>281673686*3+99960000</f>
        <v>944981058</v>
      </c>
      <c r="AJ8" s="38">
        <v>0</v>
      </c>
      <c r="AK8" s="38">
        <v>0</v>
      </c>
      <c r="AL8" s="38">
        <f t="shared" si="3"/>
        <v>0</v>
      </c>
      <c r="AM8" s="38"/>
      <c r="AN8" s="66">
        <v>0</v>
      </c>
      <c r="AO8" s="38" t="s">
        <v>69</v>
      </c>
      <c r="AP8" s="54">
        <f t="shared" si="4"/>
        <v>0</v>
      </c>
      <c r="AQ8" s="65">
        <f t="shared" si="2"/>
        <v>944981058</v>
      </c>
      <c r="AR8" s="30" t="s">
        <v>136</v>
      </c>
      <c r="AS8" s="43" t="s">
        <v>137</v>
      </c>
      <c r="AT8" s="118" t="s">
        <v>138</v>
      </c>
    </row>
    <row r="9" spans="1:46" ht="85.5" x14ac:dyDescent="0.25">
      <c r="A9" s="47">
        <v>8</v>
      </c>
      <c r="B9" s="63">
        <v>80111614</v>
      </c>
      <c r="C9" s="32" t="s">
        <v>81</v>
      </c>
      <c r="D9" s="29" t="s">
        <v>56</v>
      </c>
      <c r="E9" s="29" t="s">
        <v>82</v>
      </c>
      <c r="F9" s="29" t="s">
        <v>139</v>
      </c>
      <c r="G9" s="41" t="s">
        <v>59</v>
      </c>
      <c r="H9" s="41" t="s">
        <v>60</v>
      </c>
      <c r="I9" s="41">
        <v>2024</v>
      </c>
      <c r="J9" s="41">
        <v>111</v>
      </c>
      <c r="K9" s="29" t="s">
        <v>59</v>
      </c>
      <c r="L9" s="29" t="s">
        <v>3</v>
      </c>
      <c r="M9" s="32" t="s">
        <v>61</v>
      </c>
      <c r="N9" s="32" t="s">
        <v>129</v>
      </c>
      <c r="O9" s="32" t="s">
        <v>140</v>
      </c>
      <c r="P9" s="32" t="s">
        <v>64</v>
      </c>
      <c r="Q9" s="30" t="s">
        <v>141</v>
      </c>
      <c r="R9" s="32" t="s">
        <v>142</v>
      </c>
      <c r="S9" s="46" t="s">
        <v>143</v>
      </c>
      <c r="T9" s="48" t="s">
        <v>144</v>
      </c>
      <c r="U9" s="35" t="s">
        <v>69</v>
      </c>
      <c r="V9" s="68">
        <v>1</v>
      </c>
      <c r="W9" s="36">
        <v>45310</v>
      </c>
      <c r="X9" s="36">
        <v>45313</v>
      </c>
      <c r="Y9" s="36">
        <v>45314</v>
      </c>
      <c r="Z9" s="36">
        <v>45646</v>
      </c>
      <c r="AA9" s="36" t="s">
        <v>70</v>
      </c>
      <c r="AB9" s="36" t="s">
        <v>71</v>
      </c>
      <c r="AC9" s="37" t="s">
        <v>90</v>
      </c>
      <c r="AD9" s="32" t="s">
        <v>73</v>
      </c>
      <c r="AE9" s="38">
        <v>104183350</v>
      </c>
      <c r="AF9" s="38">
        <v>0</v>
      </c>
      <c r="AG9" s="38">
        <v>104183350</v>
      </c>
      <c r="AH9" s="38">
        <v>0</v>
      </c>
      <c r="AI9" s="66">
        <v>104183350</v>
      </c>
      <c r="AJ9" s="38">
        <v>0</v>
      </c>
      <c r="AK9" s="38">
        <v>104500000</v>
      </c>
      <c r="AL9" s="38">
        <f t="shared" si="3"/>
        <v>316650</v>
      </c>
      <c r="AM9" s="38"/>
      <c r="AN9" s="66">
        <v>2533333</v>
      </c>
      <c r="AO9" s="38">
        <v>9500000</v>
      </c>
      <c r="AP9" s="54">
        <f t="shared" si="4"/>
        <v>0.02</v>
      </c>
      <c r="AQ9" s="65">
        <f t="shared" si="2"/>
        <v>101650017</v>
      </c>
      <c r="AR9" s="30" t="s">
        <v>145</v>
      </c>
      <c r="AS9" s="156" t="s">
        <v>146</v>
      </c>
      <c r="AT9" s="32"/>
    </row>
    <row r="10" spans="1:46" ht="85.5" x14ac:dyDescent="0.25">
      <c r="A10" s="47">
        <v>9</v>
      </c>
      <c r="B10" s="63">
        <v>80111614</v>
      </c>
      <c r="C10" s="32" t="s">
        <v>81</v>
      </c>
      <c r="D10" s="29" t="s">
        <v>56</v>
      </c>
      <c r="E10" s="29" t="s">
        <v>82</v>
      </c>
      <c r="F10" s="29" t="s">
        <v>139</v>
      </c>
      <c r="G10" s="41" t="s">
        <v>59</v>
      </c>
      <c r="H10" s="41" t="s">
        <v>60</v>
      </c>
      <c r="I10" s="41">
        <v>2024</v>
      </c>
      <c r="J10" s="41">
        <v>110</v>
      </c>
      <c r="K10" s="29" t="s">
        <v>59</v>
      </c>
      <c r="L10" s="29" t="s">
        <v>3</v>
      </c>
      <c r="M10" s="32" t="s">
        <v>61</v>
      </c>
      <c r="N10" s="32" t="s">
        <v>129</v>
      </c>
      <c r="O10" s="32" t="s">
        <v>140</v>
      </c>
      <c r="P10" s="32" t="s">
        <v>64</v>
      </c>
      <c r="Q10" s="30" t="s">
        <v>147</v>
      </c>
      <c r="R10" s="32" t="s">
        <v>142</v>
      </c>
      <c r="S10" s="57" t="s">
        <v>148</v>
      </c>
      <c r="T10" s="44" t="s">
        <v>149</v>
      </c>
      <c r="U10" s="35" t="s">
        <v>69</v>
      </c>
      <c r="V10" s="68">
        <v>1</v>
      </c>
      <c r="W10" s="36">
        <v>45310</v>
      </c>
      <c r="X10" s="36">
        <v>45313</v>
      </c>
      <c r="Y10" s="36">
        <v>45314</v>
      </c>
      <c r="Z10" s="36">
        <v>45646</v>
      </c>
      <c r="AA10" s="36" t="s">
        <v>70</v>
      </c>
      <c r="AB10" s="36" t="s">
        <v>71</v>
      </c>
      <c r="AC10" s="37" t="s">
        <v>90</v>
      </c>
      <c r="AD10" s="32" t="s">
        <v>73</v>
      </c>
      <c r="AE10" s="38">
        <v>104183350</v>
      </c>
      <c r="AF10" s="38">
        <v>0</v>
      </c>
      <c r="AG10" s="38">
        <f t="shared" ref="AG10:AG53" si="5">AE10+AF10</f>
        <v>104183350</v>
      </c>
      <c r="AH10" s="38">
        <v>0</v>
      </c>
      <c r="AI10" s="66">
        <v>104183350</v>
      </c>
      <c r="AJ10" s="38">
        <v>0</v>
      </c>
      <c r="AK10" s="38">
        <v>104500000</v>
      </c>
      <c r="AL10" s="38">
        <f t="shared" si="3"/>
        <v>316650</v>
      </c>
      <c r="AM10" s="38"/>
      <c r="AN10" s="66">
        <v>2533333</v>
      </c>
      <c r="AO10" s="38">
        <v>9500000</v>
      </c>
      <c r="AP10" s="54">
        <f t="shared" si="4"/>
        <v>0.02</v>
      </c>
      <c r="AQ10" s="65">
        <f t="shared" si="2"/>
        <v>101650017</v>
      </c>
      <c r="AR10" s="30" t="s">
        <v>150</v>
      </c>
      <c r="AS10" s="43" t="s">
        <v>151</v>
      </c>
      <c r="AT10" s="32"/>
    </row>
    <row r="11" spans="1:46" ht="120" x14ac:dyDescent="0.25">
      <c r="A11" s="47">
        <v>10</v>
      </c>
      <c r="B11" s="63">
        <v>80111614</v>
      </c>
      <c r="C11" s="32" t="s">
        <v>81</v>
      </c>
      <c r="D11" s="29" t="s">
        <v>56</v>
      </c>
      <c r="E11" s="29" t="s">
        <v>82</v>
      </c>
      <c r="F11" s="29" t="s">
        <v>152</v>
      </c>
      <c r="G11" s="41" t="s">
        <v>59</v>
      </c>
      <c r="H11" s="41" t="s">
        <v>60</v>
      </c>
      <c r="I11" s="41">
        <v>2024</v>
      </c>
      <c r="J11" s="41">
        <v>113</v>
      </c>
      <c r="K11" s="29" t="s">
        <v>59</v>
      </c>
      <c r="L11" s="29" t="s">
        <v>3</v>
      </c>
      <c r="M11" s="32" t="s">
        <v>61</v>
      </c>
      <c r="N11" s="32" t="s">
        <v>129</v>
      </c>
      <c r="O11" s="32" t="s">
        <v>140</v>
      </c>
      <c r="P11" s="32" t="s">
        <v>64</v>
      </c>
      <c r="Q11" s="30" t="s">
        <v>153</v>
      </c>
      <c r="R11" s="32" t="s">
        <v>154</v>
      </c>
      <c r="S11" s="55" t="s">
        <v>155</v>
      </c>
      <c r="T11" s="48" t="s">
        <v>156</v>
      </c>
      <c r="U11" s="35" t="s">
        <v>69</v>
      </c>
      <c r="V11" s="68">
        <v>1</v>
      </c>
      <c r="W11" s="36">
        <v>45308</v>
      </c>
      <c r="X11" s="36">
        <v>45310</v>
      </c>
      <c r="Y11" s="36">
        <v>45313</v>
      </c>
      <c r="Z11" s="36">
        <v>45646</v>
      </c>
      <c r="AA11" s="36" t="s">
        <v>70</v>
      </c>
      <c r="AB11" s="36" t="s">
        <v>71</v>
      </c>
      <c r="AC11" s="37" t="s">
        <v>90</v>
      </c>
      <c r="AD11" s="32" t="s">
        <v>73</v>
      </c>
      <c r="AE11" s="38">
        <v>187000000</v>
      </c>
      <c r="AF11" s="38">
        <v>0</v>
      </c>
      <c r="AG11" s="38">
        <f t="shared" si="5"/>
        <v>187000000</v>
      </c>
      <c r="AH11" s="38">
        <v>0</v>
      </c>
      <c r="AI11" s="66">
        <v>187000000</v>
      </c>
      <c r="AJ11" s="38">
        <v>0</v>
      </c>
      <c r="AK11" s="38">
        <v>187000000</v>
      </c>
      <c r="AL11" s="38">
        <f t="shared" si="3"/>
        <v>0</v>
      </c>
      <c r="AM11" s="38"/>
      <c r="AN11" s="66">
        <v>5100000</v>
      </c>
      <c r="AO11" s="38">
        <v>17000000</v>
      </c>
      <c r="AP11" s="54">
        <f t="shared" si="4"/>
        <v>0.03</v>
      </c>
      <c r="AQ11" s="65">
        <f t="shared" si="2"/>
        <v>181900000</v>
      </c>
      <c r="AR11" s="30" t="s">
        <v>157</v>
      </c>
      <c r="AS11" s="156" t="s">
        <v>158</v>
      </c>
      <c r="AT11" s="32"/>
    </row>
    <row r="12" spans="1:46" ht="85.5" x14ac:dyDescent="0.25">
      <c r="A12" s="47">
        <v>11</v>
      </c>
      <c r="B12" s="63">
        <v>80111614</v>
      </c>
      <c r="C12" s="32" t="s">
        <v>81</v>
      </c>
      <c r="D12" s="29" t="s">
        <v>56</v>
      </c>
      <c r="E12" s="29" t="s">
        <v>82</v>
      </c>
      <c r="F12" s="29" t="s">
        <v>159</v>
      </c>
      <c r="G12" s="41" t="s">
        <v>59</v>
      </c>
      <c r="H12" s="41" t="s">
        <v>60</v>
      </c>
      <c r="I12" s="41">
        <v>2024</v>
      </c>
      <c r="J12" s="41">
        <v>114</v>
      </c>
      <c r="K12" s="29" t="s">
        <v>59</v>
      </c>
      <c r="L12" s="29" t="s">
        <v>3</v>
      </c>
      <c r="M12" s="32" t="s">
        <v>61</v>
      </c>
      <c r="N12" s="32" t="s">
        <v>129</v>
      </c>
      <c r="O12" s="32" t="s">
        <v>85</v>
      </c>
      <c r="P12" s="32" t="s">
        <v>64</v>
      </c>
      <c r="Q12" s="30" t="s">
        <v>160</v>
      </c>
      <c r="R12" s="32" t="s">
        <v>161</v>
      </c>
      <c r="S12" s="55" t="s">
        <v>162</v>
      </c>
      <c r="T12" s="56" t="s">
        <v>163</v>
      </c>
      <c r="U12" s="35" t="s">
        <v>69</v>
      </c>
      <c r="V12" s="68">
        <v>1</v>
      </c>
      <c r="W12" s="36">
        <v>45314</v>
      </c>
      <c r="X12" s="36">
        <v>45315</v>
      </c>
      <c r="Y12" s="36">
        <v>45316</v>
      </c>
      <c r="Z12" s="36">
        <v>45646</v>
      </c>
      <c r="AA12" s="36" t="s">
        <v>70</v>
      </c>
      <c r="AB12" s="36" t="s">
        <v>71</v>
      </c>
      <c r="AC12" s="37" t="s">
        <v>90</v>
      </c>
      <c r="AD12" s="32" t="s">
        <v>73</v>
      </c>
      <c r="AE12" s="38">
        <v>187000000</v>
      </c>
      <c r="AF12" s="38">
        <v>0</v>
      </c>
      <c r="AG12" s="38">
        <f t="shared" si="5"/>
        <v>187000000</v>
      </c>
      <c r="AH12" s="38">
        <v>0</v>
      </c>
      <c r="AI12" s="66">
        <v>187000000</v>
      </c>
      <c r="AJ12" s="38">
        <v>0</v>
      </c>
      <c r="AK12" s="38">
        <v>187000000</v>
      </c>
      <c r="AL12" s="38">
        <f t="shared" si="3"/>
        <v>0</v>
      </c>
      <c r="AM12" s="38"/>
      <c r="AN12" s="66">
        <v>3400000</v>
      </c>
      <c r="AO12" s="38">
        <v>17000000</v>
      </c>
      <c r="AP12" s="54">
        <f t="shared" si="4"/>
        <v>0.02</v>
      </c>
      <c r="AQ12" s="65">
        <f t="shared" si="2"/>
        <v>183600000</v>
      </c>
      <c r="AR12" s="30" t="s">
        <v>164</v>
      </c>
      <c r="AS12" s="43" t="s">
        <v>165</v>
      </c>
      <c r="AT12" s="32"/>
    </row>
    <row r="13" spans="1:46" ht="85.5" x14ac:dyDescent="0.25">
      <c r="A13" s="47">
        <v>12</v>
      </c>
      <c r="B13" s="63"/>
      <c r="C13" s="32"/>
      <c r="D13" s="29" t="s">
        <v>56</v>
      </c>
      <c r="E13" s="29" t="s">
        <v>82</v>
      </c>
      <c r="F13" s="29" t="s">
        <v>166</v>
      </c>
      <c r="G13" s="41" t="s">
        <v>59</v>
      </c>
      <c r="H13" s="41" t="s">
        <v>60</v>
      </c>
      <c r="I13" s="41">
        <v>2024</v>
      </c>
      <c r="J13" s="41">
        <v>108</v>
      </c>
      <c r="K13" s="29" t="s">
        <v>59</v>
      </c>
      <c r="L13" s="29" t="s">
        <v>3</v>
      </c>
      <c r="M13" s="32" t="s">
        <v>61</v>
      </c>
      <c r="N13" s="32" t="s">
        <v>129</v>
      </c>
      <c r="O13" s="32" t="s">
        <v>63</v>
      </c>
      <c r="P13" s="32" t="s">
        <v>64</v>
      </c>
      <c r="Q13" s="30" t="s">
        <v>167</v>
      </c>
      <c r="R13" s="32" t="s">
        <v>168</v>
      </c>
      <c r="S13" s="45" t="s">
        <v>169</v>
      </c>
      <c r="T13" s="48" t="s">
        <v>170</v>
      </c>
      <c r="U13" s="35" t="s">
        <v>69</v>
      </c>
      <c r="V13" s="68">
        <v>0</v>
      </c>
      <c r="W13" s="36">
        <v>45323</v>
      </c>
      <c r="X13" s="36">
        <v>45324</v>
      </c>
      <c r="Y13" s="36" t="s">
        <v>70</v>
      </c>
      <c r="Z13" s="36">
        <v>45646</v>
      </c>
      <c r="AA13" s="36" t="s">
        <v>70</v>
      </c>
      <c r="AB13" s="36" t="s">
        <v>71</v>
      </c>
      <c r="AC13" s="37" t="s">
        <v>72</v>
      </c>
      <c r="AD13" s="32" t="s">
        <v>73</v>
      </c>
      <c r="AE13" s="38">
        <v>148500000</v>
      </c>
      <c r="AF13" s="38">
        <v>0</v>
      </c>
      <c r="AG13" s="38">
        <f t="shared" si="5"/>
        <v>148500000</v>
      </c>
      <c r="AH13" s="38">
        <v>0</v>
      </c>
      <c r="AI13" s="66">
        <v>148500000</v>
      </c>
      <c r="AJ13" s="38">
        <v>0</v>
      </c>
      <c r="AK13" s="38">
        <v>148500000</v>
      </c>
      <c r="AL13" s="38">
        <f t="shared" si="3"/>
        <v>0</v>
      </c>
      <c r="AM13" s="38"/>
      <c r="AN13" s="66">
        <v>0</v>
      </c>
      <c r="AO13" s="38">
        <v>13500000</v>
      </c>
      <c r="AP13" s="54">
        <f t="shared" si="4"/>
        <v>0</v>
      </c>
      <c r="AQ13" s="65">
        <f t="shared" si="2"/>
        <v>148500000</v>
      </c>
      <c r="AR13" s="30" t="s">
        <v>171</v>
      </c>
      <c r="AS13" s="43" t="s">
        <v>172</v>
      </c>
      <c r="AT13" s="32"/>
    </row>
    <row r="14" spans="1:46" ht="85.5" x14ac:dyDescent="0.25">
      <c r="A14" s="47">
        <v>13</v>
      </c>
      <c r="B14" s="63"/>
      <c r="C14" s="32"/>
      <c r="D14" s="29" t="s">
        <v>56</v>
      </c>
      <c r="E14" s="29" t="s">
        <v>82</v>
      </c>
      <c r="F14" s="29" t="s">
        <v>173</v>
      </c>
      <c r="G14" s="41" t="s">
        <v>59</v>
      </c>
      <c r="H14" s="41" t="s">
        <v>60</v>
      </c>
      <c r="I14" s="41">
        <v>2024</v>
      </c>
      <c r="J14" s="41">
        <v>107</v>
      </c>
      <c r="K14" s="29" t="s">
        <v>59</v>
      </c>
      <c r="L14" s="29" t="s">
        <v>3</v>
      </c>
      <c r="M14" s="32" t="s">
        <v>61</v>
      </c>
      <c r="N14" s="32" t="s">
        <v>129</v>
      </c>
      <c r="O14" s="32" t="s">
        <v>63</v>
      </c>
      <c r="P14" s="32" t="s">
        <v>64</v>
      </c>
      <c r="Q14" s="30" t="s">
        <v>174</v>
      </c>
      <c r="R14" s="32" t="s">
        <v>175</v>
      </c>
      <c r="S14" s="45" t="s">
        <v>176</v>
      </c>
      <c r="T14" s="56" t="s">
        <v>177</v>
      </c>
      <c r="U14" s="35" t="s">
        <v>69</v>
      </c>
      <c r="V14" s="68">
        <v>0</v>
      </c>
      <c r="W14" s="36">
        <v>45323</v>
      </c>
      <c r="X14" s="36">
        <v>44962</v>
      </c>
      <c r="Y14" s="36" t="s">
        <v>70</v>
      </c>
      <c r="Z14" s="36">
        <v>45646</v>
      </c>
      <c r="AA14" s="36" t="s">
        <v>70</v>
      </c>
      <c r="AB14" s="36" t="s">
        <v>71</v>
      </c>
      <c r="AC14" s="37" t="s">
        <v>72</v>
      </c>
      <c r="AD14" s="32" t="s">
        <v>73</v>
      </c>
      <c r="AE14" s="38">
        <v>148500000</v>
      </c>
      <c r="AF14" s="38">
        <v>0</v>
      </c>
      <c r="AG14" s="38">
        <f t="shared" si="5"/>
        <v>148500000</v>
      </c>
      <c r="AH14" s="38">
        <v>0</v>
      </c>
      <c r="AI14" s="66">
        <v>148500000</v>
      </c>
      <c r="AJ14" s="38">
        <v>0</v>
      </c>
      <c r="AK14" s="38">
        <v>148500000</v>
      </c>
      <c r="AL14" s="38">
        <f t="shared" si="3"/>
        <v>0</v>
      </c>
      <c r="AM14" s="38"/>
      <c r="AN14" s="66">
        <v>0</v>
      </c>
      <c r="AO14" s="38">
        <v>13500000</v>
      </c>
      <c r="AP14" s="54">
        <f t="shared" si="4"/>
        <v>0</v>
      </c>
      <c r="AQ14" s="65">
        <f t="shared" si="2"/>
        <v>148500000</v>
      </c>
      <c r="AR14" s="30" t="s">
        <v>178</v>
      </c>
      <c r="AS14" s="43" t="s">
        <v>179</v>
      </c>
      <c r="AT14" s="32"/>
    </row>
    <row r="15" spans="1:46" ht="85.5" x14ac:dyDescent="0.25">
      <c r="A15" s="47">
        <v>14</v>
      </c>
      <c r="B15" s="63"/>
      <c r="C15" s="32"/>
      <c r="D15" s="29" t="s">
        <v>56</v>
      </c>
      <c r="E15" s="29" t="s">
        <v>82</v>
      </c>
      <c r="F15" s="29" t="s">
        <v>180</v>
      </c>
      <c r="G15" s="41" t="s">
        <v>59</v>
      </c>
      <c r="H15" s="41" t="s">
        <v>60</v>
      </c>
      <c r="I15" s="41">
        <v>2024</v>
      </c>
      <c r="J15" s="41">
        <v>115</v>
      </c>
      <c r="K15" s="29" t="s">
        <v>59</v>
      </c>
      <c r="L15" s="29" t="s">
        <v>3</v>
      </c>
      <c r="M15" s="32" t="s">
        <v>61</v>
      </c>
      <c r="N15" s="32" t="s">
        <v>129</v>
      </c>
      <c r="O15" s="32" t="s">
        <v>63</v>
      </c>
      <c r="P15" s="32" t="s">
        <v>64</v>
      </c>
      <c r="Q15" s="30" t="s">
        <v>181</v>
      </c>
      <c r="R15" s="32" t="s">
        <v>182</v>
      </c>
      <c r="S15" s="45" t="s">
        <v>183</v>
      </c>
      <c r="T15" s="48" t="s">
        <v>184</v>
      </c>
      <c r="U15" s="35" t="s">
        <v>69</v>
      </c>
      <c r="V15" s="68">
        <v>0</v>
      </c>
      <c r="W15" s="36">
        <v>45323</v>
      </c>
      <c r="X15" s="36">
        <v>44962</v>
      </c>
      <c r="Y15" s="36" t="s">
        <v>70</v>
      </c>
      <c r="Z15" s="36">
        <v>45646</v>
      </c>
      <c r="AA15" s="36" t="s">
        <v>70</v>
      </c>
      <c r="AB15" s="36" t="s">
        <v>71</v>
      </c>
      <c r="AC15" s="37" t="s">
        <v>72</v>
      </c>
      <c r="AD15" s="32" t="s">
        <v>73</v>
      </c>
      <c r="AE15" s="38">
        <v>132000000</v>
      </c>
      <c r="AF15" s="38">
        <v>0</v>
      </c>
      <c r="AG15" s="38">
        <f t="shared" si="5"/>
        <v>132000000</v>
      </c>
      <c r="AH15" s="38">
        <v>0</v>
      </c>
      <c r="AI15" s="66">
        <v>132000000</v>
      </c>
      <c r="AJ15" s="38">
        <v>0</v>
      </c>
      <c r="AK15" s="38">
        <v>132000000</v>
      </c>
      <c r="AL15" s="38">
        <f t="shared" si="3"/>
        <v>0</v>
      </c>
      <c r="AM15" s="38"/>
      <c r="AN15" s="66">
        <v>0</v>
      </c>
      <c r="AO15" s="38">
        <v>12000000</v>
      </c>
      <c r="AP15" s="54">
        <f t="shared" si="4"/>
        <v>0</v>
      </c>
      <c r="AQ15" s="65">
        <f t="shared" si="2"/>
        <v>132000000</v>
      </c>
      <c r="AR15" s="30" t="s">
        <v>185</v>
      </c>
      <c r="AS15" s="43" t="s">
        <v>186</v>
      </c>
      <c r="AT15" s="32"/>
    </row>
    <row r="16" spans="1:46" ht="85.5" x14ac:dyDescent="0.25">
      <c r="A16" s="47">
        <v>15</v>
      </c>
      <c r="B16" s="63"/>
      <c r="C16" s="32"/>
      <c r="D16" s="29" t="s">
        <v>56</v>
      </c>
      <c r="E16" s="29" t="s">
        <v>82</v>
      </c>
      <c r="F16" s="29" t="s">
        <v>187</v>
      </c>
      <c r="G16" s="41" t="s">
        <v>59</v>
      </c>
      <c r="H16" s="41" t="s">
        <v>60</v>
      </c>
      <c r="I16" s="41">
        <v>2024</v>
      </c>
      <c r="J16" s="41">
        <v>109</v>
      </c>
      <c r="K16" s="29" t="s">
        <v>59</v>
      </c>
      <c r="L16" s="29" t="s">
        <v>3</v>
      </c>
      <c r="M16" s="32" t="s">
        <v>61</v>
      </c>
      <c r="N16" s="32" t="s">
        <v>129</v>
      </c>
      <c r="O16" s="32" t="s">
        <v>63</v>
      </c>
      <c r="P16" s="32" t="s">
        <v>64</v>
      </c>
      <c r="Q16" s="30" t="s">
        <v>188</v>
      </c>
      <c r="R16" s="32" t="s">
        <v>189</v>
      </c>
      <c r="S16" s="45" t="s">
        <v>190</v>
      </c>
      <c r="T16" s="56" t="s">
        <v>191</v>
      </c>
      <c r="U16" s="35" t="s">
        <v>69</v>
      </c>
      <c r="V16" s="68">
        <v>0</v>
      </c>
      <c r="W16" s="36">
        <v>45323</v>
      </c>
      <c r="X16" s="36">
        <v>44959</v>
      </c>
      <c r="Y16" s="36" t="s">
        <v>70</v>
      </c>
      <c r="Z16" s="36">
        <v>45646</v>
      </c>
      <c r="AA16" s="36" t="s">
        <v>70</v>
      </c>
      <c r="AB16" s="36" t="s">
        <v>71</v>
      </c>
      <c r="AC16" s="37" t="s">
        <v>72</v>
      </c>
      <c r="AD16" s="32" t="s">
        <v>73</v>
      </c>
      <c r="AE16" s="38">
        <v>121000000</v>
      </c>
      <c r="AF16" s="38">
        <v>0</v>
      </c>
      <c r="AG16" s="38">
        <f t="shared" si="5"/>
        <v>121000000</v>
      </c>
      <c r="AH16" s="38">
        <v>0</v>
      </c>
      <c r="AI16" s="66">
        <v>121000000</v>
      </c>
      <c r="AJ16" s="38">
        <v>0</v>
      </c>
      <c r="AK16" s="38">
        <v>121000000</v>
      </c>
      <c r="AL16" s="38">
        <f t="shared" si="3"/>
        <v>0</v>
      </c>
      <c r="AM16" s="38"/>
      <c r="AN16" s="66">
        <v>0</v>
      </c>
      <c r="AO16" s="38">
        <v>11000000</v>
      </c>
      <c r="AP16" s="54">
        <f t="shared" si="4"/>
        <v>0</v>
      </c>
      <c r="AQ16" s="65">
        <f t="shared" si="2"/>
        <v>121000000</v>
      </c>
      <c r="AR16" s="30" t="s">
        <v>192</v>
      </c>
      <c r="AS16" s="43" t="s">
        <v>193</v>
      </c>
      <c r="AT16" s="32"/>
    </row>
    <row r="17" spans="1:46" ht="71.25" x14ac:dyDescent="0.25">
      <c r="A17" s="47">
        <v>16</v>
      </c>
      <c r="B17" s="63"/>
      <c r="C17" s="32"/>
      <c r="D17" s="29" t="s">
        <v>56</v>
      </c>
      <c r="E17" s="29" t="s">
        <v>82</v>
      </c>
      <c r="F17" s="29" t="s">
        <v>194</v>
      </c>
      <c r="G17" s="41" t="s">
        <v>59</v>
      </c>
      <c r="H17" s="41" t="s">
        <v>60</v>
      </c>
      <c r="I17" s="41">
        <v>2024</v>
      </c>
      <c r="J17" s="41">
        <v>104</v>
      </c>
      <c r="K17" s="29" t="s">
        <v>59</v>
      </c>
      <c r="L17" s="29" t="s">
        <v>3</v>
      </c>
      <c r="M17" s="32" t="s">
        <v>195</v>
      </c>
      <c r="N17" s="32" t="s">
        <v>129</v>
      </c>
      <c r="O17" s="59"/>
      <c r="P17" s="32" t="s">
        <v>64</v>
      </c>
      <c r="Q17" s="30" t="s">
        <v>426</v>
      </c>
      <c r="R17" s="32" t="s">
        <v>197</v>
      </c>
      <c r="S17" s="46" t="s">
        <v>198</v>
      </c>
      <c r="T17" s="34" t="s">
        <v>199</v>
      </c>
      <c r="U17" s="35" t="s">
        <v>69</v>
      </c>
      <c r="V17" s="68">
        <v>0</v>
      </c>
      <c r="W17" s="36">
        <v>45335</v>
      </c>
      <c r="X17" s="36">
        <v>45338</v>
      </c>
      <c r="Y17" s="36" t="s">
        <v>70</v>
      </c>
      <c r="Z17" s="36">
        <v>45646</v>
      </c>
      <c r="AA17" s="36" t="s">
        <v>70</v>
      </c>
      <c r="AB17" s="36" t="s">
        <v>71</v>
      </c>
      <c r="AC17" s="37" t="s">
        <v>72</v>
      </c>
      <c r="AD17" s="32" t="s">
        <v>73</v>
      </c>
      <c r="AE17" s="38">
        <v>165000000</v>
      </c>
      <c r="AF17" s="38">
        <v>0</v>
      </c>
      <c r="AG17" s="38">
        <f t="shared" si="5"/>
        <v>165000000</v>
      </c>
      <c r="AH17" s="38">
        <v>0</v>
      </c>
      <c r="AI17" s="66">
        <v>165000000</v>
      </c>
      <c r="AJ17" s="38">
        <v>0</v>
      </c>
      <c r="AK17" s="38">
        <v>165000000</v>
      </c>
      <c r="AL17" s="38">
        <f t="shared" si="3"/>
        <v>0</v>
      </c>
      <c r="AM17" s="38"/>
      <c r="AN17" s="66">
        <v>0</v>
      </c>
      <c r="AO17" s="38">
        <v>15000000</v>
      </c>
      <c r="AP17" s="54">
        <f t="shared" si="4"/>
        <v>0</v>
      </c>
      <c r="AQ17" s="65">
        <f t="shared" si="2"/>
        <v>165000000</v>
      </c>
      <c r="AR17" s="30" t="s">
        <v>200</v>
      </c>
      <c r="AS17" s="43" t="s">
        <v>201</v>
      </c>
      <c r="AT17" s="32"/>
    </row>
    <row r="18" spans="1:46" ht="85.5" x14ac:dyDescent="0.25">
      <c r="A18" s="47">
        <v>17</v>
      </c>
      <c r="B18" s="63"/>
      <c r="C18" s="32"/>
      <c r="D18" s="29" t="s">
        <v>93</v>
      </c>
      <c r="E18" s="29" t="s">
        <v>202</v>
      </c>
      <c r="F18" s="29" t="s">
        <v>203</v>
      </c>
      <c r="G18" s="41" t="s">
        <v>59</v>
      </c>
      <c r="H18" s="41" t="s">
        <v>60</v>
      </c>
      <c r="I18" s="41">
        <v>2023</v>
      </c>
      <c r="J18" s="41">
        <v>226</v>
      </c>
      <c r="K18" s="29" t="s">
        <v>109</v>
      </c>
      <c r="L18" s="29" t="s">
        <v>2</v>
      </c>
      <c r="M18" s="32" t="s">
        <v>61</v>
      </c>
      <c r="N18" s="32" t="s">
        <v>204</v>
      </c>
      <c r="O18" s="32" t="s">
        <v>205</v>
      </c>
      <c r="P18" s="32" t="s">
        <v>112</v>
      </c>
      <c r="Q18" s="31" t="s">
        <v>206</v>
      </c>
      <c r="R18" s="32" t="s">
        <v>207</v>
      </c>
      <c r="S18" s="45">
        <v>205529</v>
      </c>
      <c r="T18" s="30" t="s">
        <v>208</v>
      </c>
      <c r="U18" s="35">
        <v>121233</v>
      </c>
      <c r="V18" s="68">
        <v>1</v>
      </c>
      <c r="W18" s="36">
        <v>45259</v>
      </c>
      <c r="X18" s="36">
        <v>45265</v>
      </c>
      <c r="Y18" s="36">
        <v>45265</v>
      </c>
      <c r="Z18" s="36">
        <v>45777</v>
      </c>
      <c r="AA18" s="36" t="s">
        <v>70</v>
      </c>
      <c r="AB18" s="36" t="s">
        <v>71</v>
      </c>
      <c r="AC18" s="37" t="s">
        <v>90</v>
      </c>
      <c r="AD18" s="32" t="s">
        <v>116</v>
      </c>
      <c r="AE18" s="38">
        <v>37300074</v>
      </c>
      <c r="AF18" s="38">
        <v>0</v>
      </c>
      <c r="AG18" s="38">
        <f t="shared" si="5"/>
        <v>37300074</v>
      </c>
      <c r="AH18" s="38">
        <v>2194122</v>
      </c>
      <c r="AI18" s="66">
        <v>26329464</v>
      </c>
      <c r="AJ18" s="38">
        <v>8776488</v>
      </c>
      <c r="AK18" s="38">
        <v>0</v>
      </c>
      <c r="AL18" s="38">
        <f t="shared" si="3"/>
        <v>0</v>
      </c>
      <c r="AM18" s="38"/>
      <c r="AN18" s="66">
        <v>1314970.23</v>
      </c>
      <c r="AO18" s="38">
        <v>2194122</v>
      </c>
      <c r="AP18" s="54">
        <f t="shared" si="4"/>
        <v>0.05</v>
      </c>
      <c r="AQ18" s="65">
        <f t="shared" si="2"/>
        <v>25014493.77</v>
      </c>
      <c r="AR18" s="30" t="s">
        <v>209</v>
      </c>
      <c r="AS18" s="30" t="s">
        <v>210</v>
      </c>
      <c r="AT18" s="32"/>
    </row>
    <row r="19" spans="1:46" ht="85.5" x14ac:dyDescent="0.25">
      <c r="A19" s="47">
        <v>18</v>
      </c>
      <c r="B19" s="63"/>
      <c r="C19" s="32"/>
      <c r="D19" s="29" t="s">
        <v>211</v>
      </c>
      <c r="E19" s="29" t="s">
        <v>212</v>
      </c>
      <c r="F19" s="29" t="s">
        <v>213</v>
      </c>
      <c r="G19" s="41" t="s">
        <v>59</v>
      </c>
      <c r="H19" s="41" t="s">
        <v>60</v>
      </c>
      <c r="I19" s="41">
        <v>2023</v>
      </c>
      <c r="J19" s="41">
        <v>95</v>
      </c>
      <c r="K19" s="29" t="s">
        <v>109</v>
      </c>
      <c r="L19" s="29" t="s">
        <v>2</v>
      </c>
      <c r="M19" s="32" t="s">
        <v>61</v>
      </c>
      <c r="N19" s="32" t="s">
        <v>204</v>
      </c>
      <c r="O19" s="32" t="s">
        <v>214</v>
      </c>
      <c r="P19" s="32" t="s">
        <v>112</v>
      </c>
      <c r="Q19" s="30" t="s">
        <v>215</v>
      </c>
      <c r="R19" s="32" t="s">
        <v>216</v>
      </c>
      <c r="S19" s="45">
        <v>163259</v>
      </c>
      <c r="T19" s="48" t="s">
        <v>217</v>
      </c>
      <c r="U19" s="35">
        <v>121992</v>
      </c>
      <c r="V19" s="68">
        <v>1</v>
      </c>
      <c r="W19" s="36">
        <v>45267</v>
      </c>
      <c r="X19" s="36">
        <v>45273</v>
      </c>
      <c r="Y19" s="36">
        <v>45273</v>
      </c>
      <c r="Z19" s="36">
        <v>45639</v>
      </c>
      <c r="AA19" s="36" t="s">
        <v>70</v>
      </c>
      <c r="AB19" s="36" t="s">
        <v>71</v>
      </c>
      <c r="AC19" s="37" t="s">
        <v>90</v>
      </c>
      <c r="AD19" s="30" t="s">
        <v>116</v>
      </c>
      <c r="AE19" s="38">
        <v>547593718.28999996</v>
      </c>
      <c r="AF19" s="38">
        <f>-10857905.7+62899991.32-0.06</f>
        <v>52042085.560000002</v>
      </c>
      <c r="AG19" s="38">
        <f t="shared" si="5"/>
        <v>599635803.8499999</v>
      </c>
      <c r="AH19" s="38">
        <v>15609124.010000002</v>
      </c>
      <c r="AI19" s="66">
        <v>584026679.84000003</v>
      </c>
      <c r="AJ19" s="38">
        <v>0</v>
      </c>
      <c r="AK19" s="38">
        <v>0</v>
      </c>
      <c r="AL19" s="38">
        <f t="shared" si="3"/>
        <v>0</v>
      </c>
      <c r="AM19" s="38"/>
      <c r="AN19" s="66">
        <v>40165517.859999999</v>
      </c>
      <c r="AO19" s="38">
        <v>51140690.039999999</v>
      </c>
      <c r="AP19" s="54">
        <f t="shared" si="4"/>
        <v>7.0000000000000007E-2</v>
      </c>
      <c r="AQ19" s="65">
        <f t="shared" si="2"/>
        <v>543861161.98000002</v>
      </c>
      <c r="AR19" s="30" t="s">
        <v>218</v>
      </c>
      <c r="AS19" s="43" t="s">
        <v>219</v>
      </c>
      <c r="AT19" s="32"/>
    </row>
    <row r="20" spans="1:46" ht="99.75" x14ac:dyDescent="0.25">
      <c r="A20" s="47">
        <v>19</v>
      </c>
      <c r="B20" s="63"/>
      <c r="C20" s="32"/>
      <c r="D20" s="29" t="s">
        <v>220</v>
      </c>
      <c r="E20" s="29" t="s">
        <v>221</v>
      </c>
      <c r="F20" s="29" t="s">
        <v>222</v>
      </c>
      <c r="G20" s="41" t="s">
        <v>59</v>
      </c>
      <c r="H20" s="41" t="s">
        <v>60</v>
      </c>
      <c r="I20" s="41">
        <v>2023</v>
      </c>
      <c r="J20" s="41">
        <v>246</v>
      </c>
      <c r="K20" s="29" t="s">
        <v>109</v>
      </c>
      <c r="L20" s="29" t="s">
        <v>2</v>
      </c>
      <c r="M20" s="32" t="s">
        <v>223</v>
      </c>
      <c r="N20" s="32" t="s">
        <v>204</v>
      </c>
      <c r="O20" s="32" t="s">
        <v>224</v>
      </c>
      <c r="P20" s="32" t="s">
        <v>64</v>
      </c>
      <c r="Q20" s="30" t="s">
        <v>225</v>
      </c>
      <c r="R20" s="32" t="s">
        <v>226</v>
      </c>
      <c r="S20" s="45" t="s">
        <v>227</v>
      </c>
      <c r="T20" s="44" t="s">
        <v>228</v>
      </c>
      <c r="U20" s="35" t="s">
        <v>69</v>
      </c>
      <c r="V20" s="68">
        <v>0</v>
      </c>
      <c r="W20" s="36">
        <v>45260</v>
      </c>
      <c r="X20" s="36">
        <v>45265</v>
      </c>
      <c r="Y20" s="36" t="s">
        <v>70</v>
      </c>
      <c r="Z20" s="36">
        <v>45631</v>
      </c>
      <c r="AA20" s="36" t="s">
        <v>70</v>
      </c>
      <c r="AB20" s="36" t="s">
        <v>71</v>
      </c>
      <c r="AC20" s="37" t="s">
        <v>72</v>
      </c>
      <c r="AD20" s="30" t="s">
        <v>135</v>
      </c>
      <c r="AE20" s="38">
        <v>1272271483</v>
      </c>
      <c r="AF20" s="38">
        <v>0</v>
      </c>
      <c r="AG20" s="38">
        <f t="shared" si="5"/>
        <v>1272271483</v>
      </c>
      <c r="AH20" s="38">
        <v>868916461</v>
      </c>
      <c r="AI20" s="66">
        <v>403355022</v>
      </c>
      <c r="AJ20" s="38">
        <v>0</v>
      </c>
      <c r="AK20" s="38">
        <v>0</v>
      </c>
      <c r="AL20" s="38">
        <f t="shared" si="3"/>
        <v>0</v>
      </c>
      <c r="AM20" s="38"/>
      <c r="AN20" s="66">
        <v>0</v>
      </c>
      <c r="AO20" s="38" t="s">
        <v>69</v>
      </c>
      <c r="AP20" s="54">
        <f t="shared" si="4"/>
        <v>0</v>
      </c>
      <c r="AQ20" s="65">
        <f t="shared" si="2"/>
        <v>403355022</v>
      </c>
      <c r="AR20" s="30" t="s">
        <v>229</v>
      </c>
      <c r="AS20" s="43" t="s">
        <v>230</v>
      </c>
      <c r="AT20" s="32"/>
    </row>
    <row r="21" spans="1:46" ht="85.5" x14ac:dyDescent="0.25">
      <c r="A21" s="47">
        <v>20</v>
      </c>
      <c r="B21" s="63"/>
      <c r="C21" s="32"/>
      <c r="D21" s="29" t="s">
        <v>93</v>
      </c>
      <c r="E21" s="29" t="s">
        <v>202</v>
      </c>
      <c r="F21" s="29" t="s">
        <v>231</v>
      </c>
      <c r="G21" s="41" t="s">
        <v>59</v>
      </c>
      <c r="H21" s="41" t="s">
        <v>60</v>
      </c>
      <c r="I21" s="41">
        <v>2023</v>
      </c>
      <c r="J21" s="41">
        <v>245</v>
      </c>
      <c r="K21" s="29" t="s">
        <v>109</v>
      </c>
      <c r="L21" s="29" t="s">
        <v>2</v>
      </c>
      <c r="M21" s="32" t="s">
        <v>61</v>
      </c>
      <c r="N21" s="32" t="s">
        <v>204</v>
      </c>
      <c r="O21" s="32" t="s">
        <v>232</v>
      </c>
      <c r="P21" s="32" t="s">
        <v>112</v>
      </c>
      <c r="Q21" s="30" t="s">
        <v>233</v>
      </c>
      <c r="R21" s="32" t="s">
        <v>234</v>
      </c>
      <c r="S21" s="57">
        <v>206721</v>
      </c>
      <c r="T21" s="48" t="s">
        <v>235</v>
      </c>
      <c r="U21" s="35">
        <v>122184</v>
      </c>
      <c r="V21" s="68">
        <v>1</v>
      </c>
      <c r="W21" s="36">
        <v>45271</v>
      </c>
      <c r="X21" s="36">
        <v>45275</v>
      </c>
      <c r="Y21" s="36">
        <v>45275</v>
      </c>
      <c r="Z21" s="36">
        <v>45983</v>
      </c>
      <c r="AA21" s="36" t="s">
        <v>70</v>
      </c>
      <c r="AB21" s="36" t="s">
        <v>71</v>
      </c>
      <c r="AC21" s="37" t="s">
        <v>90</v>
      </c>
      <c r="AD21" s="30" t="s">
        <v>116</v>
      </c>
      <c r="AE21" s="38">
        <v>120685506.48</v>
      </c>
      <c r="AF21" s="38">
        <v>0</v>
      </c>
      <c r="AG21" s="38">
        <f t="shared" si="5"/>
        <v>120685506.48</v>
      </c>
      <c r="AH21" s="38">
        <v>2742852.42</v>
      </c>
      <c r="AI21" s="66">
        <v>65828458.079999998</v>
      </c>
      <c r="AJ21" s="38">
        <v>52114195.980000004</v>
      </c>
      <c r="AK21" s="38">
        <v>0</v>
      </c>
      <c r="AL21" s="38">
        <f t="shared" si="3"/>
        <v>0</v>
      </c>
      <c r="AM21" s="38"/>
      <c r="AN21" s="66">
        <v>5485704.8399999999</v>
      </c>
      <c r="AO21" s="38">
        <v>5485704.8399999999</v>
      </c>
      <c r="AP21" s="54">
        <f t="shared" si="4"/>
        <v>0.08</v>
      </c>
      <c r="AQ21" s="65">
        <f t="shared" si="2"/>
        <v>60342753.239999995</v>
      </c>
      <c r="AR21" s="30" t="s">
        <v>236</v>
      </c>
      <c r="AS21" s="43" t="s">
        <v>237</v>
      </c>
      <c r="AT21" s="32"/>
    </row>
    <row r="22" spans="1:46" ht="171" x14ac:dyDescent="0.25">
      <c r="A22" s="47">
        <v>21</v>
      </c>
      <c r="B22" s="63">
        <v>80111614</v>
      </c>
      <c r="C22" s="32" t="s">
        <v>81</v>
      </c>
      <c r="D22" s="29" t="s">
        <v>56</v>
      </c>
      <c r="E22" s="29" t="s">
        <v>238</v>
      </c>
      <c r="F22" s="29" t="s">
        <v>239</v>
      </c>
      <c r="G22" s="41" t="s">
        <v>59</v>
      </c>
      <c r="H22" s="41" t="s">
        <v>60</v>
      </c>
      <c r="I22" s="41">
        <v>2024</v>
      </c>
      <c r="J22" s="41">
        <v>83</v>
      </c>
      <c r="K22" s="29" t="s">
        <v>59</v>
      </c>
      <c r="L22" s="29" t="s">
        <v>3</v>
      </c>
      <c r="M22" s="32" t="s">
        <v>61</v>
      </c>
      <c r="N22" s="32" t="s">
        <v>204</v>
      </c>
      <c r="O22" s="32" t="s">
        <v>240</v>
      </c>
      <c r="P22" s="32" t="s">
        <v>64</v>
      </c>
      <c r="Q22" s="30" t="s">
        <v>241</v>
      </c>
      <c r="R22" s="32" t="s">
        <v>242</v>
      </c>
      <c r="S22" s="45" t="s">
        <v>243</v>
      </c>
      <c r="T22" s="44" t="s">
        <v>244</v>
      </c>
      <c r="U22" s="35" t="s">
        <v>69</v>
      </c>
      <c r="V22" s="68">
        <v>1</v>
      </c>
      <c r="W22" s="36">
        <v>45314</v>
      </c>
      <c r="X22" s="36">
        <v>45315</v>
      </c>
      <c r="Y22" s="36">
        <v>45315</v>
      </c>
      <c r="Z22" s="36">
        <v>45646</v>
      </c>
      <c r="AA22" s="36" t="s">
        <v>70</v>
      </c>
      <c r="AB22" s="36" t="s">
        <v>71</v>
      </c>
      <c r="AC22" s="37" t="s">
        <v>90</v>
      </c>
      <c r="AD22" s="32" t="s">
        <v>73</v>
      </c>
      <c r="AE22" s="38">
        <v>101790360</v>
      </c>
      <c r="AF22" s="38">
        <v>0</v>
      </c>
      <c r="AG22" s="38">
        <f t="shared" si="5"/>
        <v>101790360</v>
      </c>
      <c r="AH22" s="38">
        <v>0</v>
      </c>
      <c r="AI22" s="66">
        <v>101790360</v>
      </c>
      <c r="AJ22" s="38">
        <v>0</v>
      </c>
      <c r="AK22" s="38">
        <v>101790360.76000001</v>
      </c>
      <c r="AL22" s="38">
        <f t="shared" si="3"/>
        <v>0.76000000536441803</v>
      </c>
      <c r="AM22" s="38"/>
      <c r="AN22" s="66">
        <v>2159189.4300000002</v>
      </c>
      <c r="AO22" s="38">
        <v>9253669</v>
      </c>
      <c r="AP22" s="54">
        <f t="shared" si="4"/>
        <v>0.02</v>
      </c>
      <c r="AQ22" s="65">
        <f t="shared" si="2"/>
        <v>99631170.569999993</v>
      </c>
      <c r="AR22" s="30" t="s">
        <v>245</v>
      </c>
      <c r="AS22" s="43" t="s">
        <v>246</v>
      </c>
      <c r="AT22" s="32"/>
    </row>
    <row r="23" spans="1:46" ht="135" x14ac:dyDescent="0.25">
      <c r="A23" s="47">
        <v>22</v>
      </c>
      <c r="B23" s="63"/>
      <c r="C23" s="36"/>
      <c r="D23" s="29" t="s">
        <v>56</v>
      </c>
      <c r="E23" s="29" t="s">
        <v>247</v>
      </c>
      <c r="F23" s="29" t="s">
        <v>248</v>
      </c>
      <c r="G23" s="41" t="s">
        <v>109</v>
      </c>
      <c r="H23" s="41" t="s">
        <v>249</v>
      </c>
      <c r="I23" s="41">
        <v>2024</v>
      </c>
      <c r="J23" s="41">
        <v>141</v>
      </c>
      <c r="K23" s="29" t="s">
        <v>59</v>
      </c>
      <c r="L23" s="29" t="s">
        <v>3</v>
      </c>
      <c r="M23" s="32" t="s">
        <v>61</v>
      </c>
      <c r="N23" s="32" t="s">
        <v>250</v>
      </c>
      <c r="O23" s="32" t="s">
        <v>251</v>
      </c>
      <c r="P23" s="32" t="s">
        <v>64</v>
      </c>
      <c r="Q23" s="30" t="s">
        <v>252</v>
      </c>
      <c r="R23" s="32" t="s">
        <v>253</v>
      </c>
      <c r="S23" s="45" t="s">
        <v>254</v>
      </c>
      <c r="T23" s="56" t="s">
        <v>255</v>
      </c>
      <c r="U23" s="35" t="s">
        <v>69</v>
      </c>
      <c r="V23" s="68">
        <v>0</v>
      </c>
      <c r="W23" s="36">
        <v>45329</v>
      </c>
      <c r="X23" s="36">
        <v>45331</v>
      </c>
      <c r="Y23" s="36">
        <v>45331</v>
      </c>
      <c r="Z23" s="36">
        <v>45646</v>
      </c>
      <c r="AA23" s="36" t="s">
        <v>70</v>
      </c>
      <c r="AB23" s="36" t="s">
        <v>71</v>
      </c>
      <c r="AC23" s="37" t="s">
        <v>72</v>
      </c>
      <c r="AD23" s="32" t="s">
        <v>73</v>
      </c>
      <c r="AE23" s="38">
        <v>191064000</v>
      </c>
      <c r="AF23" s="38">
        <v>0</v>
      </c>
      <c r="AG23" s="38">
        <f t="shared" si="5"/>
        <v>191064000</v>
      </c>
      <c r="AH23" s="38">
        <v>0</v>
      </c>
      <c r="AI23" s="66">
        <v>191064000</v>
      </c>
      <c r="AJ23" s="38">
        <v>0</v>
      </c>
      <c r="AK23" s="38">
        <v>197034750</v>
      </c>
      <c r="AL23" s="38">
        <f t="shared" si="3"/>
        <v>5970750</v>
      </c>
      <c r="AM23" s="38"/>
      <c r="AN23" s="66">
        <v>0</v>
      </c>
      <c r="AO23" s="38">
        <v>17912250</v>
      </c>
      <c r="AP23" s="54">
        <f t="shared" si="4"/>
        <v>0</v>
      </c>
      <c r="AQ23" s="65">
        <f t="shared" si="2"/>
        <v>191064000</v>
      </c>
      <c r="AR23" s="30" t="s">
        <v>256</v>
      </c>
      <c r="AS23" s="43" t="s">
        <v>257</v>
      </c>
      <c r="AT23" s="32"/>
    </row>
    <row r="24" spans="1:46" ht="99.75" x14ac:dyDescent="0.25">
      <c r="A24" s="47">
        <v>23</v>
      </c>
      <c r="B24" s="63">
        <v>81112501</v>
      </c>
      <c r="C24" s="32" t="s">
        <v>258</v>
      </c>
      <c r="D24" s="29" t="s">
        <v>93</v>
      </c>
      <c r="E24" s="29" t="s">
        <v>259</v>
      </c>
      <c r="F24" s="29" t="s">
        <v>260</v>
      </c>
      <c r="G24" s="41" t="s">
        <v>59</v>
      </c>
      <c r="H24" s="41" t="s">
        <v>60</v>
      </c>
      <c r="I24" s="41">
        <v>2024</v>
      </c>
      <c r="J24" s="41">
        <v>86</v>
      </c>
      <c r="K24" s="29" t="s">
        <v>59</v>
      </c>
      <c r="L24" s="29" t="s">
        <v>3</v>
      </c>
      <c r="M24" s="32" t="s">
        <v>261</v>
      </c>
      <c r="N24" s="30" t="s">
        <v>71</v>
      </c>
      <c r="O24" s="126"/>
      <c r="P24" s="32" t="s">
        <v>64</v>
      </c>
      <c r="Q24" s="30" t="s">
        <v>262</v>
      </c>
      <c r="R24" s="32" t="s">
        <v>263</v>
      </c>
      <c r="S24" s="46" t="s">
        <v>264</v>
      </c>
      <c r="T24" s="30" t="s">
        <v>265</v>
      </c>
      <c r="U24" s="35" t="s">
        <v>69</v>
      </c>
      <c r="V24" s="68">
        <v>4</v>
      </c>
      <c r="W24" s="36">
        <v>45353</v>
      </c>
      <c r="X24" s="36">
        <v>45357</v>
      </c>
      <c r="Y24" s="36">
        <v>45362</v>
      </c>
      <c r="Z24" s="36">
        <v>45641</v>
      </c>
      <c r="AA24" s="36" t="s">
        <v>266</v>
      </c>
      <c r="AB24" s="36">
        <v>46356</v>
      </c>
      <c r="AC24" s="37" t="s">
        <v>90</v>
      </c>
      <c r="AD24" s="30" t="s">
        <v>267</v>
      </c>
      <c r="AE24" s="38">
        <v>2427600</v>
      </c>
      <c r="AF24" s="38">
        <v>0</v>
      </c>
      <c r="AG24" s="38">
        <f t="shared" si="5"/>
        <v>2427600</v>
      </c>
      <c r="AH24" s="38">
        <v>0</v>
      </c>
      <c r="AI24" s="66">
        <f>AG24</f>
        <v>2427600</v>
      </c>
      <c r="AJ24" s="38">
        <v>0</v>
      </c>
      <c r="AK24" s="38">
        <v>18371251</v>
      </c>
      <c r="AL24" s="38">
        <f t="shared" si="3"/>
        <v>15943651</v>
      </c>
      <c r="AM24" s="38" t="s">
        <v>268</v>
      </c>
      <c r="AN24" s="66">
        <v>0</v>
      </c>
      <c r="AO24" s="38" t="s">
        <v>69</v>
      </c>
      <c r="AP24" s="54">
        <f t="shared" si="4"/>
        <v>0</v>
      </c>
      <c r="AQ24" s="65">
        <f t="shared" si="2"/>
        <v>2427600</v>
      </c>
      <c r="AR24" s="30"/>
      <c r="AS24" s="43" t="s">
        <v>269</v>
      </c>
      <c r="AT24" s="118" t="s">
        <v>270</v>
      </c>
    </row>
    <row r="25" spans="1:46" ht="156.75" x14ac:dyDescent="0.25">
      <c r="A25" s="47">
        <v>24</v>
      </c>
      <c r="B25" s="63" t="s">
        <v>271</v>
      </c>
      <c r="C25" s="32"/>
      <c r="D25" s="29" t="s">
        <v>93</v>
      </c>
      <c r="E25" s="29" t="s">
        <v>272</v>
      </c>
      <c r="F25" s="29" t="s">
        <v>273</v>
      </c>
      <c r="G25" s="41" t="s">
        <v>109</v>
      </c>
      <c r="H25" s="41" t="s">
        <v>274</v>
      </c>
      <c r="I25" s="41">
        <v>2024</v>
      </c>
      <c r="J25" s="41">
        <v>76</v>
      </c>
      <c r="K25" s="29" t="s">
        <v>59</v>
      </c>
      <c r="L25" s="29" t="s">
        <v>3</v>
      </c>
      <c r="M25" s="32" t="s">
        <v>275</v>
      </c>
      <c r="N25" s="30" t="s">
        <v>71</v>
      </c>
      <c r="O25" s="126">
        <v>45370</v>
      </c>
      <c r="P25" s="32" t="s">
        <v>64</v>
      </c>
      <c r="Q25" s="30" t="s">
        <v>276</v>
      </c>
      <c r="R25" s="32" t="s">
        <v>277</v>
      </c>
      <c r="S25" s="45" t="s">
        <v>278</v>
      </c>
      <c r="T25" s="30" t="s">
        <v>279</v>
      </c>
      <c r="U25" s="35" t="s">
        <v>69</v>
      </c>
      <c r="V25" s="68">
        <v>1</v>
      </c>
      <c r="W25" s="36">
        <v>45369</v>
      </c>
      <c r="X25" s="36">
        <v>45370</v>
      </c>
      <c r="Y25" s="36">
        <v>45371</v>
      </c>
      <c r="Z25" s="36">
        <v>45385</v>
      </c>
      <c r="AA25" s="36">
        <v>45373</v>
      </c>
      <c r="AB25" s="36">
        <v>45738</v>
      </c>
      <c r="AC25" s="37" t="s">
        <v>90</v>
      </c>
      <c r="AD25" s="30" t="s">
        <v>267</v>
      </c>
      <c r="AE25" s="38">
        <v>2125000</v>
      </c>
      <c r="AF25" s="38">
        <v>0</v>
      </c>
      <c r="AG25" s="38">
        <f t="shared" si="5"/>
        <v>2125000</v>
      </c>
      <c r="AH25" s="38">
        <v>0</v>
      </c>
      <c r="AI25" s="66">
        <v>2125000</v>
      </c>
      <c r="AJ25" s="38">
        <v>0</v>
      </c>
      <c r="AK25" s="38">
        <v>2550000</v>
      </c>
      <c r="AL25" s="38">
        <f t="shared" si="3"/>
        <v>425000</v>
      </c>
      <c r="AM25" s="38" t="s">
        <v>280</v>
      </c>
      <c r="AN25" s="66">
        <v>0</v>
      </c>
      <c r="AO25" s="38" t="s">
        <v>69</v>
      </c>
      <c r="AP25" s="54">
        <f t="shared" si="4"/>
        <v>0</v>
      </c>
      <c r="AQ25" s="65">
        <f t="shared" si="2"/>
        <v>2125000</v>
      </c>
      <c r="AR25" s="30" t="s">
        <v>281</v>
      </c>
      <c r="AS25" s="133" t="s">
        <v>282</v>
      </c>
      <c r="AT25" s="32"/>
    </row>
    <row r="26" spans="1:46" ht="85.5" x14ac:dyDescent="0.25">
      <c r="A26" s="47">
        <v>25</v>
      </c>
      <c r="B26" s="63">
        <v>80111614</v>
      </c>
      <c r="C26" s="32" t="s">
        <v>283</v>
      </c>
      <c r="D26" s="29" t="s">
        <v>56</v>
      </c>
      <c r="E26" s="29" t="s">
        <v>82</v>
      </c>
      <c r="F26" s="29" t="s">
        <v>284</v>
      </c>
      <c r="G26" s="41" t="s">
        <v>59</v>
      </c>
      <c r="H26" s="41" t="s">
        <v>60</v>
      </c>
      <c r="I26" s="41">
        <v>2024</v>
      </c>
      <c r="J26" s="41">
        <v>105</v>
      </c>
      <c r="K26" s="29" t="s">
        <v>59</v>
      </c>
      <c r="L26" s="29" t="s">
        <v>3</v>
      </c>
      <c r="M26" s="32" t="s">
        <v>285</v>
      </c>
      <c r="N26" s="30" t="s">
        <v>71</v>
      </c>
      <c r="O26" s="32"/>
      <c r="P26" s="32" t="s">
        <v>64</v>
      </c>
      <c r="Q26" s="30" t="s">
        <v>286</v>
      </c>
      <c r="R26" s="32" t="s">
        <v>287</v>
      </c>
      <c r="S26" s="46" t="s">
        <v>288</v>
      </c>
      <c r="T26" s="30" t="s">
        <v>289</v>
      </c>
      <c r="U26" s="35" t="s">
        <v>69</v>
      </c>
      <c r="V26" s="68">
        <v>0</v>
      </c>
      <c r="W26" s="36">
        <v>45373</v>
      </c>
      <c r="X26" s="36">
        <v>45385</v>
      </c>
      <c r="Y26" s="36" t="s">
        <v>70</v>
      </c>
      <c r="Z26" s="36">
        <v>45646</v>
      </c>
      <c r="AA26" s="36" t="s">
        <v>70</v>
      </c>
      <c r="AB26" s="36" t="s">
        <v>71</v>
      </c>
      <c r="AC26" s="37" t="s">
        <v>72</v>
      </c>
      <c r="AD26" s="30" t="s">
        <v>290</v>
      </c>
      <c r="AE26" s="38">
        <v>84000000</v>
      </c>
      <c r="AF26" s="38">
        <v>0</v>
      </c>
      <c r="AG26" s="38">
        <f t="shared" si="5"/>
        <v>84000000</v>
      </c>
      <c r="AH26" s="38">
        <v>0</v>
      </c>
      <c r="AI26" s="66">
        <v>84000000</v>
      </c>
      <c r="AJ26" s="38">
        <v>0</v>
      </c>
      <c r="AK26" s="38">
        <v>92400000</v>
      </c>
      <c r="AL26" s="38">
        <f t="shared" si="3"/>
        <v>8400000</v>
      </c>
      <c r="AM26" s="38" t="s">
        <v>291</v>
      </c>
      <c r="AN26" s="66">
        <v>0</v>
      </c>
      <c r="AO26" s="38">
        <v>8400000</v>
      </c>
      <c r="AP26" s="54">
        <f t="shared" si="4"/>
        <v>0</v>
      </c>
      <c r="AQ26" s="65">
        <f t="shared" si="2"/>
        <v>84000000</v>
      </c>
      <c r="AR26" s="30" t="s">
        <v>292</v>
      </c>
      <c r="AS26" s="43" t="s">
        <v>293</v>
      </c>
      <c r="AT26" s="118" t="s">
        <v>294</v>
      </c>
    </row>
    <row r="27" spans="1:46" ht="135" x14ac:dyDescent="0.25">
      <c r="A27" s="47">
        <v>26</v>
      </c>
      <c r="B27" s="63">
        <v>80111614</v>
      </c>
      <c r="C27" s="32" t="s">
        <v>295</v>
      </c>
      <c r="D27" s="29" t="s">
        <v>56</v>
      </c>
      <c r="E27" s="29" t="s">
        <v>82</v>
      </c>
      <c r="F27" s="29" t="s">
        <v>296</v>
      </c>
      <c r="G27" s="41" t="s">
        <v>59</v>
      </c>
      <c r="H27" s="41" t="s">
        <v>60</v>
      </c>
      <c r="I27" s="41">
        <v>2024</v>
      </c>
      <c r="J27" s="41">
        <v>106</v>
      </c>
      <c r="K27" s="29" t="s">
        <v>59</v>
      </c>
      <c r="L27" s="29" t="s">
        <v>3</v>
      </c>
      <c r="M27" s="32" t="s">
        <v>297</v>
      </c>
      <c r="N27" s="30" t="s">
        <v>71</v>
      </c>
      <c r="O27" s="32"/>
      <c r="P27" s="32" t="s">
        <v>64</v>
      </c>
      <c r="Q27" s="30" t="s">
        <v>298</v>
      </c>
      <c r="R27" s="32" t="s">
        <v>299</v>
      </c>
      <c r="S27" s="45" t="s">
        <v>300</v>
      </c>
      <c r="T27" s="34" t="s">
        <v>301</v>
      </c>
      <c r="U27" s="35" t="s">
        <v>69</v>
      </c>
      <c r="V27" s="68">
        <v>0</v>
      </c>
      <c r="W27" s="36">
        <v>45373</v>
      </c>
      <c r="X27" s="36">
        <v>45383</v>
      </c>
      <c r="Y27" s="36" t="s">
        <v>70</v>
      </c>
      <c r="Z27" s="36">
        <v>45646</v>
      </c>
      <c r="AA27" s="36" t="s">
        <v>70</v>
      </c>
      <c r="AB27" s="36" t="s">
        <v>71</v>
      </c>
      <c r="AC27" s="37" t="s">
        <v>72</v>
      </c>
      <c r="AD27" s="30" t="s">
        <v>302</v>
      </c>
      <c r="AE27" s="38">
        <v>140000000</v>
      </c>
      <c r="AF27" s="38">
        <v>0</v>
      </c>
      <c r="AG27" s="38">
        <f t="shared" si="5"/>
        <v>140000000</v>
      </c>
      <c r="AH27" s="38">
        <v>0</v>
      </c>
      <c r="AI27" s="66">
        <v>140000000</v>
      </c>
      <c r="AJ27" s="38">
        <v>0</v>
      </c>
      <c r="AK27" s="38">
        <v>140000000</v>
      </c>
      <c r="AL27" s="38">
        <f t="shared" si="3"/>
        <v>0</v>
      </c>
      <c r="AM27" s="38"/>
      <c r="AN27" s="66">
        <v>0</v>
      </c>
      <c r="AO27" s="38">
        <v>14000000</v>
      </c>
      <c r="AP27" s="54">
        <f t="shared" si="4"/>
        <v>0</v>
      </c>
      <c r="AQ27" s="65">
        <f t="shared" si="2"/>
        <v>140000000</v>
      </c>
      <c r="AR27" s="30" t="s">
        <v>303</v>
      </c>
      <c r="AS27" s="43" t="s">
        <v>304</v>
      </c>
      <c r="AT27" s="118" t="s">
        <v>294</v>
      </c>
    </row>
    <row r="28" spans="1:46" ht="85.5" x14ac:dyDescent="0.25">
      <c r="A28" s="47">
        <v>27</v>
      </c>
      <c r="B28" s="63">
        <v>81111801</v>
      </c>
      <c r="C28" s="32" t="s">
        <v>283</v>
      </c>
      <c r="D28" s="29" t="s">
        <v>93</v>
      </c>
      <c r="E28" s="29" t="s">
        <v>305</v>
      </c>
      <c r="F28" s="29" t="s">
        <v>306</v>
      </c>
      <c r="G28" s="41" t="s">
        <v>59</v>
      </c>
      <c r="H28" s="41" t="s">
        <v>60</v>
      </c>
      <c r="I28" s="41">
        <v>2024</v>
      </c>
      <c r="J28" s="41">
        <v>101</v>
      </c>
      <c r="K28" s="29" t="s">
        <v>59</v>
      </c>
      <c r="L28" s="29" t="s">
        <v>3</v>
      </c>
      <c r="M28" s="32" t="s">
        <v>307</v>
      </c>
      <c r="N28" s="32" t="s">
        <v>71</v>
      </c>
      <c r="O28" s="118" t="s">
        <v>427</v>
      </c>
      <c r="P28" s="32" t="s">
        <v>64</v>
      </c>
      <c r="Q28" s="30" t="s">
        <v>308</v>
      </c>
      <c r="R28" s="32" t="s">
        <v>309</v>
      </c>
      <c r="S28" s="45" t="s">
        <v>310</v>
      </c>
      <c r="T28" s="45" t="s">
        <v>311</v>
      </c>
      <c r="U28" s="45" t="s">
        <v>428</v>
      </c>
      <c r="V28" s="68">
        <v>0</v>
      </c>
      <c r="W28" s="36">
        <v>45411</v>
      </c>
      <c r="X28" s="134">
        <v>45414</v>
      </c>
      <c r="Y28" s="134">
        <v>45414</v>
      </c>
      <c r="Z28" s="36">
        <v>45626</v>
      </c>
      <c r="AA28" s="36" t="s">
        <v>70</v>
      </c>
      <c r="AB28" s="36" t="s">
        <v>71</v>
      </c>
      <c r="AC28" s="37" t="s">
        <v>72</v>
      </c>
      <c r="AD28" s="30" t="s">
        <v>312</v>
      </c>
      <c r="AE28" s="38">
        <v>669139863.29999995</v>
      </c>
      <c r="AF28" s="38">
        <v>0</v>
      </c>
      <c r="AG28" s="38">
        <f t="shared" si="5"/>
        <v>669139863.29999995</v>
      </c>
      <c r="AH28" s="38">
        <v>0</v>
      </c>
      <c r="AI28" s="66">
        <v>669139863.29999995</v>
      </c>
      <c r="AJ28" s="38">
        <v>0</v>
      </c>
      <c r="AK28" s="38">
        <v>700000000</v>
      </c>
      <c r="AL28" s="38">
        <f t="shared" si="3"/>
        <v>30860136.700000048</v>
      </c>
      <c r="AM28" s="38" t="s">
        <v>313</v>
      </c>
      <c r="AN28" s="66">
        <v>0</v>
      </c>
      <c r="AO28" s="38" t="s">
        <v>69</v>
      </c>
      <c r="AP28" s="54">
        <f>IF(AI28=0,0,ROUND(AN28/AI28,2))</f>
        <v>0</v>
      </c>
      <c r="AQ28" s="65">
        <f>AI28-AN28</f>
        <v>669139863.29999995</v>
      </c>
      <c r="AR28" s="30" t="s">
        <v>314</v>
      </c>
      <c r="AS28" s="43" t="s">
        <v>315</v>
      </c>
      <c r="AT28" s="32"/>
    </row>
    <row r="29" spans="1:46" ht="114" x14ac:dyDescent="0.25">
      <c r="A29" s="47">
        <v>28</v>
      </c>
      <c r="B29" s="63">
        <v>80111614</v>
      </c>
      <c r="C29" s="32" t="s">
        <v>283</v>
      </c>
      <c r="D29" s="29" t="s">
        <v>56</v>
      </c>
      <c r="E29" s="29" t="s">
        <v>82</v>
      </c>
      <c r="F29" s="29" t="s">
        <v>316</v>
      </c>
      <c r="G29" s="41" t="s">
        <v>59</v>
      </c>
      <c r="H29" s="41" t="s">
        <v>60</v>
      </c>
      <c r="I29" s="41">
        <v>2024</v>
      </c>
      <c r="J29" s="41">
        <v>153</v>
      </c>
      <c r="K29" s="29" t="s">
        <v>59</v>
      </c>
      <c r="L29" s="29" t="s">
        <v>3</v>
      </c>
      <c r="M29" s="32" t="s">
        <v>317</v>
      </c>
      <c r="N29" s="32" t="s">
        <v>71</v>
      </c>
      <c r="O29" s="32"/>
      <c r="P29" s="32" t="s">
        <v>64</v>
      </c>
      <c r="Q29" s="30" t="s">
        <v>318</v>
      </c>
      <c r="R29" s="32" t="s">
        <v>319</v>
      </c>
      <c r="S29" s="46" t="s">
        <v>320</v>
      </c>
      <c r="T29" s="30" t="s">
        <v>321</v>
      </c>
      <c r="U29" s="35" t="s">
        <v>69</v>
      </c>
      <c r="V29" s="68">
        <v>0</v>
      </c>
      <c r="W29" s="36">
        <v>45392</v>
      </c>
      <c r="X29" s="36">
        <v>45393</v>
      </c>
      <c r="Y29" s="36" t="s">
        <v>70</v>
      </c>
      <c r="Z29" s="36">
        <v>45575</v>
      </c>
      <c r="AA29" s="36" t="s">
        <v>70</v>
      </c>
      <c r="AB29" s="36" t="s">
        <v>71</v>
      </c>
      <c r="AC29" s="37" t="s">
        <v>72</v>
      </c>
      <c r="AD29" s="30" t="s">
        <v>302</v>
      </c>
      <c r="AE29" s="38">
        <v>51000000</v>
      </c>
      <c r="AF29" s="38">
        <v>0</v>
      </c>
      <c r="AG29" s="38">
        <f t="shared" si="5"/>
        <v>51000000</v>
      </c>
      <c r="AH29" s="38">
        <v>0</v>
      </c>
      <c r="AI29" s="66">
        <v>51000000</v>
      </c>
      <c r="AJ29" s="38">
        <v>0</v>
      </c>
      <c r="AK29" s="38">
        <v>51000000</v>
      </c>
      <c r="AL29" s="38">
        <f t="shared" si="3"/>
        <v>0</v>
      </c>
      <c r="AM29" s="38"/>
      <c r="AN29" s="66">
        <v>0</v>
      </c>
      <c r="AO29" s="38">
        <v>8500000</v>
      </c>
      <c r="AP29" s="54">
        <f>IF(AI29=0,0,ROUND(AN29/AI29,2))</f>
        <v>0</v>
      </c>
      <c r="AQ29" s="65">
        <f>AI29-AN29</f>
        <v>51000000</v>
      </c>
      <c r="AR29" s="30" t="s">
        <v>322</v>
      </c>
      <c r="AS29" s="43" t="s">
        <v>323</v>
      </c>
      <c r="AT29" s="32" t="s">
        <v>324</v>
      </c>
    </row>
    <row r="30" spans="1:46" ht="120" x14ac:dyDescent="0.25">
      <c r="A30" s="47">
        <v>29</v>
      </c>
      <c r="B30" s="63">
        <v>80111614</v>
      </c>
      <c r="C30" s="32" t="s">
        <v>283</v>
      </c>
      <c r="D30" s="29" t="s">
        <v>56</v>
      </c>
      <c r="E30" s="29" t="s">
        <v>82</v>
      </c>
      <c r="F30" s="29" t="s">
        <v>316</v>
      </c>
      <c r="G30" s="41" t="s">
        <v>59</v>
      </c>
      <c r="H30" s="41" t="s">
        <v>60</v>
      </c>
      <c r="I30" s="41">
        <v>2024</v>
      </c>
      <c r="J30" s="41">
        <v>152</v>
      </c>
      <c r="K30" s="29" t="s">
        <v>59</v>
      </c>
      <c r="L30" s="29" t="s">
        <v>3</v>
      </c>
      <c r="M30" s="32" t="s">
        <v>317</v>
      </c>
      <c r="N30" s="32" t="s">
        <v>71</v>
      </c>
      <c r="O30" s="32"/>
      <c r="P30" s="32" t="s">
        <v>64</v>
      </c>
      <c r="Q30" s="30" t="s">
        <v>325</v>
      </c>
      <c r="R30" s="32" t="s">
        <v>326</v>
      </c>
      <c r="S30" s="46" t="s">
        <v>327</v>
      </c>
      <c r="T30" s="30" t="s">
        <v>328</v>
      </c>
      <c r="U30" s="35" t="s">
        <v>69</v>
      </c>
      <c r="V30" s="68">
        <v>0</v>
      </c>
      <c r="W30" s="36">
        <v>45397</v>
      </c>
      <c r="X30" s="36">
        <v>45398</v>
      </c>
      <c r="Y30" s="36" t="s">
        <v>70</v>
      </c>
      <c r="Z30" s="144">
        <v>45577</v>
      </c>
      <c r="AA30" s="36" t="s">
        <v>70</v>
      </c>
      <c r="AB30" s="36" t="s">
        <v>71</v>
      </c>
      <c r="AC30" s="37" t="s">
        <v>72</v>
      </c>
      <c r="AD30" s="30" t="s">
        <v>302</v>
      </c>
      <c r="AE30" s="38">
        <v>51000000</v>
      </c>
      <c r="AF30" s="38">
        <v>-42500000</v>
      </c>
      <c r="AG30" s="38">
        <f t="shared" si="5"/>
        <v>8500000</v>
      </c>
      <c r="AH30" s="38">
        <v>0</v>
      </c>
      <c r="AI30" s="66">
        <v>8500000</v>
      </c>
      <c r="AJ30" s="38">
        <v>0</v>
      </c>
      <c r="AK30" s="38">
        <v>51000000</v>
      </c>
      <c r="AL30" s="38">
        <f>IF(K30="Si",(AK30-AE30),0)</f>
        <v>0</v>
      </c>
      <c r="AM30" s="38" t="s">
        <v>614</v>
      </c>
      <c r="AN30" s="66">
        <v>0</v>
      </c>
      <c r="AO30" s="38">
        <v>8500000</v>
      </c>
      <c r="AP30" s="54">
        <f>IF(AI30=0,0,ROUND(AN30/AI30,2))</f>
        <v>0</v>
      </c>
      <c r="AQ30" s="65">
        <f t="shared" ref="AQ30:AQ46" si="6">AI30-AN30</f>
        <v>8500000</v>
      </c>
      <c r="AR30" s="30" t="s">
        <v>329</v>
      </c>
      <c r="AS30" s="43" t="s">
        <v>330</v>
      </c>
      <c r="AT30" s="118" t="s">
        <v>429</v>
      </c>
    </row>
    <row r="31" spans="1:46" ht="150" x14ac:dyDescent="0.25">
      <c r="A31" s="47">
        <v>30</v>
      </c>
      <c r="B31" s="63">
        <v>80111614</v>
      </c>
      <c r="C31" s="32" t="s">
        <v>283</v>
      </c>
      <c r="D31" s="29" t="s">
        <v>56</v>
      </c>
      <c r="E31" s="29" t="s">
        <v>82</v>
      </c>
      <c r="F31" s="29" t="s">
        <v>331</v>
      </c>
      <c r="G31" s="41" t="s">
        <v>59</v>
      </c>
      <c r="H31" s="41" t="s">
        <v>60</v>
      </c>
      <c r="I31" s="41">
        <v>2024</v>
      </c>
      <c r="J31" s="41">
        <v>154</v>
      </c>
      <c r="K31" s="29" t="s">
        <v>59</v>
      </c>
      <c r="L31" s="29" t="s">
        <v>3</v>
      </c>
      <c r="M31" s="32" t="s">
        <v>317</v>
      </c>
      <c r="N31" s="32" t="s">
        <v>71</v>
      </c>
      <c r="O31" s="32"/>
      <c r="P31" s="32" t="s">
        <v>64</v>
      </c>
      <c r="Q31" s="30" t="s">
        <v>332</v>
      </c>
      <c r="R31" s="32" t="s">
        <v>333</v>
      </c>
      <c r="S31" s="46" t="s">
        <v>334</v>
      </c>
      <c r="T31" s="30" t="s">
        <v>335</v>
      </c>
      <c r="U31" s="35" t="s">
        <v>69</v>
      </c>
      <c r="V31" s="68">
        <v>0</v>
      </c>
      <c r="W31" s="36">
        <v>45397</v>
      </c>
      <c r="X31" s="36">
        <v>45400</v>
      </c>
      <c r="Y31" s="36" t="s">
        <v>70</v>
      </c>
      <c r="Z31" s="36">
        <v>45646</v>
      </c>
      <c r="AA31" s="36" t="s">
        <v>70</v>
      </c>
      <c r="AB31" s="36" t="s">
        <v>71</v>
      </c>
      <c r="AC31" s="37" t="s">
        <v>72</v>
      </c>
      <c r="AD31" s="30" t="s">
        <v>336</v>
      </c>
      <c r="AE31" s="38">
        <v>76000000</v>
      </c>
      <c r="AF31" s="38">
        <v>0</v>
      </c>
      <c r="AG31" s="38">
        <f t="shared" si="5"/>
        <v>76000000</v>
      </c>
      <c r="AH31" s="38">
        <v>0</v>
      </c>
      <c r="AI31" s="66">
        <v>76000000</v>
      </c>
      <c r="AJ31" s="38">
        <v>0</v>
      </c>
      <c r="AK31" s="38">
        <f>AI31+AJ31</f>
        <v>76000000</v>
      </c>
      <c r="AL31" s="38">
        <f t="shared" si="3"/>
        <v>0</v>
      </c>
      <c r="AM31" s="38"/>
      <c r="AN31" s="66">
        <v>0</v>
      </c>
      <c r="AO31" s="38">
        <v>9500000</v>
      </c>
      <c r="AP31" s="54">
        <f t="shared" ref="AP31:AP46" si="7">IF(AI31=0,0,ROUND(AN31/AI31,2))</f>
        <v>0</v>
      </c>
      <c r="AQ31" s="65">
        <f t="shared" si="6"/>
        <v>76000000</v>
      </c>
      <c r="AR31" s="30" t="s">
        <v>337</v>
      </c>
      <c r="AS31" s="43" t="s">
        <v>338</v>
      </c>
      <c r="AT31" s="32" t="s">
        <v>339</v>
      </c>
    </row>
    <row r="32" spans="1:46" ht="129" customHeight="1" x14ac:dyDescent="0.25">
      <c r="A32" s="47">
        <v>31</v>
      </c>
      <c r="B32" s="63">
        <v>80111614</v>
      </c>
      <c r="C32" s="32" t="s">
        <v>81</v>
      </c>
      <c r="D32" s="29" t="s">
        <v>56</v>
      </c>
      <c r="E32" s="29" t="s">
        <v>305</v>
      </c>
      <c r="F32" s="29" t="s">
        <v>340</v>
      </c>
      <c r="G32" s="41" t="s">
        <v>59</v>
      </c>
      <c r="H32" s="41" t="s">
        <v>60</v>
      </c>
      <c r="I32" s="41">
        <v>2024</v>
      </c>
      <c r="J32" s="41">
        <v>181</v>
      </c>
      <c r="K32" s="29" t="s">
        <v>59</v>
      </c>
      <c r="L32" s="29" t="s">
        <v>3</v>
      </c>
      <c r="M32" s="32" t="s">
        <v>195</v>
      </c>
      <c r="N32" s="32"/>
      <c r="O32" s="32"/>
      <c r="P32" s="32" t="s">
        <v>64</v>
      </c>
      <c r="Q32" s="30" t="s">
        <v>341</v>
      </c>
      <c r="R32" s="32" t="s">
        <v>342</v>
      </c>
      <c r="S32" s="57" t="s">
        <v>343</v>
      </c>
      <c r="T32" s="48" t="s">
        <v>344</v>
      </c>
      <c r="U32" s="35" t="s">
        <v>69</v>
      </c>
      <c r="V32" s="68">
        <v>0</v>
      </c>
      <c r="W32" s="36">
        <v>45427</v>
      </c>
      <c r="X32" s="36">
        <v>45428</v>
      </c>
      <c r="Y32" s="36">
        <v>45428</v>
      </c>
      <c r="Z32" s="36">
        <v>45612</v>
      </c>
      <c r="AA32" s="36" t="s">
        <v>70</v>
      </c>
      <c r="AB32" s="36" t="s">
        <v>71</v>
      </c>
      <c r="AC32" s="37" t="s">
        <v>345</v>
      </c>
      <c r="AD32" s="30" t="s">
        <v>312</v>
      </c>
      <c r="AE32" s="38">
        <v>75000000</v>
      </c>
      <c r="AF32" s="38">
        <v>0</v>
      </c>
      <c r="AG32" s="38">
        <f t="shared" si="5"/>
        <v>75000000</v>
      </c>
      <c r="AH32" s="38">
        <v>0</v>
      </c>
      <c r="AI32" s="66">
        <v>75000000</v>
      </c>
      <c r="AJ32" s="38">
        <v>0</v>
      </c>
      <c r="AK32" s="38">
        <v>75000000</v>
      </c>
      <c r="AL32" s="38">
        <f t="shared" si="3"/>
        <v>0</v>
      </c>
      <c r="AM32" s="38"/>
      <c r="AN32" s="66">
        <v>0</v>
      </c>
      <c r="AO32" s="38">
        <v>12500000</v>
      </c>
      <c r="AP32" s="54">
        <f t="shared" ref="AP32:AP38" si="8">IF(AI32=0,0,ROUND(AN32/AI32,2))</f>
        <v>0</v>
      </c>
      <c r="AQ32" s="65">
        <f t="shared" ref="AQ32:AQ38" si="9">AI32-AN32</f>
        <v>75000000</v>
      </c>
      <c r="AR32" s="30" t="s">
        <v>346</v>
      </c>
      <c r="AS32" s="43" t="s">
        <v>347</v>
      </c>
      <c r="AT32" s="32"/>
    </row>
    <row r="33" spans="1:46" ht="101.45" customHeight="1" x14ac:dyDescent="0.25">
      <c r="A33" s="47">
        <v>32</v>
      </c>
      <c r="B33" s="63">
        <v>81112200</v>
      </c>
      <c r="C33" s="32" t="s">
        <v>258</v>
      </c>
      <c r="D33" s="29" t="s">
        <v>93</v>
      </c>
      <c r="E33" s="29" t="s">
        <v>272</v>
      </c>
      <c r="F33" s="29" t="s">
        <v>365</v>
      </c>
      <c r="G33" s="41" t="s">
        <v>59</v>
      </c>
      <c r="H33" s="41" t="s">
        <v>60</v>
      </c>
      <c r="I33" s="41">
        <v>2024</v>
      </c>
      <c r="J33" s="41">
        <v>85</v>
      </c>
      <c r="K33" s="29" t="s">
        <v>59</v>
      </c>
      <c r="L33" s="29" t="s">
        <v>5</v>
      </c>
      <c r="M33" s="32" t="s">
        <v>61</v>
      </c>
      <c r="N33" s="32" t="s">
        <v>366</v>
      </c>
      <c r="O33" s="32" t="s">
        <v>587</v>
      </c>
      <c r="P33" s="32" t="s">
        <v>64</v>
      </c>
      <c r="Q33" s="30" t="s">
        <v>367</v>
      </c>
      <c r="R33" s="32" t="s">
        <v>368</v>
      </c>
      <c r="S33" s="46" t="s">
        <v>588</v>
      </c>
      <c r="T33" s="48" t="s">
        <v>590</v>
      </c>
      <c r="U33" s="35" t="s">
        <v>69</v>
      </c>
      <c r="V33" s="68">
        <v>0</v>
      </c>
      <c r="W33" s="36">
        <v>45451</v>
      </c>
      <c r="X33" s="36">
        <v>45457</v>
      </c>
      <c r="Y33" s="36">
        <v>38157</v>
      </c>
      <c r="Z33" s="36">
        <v>45476</v>
      </c>
      <c r="AA33" s="36">
        <v>45464</v>
      </c>
      <c r="AB33" s="36">
        <v>45829</v>
      </c>
      <c r="AC33" s="37" t="s">
        <v>90</v>
      </c>
      <c r="AD33" s="30" t="s">
        <v>267</v>
      </c>
      <c r="AE33" s="38">
        <v>9591400</v>
      </c>
      <c r="AF33" s="38">
        <v>0</v>
      </c>
      <c r="AG33" s="38">
        <f t="shared" ref="AG33:AG38" si="10">AE33+AF33</f>
        <v>9591400</v>
      </c>
      <c r="AH33" s="38">
        <v>0</v>
      </c>
      <c r="AI33" s="66">
        <f>AG33+AH33</f>
        <v>9591400</v>
      </c>
      <c r="AJ33" s="38">
        <v>0</v>
      </c>
      <c r="AK33" s="38">
        <v>20000000</v>
      </c>
      <c r="AL33" s="38">
        <f t="shared" ref="AL33:AL38" si="11">IF(K33="Si",(AK33-AE33),0)</f>
        <v>10408600</v>
      </c>
      <c r="AM33" s="157" t="s">
        <v>586</v>
      </c>
      <c r="AN33" s="66">
        <v>0</v>
      </c>
      <c r="AO33" s="38" t="s">
        <v>69</v>
      </c>
      <c r="AP33" s="54">
        <f t="shared" si="8"/>
        <v>0</v>
      </c>
      <c r="AQ33" s="65">
        <f t="shared" si="9"/>
        <v>9591400</v>
      </c>
      <c r="AR33" s="30" t="s">
        <v>430</v>
      </c>
      <c r="AS33" s="43" t="s">
        <v>589</v>
      </c>
      <c r="AT33" s="32"/>
    </row>
    <row r="34" spans="1:46" ht="129" customHeight="1" x14ac:dyDescent="0.25">
      <c r="A34" s="47">
        <v>1</v>
      </c>
      <c r="B34" s="64" t="s">
        <v>348</v>
      </c>
      <c r="C34" s="52" t="s">
        <v>283</v>
      </c>
      <c r="D34" s="50" t="s">
        <v>93</v>
      </c>
      <c r="E34" s="50" t="s">
        <v>107</v>
      </c>
      <c r="F34" s="50" t="s">
        <v>352</v>
      </c>
      <c r="G34" s="51" t="s">
        <v>59</v>
      </c>
      <c r="H34" s="51" t="s">
        <v>60</v>
      </c>
      <c r="I34" s="51">
        <v>2024</v>
      </c>
      <c r="J34" s="51">
        <v>177</v>
      </c>
      <c r="K34" s="50" t="s">
        <v>59</v>
      </c>
      <c r="L34" s="50" t="s">
        <v>5</v>
      </c>
      <c r="M34" s="52" t="s">
        <v>61</v>
      </c>
      <c r="N34" s="52"/>
      <c r="O34" s="52"/>
      <c r="P34" s="52" t="s">
        <v>64</v>
      </c>
      <c r="Q34" s="53" t="s">
        <v>353</v>
      </c>
      <c r="R34" s="52" t="s">
        <v>354</v>
      </c>
      <c r="S34" s="57"/>
      <c r="T34" s="30"/>
      <c r="U34" s="35"/>
      <c r="V34" s="68">
        <v>0</v>
      </c>
      <c r="W34" s="36"/>
      <c r="X34" s="36"/>
      <c r="Y34" s="36"/>
      <c r="Z34" s="36"/>
      <c r="AA34" s="36"/>
      <c r="AB34" s="36"/>
      <c r="AC34" s="37" t="s">
        <v>72</v>
      </c>
      <c r="AD34" s="30" t="s">
        <v>312</v>
      </c>
      <c r="AE34" s="38"/>
      <c r="AF34" s="38">
        <v>0</v>
      </c>
      <c r="AG34" s="38">
        <f t="shared" si="10"/>
        <v>0</v>
      </c>
      <c r="AH34" s="38"/>
      <c r="AI34" s="66"/>
      <c r="AJ34" s="38"/>
      <c r="AK34" s="38">
        <v>1398000000</v>
      </c>
      <c r="AL34" s="38">
        <f t="shared" si="11"/>
        <v>1398000000</v>
      </c>
      <c r="AM34" s="38"/>
      <c r="AN34" s="66"/>
      <c r="AO34" s="38"/>
      <c r="AP34" s="54">
        <f t="shared" si="8"/>
        <v>0</v>
      </c>
      <c r="AQ34" s="65">
        <f t="shared" si="9"/>
        <v>0</v>
      </c>
      <c r="AR34" s="30"/>
      <c r="AS34" s="30"/>
      <c r="AT34" s="32"/>
    </row>
    <row r="35" spans="1:46" ht="71.25" x14ac:dyDescent="0.25">
      <c r="A35" s="47">
        <v>2</v>
      </c>
      <c r="B35" s="64"/>
      <c r="C35" s="52"/>
      <c r="D35" s="50" t="s">
        <v>93</v>
      </c>
      <c r="E35" s="50" t="s">
        <v>369</v>
      </c>
      <c r="F35" s="50" t="s">
        <v>370</v>
      </c>
      <c r="G35" s="51" t="s">
        <v>59</v>
      </c>
      <c r="H35" s="51" t="s">
        <v>60</v>
      </c>
      <c r="I35" s="51">
        <v>2024</v>
      </c>
      <c r="J35" s="51">
        <v>102</v>
      </c>
      <c r="K35" s="50" t="s">
        <v>59</v>
      </c>
      <c r="L35" s="50" t="s">
        <v>5</v>
      </c>
      <c r="M35" s="52" t="s">
        <v>275</v>
      </c>
      <c r="N35" s="52" t="s">
        <v>71</v>
      </c>
      <c r="O35" s="52"/>
      <c r="P35" s="52" t="s">
        <v>64</v>
      </c>
      <c r="Q35" s="53" t="s">
        <v>371</v>
      </c>
      <c r="R35" s="52" t="s">
        <v>372</v>
      </c>
      <c r="S35" s="45"/>
      <c r="T35" s="44"/>
      <c r="U35" s="35"/>
      <c r="V35" s="68">
        <v>0</v>
      </c>
      <c r="W35" s="36"/>
      <c r="X35" s="36"/>
      <c r="Y35" s="36"/>
      <c r="Z35" s="36"/>
      <c r="AA35" s="36"/>
      <c r="AB35" s="36"/>
      <c r="AC35" s="37" t="s">
        <v>72</v>
      </c>
      <c r="AD35" s="30" t="s">
        <v>312</v>
      </c>
      <c r="AE35" s="38"/>
      <c r="AF35" s="38">
        <v>0</v>
      </c>
      <c r="AG35" s="38">
        <f t="shared" si="10"/>
        <v>0</v>
      </c>
      <c r="AH35" s="38"/>
      <c r="AI35" s="66"/>
      <c r="AJ35" s="38"/>
      <c r="AK35" s="38">
        <v>100000000</v>
      </c>
      <c r="AL35" s="38">
        <f t="shared" si="11"/>
        <v>100000000</v>
      </c>
      <c r="AM35" s="38"/>
      <c r="AN35" s="66"/>
      <c r="AO35" s="38"/>
      <c r="AP35" s="54">
        <f t="shared" si="8"/>
        <v>0</v>
      </c>
      <c r="AQ35" s="65">
        <f t="shared" si="9"/>
        <v>0</v>
      </c>
      <c r="AR35" s="30"/>
      <c r="AS35" s="43"/>
      <c r="AT35" s="118" t="s">
        <v>373</v>
      </c>
    </row>
    <row r="36" spans="1:46" ht="99.75" x14ac:dyDescent="0.25">
      <c r="A36" s="47">
        <v>3</v>
      </c>
      <c r="B36" s="64"/>
      <c r="C36" s="52"/>
      <c r="D36" s="50" t="s">
        <v>93</v>
      </c>
      <c r="E36" s="50" t="s">
        <v>369</v>
      </c>
      <c r="F36" s="50" t="s">
        <v>374</v>
      </c>
      <c r="G36" s="51" t="s">
        <v>59</v>
      </c>
      <c r="H36" s="51" t="s">
        <v>60</v>
      </c>
      <c r="I36" s="51">
        <v>2024</v>
      </c>
      <c r="J36" s="51">
        <v>97</v>
      </c>
      <c r="K36" s="50" t="s">
        <v>59</v>
      </c>
      <c r="L36" s="50" t="s">
        <v>5</v>
      </c>
      <c r="M36" s="52" t="s">
        <v>297</v>
      </c>
      <c r="N36" s="52" t="s">
        <v>71</v>
      </c>
      <c r="O36" s="52"/>
      <c r="P36" s="52" t="s">
        <v>64</v>
      </c>
      <c r="Q36" s="53" t="s">
        <v>375</v>
      </c>
      <c r="R36" s="52" t="s">
        <v>376</v>
      </c>
      <c r="S36" s="46"/>
      <c r="T36" s="30"/>
      <c r="U36" s="35"/>
      <c r="V36" s="68">
        <v>0</v>
      </c>
      <c r="W36" s="36"/>
      <c r="X36" s="36"/>
      <c r="Y36" s="36"/>
      <c r="Z36" s="36"/>
      <c r="AA36" s="36"/>
      <c r="AB36" s="36"/>
      <c r="AC36" s="37" t="s">
        <v>72</v>
      </c>
      <c r="AD36" s="30" t="s">
        <v>359</v>
      </c>
      <c r="AE36" s="38"/>
      <c r="AF36" s="38">
        <v>0</v>
      </c>
      <c r="AG36" s="38">
        <f t="shared" si="10"/>
        <v>0</v>
      </c>
      <c r="AH36" s="38"/>
      <c r="AI36" s="66"/>
      <c r="AJ36" s="38"/>
      <c r="AK36" s="38">
        <v>350000000</v>
      </c>
      <c r="AL36" s="38">
        <f t="shared" si="11"/>
        <v>350000000</v>
      </c>
      <c r="AM36" s="38"/>
      <c r="AN36" s="66"/>
      <c r="AO36" s="38"/>
      <c r="AP36" s="54">
        <f t="shared" si="8"/>
        <v>0</v>
      </c>
      <c r="AQ36" s="65">
        <f t="shared" si="9"/>
        <v>0</v>
      </c>
      <c r="AR36" s="30"/>
      <c r="AS36" s="30"/>
      <c r="AT36" s="118" t="s">
        <v>377</v>
      </c>
    </row>
    <row r="37" spans="1:46" ht="42.75" x14ac:dyDescent="0.25">
      <c r="A37" s="47">
        <v>4</v>
      </c>
      <c r="B37" s="64" t="s">
        <v>378</v>
      </c>
      <c r="C37" s="52" t="s">
        <v>379</v>
      </c>
      <c r="D37" s="50" t="s">
        <v>93</v>
      </c>
      <c r="E37" s="50" t="s">
        <v>305</v>
      </c>
      <c r="F37" s="50" t="s">
        <v>380</v>
      </c>
      <c r="G37" s="51" t="s">
        <v>59</v>
      </c>
      <c r="H37" s="51" t="s">
        <v>60</v>
      </c>
      <c r="I37" s="51">
        <v>2024</v>
      </c>
      <c r="J37" s="51">
        <v>84</v>
      </c>
      <c r="K37" s="50" t="s">
        <v>59</v>
      </c>
      <c r="L37" s="50" t="s">
        <v>5</v>
      </c>
      <c r="M37" s="52" t="s">
        <v>110</v>
      </c>
      <c r="N37" s="52" t="s">
        <v>71</v>
      </c>
      <c r="O37" s="52"/>
      <c r="P37" s="52" t="s">
        <v>64</v>
      </c>
      <c r="Q37" s="53"/>
      <c r="R37" s="52" t="s">
        <v>381</v>
      </c>
      <c r="S37" s="57"/>
      <c r="T37" s="30"/>
      <c r="U37" s="35"/>
      <c r="V37" s="68">
        <v>0</v>
      </c>
      <c r="W37" s="36"/>
      <c r="X37" s="36"/>
      <c r="Y37" s="36"/>
      <c r="Z37" s="36"/>
      <c r="AA37" s="36"/>
      <c r="AB37" s="36"/>
      <c r="AC37" s="37" t="s">
        <v>90</v>
      </c>
      <c r="AD37" s="30" t="s">
        <v>267</v>
      </c>
      <c r="AE37" s="38"/>
      <c r="AF37" s="38">
        <v>0</v>
      </c>
      <c r="AG37" s="38">
        <f t="shared" si="10"/>
        <v>0</v>
      </c>
      <c r="AH37" s="38"/>
      <c r="AI37" s="66"/>
      <c r="AJ37" s="38"/>
      <c r="AK37" s="38">
        <v>4500000</v>
      </c>
      <c r="AL37" s="38">
        <f t="shared" si="11"/>
        <v>4500000</v>
      </c>
      <c r="AM37" s="38"/>
      <c r="AN37" s="66"/>
      <c r="AO37" s="38"/>
      <c r="AP37" s="54">
        <f t="shared" si="8"/>
        <v>0</v>
      </c>
      <c r="AQ37" s="65">
        <f t="shared" si="9"/>
        <v>0</v>
      </c>
      <c r="AR37" s="30"/>
      <c r="AS37" s="30"/>
      <c r="AT37" s="32"/>
    </row>
    <row r="38" spans="1:46" ht="57" x14ac:dyDescent="0.25">
      <c r="A38" s="47">
        <v>5</v>
      </c>
      <c r="B38" s="64"/>
      <c r="C38" s="52"/>
      <c r="D38" s="50" t="s">
        <v>93</v>
      </c>
      <c r="E38" s="50" t="s">
        <v>272</v>
      </c>
      <c r="F38" s="50" t="s">
        <v>382</v>
      </c>
      <c r="G38" s="51" t="s">
        <v>59</v>
      </c>
      <c r="H38" s="51" t="s">
        <v>60</v>
      </c>
      <c r="I38" s="51">
        <v>2024</v>
      </c>
      <c r="J38" s="51">
        <v>87</v>
      </c>
      <c r="K38" s="50" t="s">
        <v>59</v>
      </c>
      <c r="L38" s="50" t="s">
        <v>5</v>
      </c>
      <c r="M38" s="52" t="s">
        <v>110</v>
      </c>
      <c r="N38" s="52" t="s">
        <v>71</v>
      </c>
      <c r="O38" s="52"/>
      <c r="P38" s="52" t="s">
        <v>64</v>
      </c>
      <c r="Q38" s="53"/>
      <c r="R38" s="52" t="s">
        <v>383</v>
      </c>
      <c r="S38" s="45"/>
      <c r="T38" s="30"/>
      <c r="U38" s="35"/>
      <c r="V38" s="68">
        <v>0</v>
      </c>
      <c r="W38" s="36"/>
      <c r="X38" s="36"/>
      <c r="Y38" s="36"/>
      <c r="Z38" s="36"/>
      <c r="AA38" s="36"/>
      <c r="AB38" s="36"/>
      <c r="AC38" s="37" t="s">
        <v>90</v>
      </c>
      <c r="AD38" s="30" t="s">
        <v>104</v>
      </c>
      <c r="AE38" s="38"/>
      <c r="AF38" s="38">
        <v>0</v>
      </c>
      <c r="AG38" s="38">
        <f t="shared" si="10"/>
        <v>0</v>
      </c>
      <c r="AH38" s="38"/>
      <c r="AI38" s="66"/>
      <c r="AJ38" s="38"/>
      <c r="AK38" s="38">
        <v>270000000</v>
      </c>
      <c r="AL38" s="38">
        <f t="shared" si="11"/>
        <v>270000000</v>
      </c>
      <c r="AM38" s="38"/>
      <c r="AN38" s="66"/>
      <c r="AO38" s="38"/>
      <c r="AP38" s="54">
        <f t="shared" si="8"/>
        <v>0</v>
      </c>
      <c r="AQ38" s="65">
        <f t="shared" si="9"/>
        <v>0</v>
      </c>
      <c r="AR38" s="30"/>
      <c r="AS38" s="30"/>
      <c r="AT38" s="32"/>
    </row>
    <row r="39" spans="1:46" ht="71.25" x14ac:dyDescent="0.25">
      <c r="A39" s="47">
        <v>6</v>
      </c>
      <c r="B39" s="64">
        <v>80111614</v>
      </c>
      <c r="C39" s="52" t="s">
        <v>611</v>
      </c>
      <c r="D39" s="50" t="s">
        <v>56</v>
      </c>
      <c r="E39" s="50" t="s">
        <v>82</v>
      </c>
      <c r="F39" s="50" t="s">
        <v>331</v>
      </c>
      <c r="G39" s="51" t="s">
        <v>59</v>
      </c>
      <c r="H39" s="51" t="s">
        <v>60</v>
      </c>
      <c r="I39" s="51">
        <v>2024</v>
      </c>
      <c r="J39" s="51">
        <v>186</v>
      </c>
      <c r="K39" s="50" t="s">
        <v>59</v>
      </c>
      <c r="L39" s="50" t="s">
        <v>5</v>
      </c>
      <c r="M39" s="52" t="s">
        <v>61</v>
      </c>
      <c r="N39" s="52" t="s">
        <v>71</v>
      </c>
      <c r="O39" s="52"/>
      <c r="P39" s="52" t="s">
        <v>64</v>
      </c>
      <c r="Q39" s="53" t="s">
        <v>605</v>
      </c>
      <c r="R39" s="52" t="s">
        <v>606</v>
      </c>
      <c r="S39" s="46"/>
      <c r="T39" s="30"/>
      <c r="U39" s="35"/>
      <c r="V39" s="68">
        <v>0</v>
      </c>
      <c r="W39" s="36"/>
      <c r="X39" s="36"/>
      <c r="Y39" s="36"/>
      <c r="Z39" s="36"/>
      <c r="AA39" s="36"/>
      <c r="AB39" s="36"/>
      <c r="AC39" s="37" t="s">
        <v>72</v>
      </c>
      <c r="AD39" s="30" t="s">
        <v>302</v>
      </c>
      <c r="AE39" s="38"/>
      <c r="AF39" s="38">
        <v>0</v>
      </c>
      <c r="AG39" s="38">
        <f t="shared" ref="AG39:AG43" si="12">AE39+AF39</f>
        <v>0</v>
      </c>
      <c r="AH39" s="38">
        <v>0</v>
      </c>
      <c r="AI39" s="66"/>
      <c r="AJ39" s="38">
        <v>0</v>
      </c>
      <c r="AK39" s="38">
        <v>42500000</v>
      </c>
      <c r="AL39" s="38">
        <f t="shared" ref="AL39:AL43" si="13">IF(K39="Si",(AK39-AE39),0)</f>
        <v>42500000</v>
      </c>
      <c r="AM39" s="38"/>
      <c r="AN39" s="66">
        <v>0</v>
      </c>
      <c r="AO39" s="38"/>
      <c r="AP39" s="54">
        <f t="shared" ref="AP39:AP43" si="14">IF(AI39=0,0,ROUND(AN39/AI39,2))</f>
        <v>0</v>
      </c>
      <c r="AQ39" s="65">
        <f t="shared" ref="AQ39:AQ43" si="15">AI39-AN39</f>
        <v>0</v>
      </c>
      <c r="AR39" s="30"/>
      <c r="AS39" s="43"/>
      <c r="AT39" s="32"/>
    </row>
    <row r="40" spans="1:46" ht="71.25" x14ac:dyDescent="0.25">
      <c r="A40" s="47">
        <v>7</v>
      </c>
      <c r="B40" s="64">
        <v>80111614</v>
      </c>
      <c r="C40" s="52" t="s">
        <v>283</v>
      </c>
      <c r="D40" s="50" t="s">
        <v>56</v>
      </c>
      <c r="E40" s="50" t="s">
        <v>82</v>
      </c>
      <c r="F40" s="50" t="s">
        <v>331</v>
      </c>
      <c r="G40" s="51" t="s">
        <v>59</v>
      </c>
      <c r="H40" s="51" t="s">
        <v>60</v>
      </c>
      <c r="I40" s="51">
        <v>2024</v>
      </c>
      <c r="J40" s="51">
        <v>200</v>
      </c>
      <c r="K40" s="50" t="s">
        <v>59</v>
      </c>
      <c r="L40" s="50" t="s">
        <v>5</v>
      </c>
      <c r="M40" s="52" t="s">
        <v>61</v>
      </c>
      <c r="N40" s="52" t="s">
        <v>71</v>
      </c>
      <c r="O40" s="52"/>
      <c r="P40" s="52" t="s">
        <v>64</v>
      </c>
      <c r="Q40" s="53" t="s">
        <v>605</v>
      </c>
      <c r="R40" s="52" t="s">
        <v>607</v>
      </c>
      <c r="S40" s="46"/>
      <c r="T40" s="30"/>
      <c r="U40" s="35"/>
      <c r="V40" s="68">
        <v>0</v>
      </c>
      <c r="W40" s="36"/>
      <c r="X40" s="36"/>
      <c r="Y40" s="36"/>
      <c r="Z40" s="36"/>
      <c r="AA40" s="36"/>
      <c r="AB40" s="36"/>
      <c r="AC40" s="37" t="s">
        <v>72</v>
      </c>
      <c r="AD40" s="30" t="s">
        <v>302</v>
      </c>
      <c r="AE40" s="38"/>
      <c r="AF40" s="38">
        <v>0</v>
      </c>
      <c r="AG40" s="38">
        <f t="shared" si="12"/>
        <v>0</v>
      </c>
      <c r="AH40" s="38">
        <v>0</v>
      </c>
      <c r="AI40" s="66"/>
      <c r="AJ40" s="38">
        <v>0</v>
      </c>
      <c r="AK40" s="38">
        <v>51000000</v>
      </c>
      <c r="AL40" s="38">
        <f t="shared" si="13"/>
        <v>51000000</v>
      </c>
      <c r="AM40" s="38"/>
      <c r="AN40" s="66">
        <v>0</v>
      </c>
      <c r="AO40" s="38"/>
      <c r="AP40" s="54">
        <f t="shared" si="14"/>
        <v>0</v>
      </c>
      <c r="AQ40" s="65">
        <f t="shared" si="15"/>
        <v>0</v>
      </c>
      <c r="AR40" s="30"/>
      <c r="AS40" s="43"/>
      <c r="AT40" s="32"/>
    </row>
    <row r="41" spans="1:46" ht="71.25" x14ac:dyDescent="0.25">
      <c r="A41" s="47">
        <v>8</v>
      </c>
      <c r="B41" s="64">
        <v>80111614</v>
      </c>
      <c r="C41" s="52" t="s">
        <v>612</v>
      </c>
      <c r="D41" s="50" t="s">
        <v>56</v>
      </c>
      <c r="E41" s="50" t="s">
        <v>82</v>
      </c>
      <c r="F41" s="50" t="s">
        <v>331</v>
      </c>
      <c r="G41" s="51" t="s">
        <v>59</v>
      </c>
      <c r="H41" s="51" t="s">
        <v>60</v>
      </c>
      <c r="I41" s="51">
        <v>2024</v>
      </c>
      <c r="J41" s="51">
        <v>201</v>
      </c>
      <c r="K41" s="50" t="s">
        <v>59</v>
      </c>
      <c r="L41" s="50" t="s">
        <v>5</v>
      </c>
      <c r="M41" s="52" t="s">
        <v>61</v>
      </c>
      <c r="N41" s="52" t="s">
        <v>71</v>
      </c>
      <c r="O41" s="52"/>
      <c r="P41" s="52" t="s">
        <v>64</v>
      </c>
      <c r="Q41" s="53" t="s">
        <v>605</v>
      </c>
      <c r="R41" s="52" t="s">
        <v>608</v>
      </c>
      <c r="S41" s="46"/>
      <c r="T41" s="30"/>
      <c r="U41" s="35"/>
      <c r="V41" s="68">
        <v>0</v>
      </c>
      <c r="W41" s="36"/>
      <c r="X41" s="36"/>
      <c r="Y41" s="36"/>
      <c r="Z41" s="36"/>
      <c r="AA41" s="36"/>
      <c r="AB41" s="36"/>
      <c r="AC41" s="37" t="s">
        <v>72</v>
      </c>
      <c r="AD41" s="30" t="s">
        <v>302</v>
      </c>
      <c r="AE41" s="38"/>
      <c r="AF41" s="38">
        <v>0</v>
      </c>
      <c r="AG41" s="38">
        <f t="shared" si="12"/>
        <v>0</v>
      </c>
      <c r="AH41" s="38">
        <v>0</v>
      </c>
      <c r="AI41" s="66"/>
      <c r="AJ41" s="38">
        <v>0</v>
      </c>
      <c r="AK41" s="38">
        <v>51000000</v>
      </c>
      <c r="AL41" s="38">
        <f t="shared" si="13"/>
        <v>51000000</v>
      </c>
      <c r="AM41" s="38"/>
      <c r="AN41" s="66">
        <v>0</v>
      </c>
      <c r="AO41" s="38"/>
      <c r="AP41" s="54">
        <f t="shared" si="14"/>
        <v>0</v>
      </c>
      <c r="AQ41" s="65">
        <f t="shared" si="15"/>
        <v>0</v>
      </c>
      <c r="AR41" s="30"/>
      <c r="AS41" s="43"/>
      <c r="AT41" s="32"/>
    </row>
    <row r="42" spans="1:46" ht="85.5" x14ac:dyDescent="0.25">
      <c r="A42" s="47">
        <v>9</v>
      </c>
      <c r="B42" s="64">
        <v>80111614</v>
      </c>
      <c r="C42" s="52" t="s">
        <v>283</v>
      </c>
      <c r="D42" s="50" t="s">
        <v>56</v>
      </c>
      <c r="E42" s="50" t="s">
        <v>82</v>
      </c>
      <c r="F42" s="50" t="s">
        <v>331</v>
      </c>
      <c r="G42" s="51" t="s">
        <v>59</v>
      </c>
      <c r="H42" s="51" t="s">
        <v>60</v>
      </c>
      <c r="I42" s="51">
        <v>2024</v>
      </c>
      <c r="J42" s="51">
        <v>202</v>
      </c>
      <c r="K42" s="50" t="s">
        <v>59</v>
      </c>
      <c r="L42" s="50" t="s">
        <v>5</v>
      </c>
      <c r="M42" s="52" t="s">
        <v>61</v>
      </c>
      <c r="N42" s="52" t="s">
        <v>71</v>
      </c>
      <c r="O42" s="52"/>
      <c r="P42" s="52" t="s">
        <v>64</v>
      </c>
      <c r="Q42" s="53" t="s">
        <v>605</v>
      </c>
      <c r="R42" s="52" t="s">
        <v>609</v>
      </c>
      <c r="S42" s="46"/>
      <c r="T42" s="30"/>
      <c r="U42" s="35"/>
      <c r="V42" s="68">
        <v>0</v>
      </c>
      <c r="W42" s="36"/>
      <c r="X42" s="36"/>
      <c r="Y42" s="36"/>
      <c r="Z42" s="36"/>
      <c r="AA42" s="36"/>
      <c r="AB42" s="36"/>
      <c r="AC42" s="37" t="s">
        <v>72</v>
      </c>
      <c r="AD42" s="30" t="s">
        <v>302</v>
      </c>
      <c r="AE42" s="38"/>
      <c r="AF42" s="38">
        <v>0</v>
      </c>
      <c r="AG42" s="38">
        <f t="shared" si="12"/>
        <v>0</v>
      </c>
      <c r="AH42" s="38">
        <v>0</v>
      </c>
      <c r="AI42" s="66"/>
      <c r="AJ42" s="38">
        <v>0</v>
      </c>
      <c r="AK42" s="38">
        <v>86000000</v>
      </c>
      <c r="AL42" s="38">
        <f t="shared" si="13"/>
        <v>86000000</v>
      </c>
      <c r="AM42" s="38"/>
      <c r="AN42" s="66">
        <v>0</v>
      </c>
      <c r="AO42" s="38"/>
      <c r="AP42" s="54">
        <f t="shared" si="14"/>
        <v>0</v>
      </c>
      <c r="AQ42" s="65">
        <f t="shared" si="15"/>
        <v>0</v>
      </c>
      <c r="AR42" s="30"/>
      <c r="AS42" s="43"/>
      <c r="AT42" s="32"/>
    </row>
    <row r="43" spans="1:46" ht="85.5" x14ac:dyDescent="0.25">
      <c r="A43" s="47">
        <v>10</v>
      </c>
      <c r="B43" s="64">
        <v>80111614</v>
      </c>
      <c r="C43" s="52" t="s">
        <v>613</v>
      </c>
      <c r="D43" s="50" t="s">
        <v>56</v>
      </c>
      <c r="E43" s="50" t="s">
        <v>82</v>
      </c>
      <c r="F43" s="50" t="s">
        <v>331</v>
      </c>
      <c r="G43" s="51" t="s">
        <v>59</v>
      </c>
      <c r="H43" s="51" t="s">
        <v>60</v>
      </c>
      <c r="I43" s="51">
        <v>2024</v>
      </c>
      <c r="J43" s="51">
        <v>203</v>
      </c>
      <c r="K43" s="50" t="s">
        <v>59</v>
      </c>
      <c r="L43" s="50" t="s">
        <v>5</v>
      </c>
      <c r="M43" s="52" t="s">
        <v>61</v>
      </c>
      <c r="N43" s="52" t="s">
        <v>71</v>
      </c>
      <c r="O43" s="52"/>
      <c r="P43" s="52" t="s">
        <v>64</v>
      </c>
      <c r="Q43" s="53" t="s">
        <v>605</v>
      </c>
      <c r="R43" s="52" t="s">
        <v>610</v>
      </c>
      <c r="S43" s="46"/>
      <c r="T43" s="30"/>
      <c r="U43" s="35"/>
      <c r="V43" s="68">
        <v>0</v>
      </c>
      <c r="W43" s="36"/>
      <c r="X43" s="36"/>
      <c r="Y43" s="36"/>
      <c r="Z43" s="36"/>
      <c r="AA43" s="36"/>
      <c r="AB43" s="36"/>
      <c r="AC43" s="37" t="s">
        <v>72</v>
      </c>
      <c r="AD43" s="30" t="s">
        <v>302</v>
      </c>
      <c r="AE43" s="38"/>
      <c r="AF43" s="38">
        <v>0</v>
      </c>
      <c r="AG43" s="38">
        <f t="shared" si="12"/>
        <v>0</v>
      </c>
      <c r="AH43" s="38">
        <v>0</v>
      </c>
      <c r="AI43" s="66"/>
      <c r="AJ43" s="38">
        <v>0</v>
      </c>
      <c r="AK43" s="38">
        <v>86000000</v>
      </c>
      <c r="AL43" s="38">
        <f t="shared" si="13"/>
        <v>86000000</v>
      </c>
      <c r="AM43" s="38"/>
      <c r="AN43" s="66">
        <v>0</v>
      </c>
      <c r="AO43" s="38"/>
      <c r="AP43" s="54">
        <f t="shared" si="14"/>
        <v>0</v>
      </c>
      <c r="AQ43" s="65">
        <f t="shared" si="15"/>
        <v>0</v>
      </c>
      <c r="AR43" s="30"/>
      <c r="AS43" s="43"/>
      <c r="AT43" s="32"/>
    </row>
    <row r="44" spans="1:46" ht="129" customHeight="1" x14ac:dyDescent="0.25">
      <c r="A44" s="47">
        <v>11</v>
      </c>
      <c r="B44" s="64" t="s">
        <v>348</v>
      </c>
      <c r="C44" s="52" t="s">
        <v>283</v>
      </c>
      <c r="D44" s="50" t="s">
        <v>93</v>
      </c>
      <c r="E44" s="50" t="s">
        <v>107</v>
      </c>
      <c r="F44" s="50" t="s">
        <v>349</v>
      </c>
      <c r="G44" s="51" t="s">
        <v>59</v>
      </c>
      <c r="H44" s="51" t="s">
        <v>60</v>
      </c>
      <c r="I44" s="51">
        <v>2024</v>
      </c>
      <c r="J44" s="51">
        <v>176</v>
      </c>
      <c r="K44" s="50" t="s">
        <v>59</v>
      </c>
      <c r="L44" s="50" t="s">
        <v>5</v>
      </c>
      <c r="M44" s="52" t="s">
        <v>61</v>
      </c>
      <c r="N44" s="52"/>
      <c r="O44" s="52"/>
      <c r="P44" s="52" t="s">
        <v>64</v>
      </c>
      <c r="Q44" s="53" t="s">
        <v>350</v>
      </c>
      <c r="R44" s="52" t="s">
        <v>351</v>
      </c>
      <c r="S44" s="57"/>
      <c r="T44" s="30"/>
      <c r="U44" s="35"/>
      <c r="V44" s="68">
        <v>0</v>
      </c>
      <c r="W44" s="36"/>
      <c r="X44" s="36"/>
      <c r="Y44" s="36"/>
      <c r="Z44" s="36"/>
      <c r="AA44" s="36"/>
      <c r="AB44" s="36"/>
      <c r="AC44" s="37" t="s">
        <v>345</v>
      </c>
      <c r="AD44" s="30" t="s">
        <v>312</v>
      </c>
      <c r="AE44" s="38"/>
      <c r="AF44" s="38">
        <v>0</v>
      </c>
      <c r="AG44" s="38">
        <f t="shared" si="5"/>
        <v>0</v>
      </c>
      <c r="AH44" s="38"/>
      <c r="AI44" s="66"/>
      <c r="AJ44" s="38"/>
      <c r="AK44" s="38">
        <v>1234647379</v>
      </c>
      <c r="AL44" s="38">
        <f t="shared" si="3"/>
        <v>1234647379</v>
      </c>
      <c r="AM44" s="38"/>
      <c r="AN44" s="66"/>
      <c r="AO44" s="38"/>
      <c r="AP44" s="54">
        <f>IF(AI44=0,0,ROUND(AN44/AI44,2))</f>
        <v>0</v>
      </c>
      <c r="AQ44" s="65">
        <f>AI44-AN44</f>
        <v>0</v>
      </c>
      <c r="AR44" s="30"/>
      <c r="AS44" s="30"/>
      <c r="AT44" s="32"/>
    </row>
    <row r="45" spans="1:46" ht="147" customHeight="1" x14ac:dyDescent="0.25">
      <c r="A45" s="47">
        <v>12</v>
      </c>
      <c r="B45" s="64"/>
      <c r="C45" s="52"/>
      <c r="D45" s="50" t="s">
        <v>93</v>
      </c>
      <c r="E45" s="50" t="s">
        <v>126</v>
      </c>
      <c r="F45" s="50" t="s">
        <v>355</v>
      </c>
      <c r="G45" s="51" t="s">
        <v>59</v>
      </c>
      <c r="H45" s="51" t="s">
        <v>60</v>
      </c>
      <c r="I45" s="51">
        <v>2024</v>
      </c>
      <c r="J45" s="51">
        <v>99</v>
      </c>
      <c r="K45" s="50" t="s">
        <v>59</v>
      </c>
      <c r="L45" s="50" t="s">
        <v>5</v>
      </c>
      <c r="M45" s="52" t="s">
        <v>356</v>
      </c>
      <c r="N45" s="52" t="s">
        <v>84</v>
      </c>
      <c r="O45" s="52"/>
      <c r="P45" s="52" t="s">
        <v>64</v>
      </c>
      <c r="Q45" s="53" t="s">
        <v>357</v>
      </c>
      <c r="R45" s="52" t="s">
        <v>358</v>
      </c>
      <c r="S45" s="45"/>
      <c r="T45" s="30"/>
      <c r="U45" s="35"/>
      <c r="V45" s="68">
        <v>0</v>
      </c>
      <c r="W45" s="36"/>
      <c r="X45" s="36"/>
      <c r="Y45" s="36"/>
      <c r="Z45" s="36"/>
      <c r="AA45" s="36"/>
      <c r="AB45" s="36"/>
      <c r="AC45" s="37" t="s">
        <v>72</v>
      </c>
      <c r="AD45" s="30" t="s">
        <v>359</v>
      </c>
      <c r="AE45" s="38"/>
      <c r="AF45" s="38">
        <v>0</v>
      </c>
      <c r="AG45" s="38">
        <f t="shared" si="5"/>
        <v>0</v>
      </c>
      <c r="AH45" s="38"/>
      <c r="AI45" s="66"/>
      <c r="AJ45" s="38"/>
      <c r="AK45" s="38">
        <v>2245889285</v>
      </c>
      <c r="AL45" s="38">
        <f t="shared" si="3"/>
        <v>2245889285</v>
      </c>
      <c r="AM45" s="38"/>
      <c r="AN45" s="66"/>
      <c r="AO45" s="38"/>
      <c r="AP45" s="54">
        <f t="shared" si="7"/>
        <v>0</v>
      </c>
      <c r="AQ45" s="65">
        <f t="shared" si="6"/>
        <v>0</v>
      </c>
      <c r="AR45" s="30" t="s">
        <v>360</v>
      </c>
      <c r="AS45" s="30"/>
      <c r="AT45" s="32"/>
    </row>
    <row r="46" spans="1:46" ht="192.6" customHeight="1" x14ac:dyDescent="0.25">
      <c r="A46" s="47">
        <v>13</v>
      </c>
      <c r="B46" s="64"/>
      <c r="C46" s="52"/>
      <c r="D46" s="50" t="s">
        <v>93</v>
      </c>
      <c r="E46" s="50" t="s">
        <v>361</v>
      </c>
      <c r="F46" s="50" t="s">
        <v>362</v>
      </c>
      <c r="G46" s="51" t="s">
        <v>59</v>
      </c>
      <c r="H46" s="51" t="s">
        <v>60</v>
      </c>
      <c r="I46" s="51">
        <v>2024</v>
      </c>
      <c r="J46" s="51">
        <v>100</v>
      </c>
      <c r="K46" s="50" t="s">
        <v>59</v>
      </c>
      <c r="L46" s="50" t="s">
        <v>5</v>
      </c>
      <c r="M46" s="52" t="s">
        <v>356</v>
      </c>
      <c r="N46" s="52" t="s">
        <v>84</v>
      </c>
      <c r="O46" s="52"/>
      <c r="P46" s="52" t="s">
        <v>64</v>
      </c>
      <c r="Q46" s="53" t="s">
        <v>361</v>
      </c>
      <c r="R46" s="52" t="s">
        <v>363</v>
      </c>
      <c r="S46" s="45"/>
      <c r="T46" s="34"/>
      <c r="U46" s="35"/>
      <c r="V46" s="68">
        <v>0</v>
      </c>
      <c r="W46" s="36"/>
      <c r="X46" s="36"/>
      <c r="Y46" s="36"/>
      <c r="Z46" s="36"/>
      <c r="AA46" s="36"/>
      <c r="AB46" s="36"/>
      <c r="AC46" s="37" t="s">
        <v>72</v>
      </c>
      <c r="AD46" s="30" t="s">
        <v>359</v>
      </c>
      <c r="AE46" s="38"/>
      <c r="AF46" s="38">
        <v>0</v>
      </c>
      <c r="AG46" s="38">
        <f t="shared" si="5"/>
        <v>0</v>
      </c>
      <c r="AH46" s="38"/>
      <c r="AI46" s="66"/>
      <c r="AJ46" s="38"/>
      <c r="AK46" s="38">
        <v>696150000</v>
      </c>
      <c r="AL46" s="38">
        <f t="shared" si="3"/>
        <v>696150000</v>
      </c>
      <c r="AM46" s="38"/>
      <c r="AN46" s="66"/>
      <c r="AO46" s="38"/>
      <c r="AP46" s="54">
        <f t="shared" si="7"/>
        <v>0</v>
      </c>
      <c r="AQ46" s="65">
        <f t="shared" si="6"/>
        <v>0</v>
      </c>
      <c r="AR46" s="30" t="s">
        <v>364</v>
      </c>
      <c r="AS46" s="43"/>
      <c r="AT46" s="32"/>
    </row>
    <row r="47" spans="1:46" ht="42.75" x14ac:dyDescent="0.25">
      <c r="A47" s="47">
        <v>14</v>
      </c>
      <c r="B47" s="64">
        <v>81112501</v>
      </c>
      <c r="C47" s="52" t="s">
        <v>379</v>
      </c>
      <c r="D47" s="50" t="s">
        <v>93</v>
      </c>
      <c r="E47" s="50" t="s">
        <v>272</v>
      </c>
      <c r="F47" s="50" t="s">
        <v>384</v>
      </c>
      <c r="G47" s="51" t="s">
        <v>59</v>
      </c>
      <c r="H47" s="51" t="s">
        <v>60</v>
      </c>
      <c r="I47" s="51">
        <v>2024</v>
      </c>
      <c r="J47" s="51">
        <v>88</v>
      </c>
      <c r="K47" s="50" t="s">
        <v>59</v>
      </c>
      <c r="L47" s="50" t="s">
        <v>5</v>
      </c>
      <c r="M47" s="52" t="s">
        <v>385</v>
      </c>
      <c r="N47" s="52" t="s">
        <v>71</v>
      </c>
      <c r="O47" s="52"/>
      <c r="P47" s="52" t="s">
        <v>64</v>
      </c>
      <c r="Q47" s="53"/>
      <c r="R47" s="52" t="s">
        <v>386</v>
      </c>
      <c r="S47" s="45"/>
      <c r="T47" s="34"/>
      <c r="U47" s="35"/>
      <c r="V47" s="68">
        <v>0</v>
      </c>
      <c r="W47" s="36"/>
      <c r="X47" s="36"/>
      <c r="Y47" s="36"/>
      <c r="Z47" s="36"/>
      <c r="AA47" s="36"/>
      <c r="AB47" s="36"/>
      <c r="AC47" s="37" t="s">
        <v>90</v>
      </c>
      <c r="AD47" s="30" t="s">
        <v>267</v>
      </c>
      <c r="AE47" s="38"/>
      <c r="AF47" s="38">
        <v>0</v>
      </c>
      <c r="AG47" s="38">
        <f t="shared" si="5"/>
        <v>0</v>
      </c>
      <c r="AH47" s="38"/>
      <c r="AI47" s="66"/>
      <c r="AJ47" s="38"/>
      <c r="AK47" s="38">
        <v>18000000</v>
      </c>
      <c r="AL47" s="38">
        <f t="shared" si="3"/>
        <v>18000000</v>
      </c>
      <c r="AM47" s="38"/>
      <c r="AN47" s="66"/>
      <c r="AO47" s="38"/>
      <c r="AP47" s="54">
        <f t="shared" si="4"/>
        <v>0</v>
      </c>
      <c r="AQ47" s="65">
        <f t="shared" si="2"/>
        <v>0</v>
      </c>
      <c r="AR47" s="30"/>
      <c r="AS47" s="43"/>
      <c r="AT47" s="32"/>
    </row>
    <row r="48" spans="1:46" ht="99.75" x14ac:dyDescent="0.25">
      <c r="A48" s="47">
        <v>15</v>
      </c>
      <c r="B48" s="64"/>
      <c r="C48" s="52"/>
      <c r="D48" s="50" t="s">
        <v>93</v>
      </c>
      <c r="E48" s="50" t="s">
        <v>119</v>
      </c>
      <c r="F48" s="50" t="s">
        <v>387</v>
      </c>
      <c r="G48" s="51" t="s">
        <v>59</v>
      </c>
      <c r="H48" s="51" t="s">
        <v>60</v>
      </c>
      <c r="I48" s="51">
        <v>2024</v>
      </c>
      <c r="J48" s="51">
        <v>89</v>
      </c>
      <c r="K48" s="50" t="s">
        <v>59</v>
      </c>
      <c r="L48" s="50" t="s">
        <v>5</v>
      </c>
      <c r="M48" s="52" t="s">
        <v>110</v>
      </c>
      <c r="N48" s="52" t="s">
        <v>71</v>
      </c>
      <c r="O48" s="52"/>
      <c r="P48" s="52" t="s">
        <v>112</v>
      </c>
      <c r="Q48" s="53"/>
      <c r="R48" s="52" t="s">
        <v>388</v>
      </c>
      <c r="S48" s="45"/>
      <c r="T48" s="132"/>
      <c r="U48" s="35"/>
      <c r="V48" s="68">
        <v>0</v>
      </c>
      <c r="W48" s="36"/>
      <c r="X48" s="36"/>
      <c r="Y48" s="36"/>
      <c r="Z48" s="36"/>
      <c r="AA48" s="36"/>
      <c r="AB48" s="36"/>
      <c r="AC48" s="37" t="s">
        <v>90</v>
      </c>
      <c r="AD48" s="30" t="s">
        <v>312</v>
      </c>
      <c r="AE48" s="38"/>
      <c r="AF48" s="38">
        <v>0</v>
      </c>
      <c r="AG48" s="38">
        <f t="shared" si="5"/>
        <v>0</v>
      </c>
      <c r="AH48" s="38"/>
      <c r="AI48" s="66"/>
      <c r="AJ48" s="38"/>
      <c r="AK48" s="38">
        <v>15000000</v>
      </c>
      <c r="AL48" s="38">
        <f t="shared" si="3"/>
        <v>15000000</v>
      </c>
      <c r="AM48" s="38"/>
      <c r="AN48" s="66"/>
      <c r="AO48" s="38"/>
      <c r="AP48" s="54">
        <f t="shared" si="4"/>
        <v>0</v>
      </c>
      <c r="AQ48" s="65">
        <f t="shared" si="2"/>
        <v>0</v>
      </c>
      <c r="AR48" s="30"/>
      <c r="AS48" s="30"/>
      <c r="AT48" s="32"/>
    </row>
    <row r="49" spans="1:46" ht="71.25" x14ac:dyDescent="0.25">
      <c r="A49" s="47">
        <v>16</v>
      </c>
      <c r="B49" s="64"/>
      <c r="C49" s="52"/>
      <c r="D49" s="50" t="s">
        <v>389</v>
      </c>
      <c r="E49" s="50" t="s">
        <v>212</v>
      </c>
      <c r="F49" s="50" t="s">
        <v>390</v>
      </c>
      <c r="G49" s="51" t="s">
        <v>59</v>
      </c>
      <c r="H49" s="51" t="s">
        <v>60</v>
      </c>
      <c r="I49" s="51">
        <v>2024</v>
      </c>
      <c r="J49" s="51">
        <v>93</v>
      </c>
      <c r="K49" s="50" t="s">
        <v>59</v>
      </c>
      <c r="L49" s="50" t="s">
        <v>5</v>
      </c>
      <c r="M49" s="52" t="s">
        <v>366</v>
      </c>
      <c r="N49" s="52" t="s">
        <v>71</v>
      </c>
      <c r="O49" s="52"/>
      <c r="P49" s="52" t="s">
        <v>64</v>
      </c>
      <c r="Q49" s="53"/>
      <c r="R49" s="52" t="s">
        <v>391</v>
      </c>
      <c r="S49" s="45"/>
      <c r="T49" s="44"/>
      <c r="U49" s="35"/>
      <c r="V49" s="68">
        <v>0</v>
      </c>
      <c r="W49" s="36"/>
      <c r="X49" s="36"/>
      <c r="Y49" s="36"/>
      <c r="Z49" s="36"/>
      <c r="AA49" s="36"/>
      <c r="AB49" s="36"/>
      <c r="AC49" s="37" t="s">
        <v>90</v>
      </c>
      <c r="AD49" s="30" t="s">
        <v>312</v>
      </c>
      <c r="AE49" s="38"/>
      <c r="AF49" s="38">
        <v>0</v>
      </c>
      <c r="AG49" s="38">
        <f t="shared" si="5"/>
        <v>0</v>
      </c>
      <c r="AH49" s="38"/>
      <c r="AI49" s="66"/>
      <c r="AJ49" s="38"/>
      <c r="AK49" s="38">
        <v>38023681</v>
      </c>
      <c r="AL49" s="38">
        <f t="shared" si="3"/>
        <v>38023681</v>
      </c>
      <c r="AM49" s="38"/>
      <c r="AN49" s="66"/>
      <c r="AO49" s="38"/>
      <c r="AP49" s="54">
        <f t="shared" si="4"/>
        <v>0</v>
      </c>
      <c r="AQ49" s="65">
        <f t="shared" si="2"/>
        <v>0</v>
      </c>
      <c r="AR49" s="30"/>
      <c r="AS49" s="43"/>
      <c r="AT49" s="32"/>
    </row>
    <row r="50" spans="1:46" ht="85.5" x14ac:dyDescent="0.25">
      <c r="A50" s="47">
        <v>22</v>
      </c>
      <c r="B50" s="151"/>
      <c r="C50" s="152"/>
      <c r="D50" s="153" t="s">
        <v>56</v>
      </c>
      <c r="E50" s="153" t="s">
        <v>57</v>
      </c>
      <c r="F50" s="153" t="s">
        <v>58</v>
      </c>
      <c r="G50" s="154" t="s">
        <v>59</v>
      </c>
      <c r="H50" s="154" t="s">
        <v>60</v>
      </c>
      <c r="I50" s="154">
        <v>2024</v>
      </c>
      <c r="J50" s="154">
        <v>38</v>
      </c>
      <c r="K50" s="153" t="s">
        <v>59</v>
      </c>
      <c r="L50" s="153" t="s">
        <v>3</v>
      </c>
      <c r="M50" s="152" t="s">
        <v>61</v>
      </c>
      <c r="N50" s="152" t="s">
        <v>62</v>
      </c>
      <c r="O50" s="152" t="s">
        <v>63</v>
      </c>
      <c r="P50" s="152" t="s">
        <v>64</v>
      </c>
      <c r="Q50" s="153" t="s">
        <v>431</v>
      </c>
      <c r="R50" s="152" t="s">
        <v>66</v>
      </c>
      <c r="S50" s="46" t="s">
        <v>432</v>
      </c>
      <c r="T50" s="30" t="s">
        <v>433</v>
      </c>
      <c r="U50" s="35" t="s">
        <v>69</v>
      </c>
      <c r="V50" s="68">
        <v>0</v>
      </c>
      <c r="W50" s="36">
        <v>45329</v>
      </c>
      <c r="X50" s="36">
        <v>45330</v>
      </c>
      <c r="Y50" s="36" t="s">
        <v>70</v>
      </c>
      <c r="Z50" s="36">
        <v>45473</v>
      </c>
      <c r="AA50" s="36" t="s">
        <v>70</v>
      </c>
      <c r="AB50" s="36" t="s">
        <v>71</v>
      </c>
      <c r="AC50" s="37" t="s">
        <v>72</v>
      </c>
      <c r="AD50" s="32" t="s">
        <v>73</v>
      </c>
      <c r="AE50" s="38">
        <v>47500000</v>
      </c>
      <c r="AF50" s="38">
        <v>-47500000</v>
      </c>
      <c r="AG50" s="38">
        <f>AE50+AF50</f>
        <v>0</v>
      </c>
      <c r="AH50" s="38">
        <v>0</v>
      </c>
      <c r="AI50" s="66">
        <v>0</v>
      </c>
      <c r="AJ50" s="38">
        <v>0</v>
      </c>
      <c r="AK50" s="38">
        <v>0</v>
      </c>
      <c r="AL50" s="38">
        <f>AG50-AK50</f>
        <v>0</v>
      </c>
      <c r="AM50" s="38"/>
      <c r="AN50" s="66">
        <v>0</v>
      </c>
      <c r="AO50" s="38">
        <v>11875000</v>
      </c>
      <c r="AP50" s="54">
        <f>IF(AI50=0,0,ROUND(AN50/AI50,2))</f>
        <v>0</v>
      </c>
      <c r="AQ50" s="65">
        <f>AI50-AN50</f>
        <v>0</v>
      </c>
      <c r="AR50" s="30" t="s">
        <v>434</v>
      </c>
      <c r="AS50" s="43" t="s">
        <v>435</v>
      </c>
      <c r="AT50" s="32" t="s">
        <v>436</v>
      </c>
    </row>
    <row r="51" spans="1:46" ht="150" x14ac:dyDescent="0.25">
      <c r="A51" s="47">
        <v>23</v>
      </c>
      <c r="B51" s="151"/>
      <c r="C51" s="152"/>
      <c r="D51" s="153" t="s">
        <v>56</v>
      </c>
      <c r="E51" s="153" t="s">
        <v>57</v>
      </c>
      <c r="F51" s="153" t="s">
        <v>58</v>
      </c>
      <c r="G51" s="154" t="s">
        <v>59</v>
      </c>
      <c r="H51" s="154" t="s">
        <v>60</v>
      </c>
      <c r="I51" s="154">
        <v>2024</v>
      </c>
      <c r="J51" s="154">
        <v>52</v>
      </c>
      <c r="K51" s="153" t="s">
        <v>59</v>
      </c>
      <c r="L51" s="153" t="s">
        <v>3</v>
      </c>
      <c r="M51" s="152" t="s">
        <v>61</v>
      </c>
      <c r="N51" s="152" t="s">
        <v>62</v>
      </c>
      <c r="O51" s="152" t="s">
        <v>63</v>
      </c>
      <c r="P51" s="152" t="s">
        <v>64</v>
      </c>
      <c r="Q51" s="155" t="s">
        <v>437</v>
      </c>
      <c r="R51" s="152" t="s">
        <v>66</v>
      </c>
      <c r="S51" s="45" t="s">
        <v>438</v>
      </c>
      <c r="T51" s="30" t="s">
        <v>439</v>
      </c>
      <c r="U51" s="35" t="s">
        <v>69</v>
      </c>
      <c r="V51" s="68">
        <v>0</v>
      </c>
      <c r="W51" s="36">
        <v>45329</v>
      </c>
      <c r="X51" s="36">
        <v>45331</v>
      </c>
      <c r="Y51" s="36" t="s">
        <v>70</v>
      </c>
      <c r="Z51" s="36">
        <v>45473</v>
      </c>
      <c r="AA51" s="36" t="s">
        <v>70</v>
      </c>
      <c r="AB51" s="36" t="s">
        <v>71</v>
      </c>
      <c r="AC51" s="37" t="s">
        <v>72</v>
      </c>
      <c r="AD51" s="32" t="s">
        <v>73</v>
      </c>
      <c r="AE51" s="38">
        <v>47500000</v>
      </c>
      <c r="AF51" s="38">
        <v>-47500000</v>
      </c>
      <c r="AG51" s="38">
        <f>AE51+AF51</f>
        <v>0</v>
      </c>
      <c r="AH51" s="38">
        <v>0</v>
      </c>
      <c r="AI51" s="66">
        <v>0</v>
      </c>
      <c r="AJ51" s="38">
        <v>0</v>
      </c>
      <c r="AK51" s="38">
        <v>0</v>
      </c>
      <c r="AL51" s="38">
        <f>AG51-AK51</f>
        <v>0</v>
      </c>
      <c r="AM51" s="38"/>
      <c r="AN51" s="66">
        <v>0</v>
      </c>
      <c r="AO51" s="38">
        <v>11875000</v>
      </c>
      <c r="AP51" s="54">
        <f>IF(AI51=0,0,ROUND(AN51/AI51,2))</f>
        <v>0</v>
      </c>
      <c r="AQ51" s="65">
        <f>AI51-AN51</f>
        <v>0</v>
      </c>
      <c r="AR51" s="30" t="s">
        <v>440</v>
      </c>
      <c r="AS51" s="43" t="s">
        <v>441</v>
      </c>
      <c r="AT51" s="32" t="s">
        <v>436</v>
      </c>
    </row>
    <row r="52" spans="1:46" ht="142.5" x14ac:dyDescent="0.25">
      <c r="A52" s="47">
        <v>22</v>
      </c>
      <c r="B52" s="127"/>
      <c r="C52" s="128"/>
      <c r="D52" s="129" t="s">
        <v>93</v>
      </c>
      <c r="E52" s="129" t="s">
        <v>369</v>
      </c>
      <c r="F52" s="129" t="s">
        <v>442</v>
      </c>
      <c r="G52" s="130" t="s">
        <v>59</v>
      </c>
      <c r="H52" s="130" t="s">
        <v>60</v>
      </c>
      <c r="I52" s="130">
        <v>2024</v>
      </c>
      <c r="J52" s="130">
        <v>116</v>
      </c>
      <c r="K52" s="129" t="s">
        <v>59</v>
      </c>
      <c r="L52" s="129" t="s">
        <v>5</v>
      </c>
      <c r="M52" s="128" t="s">
        <v>195</v>
      </c>
      <c r="N52" s="128" t="s">
        <v>71</v>
      </c>
      <c r="O52" s="128"/>
      <c r="P52" s="128" t="s">
        <v>64</v>
      </c>
      <c r="Q52" s="131" t="s">
        <v>443</v>
      </c>
      <c r="R52" s="128" t="s">
        <v>408</v>
      </c>
      <c r="S52" s="145"/>
      <c r="T52" s="131"/>
      <c r="U52" s="146"/>
      <c r="V52" s="147">
        <v>0</v>
      </c>
      <c r="W52" s="144"/>
      <c r="X52" s="144"/>
      <c r="Y52" s="144"/>
      <c r="Z52" s="144"/>
      <c r="AA52" s="144"/>
      <c r="AB52" s="144"/>
      <c r="AC52" s="148" t="s">
        <v>72</v>
      </c>
      <c r="AD52" s="131" t="s">
        <v>444</v>
      </c>
      <c r="AE52" s="149"/>
      <c r="AF52" s="149">
        <v>0</v>
      </c>
      <c r="AG52" s="149">
        <f t="shared" si="5"/>
        <v>0</v>
      </c>
      <c r="AH52" s="149"/>
      <c r="AI52" s="149"/>
      <c r="AJ52" s="149"/>
      <c r="AK52" s="149">
        <v>0</v>
      </c>
      <c r="AL52" s="149">
        <f t="shared" si="3"/>
        <v>0</v>
      </c>
      <c r="AM52" s="149"/>
      <c r="AN52" s="66"/>
      <c r="AO52" s="38"/>
      <c r="AP52" s="54">
        <f t="shared" si="4"/>
        <v>0</v>
      </c>
      <c r="AQ52" s="65">
        <f t="shared" si="2"/>
        <v>0</v>
      </c>
      <c r="AR52" s="30"/>
      <c r="AS52" s="30" t="s">
        <v>445</v>
      </c>
      <c r="AT52" s="32"/>
    </row>
    <row r="53" spans="1:46" ht="99.75" x14ac:dyDescent="0.25">
      <c r="A53" s="47">
        <v>15</v>
      </c>
      <c r="B53" s="127"/>
      <c r="C53" s="128"/>
      <c r="D53" s="129" t="s">
        <v>93</v>
      </c>
      <c r="E53" s="129" t="s">
        <v>406</v>
      </c>
      <c r="F53" s="129" t="s">
        <v>446</v>
      </c>
      <c r="G53" s="130" t="s">
        <v>59</v>
      </c>
      <c r="H53" s="130" t="s">
        <v>60</v>
      </c>
      <c r="I53" s="130">
        <v>2024</v>
      </c>
      <c r="J53" s="130">
        <v>96</v>
      </c>
      <c r="K53" s="129" t="s">
        <v>59</v>
      </c>
      <c r="L53" s="129" t="s">
        <v>5</v>
      </c>
      <c r="M53" s="128" t="s">
        <v>447</v>
      </c>
      <c r="N53" s="128" t="s">
        <v>71</v>
      </c>
      <c r="O53" s="128"/>
      <c r="P53" s="128" t="s">
        <v>64</v>
      </c>
      <c r="Q53" s="131" t="s">
        <v>448</v>
      </c>
      <c r="R53" s="128" t="s">
        <v>405</v>
      </c>
      <c r="S53" s="150"/>
      <c r="T53" s="131"/>
      <c r="U53" s="146"/>
      <c r="V53" s="147">
        <v>0</v>
      </c>
      <c r="W53" s="144"/>
      <c r="X53" s="144"/>
      <c r="Y53" s="144"/>
      <c r="Z53" s="144"/>
      <c r="AA53" s="144"/>
      <c r="AB53" s="144"/>
      <c r="AC53" s="148" t="s">
        <v>90</v>
      </c>
      <c r="AD53" s="131" t="s">
        <v>104</v>
      </c>
      <c r="AE53" s="149"/>
      <c r="AF53" s="149">
        <v>0</v>
      </c>
      <c r="AG53" s="149">
        <f t="shared" si="5"/>
        <v>0</v>
      </c>
      <c r="AH53" s="149"/>
      <c r="AI53" s="149"/>
      <c r="AJ53" s="149"/>
      <c r="AK53" s="149">
        <v>0</v>
      </c>
      <c r="AL53" s="149">
        <f t="shared" si="3"/>
        <v>0</v>
      </c>
      <c r="AM53" s="149"/>
      <c r="AN53" s="66"/>
      <c r="AO53" s="38"/>
      <c r="AP53" s="54">
        <f t="shared" si="4"/>
        <v>0</v>
      </c>
      <c r="AQ53" s="65">
        <f t="shared" si="2"/>
        <v>0</v>
      </c>
      <c r="AR53" s="30"/>
      <c r="AS53" s="30" t="s">
        <v>449</v>
      </c>
      <c r="AT53" s="32"/>
    </row>
    <row r="54" spans="1:46" ht="129" customHeight="1" x14ac:dyDescent="0.25">
      <c r="A54" s="47">
        <v>21</v>
      </c>
      <c r="B54" s="127" t="s">
        <v>348</v>
      </c>
      <c r="C54" s="128" t="s">
        <v>379</v>
      </c>
      <c r="D54" s="129" t="s">
        <v>93</v>
      </c>
      <c r="E54" s="129" t="s">
        <v>107</v>
      </c>
      <c r="F54" s="129" t="s">
        <v>352</v>
      </c>
      <c r="G54" s="130" t="s">
        <v>59</v>
      </c>
      <c r="H54" s="130" t="s">
        <v>60</v>
      </c>
      <c r="I54" s="130">
        <v>2024</v>
      </c>
      <c r="J54" s="130">
        <v>103</v>
      </c>
      <c r="K54" s="129" t="s">
        <v>59</v>
      </c>
      <c r="L54" s="129" t="s">
        <v>5</v>
      </c>
      <c r="M54" s="128" t="s">
        <v>61</v>
      </c>
      <c r="N54" s="128" t="s">
        <v>450</v>
      </c>
      <c r="O54" s="128"/>
      <c r="P54" s="128" t="s">
        <v>64</v>
      </c>
      <c r="Q54" s="131" t="s">
        <v>353</v>
      </c>
      <c r="R54" s="128" t="s">
        <v>407</v>
      </c>
      <c r="S54" s="145"/>
      <c r="T54" s="131"/>
      <c r="U54" s="146"/>
      <c r="V54" s="147">
        <v>0</v>
      </c>
      <c r="W54" s="144"/>
      <c r="X54" s="144"/>
      <c r="Y54" s="144"/>
      <c r="Z54" s="144"/>
      <c r="AA54" s="144"/>
      <c r="AB54" s="144"/>
      <c r="AC54" s="148" t="s">
        <v>90</v>
      </c>
      <c r="AD54" s="131" t="s">
        <v>312</v>
      </c>
      <c r="AE54" s="149"/>
      <c r="AF54" s="149">
        <v>0</v>
      </c>
      <c r="AG54" s="149">
        <f>AE54+AF54</f>
        <v>0</v>
      </c>
      <c r="AH54" s="149"/>
      <c r="AI54" s="149"/>
      <c r="AJ54" s="149"/>
      <c r="AK54" s="149">
        <v>0</v>
      </c>
      <c r="AL54" s="149">
        <f>IF(K54="Si",(AK54-AE54),0)</f>
        <v>0</v>
      </c>
      <c r="AM54" s="149"/>
      <c r="AN54" s="66"/>
      <c r="AO54" s="38"/>
      <c r="AP54" s="54">
        <f>IF(AI54=0,0,ROUND(AN54/AI54,2))</f>
        <v>0</v>
      </c>
      <c r="AQ54" s="65">
        <f>AI54-AN54</f>
        <v>0</v>
      </c>
      <c r="AR54" s="30"/>
      <c r="AS54" s="30" t="s">
        <v>445</v>
      </c>
      <c r="AT54" s="32"/>
    </row>
    <row r="55" spans="1:46" ht="99.75" x14ac:dyDescent="0.25">
      <c r="A55" s="47">
        <v>8</v>
      </c>
      <c r="B55" s="127">
        <v>80111614</v>
      </c>
      <c r="C55" s="128" t="s">
        <v>283</v>
      </c>
      <c r="D55" s="129" t="s">
        <v>56</v>
      </c>
      <c r="E55" s="129" t="s">
        <v>82</v>
      </c>
      <c r="F55" s="129" t="s">
        <v>331</v>
      </c>
      <c r="G55" s="130" t="s">
        <v>59</v>
      </c>
      <c r="H55" s="130" t="s">
        <v>60</v>
      </c>
      <c r="I55" s="130">
        <v>2024</v>
      </c>
      <c r="J55" s="130">
        <v>155</v>
      </c>
      <c r="K55" s="129" t="s">
        <v>59</v>
      </c>
      <c r="L55" s="129" t="s">
        <v>451</v>
      </c>
      <c r="M55" s="128" t="s">
        <v>61</v>
      </c>
      <c r="N55" s="128" t="s">
        <v>317</v>
      </c>
      <c r="O55" s="128"/>
      <c r="P55" s="128" t="s">
        <v>64</v>
      </c>
      <c r="Q55" s="131" t="s">
        <v>452</v>
      </c>
      <c r="R55" s="128" t="s">
        <v>333</v>
      </c>
      <c r="S55" s="150"/>
      <c r="T55" s="131"/>
      <c r="U55" s="146"/>
      <c r="V55" s="147">
        <v>0</v>
      </c>
      <c r="W55" s="144"/>
      <c r="X55" s="144"/>
      <c r="Y55" s="144"/>
      <c r="Z55" s="144"/>
      <c r="AA55" s="144"/>
      <c r="AB55" s="144"/>
      <c r="AC55" s="148" t="s">
        <v>72</v>
      </c>
      <c r="AD55" s="131" t="s">
        <v>336</v>
      </c>
      <c r="AE55" s="149"/>
      <c r="AF55" s="149">
        <v>0</v>
      </c>
      <c r="AG55" s="149">
        <f>AE55+AF55</f>
        <v>0</v>
      </c>
      <c r="AH55" s="149"/>
      <c r="AI55" s="149"/>
      <c r="AJ55" s="149"/>
      <c r="AK55" s="149">
        <v>0</v>
      </c>
      <c r="AL55" s="149">
        <f>IF(K55="Si",(AK55-AE55),0)</f>
        <v>0</v>
      </c>
      <c r="AM55" s="149"/>
      <c r="AN55" s="66"/>
      <c r="AO55" s="38"/>
      <c r="AP55" s="54">
        <f>IF(AI55=0,0,ROUND(AN55/AI55,2))</f>
        <v>0</v>
      </c>
      <c r="AQ55" s="65">
        <f>AI55-AN55</f>
        <v>0</v>
      </c>
      <c r="AR55" s="30"/>
      <c r="AS55" s="30" t="s">
        <v>453</v>
      </c>
      <c r="AT55" s="118" t="s">
        <v>454</v>
      </c>
    </row>
    <row r="56" spans="1:46" ht="15" x14ac:dyDescent="0.25">
      <c r="A56" s="47"/>
      <c r="B56" s="61"/>
      <c r="C56" s="32"/>
      <c r="D56" s="29"/>
      <c r="E56" s="29"/>
      <c r="F56" s="29"/>
      <c r="G56" s="41"/>
      <c r="H56" s="41"/>
      <c r="I56" s="41"/>
      <c r="J56" s="41"/>
      <c r="K56" s="29"/>
      <c r="L56" s="29"/>
      <c r="M56" s="32"/>
      <c r="N56" s="32"/>
      <c r="O56" s="32"/>
      <c r="P56" s="32"/>
      <c r="Q56" s="30"/>
      <c r="R56" s="32"/>
      <c r="S56" s="46"/>
      <c r="T56" s="30"/>
      <c r="U56" s="35"/>
      <c r="V56" s="68"/>
      <c r="W56" s="36"/>
      <c r="X56" s="36"/>
      <c r="Y56" s="36"/>
      <c r="Z56" s="36"/>
      <c r="AA56" s="36"/>
      <c r="AB56" s="36"/>
      <c r="AC56" s="37"/>
      <c r="AD56" s="30"/>
      <c r="AE56" s="38"/>
      <c r="AF56" s="38"/>
      <c r="AG56" s="38"/>
      <c r="AH56" s="38"/>
      <c r="AI56" s="38"/>
      <c r="AJ56" s="38"/>
      <c r="AK56" s="38"/>
      <c r="AL56" s="38"/>
      <c r="AM56" s="38"/>
      <c r="AN56" s="66"/>
      <c r="AO56" s="38"/>
      <c r="AP56" s="39"/>
      <c r="AQ56" s="38"/>
      <c r="AR56" s="30"/>
      <c r="AS56" s="43"/>
      <c r="AT56" s="32"/>
    </row>
    <row r="57" spans="1:46" x14ac:dyDescent="0.25">
      <c r="A57" s="47"/>
      <c r="B57" s="61"/>
      <c r="C57" s="32"/>
      <c r="D57" s="29"/>
      <c r="E57" s="29"/>
      <c r="F57" s="29"/>
      <c r="G57" s="41"/>
      <c r="H57" s="41"/>
      <c r="I57" s="41"/>
      <c r="J57" s="41"/>
      <c r="K57" s="29"/>
      <c r="L57" s="29"/>
      <c r="M57" s="32"/>
      <c r="N57" s="32"/>
      <c r="O57" s="32"/>
      <c r="P57" s="32"/>
      <c r="Q57" s="30"/>
      <c r="R57" s="32"/>
      <c r="S57" s="45"/>
      <c r="T57" s="30"/>
      <c r="U57" s="35"/>
      <c r="V57" s="68"/>
      <c r="W57" s="36"/>
      <c r="X57" s="36"/>
      <c r="Y57" s="36"/>
      <c r="Z57" s="36"/>
      <c r="AA57" s="36"/>
      <c r="AB57" s="36"/>
      <c r="AC57" s="37"/>
      <c r="AD57" s="32"/>
      <c r="AE57" s="38"/>
      <c r="AF57" s="38"/>
      <c r="AG57" s="38"/>
      <c r="AH57" s="38"/>
      <c r="AI57" s="38"/>
      <c r="AJ57" s="38"/>
      <c r="AK57" s="38"/>
      <c r="AL57" s="38"/>
      <c r="AM57" s="38"/>
      <c r="AN57" s="66"/>
      <c r="AO57" s="38"/>
      <c r="AP57" s="39"/>
      <c r="AQ57" s="38"/>
      <c r="AR57" s="30"/>
      <c r="AS57" s="30"/>
      <c r="AT57" s="32"/>
    </row>
    <row r="58" spans="1:46" ht="15" x14ac:dyDescent="0.25">
      <c r="A58" s="47"/>
      <c r="B58" s="61"/>
      <c r="C58" s="32"/>
      <c r="D58" s="29"/>
      <c r="E58" s="29"/>
      <c r="F58" s="29"/>
      <c r="G58" s="41"/>
      <c r="H58" s="41"/>
      <c r="I58" s="41"/>
      <c r="J58" s="41"/>
      <c r="K58" s="29"/>
      <c r="L58" s="29"/>
      <c r="M58" s="32"/>
      <c r="N58" s="32"/>
      <c r="O58" s="32"/>
      <c r="P58" s="32"/>
      <c r="Q58" s="30"/>
      <c r="R58" s="32"/>
      <c r="S58" s="45"/>
      <c r="T58" s="30"/>
      <c r="U58" s="35"/>
      <c r="V58" s="68"/>
      <c r="W58" s="36"/>
      <c r="X58" s="36"/>
      <c r="Y58" s="36"/>
      <c r="Z58" s="36"/>
      <c r="AA58" s="36"/>
      <c r="AB58" s="36"/>
      <c r="AC58" s="37"/>
      <c r="AD58" s="30"/>
      <c r="AE58" s="38"/>
      <c r="AF58" s="38"/>
      <c r="AG58" s="38"/>
      <c r="AH58" s="38"/>
      <c r="AI58" s="38"/>
      <c r="AJ58" s="38"/>
      <c r="AK58" s="38"/>
      <c r="AL58" s="38"/>
      <c r="AM58" s="38"/>
      <c r="AN58" s="66"/>
      <c r="AO58" s="38"/>
      <c r="AP58" s="39"/>
      <c r="AQ58" s="38"/>
      <c r="AR58" s="30"/>
      <c r="AS58" s="43"/>
      <c r="AT58" s="32"/>
    </row>
    <row r="59" spans="1:46" x14ac:dyDescent="0.25">
      <c r="A59" s="47"/>
      <c r="B59" s="61"/>
      <c r="C59" s="32"/>
      <c r="D59" s="29"/>
      <c r="E59" s="29"/>
      <c r="F59" s="29"/>
      <c r="G59" s="41"/>
      <c r="H59" s="41"/>
      <c r="I59" s="41"/>
      <c r="J59" s="41"/>
      <c r="K59" s="29"/>
      <c r="L59" s="29"/>
      <c r="M59" s="32"/>
      <c r="N59" s="32"/>
      <c r="O59" s="32"/>
      <c r="P59" s="32"/>
      <c r="Q59" s="30"/>
      <c r="R59" s="32"/>
      <c r="S59" s="45"/>
      <c r="T59" s="44"/>
      <c r="U59" s="35"/>
      <c r="V59" s="68"/>
      <c r="W59" s="36"/>
      <c r="X59" s="36"/>
      <c r="Y59" s="36"/>
      <c r="Z59" s="36"/>
      <c r="AA59" s="36"/>
      <c r="AB59" s="36"/>
      <c r="AC59" s="37"/>
      <c r="AD59" s="30"/>
      <c r="AE59" s="38"/>
      <c r="AF59" s="38"/>
      <c r="AG59" s="38"/>
      <c r="AH59" s="38"/>
      <c r="AI59" s="38"/>
      <c r="AJ59" s="38"/>
      <c r="AK59" s="38"/>
      <c r="AL59" s="38"/>
      <c r="AM59" s="38"/>
      <c r="AN59" s="66"/>
      <c r="AO59" s="38"/>
      <c r="AP59" s="39"/>
      <c r="AQ59" s="38"/>
      <c r="AR59" s="30"/>
      <c r="AS59" s="30"/>
      <c r="AT59" s="32"/>
    </row>
    <row r="60" spans="1:46" ht="15" x14ac:dyDescent="0.25">
      <c r="A60" s="47"/>
      <c r="B60" s="61"/>
      <c r="C60" s="32"/>
      <c r="D60" s="29"/>
      <c r="E60" s="29"/>
      <c r="F60" s="29"/>
      <c r="G60" s="41"/>
      <c r="H60" s="41"/>
      <c r="I60" s="41"/>
      <c r="J60" s="41"/>
      <c r="K60" s="29"/>
      <c r="L60" s="29"/>
      <c r="M60" s="32"/>
      <c r="N60" s="32"/>
      <c r="O60" s="32"/>
      <c r="P60" s="32"/>
      <c r="Q60" s="30"/>
      <c r="R60" s="32"/>
      <c r="S60" s="45"/>
      <c r="T60" s="44"/>
      <c r="U60" s="35"/>
      <c r="V60" s="68"/>
      <c r="W60" s="36"/>
      <c r="X60" s="36"/>
      <c r="Y60" s="36"/>
      <c r="Z60" s="36"/>
      <c r="AA60" s="36"/>
      <c r="AB60" s="36"/>
      <c r="AC60" s="37"/>
      <c r="AD60" s="30"/>
      <c r="AE60" s="38"/>
      <c r="AF60" s="38"/>
      <c r="AG60" s="38"/>
      <c r="AH60" s="38"/>
      <c r="AI60" s="38"/>
      <c r="AJ60" s="38"/>
      <c r="AK60" s="38"/>
      <c r="AL60" s="38"/>
      <c r="AM60" s="38"/>
      <c r="AN60" s="66"/>
      <c r="AO60" s="38"/>
      <c r="AP60" s="39"/>
      <c r="AQ60" s="38"/>
      <c r="AR60" s="30"/>
      <c r="AS60" s="43"/>
      <c r="AT60" s="32"/>
    </row>
    <row r="61" spans="1:46" x14ac:dyDescent="0.25">
      <c r="A61" s="47"/>
      <c r="B61" s="61"/>
      <c r="C61" s="32"/>
      <c r="D61" s="29"/>
      <c r="E61" s="29"/>
      <c r="F61" s="29"/>
      <c r="G61" s="41"/>
      <c r="H61" s="41"/>
      <c r="I61" s="41"/>
      <c r="J61" s="41"/>
      <c r="K61" s="29"/>
      <c r="L61" s="29"/>
      <c r="M61" s="32"/>
      <c r="N61" s="32"/>
      <c r="O61" s="32"/>
      <c r="P61" s="32"/>
      <c r="Q61" s="30"/>
      <c r="R61" s="32"/>
      <c r="S61" s="57"/>
      <c r="T61" s="34"/>
      <c r="U61" s="35"/>
      <c r="V61" s="68"/>
      <c r="W61" s="36"/>
      <c r="X61" s="36"/>
      <c r="Y61" s="36"/>
      <c r="Z61" s="36"/>
      <c r="AA61" s="36"/>
      <c r="AB61" s="36"/>
      <c r="AC61" s="37"/>
      <c r="AD61" s="30"/>
      <c r="AE61" s="38"/>
      <c r="AF61" s="38"/>
      <c r="AG61" s="38"/>
      <c r="AH61" s="38"/>
      <c r="AI61" s="38"/>
      <c r="AJ61" s="38"/>
      <c r="AK61" s="38"/>
      <c r="AL61" s="38"/>
      <c r="AM61" s="38"/>
      <c r="AN61" s="66"/>
      <c r="AO61" s="38"/>
      <c r="AP61" s="39"/>
      <c r="AQ61" s="38"/>
      <c r="AR61" s="30"/>
      <c r="AS61" s="30"/>
      <c r="AT61" s="32"/>
    </row>
    <row r="62" spans="1:46" x14ac:dyDescent="0.25">
      <c r="AN62" s="67"/>
    </row>
  </sheetData>
  <hyperlinks>
    <hyperlink ref="AS19" r:id="rId1" xr:uid="{F4E74BEF-DDD1-439C-8E0A-D88F733D2568}"/>
    <hyperlink ref="AS7" r:id="rId2" xr:uid="{74A653EC-DA4B-4D2E-AD31-A79730DC29D1}"/>
    <hyperlink ref="AS20" r:id="rId3" display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xr:uid="{9FC0E8AF-8BA2-4B7C-ADC1-33181C5ED42A}"/>
    <hyperlink ref="AS6" r:id="rId4" xr:uid="{F5A90029-9BED-452A-A6A1-CF7387E817CC}"/>
    <hyperlink ref="AS8" r:id="rId5" display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xr:uid="{BFD93BF7-2363-4E0C-85CB-05F2069734DA}"/>
    <hyperlink ref="AS22" r:id="rId6" display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xr:uid="{9E18571B-CA0E-4F78-BE93-5D67ADB9F5B5}"/>
    <hyperlink ref="AS10" r:id="rId7" display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xr:uid="{1834C02A-DD12-4083-AE64-F095B36E21A7}"/>
    <hyperlink ref="AS9" r:id="rId8" display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xr:uid="{419BEC5E-B5DF-449F-97A3-39FAD85A8D9D}"/>
    <hyperlink ref="AS4" r:id="rId9" display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xr:uid="{427B3FA4-6166-4A7A-B0DB-3C89B7047347}"/>
    <hyperlink ref="AS11" r:id="rId10" display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xr:uid="{934B5236-B05A-4161-8D98-7A73641F6208}"/>
    <hyperlink ref="AS12" r:id="rId11" display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xr:uid="{3B3F25E3-4B94-4C30-AC0F-FF731CAFB44C}"/>
    <hyperlink ref="AS13" r:id="rId12" display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xr:uid="{852BC117-26B6-488D-87EA-B523F8C5FB2F}"/>
    <hyperlink ref="AS14" r:id="rId13" display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xr:uid="{7D7D0958-38B8-439B-82F3-5AD0C88C10FC}"/>
    <hyperlink ref="AS15" r:id="rId14" display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xr:uid="{B2F1147C-9978-42AD-B204-4AC9E0E95065}"/>
    <hyperlink ref="AS16" r:id="rId15" display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xr:uid="{45F5C417-59DD-47A2-97B5-88C5BD1D0ACA}"/>
    <hyperlink ref="AS23" r:id="rId16" display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 xr:uid="{EE78126E-B057-490D-9FFF-716B3AF06BEC}"/>
    <hyperlink ref="AS50" r:id="rId17" display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xr:uid="{EEDD6310-2947-4C76-BFC9-E6D510217C73}"/>
    <hyperlink ref="AS2" r:id="rId18" display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xr:uid="{B3AB6EAC-69B0-4C53-9FB5-B8ABD4565F8B}"/>
    <hyperlink ref="AS51" r:id="rId19" display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xr:uid="{6096A70E-E79E-46CB-8131-A56B5C17F06F}"/>
    <hyperlink ref="AS5" r:id="rId20" xr:uid="{8941FFD7-F8A4-4A8B-A1B9-EC192E4BAC3E}"/>
    <hyperlink ref="AS17" r:id="rId21" display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xr:uid="{F1742216-6D11-4AF6-921D-D20DA39874F5}"/>
    <hyperlink ref="AS3" r:id="rId22" display="https://www.secop.gov.co/CO1ContractsManagement/Tendering/ProcurementContractEdit/Update?ProfileName=CCE-11-Procedimiento_Publicidad&amp;PPI=CO1.PPI.29282862&amp;DocUniqueName=ContratoDeCompra&amp;DocTypeName=NextWay.Entities.Marketplace.Tendering.ProcurementContract&amp;ProfileVersion=12&amp;DocUniqueIdentifier=CO1.PCCNTR.5765266&amp;prevCtxUrl=https%3a%2f%2fwww.secop.gov.co%2fCO1BusinessLine%2fTendering%2fBuyerDossierWorkspace%2fIndex%3fsortingState%3dLastModifiedDESC%26showAdvancedSearch%3dFalse%26showAdvancedSearchFields%3dFalse%26selectedDossier%3dCO1.BDOS.5452929%26selectedRequest%3dCO1.REQ.5569966%26&amp;prevCtxLbl=Procesos+de+la+Entidad+Estatal" xr:uid="{36146C2E-4FF7-4673-B4CA-6A4A7199E0C5}"/>
    <hyperlink ref="AS24" r:id="rId23" display="https://www.secop.gov.co/CO1ContractsManagement/Tendering/ProcurementContractEdit/Update?ProfileName=CCE-10-Minima_Cuantia&amp;PPI=CO1.PPI.29849621&amp;DocUniqueName=ContratoDeCompra&amp;DocTypeName=NextWay.Entities.Marketplace.Tendering.ProcurementContract&amp;ProfileVersion=12&amp;DocUniqueIdentifier=CO1.PCCNTR.6036310" xr:uid="{F90E1595-6A78-4EEB-8610-485C08420DE9}"/>
    <hyperlink ref="AS25" r:id="rId24" xr:uid="{1EFA7B27-4834-49F1-B3F2-AEEECE15EF69}"/>
    <hyperlink ref="AS26" r:id="rId25" display="https://www.secop.gov.co/CO1ContractsManagement/Tendering/ProcurementContractEdit/Update?ProfileName=CCE-11-Procedimiento_Publicidad&amp;PPI=CO1.PPI.30750015&amp;DocUniqueName=ContratoDeCompra&amp;DocTypeName=NextWay.Entities.Marketplace.Tendering.ProcurementContract&amp;ProfileVersion=12&amp;DocUniqueIdentifier=CO1.PCCNTR.6140881" xr:uid="{638FAC1C-E455-4DC2-BF27-7E1EBA0B1AFE}"/>
    <hyperlink ref="AS27" r:id="rId26" display="https://www.secop.gov.co/CO1ContractsManagement/Tendering/ProcurementContractEdit/Update?ProfileName=CCE-11-Procedimiento_Publicidad&amp;PPI=CO1.PPI.30687291&amp;DocUniqueName=ContratoDeCompra&amp;DocTypeName=NextWay.Entities.Marketplace.Tendering.ProcurementContract&amp;ProfileVersion=12&amp;DocUniqueIdentifier=CO1.PCCNTR.6123530&amp;prevCtxUrl=https%3a%2f%2fwww.secop.gov.co%2fCO1BusinessLine%2fTendering%2fBuyerDossierWorkspace%2fIndex%3fsortingState%3dLastModifiedDESC%26showAdvancedSearch%3dFalse%26showAdvancedSearchFields%3dFalse%26selectedDossier%3dCO1.BDOS.5864095%26selectedRequest%3dCO1.REQ.5981875%26&amp;prevCtxLbl=Procesos+de+la+Entidad+Estatal" xr:uid="{46CCE55C-7E45-4CF3-A5A0-D8B30266D9F4}"/>
    <hyperlink ref="AS21" r:id="rId27" xr:uid="{BD4611A2-3C8A-4BF0-AE34-854C6D416DC9}"/>
    <hyperlink ref="AS28" r:id="rId28" xr:uid="{096FA19F-90B0-40C6-8447-A2314FF6AEE9}"/>
    <hyperlink ref="AS29" r:id="rId29" xr:uid="{DC2DF404-1851-4170-BA92-463B37869991}"/>
    <hyperlink ref="AS30" r:id="rId30" display="https://www.secop.gov.co/CO1ContractsManagement/Tendering/ProcurementContractEdit/View?docUniqueIdentifier=CO1.PCCNTR.6205866&amp;awardUniqueIdentifier=&amp;buyerDossierUniqueIdentifier=CO1.BDOS.5947891&amp;id=3547018&amp;prevCtxUrl=https%3a%2f%2fwww.secop.gov.co%2fCO1BusinessLine%2fTendering%2fBuyerDossierWorkspace%2fIndex%3fallWords2Search%3dCO-L1251-P199961-152%26sortingState%3dLastModifiedDESC%26showAdvancedSearch%3dFalse%26showAdvancedSearchFields%3dFalse%26selectedDossier%3dCO1.BDOS.5947891%26selectedRequest%3dCO1.REQ.6066810%26&amp;prevCtxLbl=Procesos+de+la+Entidad+Estatal" xr:uid="{CCEF402B-234F-4FC1-ADA3-75C5D6E28890}"/>
    <hyperlink ref="AS31" r:id="rId31" display="https://www.secop.gov.co/CO1ContractsManagement/Tendering/ProcurementContractEdit/Update?ProfileName=CCE-11-Procedimiento_Publicidad&amp;PPI=CO1.PPI.31119095&amp;DocUniqueName=ContratoDeCompra&amp;DocTypeName=NextWay.Entities.Marketplace.Tendering.ProcurementContract&amp;ProfileVersion=12&amp;DocUniqueIdentifier=CO1.PCCNTR.6208916&amp;prevCtxUrl=https%3a%2f%2fwww.secop.gov.co%2fCO1BusinessLine%2fTendering%2fBuyerDossierWorkspace%2fIndex%3fallWords2Search%3dCO-L1251-P199958%26sortingState%3dLastModifiedDESC%26showAdvancedSearch%3dFalse%26showAdvancedSearchFields%3dFalse%26selectedDossier%3dCO1.BDOS.5968298%26selectedRequest%3dCO1.REQ.6087414%26&amp;prevCtxLbl=Procesos+de+la+Entidad+Estatal" xr:uid="{5D5819D8-DE64-4F72-8856-911E8E953B4A}"/>
    <hyperlink ref="AS32" r:id="rId32" display="https://www.secop.gov.co/CO1ContractsManagement/Tendering/ProcurementContractEdit/Update?ProfileName=CCE-16-Servicios_profesionales_gestion&amp;PPI=CO1.PPI.31756782&amp;DocUniqueName=ContratoDeCompra&amp;DocTypeName=NextWay.Entities.Marketplace.Tendering.ProcurementContract&amp;ProfileVersion=8&amp;DocUniqueIdentifier=CO1.PCCNTR.6322517&amp;prevCtxUrl=https%3a%2f%2fwww.secop.gov.co%2fCO1BusinessLine%2fTendering%2fBuyerDossierWorkspace%2fIndex%3fsortingState%3dLastModifiedDESC%26showAdvancedSearch%3dFalse%26showAdvancedSearchFields%3dFalse%26selectedDossier%3dCO1.BDOS.6110424%26selectedRequest%3dCO1.REQ.6231629%26&amp;prevCtxLbl=Procesos+de+la+Entidad+Estatal" xr:uid="{8D4DDB01-D761-4EC7-B1C1-A2C26685FE6F}"/>
    <hyperlink ref="AS33" r:id="rId33" xr:uid="{32A897F8-0D5C-4387-91E1-4909108B4181}"/>
  </hyperlinks>
  <pageMargins left="0.23622047244094491" right="0.23622047244094491" top="0.74803149606299213" bottom="0.74803149606299213" header="0.31496062992125984" footer="0.31496062992125984"/>
  <pageSetup orientation="landscape" horizontalDpi="1200" verticalDpi="1200" r:id="rId34"/>
  <legacyDrawing r:id="rId3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B7B7-D483-4AE2-A1BB-20881AA5B2D8}">
  <sheetPr codeName="Hoja8"/>
  <dimension ref="A3:I52"/>
  <sheetViews>
    <sheetView topLeftCell="A33" workbookViewId="0">
      <selection activeCell="A47" sqref="A47:XFD53"/>
    </sheetView>
  </sheetViews>
  <sheetFormatPr baseColWidth="10" defaultColWidth="11.42578125" defaultRowHeight="15" x14ac:dyDescent="0.25"/>
  <cols>
    <col min="1" max="1" width="30.28515625" bestFit="1" customWidth="1"/>
    <col min="2" max="2" width="21.42578125" bestFit="1" customWidth="1"/>
    <col min="3" max="3" width="14" customWidth="1"/>
    <col min="4" max="4" width="15.7109375" customWidth="1"/>
    <col min="7" max="7" width="30.7109375" customWidth="1"/>
  </cols>
  <sheetData>
    <row r="3" spans="1:4" x14ac:dyDescent="0.25">
      <c r="A3" s="24" t="s">
        <v>0</v>
      </c>
      <c r="B3" t="s">
        <v>486</v>
      </c>
      <c r="C3" t="s">
        <v>487</v>
      </c>
    </row>
    <row r="4" spans="1:4" x14ac:dyDescent="0.25">
      <c r="A4" s="25" t="s">
        <v>90</v>
      </c>
      <c r="B4">
        <v>1754713272.5600002</v>
      </c>
      <c r="C4">
        <v>12</v>
      </c>
    </row>
    <row r="5" spans="1:4" x14ac:dyDescent="0.25">
      <c r="A5" s="25" t="s">
        <v>72</v>
      </c>
      <c r="B5">
        <v>2301900080</v>
      </c>
      <c r="C5">
        <v>11</v>
      </c>
    </row>
    <row r="6" spans="1:4" x14ac:dyDescent="0.25">
      <c r="A6" s="25" t="s">
        <v>7</v>
      </c>
      <c r="B6">
        <v>4056613352.5600004</v>
      </c>
      <c r="C6">
        <v>23</v>
      </c>
    </row>
    <row r="8" spans="1:4" x14ac:dyDescent="0.25">
      <c r="A8" s="91" t="s">
        <v>488</v>
      </c>
      <c r="B8" s="1"/>
      <c r="C8" s="1"/>
    </row>
    <row r="9" spans="1:4" ht="30" x14ac:dyDescent="0.25">
      <c r="A9" s="92" t="s">
        <v>489</v>
      </c>
      <c r="B9" s="92" t="s">
        <v>490</v>
      </c>
      <c r="C9" s="1"/>
    </row>
    <row r="10" spans="1:4" x14ac:dyDescent="0.25">
      <c r="A10" s="93">
        <f>GETPIVOTDATA("Cuenta de Fuente vigencia ",$A$3)</f>
        <v>23</v>
      </c>
      <c r="B10" s="94">
        <f>GETPIVOTDATA("Suma de Valor asignado al 2024",$A$3)</f>
        <v>4056613352.5600004</v>
      </c>
      <c r="C10" s="1"/>
    </row>
    <row r="11" spans="1:4" x14ac:dyDescent="0.25">
      <c r="A11" s="1"/>
      <c r="B11" s="1"/>
      <c r="C11" s="1"/>
    </row>
    <row r="12" spans="1:4" x14ac:dyDescent="0.25">
      <c r="A12" s="91" t="s">
        <v>491</v>
      </c>
      <c r="B12" s="1"/>
      <c r="C12" s="1"/>
    </row>
    <row r="13" spans="1:4" ht="45" x14ac:dyDescent="0.25">
      <c r="A13" s="92" t="s">
        <v>492</v>
      </c>
      <c r="B13" s="92" t="s">
        <v>489</v>
      </c>
      <c r="C13" s="92" t="s">
        <v>490</v>
      </c>
      <c r="D13" s="92" t="s">
        <v>55</v>
      </c>
    </row>
    <row r="14" spans="1:4" ht="60" x14ac:dyDescent="0.25">
      <c r="A14" s="14" t="s">
        <v>90</v>
      </c>
      <c r="B14" s="14">
        <f>GETPIVOTDATA("Cuenta de Fuente vigencia ",$A$3,"Fuente vigencia ","Funcionamiento")</f>
        <v>12</v>
      </c>
      <c r="C14" s="95">
        <f>GETPIVOTDATA("Suma de Valor asignado al 2024",$A$3,"Fuente vigencia ","Funcionamiento")</f>
        <v>1754713272.5600002</v>
      </c>
      <c r="D14" s="102" t="s">
        <v>493</v>
      </c>
    </row>
    <row r="15" spans="1:4" ht="60" x14ac:dyDescent="0.25">
      <c r="A15" s="14" t="s">
        <v>494</v>
      </c>
      <c r="B15" s="14">
        <f>GETPIVOTDATA("Cuenta de Fuente vigencia ",$A$3,"Fuente vigencia ","Inversión BID")</f>
        <v>11</v>
      </c>
      <c r="C15" s="95">
        <f>GETPIVOTDATA("Suma de Valor asignado al 2024",$A$3,"Fuente vigencia ","Inversión BID")</f>
        <v>2301900080</v>
      </c>
      <c r="D15" s="102" t="s">
        <v>495</v>
      </c>
    </row>
    <row r="16" spans="1:4" x14ac:dyDescent="0.25">
      <c r="A16" s="96" t="s">
        <v>496</v>
      </c>
      <c r="B16" s="93">
        <f>SUM(B14:B15)</f>
        <v>23</v>
      </c>
      <c r="C16" s="94">
        <f>SUM(C14:C15)</f>
        <v>4056613352.5600004</v>
      </c>
    </row>
    <row r="18" spans="1:9" x14ac:dyDescent="0.25">
      <c r="A18" s="91" t="s">
        <v>497</v>
      </c>
    </row>
    <row r="20" spans="1:9" x14ac:dyDescent="0.25">
      <c r="A20" s="24" t="s">
        <v>487</v>
      </c>
      <c r="B20" s="24" t="s">
        <v>498</v>
      </c>
    </row>
    <row r="21" spans="1:9" x14ac:dyDescent="0.25">
      <c r="A21" s="24" t="s">
        <v>0</v>
      </c>
      <c r="B21" t="s">
        <v>90</v>
      </c>
      <c r="C21" t="s">
        <v>72</v>
      </c>
      <c r="D21" t="s">
        <v>7</v>
      </c>
    </row>
    <row r="22" spans="1:9" x14ac:dyDescent="0.25">
      <c r="A22" s="25" t="s">
        <v>116</v>
      </c>
      <c r="B22">
        <v>5</v>
      </c>
      <c r="D22">
        <v>5</v>
      </c>
    </row>
    <row r="23" spans="1:9" x14ac:dyDescent="0.25">
      <c r="A23" s="25" t="s">
        <v>73</v>
      </c>
      <c r="B23">
        <v>6</v>
      </c>
      <c r="C23">
        <v>9</v>
      </c>
      <c r="D23">
        <v>15</v>
      </c>
    </row>
    <row r="24" spans="1:9" x14ac:dyDescent="0.25">
      <c r="A24" s="25" t="s">
        <v>104</v>
      </c>
      <c r="B24">
        <v>1</v>
      </c>
      <c r="D24">
        <v>1</v>
      </c>
    </row>
    <row r="25" spans="1:9" x14ac:dyDescent="0.25">
      <c r="A25" s="25" t="s">
        <v>135</v>
      </c>
      <c r="C25">
        <v>2</v>
      </c>
      <c r="D25">
        <v>2</v>
      </c>
    </row>
    <row r="26" spans="1:9" x14ac:dyDescent="0.25">
      <c r="A26" s="25" t="s">
        <v>7</v>
      </c>
      <c r="B26">
        <v>12</v>
      </c>
      <c r="C26">
        <v>11</v>
      </c>
      <c r="D26">
        <v>23</v>
      </c>
    </row>
    <row r="30" spans="1:9" ht="45" x14ac:dyDescent="0.25">
      <c r="A30" s="92" t="s">
        <v>499</v>
      </c>
      <c r="B30" s="92" t="s">
        <v>500</v>
      </c>
      <c r="C30" s="92" t="s">
        <v>501</v>
      </c>
      <c r="D30" s="92" t="s">
        <v>502</v>
      </c>
      <c r="G30" s="92" t="s">
        <v>499</v>
      </c>
      <c r="H30" s="92" t="s">
        <v>503</v>
      </c>
      <c r="I30" s="92" t="s">
        <v>502</v>
      </c>
    </row>
    <row r="31" spans="1:9" x14ac:dyDescent="0.25">
      <c r="A31" s="7" t="str">
        <f>A22</f>
        <v xml:space="preserve">Acuerdo Marco de Precios </v>
      </c>
      <c r="B31" s="14">
        <f>GETPIVOTDATA("Fuente vigencia ",$A$20,"Fuente vigencia ","Funcionamiento","Tipo de proceso","Acuerdo Marco de Precios ")</f>
        <v>5</v>
      </c>
      <c r="C31" s="97">
        <f>GETPIVOTDATA("Fuente vigencia ",$A$20,"Fuente vigencia ","Inversión BID","Tipo de proceso","Acuerdo Marco de Precios ")</f>
        <v>0</v>
      </c>
      <c r="D31" s="14">
        <f>SUM(B31:C31)</f>
        <v>5</v>
      </c>
      <c r="G31" s="7" t="str">
        <f>A31</f>
        <v xml:space="preserve">Acuerdo Marco de Precios </v>
      </c>
      <c r="H31" s="98">
        <f>I31/$I$35</f>
        <v>0.21739130434782608</v>
      </c>
      <c r="I31" s="14">
        <f>D31</f>
        <v>5</v>
      </c>
    </row>
    <row r="32" spans="1:9" x14ac:dyDescent="0.25">
      <c r="A32" s="7" t="str">
        <f>A23</f>
        <v>Persona Natural (Contratista)</v>
      </c>
      <c r="B32" s="14">
        <f>GETPIVOTDATA("Fuente vigencia ",$A$20,"Fuente vigencia ","Funcionamiento","Tipo de proceso","Persona Natural (Contratista)")</f>
        <v>6</v>
      </c>
      <c r="C32" s="97">
        <f>GETPIVOTDATA("Fuente vigencia ",$A$20,"Fuente vigencia ","Inversión BID","Tipo de proceso","Persona Natural (Contratista)")</f>
        <v>9</v>
      </c>
      <c r="D32" s="14">
        <f t="shared" ref="D32:D34" si="0">SUM(B32:C32)</f>
        <v>15</v>
      </c>
      <c r="G32" s="7" t="str">
        <f>A32</f>
        <v>Persona Natural (Contratista)</v>
      </c>
      <c r="H32" s="98">
        <f t="shared" ref="H32:H34" si="1">I32/$I$35</f>
        <v>0.65217391304347827</v>
      </c>
      <c r="I32" s="14">
        <f>D32</f>
        <v>15</v>
      </c>
    </row>
    <row r="33" spans="1:9" ht="30" x14ac:dyDescent="0.25">
      <c r="A33" s="101" t="str">
        <f>A24</f>
        <v>Selección abreviada subasta inversa</v>
      </c>
      <c r="B33" s="97">
        <f>GETPIVOTDATA("Fuente vigencia ",$A$20,"Fuente vigencia ","Funcionamiento","Tipo de proceso","Selección abreviada subasta inversa")</f>
        <v>1</v>
      </c>
      <c r="C33" s="97">
        <f>GETPIVOTDATA("Fuente vigencia ",$A$20,"Fuente vigencia ","Inversión BID","Tipo de proceso","Selección abreviada subasta inversa")</f>
        <v>0</v>
      </c>
      <c r="D33" s="14">
        <f t="shared" si="0"/>
        <v>1</v>
      </c>
      <c r="G33" s="7" t="str">
        <f>A33</f>
        <v>Selección abreviada subasta inversa</v>
      </c>
      <c r="H33" s="98">
        <f t="shared" si="1"/>
        <v>4.3478260869565216E-2</v>
      </c>
      <c r="I33" s="97">
        <f>D33</f>
        <v>1</v>
      </c>
    </row>
    <row r="34" spans="1:9" x14ac:dyDescent="0.25">
      <c r="A34" s="101" t="str">
        <f>A25</f>
        <v>Servicio de consultoría</v>
      </c>
      <c r="B34" s="14">
        <f>GETPIVOTDATA("Fuente vigencia ",$A$20,"Fuente vigencia ","Funcionamiento","Tipo de proceso","Servicio de consultoría")</f>
        <v>0</v>
      </c>
      <c r="C34" s="14">
        <f>GETPIVOTDATA("Fuente vigencia ",$A$20,"Fuente vigencia ","Inversión BID","Tipo de proceso","Servicio de consultoría")</f>
        <v>2</v>
      </c>
      <c r="D34" s="14">
        <f t="shared" si="0"/>
        <v>2</v>
      </c>
      <c r="G34" s="7" t="str">
        <f>A34</f>
        <v>Servicio de consultoría</v>
      </c>
      <c r="H34" s="98">
        <f t="shared" si="1"/>
        <v>8.6956521739130432E-2</v>
      </c>
      <c r="I34" s="97">
        <f>D34</f>
        <v>2</v>
      </c>
    </row>
    <row r="35" spans="1:9" x14ac:dyDescent="0.25">
      <c r="A35" s="92" t="s">
        <v>496</v>
      </c>
      <c r="B35" s="93">
        <f>SUM(B31:B34)</f>
        <v>12</v>
      </c>
      <c r="C35" s="93">
        <f>SUM(C31:C34)</f>
        <v>11</v>
      </c>
      <c r="D35" s="93">
        <f>SUM(D31:D34)</f>
        <v>23</v>
      </c>
      <c r="G35" s="100" t="s">
        <v>496</v>
      </c>
      <c r="H35" s="99">
        <f>SUM(H31:H34)</f>
        <v>1</v>
      </c>
      <c r="I35" s="93">
        <f>SUM(I31:I34)</f>
        <v>23</v>
      </c>
    </row>
    <row r="38" spans="1:9" x14ac:dyDescent="0.25">
      <c r="A38" s="24" t="s">
        <v>486</v>
      </c>
      <c r="B38" s="24" t="s">
        <v>498</v>
      </c>
    </row>
    <row r="39" spans="1:9" x14ac:dyDescent="0.25">
      <c r="A39" s="24" t="s">
        <v>0</v>
      </c>
      <c r="B39" t="s">
        <v>90</v>
      </c>
      <c r="C39" t="s">
        <v>72</v>
      </c>
      <c r="D39" t="s">
        <v>7</v>
      </c>
    </row>
    <row r="40" spans="1:9" x14ac:dyDescent="0.25">
      <c r="A40" s="25" t="s">
        <v>116</v>
      </c>
      <c r="B40">
        <v>782937730.24000013</v>
      </c>
      <c r="D40">
        <v>782937730.24000013</v>
      </c>
    </row>
    <row r="41" spans="1:9" x14ac:dyDescent="0.25">
      <c r="A41" s="25" t="s">
        <v>73</v>
      </c>
      <c r="B41">
        <v>777657060</v>
      </c>
      <c r="C41">
        <v>953564000</v>
      </c>
      <c r="D41">
        <v>1731221060</v>
      </c>
    </row>
    <row r="42" spans="1:9" x14ac:dyDescent="0.25">
      <c r="A42" s="25" t="s">
        <v>104</v>
      </c>
      <c r="B42">
        <v>194118482.31999999</v>
      </c>
      <c r="D42">
        <v>194118482.31999999</v>
      </c>
    </row>
    <row r="43" spans="1:9" x14ac:dyDescent="0.25">
      <c r="A43" s="25" t="s">
        <v>135</v>
      </c>
      <c r="C43">
        <v>1348336080</v>
      </c>
      <c r="D43">
        <v>1348336080</v>
      </c>
    </row>
    <row r="44" spans="1:9" x14ac:dyDescent="0.25">
      <c r="A44" s="25" t="s">
        <v>7</v>
      </c>
      <c r="B44">
        <v>1754713272.5600002</v>
      </c>
      <c r="C44">
        <v>2301900080</v>
      </c>
      <c r="D44">
        <v>4056613352.5600004</v>
      </c>
    </row>
    <row r="47" spans="1:9" ht="45" x14ac:dyDescent="0.25">
      <c r="A47" s="92" t="s">
        <v>499</v>
      </c>
      <c r="B47" s="92" t="s">
        <v>504</v>
      </c>
      <c r="C47" s="92" t="s">
        <v>505</v>
      </c>
      <c r="D47" s="92" t="s">
        <v>506</v>
      </c>
    </row>
    <row r="48" spans="1:9" x14ac:dyDescent="0.25">
      <c r="A48" s="101" t="str">
        <f>A40</f>
        <v xml:space="preserve">Acuerdo Marco de Precios </v>
      </c>
      <c r="B48" s="95">
        <f>GETPIVOTDATA("Valor asignado al 2024",$A$38,"Fuente vigencia ","Funcionamiento","Tipo de proceso","Acuerdo Marco de Precios ")</f>
        <v>782937730.24000013</v>
      </c>
      <c r="C48" s="95">
        <f>GETPIVOTDATA("Valor asignado al 2024",$A$38,"Fuente vigencia ","Inversión BID","Tipo de proceso","Acuerdo Marco de Precios ")</f>
        <v>0</v>
      </c>
      <c r="D48" s="95">
        <f>SUM(B48:C48)</f>
        <v>782937730.24000013</v>
      </c>
    </row>
    <row r="49" spans="1:4" x14ac:dyDescent="0.25">
      <c r="A49" s="101" t="str">
        <f>A41</f>
        <v>Persona Natural (Contratista)</v>
      </c>
      <c r="B49" s="95">
        <f>GETPIVOTDATA("Valor asignado al 2024",$A$38,"Fuente vigencia ","Funcionamiento","Tipo de proceso","Persona Natural (Contratista)")</f>
        <v>777657060</v>
      </c>
      <c r="C49" s="95">
        <f>GETPIVOTDATA("Valor asignado al 2024",$A$38,"Fuente vigencia ","Inversión BID","Tipo de proceso","Persona Natural (Contratista)")</f>
        <v>953564000</v>
      </c>
      <c r="D49" s="95">
        <f t="shared" ref="D49:D51" si="2">SUM(B49:C49)</f>
        <v>1731221060</v>
      </c>
    </row>
    <row r="50" spans="1:4" ht="30" x14ac:dyDescent="0.25">
      <c r="A50" s="101" t="str">
        <f>A42</f>
        <v>Selección abreviada subasta inversa</v>
      </c>
      <c r="B50" s="95">
        <f>GETPIVOTDATA("Valor asignado al 2024",$A$38,"Fuente vigencia ","Funcionamiento","Tipo de proceso","Selección abreviada subasta inversa")</f>
        <v>194118482.31999999</v>
      </c>
      <c r="C50" s="95">
        <f>GETPIVOTDATA("Valor asignado al 2024",$A$38,"Fuente vigencia ","Inversión BID","Tipo de proceso","Selección abreviada subasta inversa")</f>
        <v>0</v>
      </c>
      <c r="D50" s="95">
        <f t="shared" si="2"/>
        <v>194118482.31999999</v>
      </c>
    </row>
    <row r="51" spans="1:4" x14ac:dyDescent="0.25">
      <c r="A51" s="101" t="str">
        <f>A43</f>
        <v>Servicio de consultoría</v>
      </c>
      <c r="B51" s="95">
        <f>GETPIVOTDATA("Valor asignado al 2024",$A$38,"Fuente vigencia ","Funcionamiento","Tipo de proceso","Servicio de consultoría")</f>
        <v>0</v>
      </c>
      <c r="C51" s="95">
        <f>GETPIVOTDATA("Valor asignado al 2024",$A$38,"Fuente vigencia ","Inversión BID","Tipo de proceso","Servicio de consultoría")</f>
        <v>1348336080</v>
      </c>
      <c r="D51" s="95">
        <f t="shared" si="2"/>
        <v>1348336080</v>
      </c>
    </row>
    <row r="52" spans="1:4" x14ac:dyDescent="0.25">
      <c r="A52" s="92" t="s">
        <v>496</v>
      </c>
      <c r="B52" s="94">
        <f>SUM(B48:B51)</f>
        <v>1754713272.5600002</v>
      </c>
      <c r="C52" s="94">
        <f>SUM(C48:C51)</f>
        <v>2301900080</v>
      </c>
      <c r="D52" s="94">
        <f>SUM(D48:D51)</f>
        <v>4056613352.5600004</v>
      </c>
    </row>
  </sheetData>
  <pageMargins left="0.7" right="0.7" top="0.75" bottom="0.75" header="0.3" footer="0.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957-83DE-4EB6-B25A-EE2CE40AC4B1}">
  <sheetPr codeName="Hoja12">
    <pageSetUpPr autoPageBreaks="0"/>
  </sheetPr>
  <dimension ref="A1:AS30"/>
  <sheetViews>
    <sheetView zoomScale="80" zoomScaleNormal="80" zoomScaleSheetLayoutView="100" workbookViewId="0">
      <pane ySplit="1" topLeftCell="A20" activePane="bottomLeft" state="frozen"/>
      <selection pane="bottomLeft" sqref="A1:XFD23"/>
    </sheetView>
  </sheetViews>
  <sheetFormatPr baseColWidth="10" defaultColWidth="10.7109375" defaultRowHeight="14.25" x14ac:dyDescent="0.25"/>
  <cols>
    <col min="1" max="1" width="11" style="27" bestFit="1" customWidth="1"/>
    <col min="2" max="2" width="17.42578125" style="62" bestFit="1" customWidth="1"/>
    <col min="3" max="3" width="17.5703125" style="27" customWidth="1"/>
    <col min="4" max="4" width="24.5703125" style="27" customWidth="1"/>
    <col min="5" max="5" width="28.5703125" style="27" customWidth="1"/>
    <col min="6" max="6" width="35.5703125" style="27" customWidth="1"/>
    <col min="7" max="10" width="8" style="42" customWidth="1"/>
    <col min="11" max="12" width="11.7109375" style="42" customWidth="1"/>
    <col min="13" max="16" width="18.7109375" style="27" customWidth="1"/>
    <col min="17" max="17" width="25.42578125" style="27" customWidth="1"/>
    <col min="18" max="18" width="73.5703125" style="27" customWidth="1"/>
    <col min="19" max="19" width="21.42578125" style="33" customWidth="1"/>
    <col min="20" max="20" width="13.42578125" style="27" customWidth="1"/>
    <col min="21" max="22" width="14.5703125" style="27" customWidth="1"/>
    <col min="23" max="25" width="15.42578125" style="27" customWidth="1"/>
    <col min="26" max="26" width="16.42578125" style="27" customWidth="1"/>
    <col min="27" max="27" width="19.28515625" style="27" customWidth="1"/>
    <col min="28" max="28" width="21.5703125" style="27" customWidth="1"/>
    <col min="29" max="29" width="20.5703125" style="27" customWidth="1"/>
    <col min="30" max="30" width="19" style="27" customWidth="1"/>
    <col min="31" max="37" width="23.28515625" style="27" customWidth="1"/>
    <col min="38" max="38" width="19.5703125" style="27" customWidth="1"/>
    <col min="39" max="39" width="23" style="27" customWidth="1"/>
    <col min="40" max="42" width="18.5703125" style="27" customWidth="1"/>
    <col min="43" max="43" width="23.42578125" style="27" customWidth="1"/>
    <col min="44" max="44" width="56" style="27" customWidth="1"/>
    <col min="45" max="45" width="73.5703125" style="27" bestFit="1" customWidth="1"/>
    <col min="46" max="46" width="18.7109375" style="27" customWidth="1"/>
    <col min="47" max="16384" width="10.7109375" style="27"/>
  </cols>
  <sheetData>
    <row r="1" spans="1:45" ht="83.25" customHeight="1" x14ac:dyDescent="0.25">
      <c r="A1" s="28" t="s">
        <v>10</v>
      </c>
      <c r="B1" s="60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40" t="s">
        <v>16</v>
      </c>
      <c r="H1" s="40" t="s">
        <v>17</v>
      </c>
      <c r="I1" s="40" t="s">
        <v>18</v>
      </c>
      <c r="J1" s="40" t="s">
        <v>19</v>
      </c>
      <c r="K1" s="40" t="s">
        <v>20</v>
      </c>
      <c r="L1" s="40" t="s">
        <v>21</v>
      </c>
      <c r="M1" s="28" t="s">
        <v>22</v>
      </c>
      <c r="N1" s="28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40" t="s">
        <v>28</v>
      </c>
      <c r="T1" s="28" t="s">
        <v>29</v>
      </c>
      <c r="U1" s="28" t="s">
        <v>30</v>
      </c>
      <c r="V1" s="28" t="s">
        <v>31</v>
      </c>
      <c r="W1" s="28" t="s">
        <v>32</v>
      </c>
      <c r="X1" s="28" t="s">
        <v>33</v>
      </c>
      <c r="Y1" s="28" t="s">
        <v>34</v>
      </c>
      <c r="Z1" s="28" t="s">
        <v>35</v>
      </c>
      <c r="AA1" s="28" t="s">
        <v>36</v>
      </c>
      <c r="AB1" s="28" t="s">
        <v>37</v>
      </c>
      <c r="AC1" s="28" t="s">
        <v>38</v>
      </c>
      <c r="AD1" s="28" t="s">
        <v>39</v>
      </c>
      <c r="AE1" s="28" t="s">
        <v>40</v>
      </c>
      <c r="AF1" s="28" t="s">
        <v>41</v>
      </c>
      <c r="AG1" s="28" t="s">
        <v>42</v>
      </c>
      <c r="AH1" s="28" t="s">
        <v>43</v>
      </c>
      <c r="AI1" s="28" t="s">
        <v>44</v>
      </c>
      <c r="AJ1" s="28" t="s">
        <v>45</v>
      </c>
      <c r="AK1" s="28" t="s">
        <v>46</v>
      </c>
      <c r="AL1" s="28" t="s">
        <v>47</v>
      </c>
      <c r="AM1" s="28" t="s">
        <v>49</v>
      </c>
      <c r="AN1" s="28" t="s">
        <v>50</v>
      </c>
      <c r="AO1" s="28" t="s">
        <v>51</v>
      </c>
      <c r="AP1" s="28" t="s">
        <v>52</v>
      </c>
      <c r="AQ1" s="28" t="s">
        <v>53</v>
      </c>
      <c r="AR1" s="28" t="s">
        <v>54</v>
      </c>
      <c r="AS1" s="28" t="s">
        <v>55</v>
      </c>
    </row>
    <row r="2" spans="1:45" ht="42.75" x14ac:dyDescent="0.25">
      <c r="A2" s="47">
        <v>28</v>
      </c>
      <c r="B2" s="64">
        <v>81112501</v>
      </c>
      <c r="C2" s="52" t="s">
        <v>258</v>
      </c>
      <c r="D2" s="50" t="s">
        <v>93</v>
      </c>
      <c r="E2" s="50" t="s">
        <v>259</v>
      </c>
      <c r="F2" s="50" t="s">
        <v>260</v>
      </c>
      <c r="G2" s="51" t="s">
        <v>59</v>
      </c>
      <c r="H2" s="51" t="s">
        <v>60</v>
      </c>
      <c r="I2" s="51">
        <v>2024</v>
      </c>
      <c r="J2" s="51">
        <v>86</v>
      </c>
      <c r="K2" s="50" t="s">
        <v>59</v>
      </c>
      <c r="L2" s="50" t="s">
        <v>5</v>
      </c>
      <c r="M2" s="52" t="s">
        <v>61</v>
      </c>
      <c r="N2" s="52" t="s">
        <v>533</v>
      </c>
      <c r="O2" s="52"/>
      <c r="P2" s="52" t="s">
        <v>64</v>
      </c>
      <c r="Q2" s="53" t="s">
        <v>534</v>
      </c>
      <c r="R2" s="52" t="s">
        <v>263</v>
      </c>
      <c r="S2" s="46"/>
      <c r="T2" s="30"/>
      <c r="U2" s="35"/>
      <c r="V2" s="68">
        <v>0</v>
      </c>
      <c r="W2" s="36"/>
      <c r="X2" s="36"/>
      <c r="Y2" s="36"/>
      <c r="Z2" s="36"/>
      <c r="AA2" s="36"/>
      <c r="AB2" s="36"/>
      <c r="AC2" s="37" t="s">
        <v>90</v>
      </c>
      <c r="AD2" s="30" t="s">
        <v>267</v>
      </c>
      <c r="AE2" s="38"/>
      <c r="AF2" s="38">
        <v>0</v>
      </c>
      <c r="AG2" s="38">
        <f t="shared" ref="AG2:AG23" si="0">AE2+AF2</f>
        <v>0</v>
      </c>
      <c r="AH2" s="38"/>
      <c r="AI2" s="38"/>
      <c r="AJ2" s="38"/>
      <c r="AK2" s="38">
        <v>18371251</v>
      </c>
      <c r="AL2" s="38">
        <f>IF(K2="Si",(AK2-AE2),0)</f>
        <v>18371251</v>
      </c>
      <c r="AM2" s="66"/>
      <c r="AN2" s="38"/>
      <c r="AO2" s="54">
        <f t="shared" ref="AO2:AO23" si="1">IF(AI2=0,0,ROUND(AM2/AI2,2))</f>
        <v>0</v>
      </c>
      <c r="AP2" s="65">
        <f t="shared" ref="AP2:AP23" si="2">AI2-AM2</f>
        <v>0</v>
      </c>
      <c r="AQ2" s="30"/>
      <c r="AR2" s="43"/>
      <c r="AS2" s="32"/>
    </row>
    <row r="3" spans="1:45" ht="71.25" x14ac:dyDescent="0.25">
      <c r="A3" s="47">
        <v>25</v>
      </c>
      <c r="B3" s="64"/>
      <c r="C3" s="52"/>
      <c r="D3" s="50" t="s">
        <v>56</v>
      </c>
      <c r="E3" s="50" t="s">
        <v>82</v>
      </c>
      <c r="F3" s="50" t="s">
        <v>284</v>
      </c>
      <c r="G3" s="51" t="s">
        <v>59</v>
      </c>
      <c r="H3" s="51" t="s">
        <v>60</v>
      </c>
      <c r="I3" s="51">
        <v>2024</v>
      </c>
      <c r="J3" s="51">
        <v>105</v>
      </c>
      <c r="K3" s="50" t="s">
        <v>59</v>
      </c>
      <c r="L3" s="50" t="s">
        <v>5</v>
      </c>
      <c r="M3" s="52" t="s">
        <v>61</v>
      </c>
      <c r="N3" s="52" t="s">
        <v>535</v>
      </c>
      <c r="O3" s="52"/>
      <c r="P3" s="52" t="s">
        <v>64</v>
      </c>
      <c r="Q3" s="53" t="s">
        <v>284</v>
      </c>
      <c r="R3" s="52" t="s">
        <v>287</v>
      </c>
      <c r="S3" s="46"/>
      <c r="T3" s="30"/>
      <c r="U3" s="35"/>
      <c r="V3" s="68">
        <v>0</v>
      </c>
      <c r="W3" s="36"/>
      <c r="X3" s="36"/>
      <c r="Y3" s="36"/>
      <c r="Z3" s="36"/>
      <c r="AA3" s="36"/>
      <c r="AB3" s="36"/>
      <c r="AC3" s="37" t="s">
        <v>72</v>
      </c>
      <c r="AD3" s="30" t="s">
        <v>336</v>
      </c>
      <c r="AE3" s="38"/>
      <c r="AF3" s="38">
        <v>0</v>
      </c>
      <c r="AG3" s="38">
        <f t="shared" si="0"/>
        <v>0</v>
      </c>
      <c r="AH3" s="38"/>
      <c r="AI3" s="38"/>
      <c r="AJ3" s="38"/>
      <c r="AK3" s="38">
        <v>92400000</v>
      </c>
      <c r="AL3" s="38">
        <f>IF(K3="Si",(AK3-AE3),0)</f>
        <v>92400000</v>
      </c>
      <c r="AM3" s="66"/>
      <c r="AN3" s="38"/>
      <c r="AO3" s="54">
        <f t="shared" si="1"/>
        <v>0</v>
      </c>
      <c r="AP3" s="65">
        <f t="shared" si="2"/>
        <v>0</v>
      </c>
      <c r="AQ3" s="30"/>
      <c r="AR3" s="43"/>
      <c r="AS3" s="32"/>
    </row>
    <row r="4" spans="1:45" ht="86.1" customHeight="1" x14ac:dyDescent="0.25">
      <c r="A4" s="47">
        <v>26</v>
      </c>
      <c r="B4" s="64">
        <v>80111614</v>
      </c>
      <c r="C4" s="52"/>
      <c r="D4" s="50" t="s">
        <v>56</v>
      </c>
      <c r="E4" s="50" t="s">
        <v>82</v>
      </c>
      <c r="F4" s="50" t="s">
        <v>296</v>
      </c>
      <c r="G4" s="51" t="s">
        <v>59</v>
      </c>
      <c r="H4" s="51" t="s">
        <v>60</v>
      </c>
      <c r="I4" s="51">
        <v>2024</v>
      </c>
      <c r="J4" s="51">
        <v>106</v>
      </c>
      <c r="K4" s="50" t="s">
        <v>59</v>
      </c>
      <c r="L4" s="50" t="s">
        <v>5</v>
      </c>
      <c r="M4" s="52" t="s">
        <v>61</v>
      </c>
      <c r="N4" s="52" t="s">
        <v>536</v>
      </c>
      <c r="O4" s="52"/>
      <c r="P4" s="52" t="s">
        <v>64</v>
      </c>
      <c r="Q4" s="53" t="s">
        <v>537</v>
      </c>
      <c r="R4" s="52" t="s">
        <v>299</v>
      </c>
      <c r="S4" s="45"/>
      <c r="T4" s="30"/>
      <c r="U4" s="35"/>
      <c r="V4" s="68">
        <v>0</v>
      </c>
      <c r="W4" s="36"/>
      <c r="X4" s="36"/>
      <c r="Y4" s="36"/>
      <c r="Z4" s="36"/>
      <c r="AA4" s="36"/>
      <c r="AB4" s="36"/>
      <c r="AC4" s="37" t="s">
        <v>72</v>
      </c>
      <c r="AD4" s="30" t="s">
        <v>336</v>
      </c>
      <c r="AE4" s="38"/>
      <c r="AF4" s="38">
        <v>0</v>
      </c>
      <c r="AG4" s="38">
        <f t="shared" si="0"/>
        <v>0</v>
      </c>
      <c r="AH4" s="38"/>
      <c r="AI4" s="38"/>
      <c r="AJ4" s="38"/>
      <c r="AK4" s="38">
        <v>197034750</v>
      </c>
      <c r="AL4" s="38">
        <f>IF(K4="Si",(AK4-AE4),0)</f>
        <v>197034750</v>
      </c>
      <c r="AM4" s="66"/>
      <c r="AN4" s="38"/>
      <c r="AO4" s="54">
        <f t="shared" si="1"/>
        <v>0</v>
      </c>
      <c r="AP4" s="65">
        <f t="shared" si="2"/>
        <v>0</v>
      </c>
      <c r="AQ4" s="30"/>
      <c r="AR4" s="30"/>
      <c r="AS4" s="32"/>
    </row>
    <row r="5" spans="1:45" ht="42.75" x14ac:dyDescent="0.25">
      <c r="A5" s="47">
        <v>27</v>
      </c>
      <c r="B5" s="64" t="s">
        <v>271</v>
      </c>
      <c r="C5" s="52"/>
      <c r="D5" s="50" t="s">
        <v>93</v>
      </c>
      <c r="E5" s="50" t="s">
        <v>272</v>
      </c>
      <c r="F5" s="50" t="s">
        <v>273</v>
      </c>
      <c r="G5" s="51" t="s">
        <v>109</v>
      </c>
      <c r="H5" s="51" t="s">
        <v>274</v>
      </c>
      <c r="I5" s="51">
        <v>2024</v>
      </c>
      <c r="J5" s="51">
        <v>76</v>
      </c>
      <c r="K5" s="50" t="s">
        <v>59</v>
      </c>
      <c r="L5" s="50" t="s">
        <v>5</v>
      </c>
      <c r="M5" s="52" t="s">
        <v>61</v>
      </c>
      <c r="N5" s="52" t="s">
        <v>538</v>
      </c>
      <c r="O5" s="52"/>
      <c r="P5" s="52" t="s">
        <v>64</v>
      </c>
      <c r="Q5" s="53" t="s">
        <v>539</v>
      </c>
      <c r="R5" s="52" t="s">
        <v>277</v>
      </c>
      <c r="S5" s="45"/>
      <c r="T5" s="44"/>
      <c r="U5" s="35"/>
      <c r="V5" s="68">
        <v>0</v>
      </c>
      <c r="W5" s="36"/>
      <c r="X5" s="36"/>
      <c r="Y5" s="36"/>
      <c r="Z5" s="36"/>
      <c r="AA5" s="36"/>
      <c r="AB5" s="36"/>
      <c r="AC5" s="37" t="s">
        <v>90</v>
      </c>
      <c r="AD5" s="30" t="s">
        <v>267</v>
      </c>
      <c r="AE5" s="38"/>
      <c r="AF5" s="38">
        <v>0</v>
      </c>
      <c r="AG5" s="38">
        <f t="shared" si="0"/>
        <v>0</v>
      </c>
      <c r="AH5" s="38"/>
      <c r="AI5" s="38"/>
      <c r="AJ5" s="38"/>
      <c r="AK5" s="38">
        <v>2550000</v>
      </c>
      <c r="AL5" s="38">
        <f t="shared" ref="AL5:AL23" si="3">IF(K5="Si",(AK5-AE5),0)</f>
        <v>2550000</v>
      </c>
      <c r="AM5" s="66"/>
      <c r="AN5" s="38"/>
      <c r="AO5" s="54">
        <f t="shared" si="1"/>
        <v>0</v>
      </c>
      <c r="AP5" s="65">
        <f t="shared" si="2"/>
        <v>0</v>
      </c>
      <c r="AQ5" s="30"/>
      <c r="AR5" s="30"/>
      <c r="AS5" s="32"/>
    </row>
    <row r="6" spans="1:45" ht="71.25" x14ac:dyDescent="0.25">
      <c r="A6" s="47">
        <v>43</v>
      </c>
      <c r="B6" s="64">
        <v>80111614</v>
      </c>
      <c r="C6" s="52" t="s">
        <v>283</v>
      </c>
      <c r="D6" s="50" t="s">
        <v>56</v>
      </c>
      <c r="E6" s="50" t="s">
        <v>82</v>
      </c>
      <c r="F6" s="50" t="s">
        <v>316</v>
      </c>
      <c r="G6" s="51" t="s">
        <v>59</v>
      </c>
      <c r="H6" s="51" t="s">
        <v>60</v>
      </c>
      <c r="I6" s="51">
        <v>2024</v>
      </c>
      <c r="J6" s="51">
        <v>152</v>
      </c>
      <c r="K6" s="50" t="s">
        <v>59</v>
      </c>
      <c r="L6" s="50" t="s">
        <v>540</v>
      </c>
      <c r="M6" s="52" t="s">
        <v>61</v>
      </c>
      <c r="N6" s="52" t="s">
        <v>129</v>
      </c>
      <c r="O6" s="52"/>
      <c r="P6" s="52" t="s">
        <v>64</v>
      </c>
      <c r="Q6" s="53" t="s">
        <v>541</v>
      </c>
      <c r="R6" s="52" t="s">
        <v>326</v>
      </c>
      <c r="S6" s="46"/>
      <c r="T6" s="30"/>
      <c r="U6" s="35"/>
      <c r="V6" s="68">
        <v>0</v>
      </c>
      <c r="W6" s="36"/>
      <c r="X6" s="36"/>
      <c r="Y6" s="36"/>
      <c r="Z6" s="36"/>
      <c r="AA6" s="36"/>
      <c r="AB6" s="36"/>
      <c r="AC6" s="37" t="s">
        <v>72</v>
      </c>
      <c r="AD6" s="30" t="s">
        <v>336</v>
      </c>
      <c r="AE6" s="38"/>
      <c r="AF6" s="38">
        <v>0</v>
      </c>
      <c r="AG6" s="38">
        <f>AE6+AF6</f>
        <v>0</v>
      </c>
      <c r="AH6" s="38"/>
      <c r="AI6" s="38"/>
      <c r="AJ6" s="38"/>
      <c r="AK6" s="38">
        <v>51000000</v>
      </c>
      <c r="AL6" s="38">
        <f>IF(K6="Si",(AK6-AE6),0)</f>
        <v>51000000</v>
      </c>
      <c r="AM6" s="66"/>
      <c r="AN6" s="38"/>
      <c r="AO6" s="54">
        <f t="shared" si="1"/>
        <v>0</v>
      </c>
      <c r="AP6" s="65">
        <f t="shared" si="2"/>
        <v>0</v>
      </c>
      <c r="AQ6" s="30"/>
      <c r="AR6" s="43"/>
      <c r="AS6" s="32"/>
    </row>
    <row r="7" spans="1:45" ht="71.25" x14ac:dyDescent="0.25">
      <c r="A7" s="47">
        <v>44</v>
      </c>
      <c r="B7" s="64">
        <v>80111614</v>
      </c>
      <c r="C7" s="52" t="s">
        <v>283</v>
      </c>
      <c r="D7" s="50" t="s">
        <v>56</v>
      </c>
      <c r="E7" s="50" t="s">
        <v>82</v>
      </c>
      <c r="F7" s="50" t="s">
        <v>316</v>
      </c>
      <c r="G7" s="51" t="s">
        <v>59</v>
      </c>
      <c r="H7" s="51" t="s">
        <v>60</v>
      </c>
      <c r="I7" s="51">
        <v>2024</v>
      </c>
      <c r="J7" s="51">
        <v>153</v>
      </c>
      <c r="K7" s="50" t="s">
        <v>59</v>
      </c>
      <c r="L7" s="50" t="s">
        <v>542</v>
      </c>
      <c r="M7" s="52" t="s">
        <v>61</v>
      </c>
      <c r="N7" s="52" t="s">
        <v>129</v>
      </c>
      <c r="O7" s="52"/>
      <c r="P7" s="52" t="s">
        <v>64</v>
      </c>
      <c r="Q7" s="53" t="s">
        <v>541</v>
      </c>
      <c r="R7" s="52" t="s">
        <v>319</v>
      </c>
      <c r="S7" s="46"/>
      <c r="T7" s="30"/>
      <c r="U7" s="35"/>
      <c r="V7" s="68">
        <v>0</v>
      </c>
      <c r="W7" s="36"/>
      <c r="X7" s="36"/>
      <c r="Y7" s="36"/>
      <c r="Z7" s="36"/>
      <c r="AA7" s="36"/>
      <c r="AB7" s="36"/>
      <c r="AC7" s="37" t="s">
        <v>72</v>
      </c>
      <c r="AD7" s="30" t="s">
        <v>336</v>
      </c>
      <c r="AE7" s="38"/>
      <c r="AF7" s="38">
        <v>0</v>
      </c>
      <c r="AG7" s="38">
        <f>AE7+AF7</f>
        <v>0</v>
      </c>
      <c r="AH7" s="38"/>
      <c r="AI7" s="38"/>
      <c r="AJ7" s="38"/>
      <c r="AK7" s="38">
        <v>51000000</v>
      </c>
      <c r="AL7" s="38">
        <f>IF(K7="Si",(AK7-AE7),0)</f>
        <v>51000000</v>
      </c>
      <c r="AM7" s="66"/>
      <c r="AN7" s="38"/>
      <c r="AO7" s="54">
        <f t="shared" si="1"/>
        <v>0</v>
      </c>
      <c r="AP7" s="65">
        <f t="shared" si="2"/>
        <v>0</v>
      </c>
      <c r="AQ7" s="30"/>
      <c r="AR7" s="43"/>
      <c r="AS7" s="32"/>
    </row>
    <row r="8" spans="1:45" ht="71.25" x14ac:dyDescent="0.25">
      <c r="A8" s="47">
        <v>45</v>
      </c>
      <c r="B8" s="64">
        <v>80111614</v>
      </c>
      <c r="C8" s="52" t="s">
        <v>283</v>
      </c>
      <c r="D8" s="50" t="s">
        <v>56</v>
      </c>
      <c r="E8" s="50" t="s">
        <v>82</v>
      </c>
      <c r="F8" s="50" t="s">
        <v>331</v>
      </c>
      <c r="G8" s="51" t="s">
        <v>59</v>
      </c>
      <c r="H8" s="51" t="s">
        <v>60</v>
      </c>
      <c r="I8" s="51">
        <v>2024</v>
      </c>
      <c r="J8" s="51">
        <v>154</v>
      </c>
      <c r="K8" s="50" t="s">
        <v>59</v>
      </c>
      <c r="L8" s="50" t="s">
        <v>543</v>
      </c>
      <c r="M8" s="52" t="s">
        <v>61</v>
      </c>
      <c r="N8" s="52" t="s">
        <v>129</v>
      </c>
      <c r="O8" s="52"/>
      <c r="P8" s="52" t="s">
        <v>64</v>
      </c>
      <c r="Q8" s="53" t="s">
        <v>452</v>
      </c>
      <c r="R8" s="52" t="s">
        <v>333</v>
      </c>
      <c r="S8" s="46"/>
      <c r="T8" s="30"/>
      <c r="U8" s="35"/>
      <c r="V8" s="68">
        <v>0</v>
      </c>
      <c r="W8" s="36"/>
      <c r="X8" s="36"/>
      <c r="Y8" s="36"/>
      <c r="Z8" s="36"/>
      <c r="AA8" s="36"/>
      <c r="AB8" s="36"/>
      <c r="AC8" s="37" t="s">
        <v>72</v>
      </c>
      <c r="AD8" s="30" t="s">
        <v>336</v>
      </c>
      <c r="AE8" s="38"/>
      <c r="AF8" s="38">
        <v>0</v>
      </c>
      <c r="AG8" s="38">
        <f>AE8+AF8</f>
        <v>0</v>
      </c>
      <c r="AH8" s="38"/>
      <c r="AI8" s="38"/>
      <c r="AJ8" s="38"/>
      <c r="AK8" s="38">
        <v>76000000</v>
      </c>
      <c r="AL8" s="38">
        <f>IF(K8="Si",(AK8-AE8),0)</f>
        <v>76000000</v>
      </c>
      <c r="AM8" s="66"/>
      <c r="AN8" s="38"/>
      <c r="AO8" s="54">
        <f t="shared" si="1"/>
        <v>0</v>
      </c>
      <c r="AP8" s="65">
        <f t="shared" si="2"/>
        <v>0</v>
      </c>
      <c r="AQ8" s="30"/>
      <c r="AR8" s="43"/>
      <c r="AS8" s="32"/>
    </row>
    <row r="9" spans="1:45" ht="71.25" x14ac:dyDescent="0.25">
      <c r="A9" s="47">
        <v>46</v>
      </c>
      <c r="B9" s="64">
        <v>80111614</v>
      </c>
      <c r="C9" s="52" t="s">
        <v>283</v>
      </c>
      <c r="D9" s="50" t="s">
        <v>56</v>
      </c>
      <c r="E9" s="50" t="s">
        <v>82</v>
      </c>
      <c r="F9" s="50" t="s">
        <v>331</v>
      </c>
      <c r="G9" s="51" t="s">
        <v>59</v>
      </c>
      <c r="H9" s="51" t="s">
        <v>60</v>
      </c>
      <c r="I9" s="51">
        <v>2024</v>
      </c>
      <c r="J9" s="51">
        <v>155</v>
      </c>
      <c r="K9" s="50" t="s">
        <v>59</v>
      </c>
      <c r="L9" s="50" t="s">
        <v>451</v>
      </c>
      <c r="M9" s="52" t="s">
        <v>61</v>
      </c>
      <c r="N9" s="52" t="s">
        <v>129</v>
      </c>
      <c r="O9" s="52"/>
      <c r="P9" s="52" t="s">
        <v>64</v>
      </c>
      <c r="Q9" s="53" t="s">
        <v>452</v>
      </c>
      <c r="R9" s="52" t="s">
        <v>333</v>
      </c>
      <c r="S9" s="46"/>
      <c r="T9" s="30"/>
      <c r="U9" s="35"/>
      <c r="V9" s="68">
        <v>0</v>
      </c>
      <c r="W9" s="36"/>
      <c r="X9" s="36"/>
      <c r="Y9" s="36"/>
      <c r="Z9" s="36"/>
      <c r="AA9" s="36"/>
      <c r="AB9" s="36"/>
      <c r="AC9" s="37" t="s">
        <v>72</v>
      </c>
      <c r="AD9" s="30" t="s">
        <v>336</v>
      </c>
      <c r="AE9" s="38"/>
      <c r="AF9" s="38">
        <v>0</v>
      </c>
      <c r="AG9" s="38">
        <f>AE9+AF9</f>
        <v>0</v>
      </c>
      <c r="AH9" s="38"/>
      <c r="AI9" s="38"/>
      <c r="AJ9" s="38"/>
      <c r="AK9" s="38">
        <v>76000000</v>
      </c>
      <c r="AL9" s="38">
        <f>IF(K9="Si",(AK9-AE9),0)</f>
        <v>76000000</v>
      </c>
      <c r="AM9" s="66"/>
      <c r="AN9" s="38"/>
      <c r="AO9" s="54">
        <f t="shared" si="1"/>
        <v>0</v>
      </c>
      <c r="AP9" s="65">
        <f t="shared" si="2"/>
        <v>0</v>
      </c>
      <c r="AQ9" s="30"/>
      <c r="AR9" s="43"/>
      <c r="AS9" s="32"/>
    </row>
    <row r="10" spans="1:45" ht="51.6" customHeight="1" x14ac:dyDescent="0.25">
      <c r="A10" s="47">
        <v>29</v>
      </c>
      <c r="B10" s="64" t="s">
        <v>378</v>
      </c>
      <c r="C10" s="52" t="s">
        <v>379</v>
      </c>
      <c r="D10" s="50" t="s">
        <v>93</v>
      </c>
      <c r="E10" s="50" t="s">
        <v>305</v>
      </c>
      <c r="F10" s="50" t="s">
        <v>380</v>
      </c>
      <c r="G10" s="51" t="s">
        <v>59</v>
      </c>
      <c r="H10" s="51" t="s">
        <v>60</v>
      </c>
      <c r="I10" s="51">
        <v>2024</v>
      </c>
      <c r="J10" s="51">
        <v>84</v>
      </c>
      <c r="K10" s="50" t="s">
        <v>59</v>
      </c>
      <c r="L10" s="50" t="s">
        <v>5</v>
      </c>
      <c r="M10" s="52" t="s">
        <v>61</v>
      </c>
      <c r="N10" s="52" t="s">
        <v>96</v>
      </c>
      <c r="O10" s="52"/>
      <c r="P10" s="52" t="s">
        <v>64</v>
      </c>
      <c r="Q10" s="53"/>
      <c r="R10" s="52" t="s">
        <v>381</v>
      </c>
      <c r="S10" s="57"/>
      <c r="T10" s="34"/>
      <c r="U10" s="35"/>
      <c r="V10" s="68">
        <v>0</v>
      </c>
      <c r="W10" s="36"/>
      <c r="X10" s="36"/>
      <c r="Y10" s="36"/>
      <c r="Z10" s="36"/>
      <c r="AA10" s="36"/>
      <c r="AB10" s="36"/>
      <c r="AC10" s="37" t="s">
        <v>90</v>
      </c>
      <c r="AD10" s="30" t="s">
        <v>267</v>
      </c>
      <c r="AE10" s="38"/>
      <c r="AF10" s="38">
        <v>0</v>
      </c>
      <c r="AG10" s="38">
        <f t="shared" si="0"/>
        <v>0</v>
      </c>
      <c r="AH10" s="38"/>
      <c r="AI10" s="38"/>
      <c r="AJ10" s="38"/>
      <c r="AK10" s="38">
        <v>4500000</v>
      </c>
      <c r="AL10" s="38">
        <f t="shared" si="3"/>
        <v>4500000</v>
      </c>
      <c r="AM10" s="66"/>
      <c r="AN10" s="38"/>
      <c r="AO10" s="54">
        <f t="shared" si="1"/>
        <v>0</v>
      </c>
      <c r="AP10" s="65">
        <f t="shared" si="2"/>
        <v>0</v>
      </c>
      <c r="AQ10" s="30"/>
      <c r="AR10" s="30"/>
      <c r="AS10" s="32"/>
    </row>
    <row r="11" spans="1:45" ht="42.75" x14ac:dyDescent="0.25">
      <c r="A11" s="47">
        <v>30</v>
      </c>
      <c r="B11" s="64"/>
      <c r="C11" s="52"/>
      <c r="D11" s="50" t="s">
        <v>93</v>
      </c>
      <c r="E11" s="50" t="s">
        <v>272</v>
      </c>
      <c r="F11" s="50" t="s">
        <v>365</v>
      </c>
      <c r="G11" s="51" t="s">
        <v>59</v>
      </c>
      <c r="H11" s="51" t="s">
        <v>60</v>
      </c>
      <c r="I11" s="51">
        <v>2024</v>
      </c>
      <c r="J11" s="51">
        <v>85</v>
      </c>
      <c r="K11" s="50" t="s">
        <v>59</v>
      </c>
      <c r="L11" s="50" t="s">
        <v>5</v>
      </c>
      <c r="M11" s="52" t="s">
        <v>61</v>
      </c>
      <c r="N11" s="52" t="s">
        <v>533</v>
      </c>
      <c r="O11" s="52"/>
      <c r="P11" s="52" t="s">
        <v>64</v>
      </c>
      <c r="Q11" s="53" t="s">
        <v>367</v>
      </c>
      <c r="R11" s="52" t="s">
        <v>368</v>
      </c>
      <c r="S11" s="46"/>
      <c r="T11" s="30"/>
      <c r="U11" s="35"/>
      <c r="V11" s="68"/>
      <c r="W11" s="36"/>
      <c r="X11" s="36"/>
      <c r="Y11" s="36"/>
      <c r="Z11" s="36"/>
      <c r="AA11" s="36"/>
      <c r="AB11" s="36"/>
      <c r="AC11" s="37" t="s">
        <v>90</v>
      </c>
      <c r="AD11" s="30" t="s">
        <v>267</v>
      </c>
      <c r="AE11" s="38"/>
      <c r="AF11" s="38">
        <v>0</v>
      </c>
      <c r="AG11" s="38">
        <f t="shared" si="0"/>
        <v>0</v>
      </c>
      <c r="AH11" s="38"/>
      <c r="AI11" s="38"/>
      <c r="AJ11" s="38"/>
      <c r="AK11" s="38">
        <v>20000000</v>
      </c>
      <c r="AL11" s="38">
        <f t="shared" si="3"/>
        <v>20000000</v>
      </c>
      <c r="AM11" s="66"/>
      <c r="AN11" s="38"/>
      <c r="AO11" s="54">
        <f t="shared" si="1"/>
        <v>0</v>
      </c>
      <c r="AP11" s="65">
        <f t="shared" si="2"/>
        <v>0</v>
      </c>
      <c r="AQ11" s="30"/>
      <c r="AR11" s="30"/>
      <c r="AS11" s="32"/>
    </row>
    <row r="12" spans="1:45" ht="40.5" customHeight="1" x14ac:dyDescent="0.25">
      <c r="A12" s="47">
        <v>31</v>
      </c>
      <c r="B12" s="64"/>
      <c r="C12" s="52"/>
      <c r="D12" s="50" t="s">
        <v>93</v>
      </c>
      <c r="E12" s="50" t="s">
        <v>272</v>
      </c>
      <c r="F12" s="50" t="s">
        <v>382</v>
      </c>
      <c r="G12" s="51" t="s">
        <v>59</v>
      </c>
      <c r="H12" s="51" t="s">
        <v>60</v>
      </c>
      <c r="I12" s="51">
        <v>2024</v>
      </c>
      <c r="J12" s="51">
        <v>87</v>
      </c>
      <c r="K12" s="50" t="s">
        <v>59</v>
      </c>
      <c r="L12" s="50" t="s">
        <v>5</v>
      </c>
      <c r="M12" s="52" t="s">
        <v>61</v>
      </c>
      <c r="N12" s="52" t="s">
        <v>96</v>
      </c>
      <c r="O12" s="52"/>
      <c r="P12" s="52" t="s">
        <v>64</v>
      </c>
      <c r="Q12" s="53"/>
      <c r="R12" s="52" t="s">
        <v>383</v>
      </c>
      <c r="S12" s="45"/>
      <c r="T12" s="30"/>
      <c r="U12" s="35"/>
      <c r="V12" s="68">
        <v>0</v>
      </c>
      <c r="W12" s="36"/>
      <c r="X12" s="36"/>
      <c r="Y12" s="36"/>
      <c r="Z12" s="36"/>
      <c r="AA12" s="36"/>
      <c r="AB12" s="36"/>
      <c r="AC12" s="37" t="s">
        <v>90</v>
      </c>
      <c r="AD12" s="30" t="s">
        <v>104</v>
      </c>
      <c r="AE12" s="38"/>
      <c r="AF12" s="38">
        <v>0</v>
      </c>
      <c r="AG12" s="38">
        <f t="shared" si="0"/>
        <v>0</v>
      </c>
      <c r="AH12" s="38"/>
      <c r="AI12" s="38"/>
      <c r="AJ12" s="38"/>
      <c r="AK12" s="38">
        <v>270000000</v>
      </c>
      <c r="AL12" s="38">
        <f t="shared" si="3"/>
        <v>270000000</v>
      </c>
      <c r="AM12" s="66"/>
      <c r="AN12" s="38"/>
      <c r="AO12" s="54">
        <f t="shared" si="1"/>
        <v>0</v>
      </c>
      <c r="AP12" s="65">
        <f t="shared" si="2"/>
        <v>0</v>
      </c>
      <c r="AQ12" s="30"/>
      <c r="AR12" s="30"/>
      <c r="AS12" s="32"/>
    </row>
    <row r="13" spans="1:45" ht="42.75" x14ac:dyDescent="0.25">
      <c r="A13" s="47">
        <v>32</v>
      </c>
      <c r="B13" s="64">
        <v>81112501</v>
      </c>
      <c r="C13" s="52" t="s">
        <v>379</v>
      </c>
      <c r="D13" s="50" t="s">
        <v>93</v>
      </c>
      <c r="E13" s="50" t="s">
        <v>272</v>
      </c>
      <c r="F13" s="50" t="s">
        <v>384</v>
      </c>
      <c r="G13" s="51" t="s">
        <v>59</v>
      </c>
      <c r="H13" s="51" t="s">
        <v>60</v>
      </c>
      <c r="I13" s="51">
        <v>2024</v>
      </c>
      <c r="J13" s="51">
        <v>88</v>
      </c>
      <c r="K13" s="50" t="s">
        <v>59</v>
      </c>
      <c r="L13" s="50" t="s">
        <v>5</v>
      </c>
      <c r="M13" s="52" t="s">
        <v>61</v>
      </c>
      <c r="N13" s="52" t="s">
        <v>538</v>
      </c>
      <c r="O13" s="52"/>
      <c r="P13" s="52" t="s">
        <v>64</v>
      </c>
      <c r="Q13" s="53"/>
      <c r="R13" s="52" t="s">
        <v>386</v>
      </c>
      <c r="S13" s="45"/>
      <c r="T13" s="30"/>
      <c r="U13" s="35"/>
      <c r="V13" s="68">
        <v>0</v>
      </c>
      <c r="W13" s="36"/>
      <c r="X13" s="36"/>
      <c r="Y13" s="36"/>
      <c r="Z13" s="36"/>
      <c r="AA13" s="36"/>
      <c r="AB13" s="36"/>
      <c r="AC13" s="37" t="s">
        <v>90</v>
      </c>
      <c r="AD13" s="30" t="s">
        <v>267</v>
      </c>
      <c r="AE13" s="38"/>
      <c r="AF13" s="38">
        <v>0</v>
      </c>
      <c r="AG13" s="38">
        <f t="shared" si="0"/>
        <v>0</v>
      </c>
      <c r="AH13" s="38"/>
      <c r="AI13" s="38"/>
      <c r="AJ13" s="38"/>
      <c r="AK13" s="38">
        <v>18000000</v>
      </c>
      <c r="AL13" s="38">
        <f t="shared" si="3"/>
        <v>18000000</v>
      </c>
      <c r="AM13" s="66"/>
      <c r="AN13" s="38"/>
      <c r="AO13" s="54">
        <f t="shared" si="1"/>
        <v>0</v>
      </c>
      <c r="AP13" s="65">
        <f t="shared" si="2"/>
        <v>0</v>
      </c>
      <c r="AQ13" s="30"/>
      <c r="AR13" s="43"/>
      <c r="AS13" s="32"/>
    </row>
    <row r="14" spans="1:45" ht="42.75" x14ac:dyDescent="0.25">
      <c r="A14" s="47">
        <v>33</v>
      </c>
      <c r="B14" s="64"/>
      <c r="C14" s="52"/>
      <c r="D14" s="50" t="s">
        <v>93</v>
      </c>
      <c r="E14" s="50" t="s">
        <v>119</v>
      </c>
      <c r="F14" s="50" t="s">
        <v>387</v>
      </c>
      <c r="G14" s="51" t="s">
        <v>59</v>
      </c>
      <c r="H14" s="51" t="s">
        <v>60</v>
      </c>
      <c r="I14" s="51">
        <v>2024</v>
      </c>
      <c r="J14" s="51">
        <v>89</v>
      </c>
      <c r="K14" s="50" t="s">
        <v>59</v>
      </c>
      <c r="L14" s="50" t="s">
        <v>5</v>
      </c>
      <c r="M14" s="52" t="s">
        <v>61</v>
      </c>
      <c r="N14" s="52" t="s">
        <v>96</v>
      </c>
      <c r="O14" s="52"/>
      <c r="P14" s="52" t="s">
        <v>112</v>
      </c>
      <c r="Q14" s="53"/>
      <c r="R14" s="52" t="s">
        <v>388</v>
      </c>
      <c r="S14" s="45"/>
      <c r="T14" s="44"/>
      <c r="U14" s="35"/>
      <c r="V14" s="68">
        <v>0</v>
      </c>
      <c r="W14" s="36"/>
      <c r="X14" s="36"/>
      <c r="Y14" s="36"/>
      <c r="Z14" s="36"/>
      <c r="AA14" s="36"/>
      <c r="AB14" s="36"/>
      <c r="AC14" s="37" t="s">
        <v>90</v>
      </c>
      <c r="AD14" s="30" t="s">
        <v>312</v>
      </c>
      <c r="AE14" s="38"/>
      <c r="AF14" s="38">
        <v>0</v>
      </c>
      <c r="AG14" s="38">
        <f t="shared" si="0"/>
        <v>0</v>
      </c>
      <c r="AH14" s="38"/>
      <c r="AI14" s="38"/>
      <c r="AJ14" s="38"/>
      <c r="AK14" s="38">
        <v>15000000</v>
      </c>
      <c r="AL14" s="38">
        <f t="shared" si="3"/>
        <v>15000000</v>
      </c>
      <c r="AM14" s="66"/>
      <c r="AN14" s="38"/>
      <c r="AO14" s="54">
        <f t="shared" si="1"/>
        <v>0</v>
      </c>
      <c r="AP14" s="65">
        <f t="shared" si="2"/>
        <v>0</v>
      </c>
      <c r="AQ14" s="30"/>
      <c r="AR14" s="30"/>
      <c r="AS14" s="32"/>
    </row>
    <row r="15" spans="1:45" ht="42.75" x14ac:dyDescent="0.25">
      <c r="A15" s="47">
        <v>34</v>
      </c>
      <c r="B15" s="64"/>
      <c r="C15" s="52"/>
      <c r="D15" s="50" t="s">
        <v>389</v>
      </c>
      <c r="E15" s="50" t="s">
        <v>212</v>
      </c>
      <c r="F15" s="50" t="s">
        <v>390</v>
      </c>
      <c r="G15" s="51" t="s">
        <v>59</v>
      </c>
      <c r="H15" s="51" t="s">
        <v>60</v>
      </c>
      <c r="I15" s="51">
        <v>2024</v>
      </c>
      <c r="J15" s="51">
        <v>93</v>
      </c>
      <c r="K15" s="50" t="s">
        <v>59</v>
      </c>
      <c r="L15" s="50" t="s">
        <v>5</v>
      </c>
      <c r="M15" s="52" t="s">
        <v>61</v>
      </c>
      <c r="N15" s="52" t="s">
        <v>533</v>
      </c>
      <c r="O15" s="52"/>
      <c r="P15" s="52" t="s">
        <v>64</v>
      </c>
      <c r="Q15" s="53"/>
      <c r="R15" s="52" t="s">
        <v>391</v>
      </c>
      <c r="S15" s="45"/>
      <c r="T15" s="44"/>
      <c r="U15" s="35"/>
      <c r="V15" s="68">
        <v>0</v>
      </c>
      <c r="W15" s="36"/>
      <c r="X15" s="36"/>
      <c r="Y15" s="36"/>
      <c r="Z15" s="36"/>
      <c r="AA15" s="36"/>
      <c r="AB15" s="36"/>
      <c r="AC15" s="37" t="s">
        <v>90</v>
      </c>
      <c r="AD15" s="30" t="s">
        <v>312</v>
      </c>
      <c r="AE15" s="38"/>
      <c r="AF15" s="38">
        <v>0</v>
      </c>
      <c r="AG15" s="38">
        <f t="shared" si="0"/>
        <v>0</v>
      </c>
      <c r="AH15" s="38"/>
      <c r="AI15" s="38"/>
      <c r="AJ15" s="38"/>
      <c r="AK15" s="38">
        <v>38023681</v>
      </c>
      <c r="AL15" s="38">
        <f t="shared" si="3"/>
        <v>38023681</v>
      </c>
      <c r="AM15" s="66"/>
      <c r="AN15" s="38"/>
      <c r="AO15" s="54">
        <f t="shared" si="1"/>
        <v>0</v>
      </c>
      <c r="AP15" s="65">
        <f t="shared" si="2"/>
        <v>0</v>
      </c>
      <c r="AQ15" s="30"/>
      <c r="AR15" s="43"/>
      <c r="AS15" s="32"/>
    </row>
    <row r="16" spans="1:45" ht="42.75" x14ac:dyDescent="0.25">
      <c r="A16" s="47">
        <v>35</v>
      </c>
      <c r="B16" s="64"/>
      <c r="C16" s="52"/>
      <c r="D16" s="50" t="s">
        <v>93</v>
      </c>
      <c r="E16" s="50" t="s">
        <v>406</v>
      </c>
      <c r="F16" s="50" t="s">
        <v>446</v>
      </c>
      <c r="G16" s="51" t="s">
        <v>59</v>
      </c>
      <c r="H16" s="51" t="s">
        <v>60</v>
      </c>
      <c r="I16" s="51">
        <v>2024</v>
      </c>
      <c r="J16" s="51">
        <v>96</v>
      </c>
      <c r="K16" s="50" t="s">
        <v>59</v>
      </c>
      <c r="L16" s="50" t="s">
        <v>5</v>
      </c>
      <c r="M16" s="52" t="s">
        <v>61</v>
      </c>
      <c r="N16" s="52" t="s">
        <v>544</v>
      </c>
      <c r="O16" s="52"/>
      <c r="P16" s="52" t="s">
        <v>64</v>
      </c>
      <c r="Q16" s="53" t="s">
        <v>446</v>
      </c>
      <c r="R16" s="52" t="s">
        <v>405</v>
      </c>
      <c r="S16" s="46"/>
      <c r="T16" s="30"/>
      <c r="U16" s="35"/>
      <c r="V16" s="68">
        <v>0</v>
      </c>
      <c r="W16" s="36"/>
      <c r="X16" s="36"/>
      <c r="Y16" s="36"/>
      <c r="Z16" s="36"/>
      <c r="AA16" s="36"/>
      <c r="AB16" s="36"/>
      <c r="AC16" s="37" t="s">
        <v>90</v>
      </c>
      <c r="AD16" s="30" t="s">
        <v>104</v>
      </c>
      <c r="AE16" s="38"/>
      <c r="AF16" s="38">
        <v>0</v>
      </c>
      <c r="AG16" s="38">
        <f t="shared" si="0"/>
        <v>0</v>
      </c>
      <c r="AH16" s="38"/>
      <c r="AI16" s="38"/>
      <c r="AJ16" s="38"/>
      <c r="AK16" s="38">
        <v>60000000</v>
      </c>
      <c r="AL16" s="38">
        <f t="shared" si="3"/>
        <v>60000000</v>
      </c>
      <c r="AM16" s="66"/>
      <c r="AN16" s="38"/>
      <c r="AO16" s="54">
        <f t="shared" si="1"/>
        <v>0</v>
      </c>
      <c r="AP16" s="65">
        <f t="shared" si="2"/>
        <v>0</v>
      </c>
      <c r="AQ16" s="30"/>
      <c r="AR16" s="30"/>
      <c r="AS16" s="32"/>
    </row>
    <row r="17" spans="1:45" ht="57" x14ac:dyDescent="0.25">
      <c r="A17" s="47">
        <v>36</v>
      </c>
      <c r="B17" s="64"/>
      <c r="C17" s="52"/>
      <c r="D17" s="50" t="s">
        <v>93</v>
      </c>
      <c r="E17" s="50" t="s">
        <v>369</v>
      </c>
      <c r="F17" s="50" t="s">
        <v>374</v>
      </c>
      <c r="G17" s="51" t="s">
        <v>59</v>
      </c>
      <c r="H17" s="51" t="s">
        <v>60</v>
      </c>
      <c r="I17" s="51">
        <v>2024</v>
      </c>
      <c r="J17" s="51">
        <v>97</v>
      </c>
      <c r="K17" s="50" t="s">
        <v>59</v>
      </c>
      <c r="L17" s="50" t="s">
        <v>5</v>
      </c>
      <c r="M17" s="52" t="s">
        <v>61</v>
      </c>
      <c r="N17" s="52" t="s">
        <v>545</v>
      </c>
      <c r="O17" s="52"/>
      <c r="P17" s="52" t="s">
        <v>64</v>
      </c>
      <c r="Q17" s="53" t="s">
        <v>375</v>
      </c>
      <c r="R17" s="52" t="s">
        <v>376</v>
      </c>
      <c r="S17" s="46"/>
      <c r="T17" s="30"/>
      <c r="U17" s="35"/>
      <c r="V17" s="68">
        <v>0</v>
      </c>
      <c r="W17" s="36"/>
      <c r="X17" s="36"/>
      <c r="Y17" s="36"/>
      <c r="Z17" s="36"/>
      <c r="AA17" s="36"/>
      <c r="AB17" s="36"/>
      <c r="AC17" s="37" t="s">
        <v>72</v>
      </c>
      <c r="AD17" s="30" t="s">
        <v>359</v>
      </c>
      <c r="AE17" s="38"/>
      <c r="AF17" s="38">
        <v>0</v>
      </c>
      <c r="AG17" s="38">
        <f t="shared" si="0"/>
        <v>0</v>
      </c>
      <c r="AH17" s="38"/>
      <c r="AI17" s="38"/>
      <c r="AJ17" s="38"/>
      <c r="AK17" s="38">
        <v>350000000</v>
      </c>
      <c r="AL17" s="38">
        <f t="shared" si="3"/>
        <v>350000000</v>
      </c>
      <c r="AM17" s="66"/>
      <c r="AN17" s="38"/>
      <c r="AO17" s="54">
        <f t="shared" si="1"/>
        <v>0</v>
      </c>
      <c r="AP17" s="65">
        <f t="shared" si="2"/>
        <v>0</v>
      </c>
      <c r="AQ17" s="30"/>
      <c r="AR17" s="43"/>
      <c r="AS17" s="32"/>
    </row>
    <row r="18" spans="1:45" ht="40.5" customHeight="1" x14ac:dyDescent="0.25">
      <c r="A18" s="47">
        <v>37</v>
      </c>
      <c r="B18" s="64"/>
      <c r="C18" s="52"/>
      <c r="D18" s="50" t="s">
        <v>93</v>
      </c>
      <c r="E18" s="50" t="s">
        <v>126</v>
      </c>
      <c r="F18" s="50" t="s">
        <v>355</v>
      </c>
      <c r="G18" s="51" t="s">
        <v>59</v>
      </c>
      <c r="H18" s="51" t="s">
        <v>60</v>
      </c>
      <c r="I18" s="51">
        <v>2024</v>
      </c>
      <c r="J18" s="51">
        <v>99</v>
      </c>
      <c r="K18" s="50" t="s">
        <v>59</v>
      </c>
      <c r="L18" s="50" t="s">
        <v>5</v>
      </c>
      <c r="M18" s="52" t="s">
        <v>61</v>
      </c>
      <c r="N18" s="52" t="s">
        <v>84</v>
      </c>
      <c r="O18" s="52"/>
      <c r="P18" s="52" t="s">
        <v>64</v>
      </c>
      <c r="Q18" s="53" t="s">
        <v>357</v>
      </c>
      <c r="R18" s="52" t="s">
        <v>358</v>
      </c>
      <c r="S18" s="45"/>
      <c r="T18" s="30"/>
      <c r="U18" s="35"/>
      <c r="V18" s="68">
        <v>0</v>
      </c>
      <c r="W18" s="36"/>
      <c r="X18" s="36"/>
      <c r="Y18" s="36"/>
      <c r="Z18" s="36"/>
      <c r="AA18" s="36"/>
      <c r="AB18" s="36"/>
      <c r="AC18" s="37" t="s">
        <v>72</v>
      </c>
      <c r="AD18" s="30" t="s">
        <v>359</v>
      </c>
      <c r="AE18" s="38"/>
      <c r="AF18" s="38">
        <v>0</v>
      </c>
      <c r="AG18" s="38">
        <f t="shared" si="0"/>
        <v>0</v>
      </c>
      <c r="AH18" s="38"/>
      <c r="AI18" s="38"/>
      <c r="AJ18" s="38"/>
      <c r="AK18" s="38">
        <v>2245889285</v>
      </c>
      <c r="AL18" s="38">
        <f t="shared" si="3"/>
        <v>2245889285</v>
      </c>
      <c r="AM18" s="66"/>
      <c r="AN18" s="38"/>
      <c r="AO18" s="54">
        <f t="shared" si="1"/>
        <v>0</v>
      </c>
      <c r="AP18" s="65">
        <f t="shared" si="2"/>
        <v>0</v>
      </c>
      <c r="AQ18" s="30" t="s">
        <v>360</v>
      </c>
      <c r="AR18" s="30"/>
      <c r="AS18" s="32"/>
    </row>
    <row r="19" spans="1:45" ht="128.25" x14ac:dyDescent="0.25">
      <c r="A19" s="47">
        <v>38</v>
      </c>
      <c r="B19" s="64"/>
      <c r="C19" s="52"/>
      <c r="D19" s="50" t="s">
        <v>93</v>
      </c>
      <c r="E19" s="50" t="s">
        <v>361</v>
      </c>
      <c r="F19" s="50" t="s">
        <v>362</v>
      </c>
      <c r="G19" s="51" t="s">
        <v>59</v>
      </c>
      <c r="H19" s="51" t="s">
        <v>60</v>
      </c>
      <c r="I19" s="51">
        <v>2024</v>
      </c>
      <c r="J19" s="51">
        <v>100</v>
      </c>
      <c r="K19" s="50" t="s">
        <v>59</v>
      </c>
      <c r="L19" s="50" t="s">
        <v>5</v>
      </c>
      <c r="M19" s="52" t="s">
        <v>61</v>
      </c>
      <c r="N19" s="52" t="s">
        <v>84</v>
      </c>
      <c r="O19" s="52"/>
      <c r="P19" s="52" t="s">
        <v>64</v>
      </c>
      <c r="Q19" s="53" t="s">
        <v>361</v>
      </c>
      <c r="R19" s="52" t="s">
        <v>363</v>
      </c>
      <c r="S19" s="45"/>
      <c r="T19" s="30"/>
      <c r="U19" s="35"/>
      <c r="V19" s="68">
        <v>0</v>
      </c>
      <c r="W19" s="36"/>
      <c r="X19" s="36"/>
      <c r="Y19" s="36"/>
      <c r="Z19" s="36"/>
      <c r="AA19" s="36"/>
      <c r="AB19" s="36"/>
      <c r="AC19" s="37" t="s">
        <v>72</v>
      </c>
      <c r="AD19" s="30" t="s">
        <v>359</v>
      </c>
      <c r="AE19" s="38"/>
      <c r="AF19" s="38">
        <v>0</v>
      </c>
      <c r="AG19" s="38">
        <f t="shared" si="0"/>
        <v>0</v>
      </c>
      <c r="AH19" s="38"/>
      <c r="AI19" s="38"/>
      <c r="AJ19" s="38"/>
      <c r="AK19" s="38">
        <v>696150000</v>
      </c>
      <c r="AL19" s="38">
        <f t="shared" si="3"/>
        <v>696150000</v>
      </c>
      <c r="AM19" s="66"/>
      <c r="AN19" s="38"/>
      <c r="AO19" s="54">
        <f t="shared" si="1"/>
        <v>0</v>
      </c>
      <c r="AP19" s="65">
        <f t="shared" si="2"/>
        <v>0</v>
      </c>
      <c r="AQ19" s="30" t="s">
        <v>364</v>
      </c>
      <c r="AR19" s="43"/>
      <c r="AS19" s="32"/>
    </row>
    <row r="20" spans="1:45" ht="42.75" x14ac:dyDescent="0.25">
      <c r="A20" s="47">
        <v>39</v>
      </c>
      <c r="B20" s="64"/>
      <c r="C20" s="52"/>
      <c r="D20" s="50" t="s">
        <v>93</v>
      </c>
      <c r="E20" s="50" t="s">
        <v>305</v>
      </c>
      <c r="F20" s="50" t="s">
        <v>306</v>
      </c>
      <c r="G20" s="51" t="s">
        <v>59</v>
      </c>
      <c r="H20" s="51" t="s">
        <v>60</v>
      </c>
      <c r="I20" s="51">
        <v>2024</v>
      </c>
      <c r="J20" s="51">
        <v>101</v>
      </c>
      <c r="K20" s="50" t="s">
        <v>59</v>
      </c>
      <c r="L20" s="50" t="s">
        <v>5</v>
      </c>
      <c r="M20" s="52" t="s">
        <v>61</v>
      </c>
      <c r="N20" s="52" t="s">
        <v>544</v>
      </c>
      <c r="O20" s="52"/>
      <c r="P20" s="52" t="s">
        <v>64</v>
      </c>
      <c r="Q20" s="53" t="s">
        <v>306</v>
      </c>
      <c r="R20" s="52" t="s">
        <v>309</v>
      </c>
      <c r="S20" s="45"/>
      <c r="T20" s="44"/>
      <c r="U20" s="35"/>
      <c r="V20" s="68">
        <v>0</v>
      </c>
      <c r="W20" s="36"/>
      <c r="X20" s="36"/>
      <c r="Y20" s="36"/>
      <c r="Z20" s="36"/>
      <c r="AA20" s="36"/>
      <c r="AB20" s="36"/>
      <c r="AC20" s="37" t="s">
        <v>72</v>
      </c>
      <c r="AD20" s="30" t="s">
        <v>312</v>
      </c>
      <c r="AE20" s="38"/>
      <c r="AF20" s="38">
        <v>0</v>
      </c>
      <c r="AG20" s="38">
        <f t="shared" si="0"/>
        <v>0</v>
      </c>
      <c r="AH20" s="38"/>
      <c r="AI20" s="38"/>
      <c r="AJ20" s="38"/>
      <c r="AK20" s="38">
        <v>700000000</v>
      </c>
      <c r="AL20" s="38">
        <f t="shared" si="3"/>
        <v>700000000</v>
      </c>
      <c r="AM20" s="66"/>
      <c r="AN20" s="38"/>
      <c r="AO20" s="54">
        <f t="shared" si="1"/>
        <v>0</v>
      </c>
      <c r="AP20" s="65">
        <f t="shared" si="2"/>
        <v>0</v>
      </c>
      <c r="AQ20" s="30"/>
      <c r="AR20" s="30"/>
      <c r="AS20" s="32"/>
    </row>
    <row r="21" spans="1:45" ht="42.75" x14ac:dyDescent="0.25">
      <c r="A21" s="47">
        <v>40</v>
      </c>
      <c r="B21" s="64"/>
      <c r="C21" s="52"/>
      <c r="D21" s="50" t="s">
        <v>93</v>
      </c>
      <c r="E21" s="50" t="s">
        <v>369</v>
      </c>
      <c r="F21" s="50" t="s">
        <v>370</v>
      </c>
      <c r="G21" s="51" t="s">
        <v>59</v>
      </c>
      <c r="H21" s="51" t="s">
        <v>60</v>
      </c>
      <c r="I21" s="51">
        <v>2024</v>
      </c>
      <c r="J21" s="51">
        <v>102</v>
      </c>
      <c r="K21" s="50" t="s">
        <v>59</v>
      </c>
      <c r="L21" s="50" t="s">
        <v>5</v>
      </c>
      <c r="M21" s="52" t="s">
        <v>61</v>
      </c>
      <c r="N21" s="52" t="s">
        <v>546</v>
      </c>
      <c r="O21" s="52"/>
      <c r="P21" s="52" t="s">
        <v>64</v>
      </c>
      <c r="Q21" s="53" t="s">
        <v>371</v>
      </c>
      <c r="R21" s="52" t="s">
        <v>372</v>
      </c>
      <c r="S21" s="45"/>
      <c r="T21" s="44"/>
      <c r="U21" s="35"/>
      <c r="V21" s="68">
        <v>0</v>
      </c>
      <c r="W21" s="36"/>
      <c r="X21" s="36"/>
      <c r="Y21" s="36"/>
      <c r="Z21" s="36"/>
      <c r="AA21" s="36"/>
      <c r="AB21" s="36"/>
      <c r="AC21" s="37" t="s">
        <v>72</v>
      </c>
      <c r="AD21" s="30" t="s">
        <v>312</v>
      </c>
      <c r="AE21" s="38"/>
      <c r="AF21" s="38">
        <v>0</v>
      </c>
      <c r="AG21" s="38">
        <f t="shared" si="0"/>
        <v>0</v>
      </c>
      <c r="AH21" s="38"/>
      <c r="AI21" s="38"/>
      <c r="AJ21" s="38"/>
      <c r="AK21" s="38">
        <v>100000000</v>
      </c>
      <c r="AL21" s="38">
        <f t="shared" si="3"/>
        <v>100000000</v>
      </c>
      <c r="AM21" s="66"/>
      <c r="AN21" s="38"/>
      <c r="AO21" s="54">
        <f t="shared" si="1"/>
        <v>0</v>
      </c>
      <c r="AP21" s="65">
        <f t="shared" si="2"/>
        <v>0</v>
      </c>
      <c r="AQ21" s="30"/>
      <c r="AR21" s="43"/>
      <c r="AS21" s="32"/>
    </row>
    <row r="22" spans="1:45" ht="42.75" x14ac:dyDescent="0.25">
      <c r="A22" s="47">
        <v>41</v>
      </c>
      <c r="B22" s="64" t="s">
        <v>348</v>
      </c>
      <c r="C22" s="52" t="s">
        <v>379</v>
      </c>
      <c r="D22" s="50" t="s">
        <v>93</v>
      </c>
      <c r="E22" s="50" t="s">
        <v>107</v>
      </c>
      <c r="F22" s="50" t="s">
        <v>352</v>
      </c>
      <c r="G22" s="51" t="s">
        <v>59</v>
      </c>
      <c r="H22" s="51" t="s">
        <v>60</v>
      </c>
      <c r="I22" s="51">
        <v>2024</v>
      </c>
      <c r="J22" s="51">
        <v>103</v>
      </c>
      <c r="K22" s="50" t="s">
        <v>59</v>
      </c>
      <c r="L22" s="50" t="s">
        <v>5</v>
      </c>
      <c r="M22" s="52" t="s">
        <v>61</v>
      </c>
      <c r="N22" s="52" t="s">
        <v>450</v>
      </c>
      <c r="O22" s="52"/>
      <c r="P22" s="52" t="s">
        <v>64</v>
      </c>
      <c r="Q22" s="53" t="s">
        <v>353</v>
      </c>
      <c r="R22" s="52" t="s">
        <v>407</v>
      </c>
      <c r="S22" s="57"/>
      <c r="T22" s="34"/>
      <c r="U22" s="35"/>
      <c r="V22" s="68">
        <v>0</v>
      </c>
      <c r="W22" s="36"/>
      <c r="X22" s="36"/>
      <c r="Y22" s="36"/>
      <c r="Z22" s="36"/>
      <c r="AA22" s="36"/>
      <c r="AB22" s="36"/>
      <c r="AC22" s="37" t="s">
        <v>90</v>
      </c>
      <c r="AD22" s="30" t="s">
        <v>312</v>
      </c>
      <c r="AE22" s="38"/>
      <c r="AF22" s="38">
        <v>0</v>
      </c>
      <c r="AG22" s="38">
        <f t="shared" si="0"/>
        <v>0</v>
      </c>
      <c r="AH22" s="38"/>
      <c r="AI22" s="38"/>
      <c r="AJ22" s="38"/>
      <c r="AK22" s="38">
        <v>2200000000</v>
      </c>
      <c r="AL22" s="38">
        <f t="shared" si="3"/>
        <v>2200000000</v>
      </c>
      <c r="AM22" s="66"/>
      <c r="AN22" s="38"/>
      <c r="AO22" s="54">
        <f t="shared" si="1"/>
        <v>0</v>
      </c>
      <c r="AP22" s="65">
        <f t="shared" si="2"/>
        <v>0</v>
      </c>
      <c r="AQ22" s="30"/>
      <c r="AR22" s="30"/>
      <c r="AS22" s="32"/>
    </row>
    <row r="23" spans="1:45" ht="85.5" x14ac:dyDescent="0.25">
      <c r="A23" s="47">
        <v>42</v>
      </c>
      <c r="B23" s="64"/>
      <c r="C23" s="52"/>
      <c r="D23" s="50" t="s">
        <v>93</v>
      </c>
      <c r="E23" s="50" t="s">
        <v>369</v>
      </c>
      <c r="F23" s="50" t="s">
        <v>442</v>
      </c>
      <c r="G23" s="51" t="s">
        <v>59</v>
      </c>
      <c r="H23" s="51" t="s">
        <v>60</v>
      </c>
      <c r="I23" s="51">
        <v>2024</v>
      </c>
      <c r="J23" s="51">
        <v>116</v>
      </c>
      <c r="K23" s="50" t="s">
        <v>59</v>
      </c>
      <c r="L23" s="50" t="s">
        <v>5</v>
      </c>
      <c r="M23" s="52" t="s">
        <v>61</v>
      </c>
      <c r="N23" s="52" t="s">
        <v>84</v>
      </c>
      <c r="O23" s="52"/>
      <c r="P23" s="52" t="s">
        <v>64</v>
      </c>
      <c r="Q23" s="53" t="s">
        <v>443</v>
      </c>
      <c r="R23" s="52" t="s">
        <v>408</v>
      </c>
      <c r="S23" s="57"/>
      <c r="T23" s="34"/>
      <c r="U23" s="35"/>
      <c r="V23" s="68">
        <v>0</v>
      </c>
      <c r="W23" s="36"/>
      <c r="X23" s="36"/>
      <c r="Y23" s="36"/>
      <c r="Z23" s="36"/>
      <c r="AA23" s="36"/>
      <c r="AB23" s="36"/>
      <c r="AC23" s="37" t="s">
        <v>72</v>
      </c>
      <c r="AD23" s="30" t="s">
        <v>444</v>
      </c>
      <c r="AE23" s="38"/>
      <c r="AF23" s="38">
        <v>0</v>
      </c>
      <c r="AG23" s="38">
        <f t="shared" si="0"/>
        <v>0</v>
      </c>
      <c r="AH23" s="38"/>
      <c r="AI23" s="38"/>
      <c r="AJ23" s="38"/>
      <c r="AK23" s="38">
        <v>180177900</v>
      </c>
      <c r="AL23" s="38">
        <f t="shared" si="3"/>
        <v>180177900</v>
      </c>
      <c r="AM23" s="66"/>
      <c r="AN23" s="38"/>
      <c r="AO23" s="54">
        <f t="shared" si="1"/>
        <v>0</v>
      </c>
      <c r="AP23" s="65">
        <f t="shared" si="2"/>
        <v>0</v>
      </c>
      <c r="AQ23" s="30"/>
      <c r="AR23" s="30"/>
      <c r="AS23" s="32"/>
    </row>
    <row r="24" spans="1:45" ht="15" x14ac:dyDescent="0.25">
      <c r="A24" s="47">
        <v>47</v>
      </c>
      <c r="B24" s="61"/>
      <c r="C24" s="32"/>
      <c r="D24" s="29"/>
      <c r="E24" s="29"/>
      <c r="F24" s="29"/>
      <c r="G24" s="41"/>
      <c r="H24" s="41"/>
      <c r="I24" s="41"/>
      <c r="J24" s="41"/>
      <c r="K24" s="29"/>
      <c r="L24" s="29"/>
      <c r="M24" s="32"/>
      <c r="N24" s="32"/>
      <c r="O24" s="32"/>
      <c r="P24" s="32"/>
      <c r="Q24" s="30"/>
      <c r="R24" s="32"/>
      <c r="S24" s="46"/>
      <c r="T24" s="30"/>
      <c r="U24" s="35"/>
      <c r="V24" s="68"/>
      <c r="W24" s="36"/>
      <c r="X24" s="36"/>
      <c r="Y24" s="36"/>
      <c r="Z24" s="36"/>
      <c r="AA24" s="36"/>
      <c r="AB24" s="36"/>
      <c r="AC24" s="37"/>
      <c r="AD24" s="30"/>
      <c r="AE24" s="38"/>
      <c r="AF24" s="38"/>
      <c r="AG24" s="38"/>
      <c r="AH24" s="38"/>
      <c r="AI24" s="38"/>
      <c r="AJ24" s="38"/>
      <c r="AK24" s="38"/>
      <c r="AL24" s="38"/>
      <c r="AM24" s="66"/>
      <c r="AN24" s="38"/>
      <c r="AO24" s="39"/>
      <c r="AP24" s="38"/>
      <c r="AQ24" s="30"/>
      <c r="AR24" s="43"/>
      <c r="AS24" s="32"/>
    </row>
    <row r="25" spans="1:45" x14ac:dyDescent="0.25">
      <c r="A25" s="47">
        <v>48</v>
      </c>
      <c r="B25" s="61"/>
      <c r="C25" s="32"/>
      <c r="D25" s="29"/>
      <c r="E25" s="29"/>
      <c r="F25" s="29"/>
      <c r="G25" s="41"/>
      <c r="H25" s="41"/>
      <c r="I25" s="41"/>
      <c r="J25" s="41"/>
      <c r="K25" s="29"/>
      <c r="L25" s="29"/>
      <c r="M25" s="32"/>
      <c r="N25" s="32"/>
      <c r="O25" s="32"/>
      <c r="P25" s="32"/>
      <c r="Q25" s="30"/>
      <c r="R25" s="32"/>
      <c r="S25" s="45"/>
      <c r="T25" s="30"/>
      <c r="U25" s="35"/>
      <c r="V25" s="68"/>
      <c r="W25" s="36"/>
      <c r="X25" s="36"/>
      <c r="Y25" s="36"/>
      <c r="Z25" s="36"/>
      <c r="AA25" s="36"/>
      <c r="AB25" s="36"/>
      <c r="AC25" s="37"/>
      <c r="AD25" s="32"/>
      <c r="AE25" s="38"/>
      <c r="AF25" s="38"/>
      <c r="AG25" s="38"/>
      <c r="AH25" s="38"/>
      <c r="AI25" s="38"/>
      <c r="AJ25" s="38"/>
      <c r="AK25" s="38"/>
      <c r="AL25" s="38"/>
      <c r="AM25" s="66"/>
      <c r="AN25" s="38"/>
      <c r="AO25" s="39"/>
      <c r="AP25" s="38"/>
      <c r="AQ25" s="30"/>
      <c r="AR25" s="30"/>
      <c r="AS25" s="32"/>
    </row>
    <row r="26" spans="1:45" ht="15" x14ac:dyDescent="0.25">
      <c r="A26" s="47">
        <v>49</v>
      </c>
      <c r="B26" s="61"/>
      <c r="C26" s="32"/>
      <c r="D26" s="29"/>
      <c r="E26" s="29"/>
      <c r="F26" s="29"/>
      <c r="G26" s="41"/>
      <c r="H26" s="41"/>
      <c r="I26" s="41"/>
      <c r="J26" s="41"/>
      <c r="K26" s="29"/>
      <c r="L26" s="29"/>
      <c r="M26" s="32"/>
      <c r="N26" s="32"/>
      <c r="O26" s="32"/>
      <c r="P26" s="32"/>
      <c r="Q26" s="30"/>
      <c r="R26" s="32"/>
      <c r="S26" s="45"/>
      <c r="T26" s="30"/>
      <c r="U26" s="35"/>
      <c r="V26" s="68"/>
      <c r="W26" s="36"/>
      <c r="X26" s="36"/>
      <c r="Y26" s="36"/>
      <c r="Z26" s="36"/>
      <c r="AA26" s="36"/>
      <c r="AB26" s="36"/>
      <c r="AC26" s="37"/>
      <c r="AD26" s="30"/>
      <c r="AE26" s="38"/>
      <c r="AF26" s="38"/>
      <c r="AG26" s="38"/>
      <c r="AH26" s="38"/>
      <c r="AI26" s="38"/>
      <c r="AJ26" s="38"/>
      <c r="AK26" s="38"/>
      <c r="AL26" s="38"/>
      <c r="AM26" s="66"/>
      <c r="AN26" s="38"/>
      <c r="AO26" s="39"/>
      <c r="AP26" s="38"/>
      <c r="AQ26" s="30"/>
      <c r="AR26" s="43"/>
      <c r="AS26" s="32"/>
    </row>
    <row r="27" spans="1:45" x14ac:dyDescent="0.25">
      <c r="A27" s="47">
        <v>50</v>
      </c>
      <c r="B27" s="61"/>
      <c r="C27" s="32"/>
      <c r="D27" s="29"/>
      <c r="E27" s="29"/>
      <c r="F27" s="29"/>
      <c r="G27" s="41"/>
      <c r="H27" s="41"/>
      <c r="I27" s="41"/>
      <c r="J27" s="41"/>
      <c r="K27" s="29"/>
      <c r="L27" s="29"/>
      <c r="M27" s="32"/>
      <c r="N27" s="32"/>
      <c r="O27" s="32"/>
      <c r="P27" s="32"/>
      <c r="Q27" s="30"/>
      <c r="R27" s="32"/>
      <c r="S27" s="45"/>
      <c r="T27" s="44"/>
      <c r="U27" s="35"/>
      <c r="V27" s="68"/>
      <c r="W27" s="36"/>
      <c r="X27" s="36"/>
      <c r="Y27" s="36"/>
      <c r="Z27" s="36"/>
      <c r="AA27" s="36"/>
      <c r="AB27" s="36"/>
      <c r="AC27" s="37"/>
      <c r="AD27" s="30"/>
      <c r="AE27" s="38"/>
      <c r="AF27" s="38"/>
      <c r="AG27" s="38"/>
      <c r="AH27" s="38"/>
      <c r="AI27" s="38"/>
      <c r="AJ27" s="38"/>
      <c r="AK27" s="38"/>
      <c r="AL27" s="38"/>
      <c r="AM27" s="66"/>
      <c r="AN27" s="38"/>
      <c r="AO27" s="39"/>
      <c r="AP27" s="38"/>
      <c r="AQ27" s="30"/>
      <c r="AR27" s="30"/>
      <c r="AS27" s="32"/>
    </row>
    <row r="28" spans="1:45" ht="15" x14ac:dyDescent="0.25">
      <c r="A28" s="47">
        <v>51</v>
      </c>
      <c r="B28" s="61"/>
      <c r="C28" s="32"/>
      <c r="D28" s="29"/>
      <c r="E28" s="29"/>
      <c r="F28" s="29"/>
      <c r="G28" s="41"/>
      <c r="H28" s="41"/>
      <c r="I28" s="41"/>
      <c r="J28" s="41"/>
      <c r="K28" s="29"/>
      <c r="L28" s="29"/>
      <c r="M28" s="32"/>
      <c r="N28" s="32"/>
      <c r="O28" s="32"/>
      <c r="P28" s="32"/>
      <c r="Q28" s="30"/>
      <c r="R28" s="32"/>
      <c r="S28" s="45"/>
      <c r="T28" s="44"/>
      <c r="U28" s="35"/>
      <c r="V28" s="68"/>
      <c r="W28" s="36"/>
      <c r="X28" s="36"/>
      <c r="Y28" s="36"/>
      <c r="Z28" s="36"/>
      <c r="AA28" s="36"/>
      <c r="AB28" s="36"/>
      <c r="AC28" s="37"/>
      <c r="AD28" s="30"/>
      <c r="AE28" s="38"/>
      <c r="AF28" s="38"/>
      <c r="AG28" s="38"/>
      <c r="AH28" s="38"/>
      <c r="AI28" s="38"/>
      <c r="AJ28" s="38"/>
      <c r="AK28" s="38"/>
      <c r="AL28" s="38"/>
      <c r="AM28" s="66"/>
      <c r="AN28" s="38"/>
      <c r="AO28" s="39"/>
      <c r="AP28" s="38"/>
      <c r="AQ28" s="30"/>
      <c r="AR28" s="43"/>
      <c r="AS28" s="32"/>
    </row>
    <row r="29" spans="1:45" x14ac:dyDescent="0.25">
      <c r="A29" s="47">
        <v>52</v>
      </c>
      <c r="B29" s="61"/>
      <c r="C29" s="32"/>
      <c r="D29" s="29"/>
      <c r="E29" s="29"/>
      <c r="F29" s="29"/>
      <c r="G29" s="41"/>
      <c r="H29" s="41"/>
      <c r="I29" s="41"/>
      <c r="J29" s="41"/>
      <c r="K29" s="29"/>
      <c r="L29" s="29"/>
      <c r="M29" s="32"/>
      <c r="N29" s="32"/>
      <c r="O29" s="32"/>
      <c r="P29" s="32"/>
      <c r="Q29" s="30"/>
      <c r="R29" s="32"/>
      <c r="S29" s="57"/>
      <c r="T29" s="34"/>
      <c r="U29" s="35"/>
      <c r="V29" s="68"/>
      <c r="W29" s="36"/>
      <c r="X29" s="36"/>
      <c r="Y29" s="36"/>
      <c r="Z29" s="36"/>
      <c r="AA29" s="36"/>
      <c r="AB29" s="36"/>
      <c r="AC29" s="37"/>
      <c r="AD29" s="30"/>
      <c r="AE29" s="38"/>
      <c r="AF29" s="38"/>
      <c r="AG29" s="38"/>
      <c r="AH29" s="38"/>
      <c r="AI29" s="38"/>
      <c r="AJ29" s="38"/>
      <c r="AK29" s="38"/>
      <c r="AL29" s="38"/>
      <c r="AM29" s="66"/>
      <c r="AN29" s="38"/>
      <c r="AO29" s="39"/>
      <c r="AP29" s="38"/>
      <c r="AQ29" s="30"/>
      <c r="AR29" s="30"/>
      <c r="AS29" s="32"/>
    </row>
    <row r="30" spans="1:45" x14ac:dyDescent="0.25">
      <c r="AM30" s="67"/>
    </row>
  </sheetData>
  <pageMargins left="0.23622047244094491" right="0.23622047244094491" top="0.74803149606299213" bottom="0.74803149606299213" header="0.31496062992125984" footer="0.31496062992125984"/>
  <pageSetup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4E20-73F7-4E1F-84C8-EA72BD2A5ECE}">
  <sheetPr codeName="Hoja13"/>
  <dimension ref="A3:I32"/>
  <sheetViews>
    <sheetView topLeftCell="A25" workbookViewId="0">
      <selection activeCell="I36" sqref="I36"/>
    </sheetView>
  </sheetViews>
  <sheetFormatPr baseColWidth="10" defaultColWidth="11.42578125" defaultRowHeight="15" x14ac:dyDescent="0.25"/>
  <cols>
    <col min="1" max="1" width="25.5703125" customWidth="1"/>
    <col min="2" max="2" width="13.5703125" customWidth="1"/>
    <col min="3" max="3" width="17.28515625" customWidth="1"/>
    <col min="4" max="4" width="31.42578125" customWidth="1"/>
    <col min="7" max="7" width="29.7109375" customWidth="1"/>
  </cols>
  <sheetData>
    <row r="3" spans="1:3" x14ac:dyDescent="0.25">
      <c r="A3" s="24" t="s">
        <v>0</v>
      </c>
      <c r="B3" t="s">
        <v>487</v>
      </c>
      <c r="C3" t="s">
        <v>547</v>
      </c>
    </row>
    <row r="4" spans="1:3" x14ac:dyDescent="0.25">
      <c r="A4" s="25" t="s">
        <v>90</v>
      </c>
      <c r="B4">
        <v>10</v>
      </c>
      <c r="C4">
        <v>2646444932</v>
      </c>
    </row>
    <row r="5" spans="1:3" x14ac:dyDescent="0.25">
      <c r="A5" s="25" t="s">
        <v>72</v>
      </c>
      <c r="B5">
        <v>12</v>
      </c>
      <c r="C5">
        <v>4815651935</v>
      </c>
    </row>
    <row r="6" spans="1:3" x14ac:dyDescent="0.25">
      <c r="A6" s="25" t="s">
        <v>7</v>
      </c>
      <c r="B6">
        <v>22</v>
      </c>
      <c r="C6">
        <v>7462096867</v>
      </c>
    </row>
    <row r="9" spans="1:3" ht="45" x14ac:dyDescent="0.25">
      <c r="A9" s="92" t="s">
        <v>492</v>
      </c>
      <c r="B9" s="92" t="s">
        <v>548</v>
      </c>
      <c r="C9" s="92" t="s">
        <v>549</v>
      </c>
    </row>
    <row r="10" spans="1:3" x14ac:dyDescent="0.25">
      <c r="A10" s="14" t="s">
        <v>90</v>
      </c>
      <c r="B10" s="14">
        <f>GETPIVOTDATA("Cuenta de Fuente vigencia ",$A$3,"Fuente vigencia ","Funcionamiento")</f>
        <v>10</v>
      </c>
      <c r="C10" s="95">
        <f>GETPIVOTDATA("Suma de Valor total asignado al PAA 2024",$A$3,"Fuente vigencia ","Funcionamiento")</f>
        <v>2646444932</v>
      </c>
    </row>
    <row r="11" spans="1:3" x14ac:dyDescent="0.25">
      <c r="A11" s="14" t="s">
        <v>494</v>
      </c>
      <c r="B11" s="14">
        <f>GETPIVOTDATA("Cuenta de Fuente vigencia ",$A$3,"Fuente vigencia ","Inversión BID")</f>
        <v>12</v>
      </c>
      <c r="C11" s="95">
        <f>GETPIVOTDATA("Suma de Valor total asignado al PAA 2024",$A$3,"Fuente vigencia ","Inversión BID")</f>
        <v>4815651935</v>
      </c>
    </row>
    <row r="12" spans="1:3" x14ac:dyDescent="0.25">
      <c r="A12" s="96" t="s">
        <v>496</v>
      </c>
      <c r="B12" s="93">
        <f>SUM(B10:B11)</f>
        <v>22</v>
      </c>
      <c r="C12" s="94">
        <f>SUM(C10:C11)</f>
        <v>7462096867</v>
      </c>
    </row>
    <row r="15" spans="1:3" x14ac:dyDescent="0.25">
      <c r="A15" s="24" t="s">
        <v>0</v>
      </c>
      <c r="B15" t="s">
        <v>550</v>
      </c>
      <c r="C15" t="s">
        <v>547</v>
      </c>
    </row>
    <row r="16" spans="1:3" x14ac:dyDescent="0.25">
      <c r="A16" s="25" t="s">
        <v>336</v>
      </c>
      <c r="B16">
        <v>6</v>
      </c>
      <c r="C16">
        <v>543434750</v>
      </c>
    </row>
    <row r="17" spans="1:9" x14ac:dyDescent="0.25">
      <c r="A17" s="25" t="s">
        <v>359</v>
      </c>
      <c r="B17">
        <v>3</v>
      </c>
      <c r="C17">
        <v>3292039285</v>
      </c>
    </row>
    <row r="18" spans="1:9" x14ac:dyDescent="0.25">
      <c r="A18" s="25" t="s">
        <v>444</v>
      </c>
      <c r="B18">
        <v>1</v>
      </c>
      <c r="C18">
        <v>180177900</v>
      </c>
    </row>
    <row r="19" spans="1:9" x14ac:dyDescent="0.25">
      <c r="A19" s="25" t="s">
        <v>267</v>
      </c>
      <c r="B19">
        <v>5</v>
      </c>
      <c r="C19">
        <v>63421251</v>
      </c>
    </row>
    <row r="20" spans="1:9" x14ac:dyDescent="0.25">
      <c r="A20" s="25" t="s">
        <v>312</v>
      </c>
      <c r="B20">
        <v>5</v>
      </c>
      <c r="C20">
        <v>3053023681</v>
      </c>
    </row>
    <row r="21" spans="1:9" x14ac:dyDescent="0.25">
      <c r="A21" s="25" t="s">
        <v>104</v>
      </c>
      <c r="B21">
        <v>2</v>
      </c>
      <c r="C21">
        <v>330000000</v>
      </c>
    </row>
    <row r="22" spans="1:9" x14ac:dyDescent="0.25">
      <c r="A22" s="25" t="s">
        <v>7</v>
      </c>
      <c r="B22">
        <v>22</v>
      </c>
      <c r="C22">
        <v>7462096867</v>
      </c>
    </row>
    <row r="25" spans="1:9" ht="60" x14ac:dyDescent="0.25">
      <c r="A25" s="92" t="s">
        <v>551</v>
      </c>
      <c r="B25" s="92" t="s">
        <v>548</v>
      </c>
      <c r="C25" s="92" t="s">
        <v>549</v>
      </c>
      <c r="D25" s="92" t="s">
        <v>552</v>
      </c>
      <c r="G25" s="92" t="s">
        <v>551</v>
      </c>
      <c r="H25" s="92" t="s">
        <v>553</v>
      </c>
      <c r="I25" s="92" t="s">
        <v>548</v>
      </c>
    </row>
    <row r="26" spans="1:9" ht="45" x14ac:dyDescent="0.25">
      <c r="A26" s="14" t="str">
        <f t="shared" ref="A26:A31" si="0">A16</f>
        <v>Contratación régimen especial - Comparación de hojas de vida (3CV)</v>
      </c>
      <c r="B26" s="14">
        <f>GETPIVOTDATA("Cuenta de Tipo de proceso",$A$15,"Tipo de proceso","Contratación régimen especial - Comparación de hojas de vida (3CV)")</f>
        <v>6</v>
      </c>
      <c r="C26" s="95">
        <f>GETPIVOTDATA("Suma de Valor total asignado al PAA 2024",$A$15,"Tipo de proceso","Contratación régimen especial - Comparación de hojas de vida (3CV)")</f>
        <v>543434750</v>
      </c>
      <c r="D26" s="102"/>
      <c r="G26" s="7" t="s">
        <v>336</v>
      </c>
      <c r="H26" s="98">
        <f>I26/$I$32</f>
        <v>0.27272727272727271</v>
      </c>
      <c r="I26" s="14">
        <f>GETPIVOTDATA("Cuenta de Tipo de proceso",$A$15,"Tipo de proceso","Contratación régimen especial - Comparación de hojas de vida (3CV)")</f>
        <v>6</v>
      </c>
    </row>
    <row r="27" spans="1:9" ht="45" x14ac:dyDescent="0.25">
      <c r="A27" s="14" t="str">
        <f t="shared" si="0"/>
        <v>Contratación régimen especial - Selección basada en calidad y costo</v>
      </c>
      <c r="B27" s="14">
        <f>GETPIVOTDATA("Cuenta de Tipo de proceso",$A$15,"Tipo de proceso","Contratación régimen especial - Selección basada en calidad y costo")</f>
        <v>3</v>
      </c>
      <c r="C27" s="95">
        <f>GETPIVOTDATA("Suma de Valor total asignado al PAA 2024",$A$15,"Tipo de proceso","Contratación régimen especial - Selección basada en calidad y costo")</f>
        <v>3292039285</v>
      </c>
      <c r="D27" s="102"/>
      <c r="G27" s="7" t="s">
        <v>359</v>
      </c>
      <c r="H27" s="98">
        <f t="shared" ref="H27:H31" si="1">I27/$I$32</f>
        <v>0.13636363636363635</v>
      </c>
      <c r="I27" s="14">
        <f>GETPIVOTDATA("Cuenta de Tipo de proceso",$A$15,"Tipo de proceso","Contratación régimen especial - Selección basada en calidad y costo")</f>
        <v>3</v>
      </c>
    </row>
    <row r="28" spans="1:9" ht="45" x14ac:dyDescent="0.25">
      <c r="A28" s="97" t="str">
        <f t="shared" si="0"/>
        <v>Contratación régimen especial - Selección Basada en las calificaciones de los consultores</v>
      </c>
      <c r="B28" s="97">
        <f>GETPIVOTDATA("Cuenta de Tipo de proceso",$A$15,"Tipo de proceso","Contratación régimen especial - Selección Basada en las calificaciones de los consultores")</f>
        <v>1</v>
      </c>
      <c r="C28" s="95">
        <f>GETPIVOTDATA("Suma de Valor total asignado al PAA 2024",$A$15,"Tipo de proceso","Contratación régimen especial - Selección Basada en las calificaciones de los consultores")</f>
        <v>180177900</v>
      </c>
      <c r="D28" s="102"/>
      <c r="G28" s="101" t="s">
        <v>444</v>
      </c>
      <c r="H28" s="98">
        <f t="shared" si="1"/>
        <v>4.5454545454545456E-2</v>
      </c>
      <c r="I28" s="97">
        <f>GETPIVOTDATA("Cuenta de Tipo de proceso",$A$15,"Tipo de proceso","Contratación régimen especial - Selección Basada en las calificaciones de los consultores")</f>
        <v>1</v>
      </c>
    </row>
    <row r="29" spans="1:9" x14ac:dyDescent="0.25">
      <c r="A29" s="97" t="str">
        <f t="shared" si="0"/>
        <v>Mínima cuantía</v>
      </c>
      <c r="B29" s="97">
        <f>GETPIVOTDATA("Cuenta de Tipo de proceso",$A$15,"Tipo de proceso","Mínima cuantía")</f>
        <v>5</v>
      </c>
      <c r="C29" s="95">
        <f>GETPIVOTDATA("Suma de Valor total asignado al PAA 2024",$A$15,"Tipo de proceso","Mínima cuantía")</f>
        <v>63421251</v>
      </c>
      <c r="D29" s="102"/>
      <c r="G29" s="101" t="s">
        <v>267</v>
      </c>
      <c r="H29" s="98">
        <f t="shared" si="1"/>
        <v>0.22727272727272727</v>
      </c>
      <c r="I29" s="97">
        <f>GETPIVOTDATA("Cuenta de Tipo de proceso",$A$15,"Tipo de proceso","Mínima cuantía")</f>
        <v>5</v>
      </c>
    </row>
    <row r="30" spans="1:9" ht="30" x14ac:dyDescent="0.25">
      <c r="A30" s="97" t="str">
        <f t="shared" si="0"/>
        <v>Selección abreviada - acuerdo marco</v>
      </c>
      <c r="B30" s="97">
        <f>GETPIVOTDATA("Cuenta de Tipo de proceso",$A$15,"Tipo de proceso","Selección abreviada - acuerdo marco")</f>
        <v>5</v>
      </c>
      <c r="C30" s="95">
        <f>GETPIVOTDATA("Suma de Valor total asignado al PAA 2024",$A$15,"Tipo de proceso","Selección abreviada - acuerdo marco")</f>
        <v>3053023681</v>
      </c>
      <c r="D30" s="102"/>
      <c r="G30" s="101" t="s">
        <v>312</v>
      </c>
      <c r="H30" s="98">
        <f t="shared" si="1"/>
        <v>0.22727272727272727</v>
      </c>
      <c r="I30" s="97">
        <f>GETPIVOTDATA("Cuenta de Tipo de proceso",$A$15,"Tipo de proceso","Selección abreviada - acuerdo marco")</f>
        <v>5</v>
      </c>
    </row>
    <row r="31" spans="1:9" ht="30" x14ac:dyDescent="0.25">
      <c r="A31" s="97" t="str">
        <f t="shared" si="0"/>
        <v>Selección abreviada subasta inversa</v>
      </c>
      <c r="B31" s="97">
        <f>GETPIVOTDATA("Cuenta de Tipo de proceso",$A$15,"Tipo de proceso","Selección abreviada subasta inversa")</f>
        <v>2</v>
      </c>
      <c r="C31" s="95">
        <f>GETPIVOTDATA("Suma de Valor total asignado al PAA 2024",$A$15,"Tipo de proceso","Selección abreviada subasta inversa")</f>
        <v>330000000</v>
      </c>
      <c r="D31" s="102"/>
      <c r="G31" s="101" t="s">
        <v>104</v>
      </c>
      <c r="H31" s="98">
        <f t="shared" si="1"/>
        <v>9.0909090909090912E-2</v>
      </c>
      <c r="I31" s="97">
        <f>GETPIVOTDATA("Cuenta de Tipo de proceso",$A$15,"Tipo de proceso","Selección abreviada subasta inversa")</f>
        <v>2</v>
      </c>
    </row>
    <row r="32" spans="1:9" x14ac:dyDescent="0.25">
      <c r="A32" s="96" t="s">
        <v>496</v>
      </c>
      <c r="B32" s="93">
        <f>SUM(B26:B31)</f>
        <v>22</v>
      </c>
      <c r="C32" s="94">
        <f>SUM(C26:C31)</f>
        <v>7462096867</v>
      </c>
      <c r="G32" s="96" t="s">
        <v>496</v>
      </c>
      <c r="H32" s="99">
        <f>SUM(H26:H31)</f>
        <v>1</v>
      </c>
      <c r="I32" s="93">
        <f>SUM(I26:I31)</f>
        <v>22</v>
      </c>
    </row>
  </sheetData>
  <pageMargins left="0.7" right="0.7" top="0.75" bottom="0.75" header="0.3" footer="0.3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08EF-D17D-4216-BB8D-0BDCA0206E84}">
  <sheetPr codeName="Hoja14"/>
  <dimension ref="A3:C11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16.5703125" bestFit="1" customWidth="1"/>
    <col min="2" max="2" width="23.28515625" bestFit="1" customWidth="1"/>
    <col min="3" max="3" width="35.7109375" bestFit="1" customWidth="1"/>
  </cols>
  <sheetData>
    <row r="3" spans="1:3" x14ac:dyDescent="0.25">
      <c r="A3" s="24" t="s">
        <v>0</v>
      </c>
      <c r="B3" t="s">
        <v>487</v>
      </c>
      <c r="C3" t="s">
        <v>547</v>
      </c>
    </row>
    <row r="4" spans="1:3" x14ac:dyDescent="0.25">
      <c r="A4" s="25" t="s">
        <v>90</v>
      </c>
      <c r="B4">
        <v>22</v>
      </c>
      <c r="C4">
        <v>3674735292.7600002</v>
      </c>
    </row>
    <row r="5" spans="1:3" x14ac:dyDescent="0.25">
      <c r="A5" s="25" t="s">
        <v>72</v>
      </c>
      <c r="B5">
        <v>23</v>
      </c>
      <c r="C5">
        <v>5775186685</v>
      </c>
    </row>
    <row r="6" spans="1:3" x14ac:dyDescent="0.25">
      <c r="A6" s="25" t="s">
        <v>7</v>
      </c>
      <c r="B6">
        <v>45</v>
      </c>
      <c r="C6">
        <v>9449921977.7600002</v>
      </c>
    </row>
    <row r="8" spans="1:3" ht="30" x14ac:dyDescent="0.25">
      <c r="A8" s="92" t="s">
        <v>492</v>
      </c>
      <c r="B8" s="92" t="s">
        <v>548</v>
      </c>
      <c r="C8" s="92" t="s">
        <v>549</v>
      </c>
    </row>
    <row r="9" spans="1:3" x14ac:dyDescent="0.25">
      <c r="A9" s="14" t="s">
        <v>90</v>
      </c>
      <c r="B9" s="14">
        <f>GETPIVOTDATA("Cuenta de Fuente vigencia ",$A$3,"Fuente vigencia ","Funcionamiento")</f>
        <v>22</v>
      </c>
      <c r="C9" s="95">
        <f>GETPIVOTDATA("Suma de Valor total asignado al PAA 2024",$A$3,"Fuente vigencia ","Funcionamiento")</f>
        <v>3674735292.7600002</v>
      </c>
    </row>
    <row r="10" spans="1:3" x14ac:dyDescent="0.25">
      <c r="A10" s="14" t="s">
        <v>494</v>
      </c>
      <c r="B10" s="14">
        <f>GETPIVOTDATA("Cuenta de Fuente vigencia ",$A$3,"Fuente vigencia ","Inversión BID")</f>
        <v>23</v>
      </c>
      <c r="C10" s="95">
        <f>GETPIVOTDATA("Suma de Valor total asignado al PAA 2024",$A$3,"Fuente vigencia ","Inversión BID")</f>
        <v>5775186685</v>
      </c>
    </row>
    <row r="11" spans="1:3" x14ac:dyDescent="0.25">
      <c r="A11" s="96" t="s">
        <v>496</v>
      </c>
      <c r="B11" s="93">
        <f>SUM(B9:B10)</f>
        <v>45</v>
      </c>
      <c r="C11" s="94">
        <f>SUM(C9:C10)</f>
        <v>9449921977.7600002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4BF6-620B-4C1A-8B4F-54BC5D06E79C}">
  <sheetPr codeName="Hoja15"/>
  <dimension ref="A3:C18"/>
  <sheetViews>
    <sheetView workbookViewId="0">
      <selection activeCell="F18" sqref="F18"/>
    </sheetView>
  </sheetViews>
  <sheetFormatPr baseColWidth="10" defaultColWidth="11.42578125" defaultRowHeight="15" x14ac:dyDescent="0.25"/>
  <cols>
    <col min="1" max="1" width="16.5703125" bestFit="1" customWidth="1"/>
    <col min="2" max="2" width="23.28515625" bestFit="1" customWidth="1"/>
    <col min="3" max="3" width="35.7109375" bestFit="1" customWidth="1"/>
  </cols>
  <sheetData>
    <row r="3" spans="1:3" x14ac:dyDescent="0.25">
      <c r="A3" s="24" t="s">
        <v>0</v>
      </c>
      <c r="B3" t="s">
        <v>487</v>
      </c>
      <c r="C3" t="s">
        <v>547</v>
      </c>
    </row>
    <row r="4" spans="1:3" x14ac:dyDescent="0.25">
      <c r="A4" s="25" t="s">
        <v>90</v>
      </c>
      <c r="B4">
        <v>17</v>
      </c>
      <c r="C4">
        <v>3674735292.7600002</v>
      </c>
    </row>
    <row r="5" spans="1:3" x14ac:dyDescent="0.25">
      <c r="A5" s="25" t="s">
        <v>72</v>
      </c>
      <c r="B5">
        <v>21</v>
      </c>
      <c r="C5">
        <v>5775186685</v>
      </c>
    </row>
    <row r="6" spans="1:3" x14ac:dyDescent="0.25">
      <c r="A6" s="25" t="s">
        <v>7</v>
      </c>
      <c r="B6">
        <v>38</v>
      </c>
      <c r="C6">
        <v>9449921977.7600002</v>
      </c>
    </row>
    <row r="9" spans="1:3" ht="30" x14ac:dyDescent="0.25">
      <c r="A9" s="92" t="s">
        <v>492</v>
      </c>
      <c r="B9" s="92" t="s">
        <v>548</v>
      </c>
      <c r="C9" s="92" t="s">
        <v>549</v>
      </c>
    </row>
    <row r="10" spans="1:3" x14ac:dyDescent="0.25">
      <c r="A10" s="14" t="s">
        <v>90</v>
      </c>
      <c r="B10" s="14">
        <f>GETPIVOTDATA("Cuenta de Fuente vigencia ",$A$3,"Fuente vigencia ","Funcionamiento")</f>
        <v>17</v>
      </c>
      <c r="C10" s="95">
        <f>GETPIVOTDATA("Suma de Valor total asignado al PAA 2024",$A$3,"Fuente vigencia ","Funcionamiento")</f>
        <v>3674735292.7600002</v>
      </c>
    </row>
    <row r="11" spans="1:3" x14ac:dyDescent="0.25">
      <c r="A11" s="14" t="s">
        <v>494</v>
      </c>
      <c r="B11" s="14">
        <f>GETPIVOTDATA("Cuenta de Fuente vigencia ",$A$3,"Fuente vigencia ","Inversión BID")</f>
        <v>21</v>
      </c>
      <c r="C11" s="95">
        <f>GETPIVOTDATA("Suma de Valor total asignado al PAA 2024",$A$3,"Fuente vigencia ","Inversión BID")</f>
        <v>5775186685</v>
      </c>
    </row>
    <row r="12" spans="1:3" x14ac:dyDescent="0.25">
      <c r="A12" s="96" t="s">
        <v>496</v>
      </c>
      <c r="B12" s="93">
        <f>SUM(B10:B11)</f>
        <v>38</v>
      </c>
      <c r="C12" s="94">
        <f>SUM(C10:C11)</f>
        <v>9449921977.7600002</v>
      </c>
    </row>
    <row r="15" spans="1:3" ht="30" x14ac:dyDescent="0.25">
      <c r="A15" s="92" t="s">
        <v>492</v>
      </c>
      <c r="B15" s="92" t="s">
        <v>554</v>
      </c>
      <c r="C15" s="92" t="s">
        <v>549</v>
      </c>
    </row>
    <row r="16" spans="1:3" x14ac:dyDescent="0.25">
      <c r="A16" s="14" t="s">
        <v>90</v>
      </c>
      <c r="B16" s="14">
        <f>GETPIVOTDATA("Cuenta de Fuente vigencia ",$A$3,"Fuente vigencia ","Funcionamiento")</f>
        <v>17</v>
      </c>
      <c r="C16" s="95">
        <f>GETPIVOTDATA("Suma de Valor total asignado al PAA 2024",$A$3,"Fuente vigencia ","Funcionamiento")</f>
        <v>3674735292.7600002</v>
      </c>
    </row>
    <row r="17" spans="1:3" x14ac:dyDescent="0.25">
      <c r="A17" s="14" t="s">
        <v>494</v>
      </c>
      <c r="B17" s="14">
        <f>GETPIVOTDATA("Cuenta de Fuente vigencia ",$A$3,"Fuente vigencia ","Inversión BID")</f>
        <v>21</v>
      </c>
      <c r="C17" s="95">
        <f>GETPIVOTDATA("Suma de Valor total asignado al PAA 2024",$A$3,"Fuente vigencia ","Inversión BID")</f>
        <v>5775186685</v>
      </c>
    </row>
    <row r="18" spans="1:3" x14ac:dyDescent="0.25">
      <c r="A18" s="96" t="s">
        <v>496</v>
      </c>
      <c r="B18" s="93">
        <f>SUM(B16:B17)</f>
        <v>38</v>
      </c>
      <c r="C18" s="94">
        <f>SUM(C16:C17)</f>
        <v>9449921977.7600002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27CC-FABF-4683-9D55-36B8AB3A2ED9}">
  <sheetPr codeName="Hoja16">
    <pageSetUpPr autoPageBreaks="0"/>
  </sheetPr>
  <dimension ref="A1:AS46"/>
  <sheetViews>
    <sheetView zoomScale="80" zoomScaleNormal="80" zoomScaleSheetLayoutView="100" workbookViewId="0">
      <pane ySplit="1" topLeftCell="A9" activePane="bottomLeft" state="frozen"/>
      <selection pane="bottomLeft" activeCell="A2" sqref="A2:A39"/>
    </sheetView>
  </sheetViews>
  <sheetFormatPr baseColWidth="10" defaultColWidth="10.7109375" defaultRowHeight="14.25" x14ac:dyDescent="0.25"/>
  <cols>
    <col min="1" max="1" width="11" style="27" bestFit="1" customWidth="1"/>
    <col min="2" max="2" width="17.42578125" style="62" bestFit="1" customWidth="1"/>
    <col min="3" max="3" width="17.5703125" style="27" customWidth="1"/>
    <col min="4" max="4" width="24.5703125" style="27" customWidth="1"/>
    <col min="5" max="5" width="28.5703125" style="27" customWidth="1"/>
    <col min="6" max="6" width="35.5703125" style="27" customWidth="1"/>
    <col min="7" max="10" width="8" style="42" customWidth="1"/>
    <col min="11" max="12" width="11.7109375" style="42" customWidth="1"/>
    <col min="13" max="16" width="18.7109375" style="27" customWidth="1"/>
    <col min="17" max="17" width="25.42578125" style="27" customWidth="1"/>
    <col min="18" max="18" width="73.5703125" style="27" customWidth="1"/>
    <col min="19" max="19" width="21.42578125" style="33" customWidth="1"/>
    <col min="20" max="20" width="13.42578125" style="27" customWidth="1"/>
    <col min="21" max="22" width="14.5703125" style="27" customWidth="1"/>
    <col min="23" max="25" width="15.42578125" style="27" customWidth="1"/>
    <col min="26" max="26" width="16.42578125" style="27" customWidth="1"/>
    <col min="27" max="27" width="19.28515625" style="27" customWidth="1"/>
    <col min="28" max="28" width="21.5703125" style="27" customWidth="1"/>
    <col min="29" max="29" width="20.5703125" style="27" customWidth="1"/>
    <col min="30" max="30" width="19" style="27" customWidth="1"/>
    <col min="31" max="37" width="23.28515625" style="27" customWidth="1"/>
    <col min="38" max="38" width="19.5703125" style="27" customWidth="1"/>
    <col min="39" max="39" width="23" style="27" customWidth="1"/>
    <col min="40" max="42" width="18.5703125" style="27" customWidth="1"/>
    <col min="43" max="43" width="23.42578125" style="27" customWidth="1"/>
    <col min="44" max="44" width="56" style="27" customWidth="1"/>
    <col min="45" max="45" width="73.5703125" style="27" bestFit="1" customWidth="1"/>
    <col min="46" max="46" width="18.7109375" style="27" customWidth="1"/>
    <col min="47" max="16384" width="10.7109375" style="27"/>
  </cols>
  <sheetData>
    <row r="1" spans="1:45" ht="83.25" customHeight="1" x14ac:dyDescent="0.25">
      <c r="A1" s="28" t="s">
        <v>10</v>
      </c>
      <c r="B1" s="60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40" t="s">
        <v>16</v>
      </c>
      <c r="H1" s="40" t="s">
        <v>17</v>
      </c>
      <c r="I1" s="40" t="s">
        <v>18</v>
      </c>
      <c r="J1" s="40" t="s">
        <v>19</v>
      </c>
      <c r="K1" s="40" t="s">
        <v>20</v>
      </c>
      <c r="L1" s="40" t="s">
        <v>21</v>
      </c>
      <c r="M1" s="28" t="s">
        <v>22</v>
      </c>
      <c r="N1" s="28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40" t="s">
        <v>28</v>
      </c>
      <c r="T1" s="28" t="s">
        <v>29</v>
      </c>
      <c r="U1" s="28" t="s">
        <v>30</v>
      </c>
      <c r="V1" s="28" t="s">
        <v>31</v>
      </c>
      <c r="W1" s="28" t="s">
        <v>32</v>
      </c>
      <c r="X1" s="28" t="s">
        <v>33</v>
      </c>
      <c r="Y1" s="28" t="s">
        <v>34</v>
      </c>
      <c r="Z1" s="28" t="s">
        <v>35</v>
      </c>
      <c r="AA1" s="28" t="s">
        <v>36</v>
      </c>
      <c r="AB1" s="28" t="s">
        <v>37</v>
      </c>
      <c r="AC1" s="28" t="s">
        <v>38</v>
      </c>
      <c r="AD1" s="28" t="s">
        <v>39</v>
      </c>
      <c r="AE1" s="28" t="s">
        <v>40</v>
      </c>
      <c r="AF1" s="28" t="s">
        <v>41</v>
      </c>
      <c r="AG1" s="28" t="s">
        <v>42</v>
      </c>
      <c r="AH1" s="28" t="s">
        <v>43</v>
      </c>
      <c r="AI1" s="28" t="s">
        <v>44</v>
      </c>
      <c r="AJ1" s="28" t="s">
        <v>45</v>
      </c>
      <c r="AK1" s="28" t="s">
        <v>46</v>
      </c>
      <c r="AL1" s="28" t="s">
        <v>47</v>
      </c>
      <c r="AM1" s="28" t="s">
        <v>49</v>
      </c>
      <c r="AN1" s="28" t="s">
        <v>50</v>
      </c>
      <c r="AO1" s="28" t="s">
        <v>51</v>
      </c>
      <c r="AP1" s="28" t="s">
        <v>52</v>
      </c>
      <c r="AQ1" s="28" t="s">
        <v>53</v>
      </c>
      <c r="AR1" s="28" t="s">
        <v>54</v>
      </c>
      <c r="AS1" s="28" t="s">
        <v>55</v>
      </c>
    </row>
    <row r="2" spans="1:45" ht="210" x14ac:dyDescent="0.25">
      <c r="A2" s="47">
        <v>8</v>
      </c>
      <c r="B2" s="63">
        <v>80111614</v>
      </c>
      <c r="C2" s="32" t="s">
        <v>81</v>
      </c>
      <c r="D2" s="29" t="s">
        <v>56</v>
      </c>
      <c r="E2" s="29" t="s">
        <v>238</v>
      </c>
      <c r="F2" s="29" t="s">
        <v>239</v>
      </c>
      <c r="G2" s="41" t="s">
        <v>59</v>
      </c>
      <c r="H2" s="41" t="s">
        <v>60</v>
      </c>
      <c r="I2" s="41">
        <v>2024</v>
      </c>
      <c r="J2" s="41">
        <v>83</v>
      </c>
      <c r="K2" s="29" t="s">
        <v>59</v>
      </c>
      <c r="L2" s="29" t="s">
        <v>3</v>
      </c>
      <c r="M2" s="32" t="s">
        <v>61</v>
      </c>
      <c r="N2" s="32" t="s">
        <v>204</v>
      </c>
      <c r="O2" s="32" t="s">
        <v>240</v>
      </c>
      <c r="P2" s="32" t="s">
        <v>64</v>
      </c>
      <c r="Q2" s="30" t="s">
        <v>241</v>
      </c>
      <c r="R2" s="32" t="s">
        <v>242</v>
      </c>
      <c r="S2" s="45" t="s">
        <v>243</v>
      </c>
      <c r="T2" s="44" t="s">
        <v>244</v>
      </c>
      <c r="U2" s="35" t="s">
        <v>69</v>
      </c>
      <c r="V2" s="68">
        <v>1</v>
      </c>
      <c r="W2" s="36">
        <v>45314</v>
      </c>
      <c r="X2" s="36">
        <v>45315</v>
      </c>
      <c r="Y2" s="36">
        <v>45315</v>
      </c>
      <c r="Z2" s="36">
        <v>45646</v>
      </c>
      <c r="AA2" s="36" t="s">
        <v>70</v>
      </c>
      <c r="AB2" s="36" t="s">
        <v>71</v>
      </c>
      <c r="AC2" s="37" t="s">
        <v>90</v>
      </c>
      <c r="AD2" s="32" t="s">
        <v>73</v>
      </c>
      <c r="AE2" s="38">
        <v>101790360</v>
      </c>
      <c r="AF2" s="38">
        <v>0</v>
      </c>
      <c r="AG2" s="38">
        <f t="shared" ref="AG2" si="0">AE2+AF2</f>
        <v>101790360</v>
      </c>
      <c r="AH2" s="38">
        <v>0</v>
      </c>
      <c r="AI2" s="66">
        <v>101790360</v>
      </c>
      <c r="AJ2" s="38">
        <v>0</v>
      </c>
      <c r="AK2" s="38">
        <v>101790360.76000001</v>
      </c>
      <c r="AL2" s="38">
        <f t="shared" ref="AL2:AL39" si="1">IF(K2="Si",(AK2-AE2),0)</f>
        <v>0.76000000536441803</v>
      </c>
      <c r="AM2" s="66">
        <v>2159189.4300000002</v>
      </c>
      <c r="AN2" s="38">
        <v>9253669</v>
      </c>
      <c r="AO2" s="54">
        <f t="shared" ref="AO2:AO15" si="2">IF(AI2=0,0,ROUND(AM2/AI2,2))</f>
        <v>0.02</v>
      </c>
      <c r="AP2" s="65">
        <f t="shared" ref="AP2:AP39" si="3">AI2-AM2</f>
        <v>99631170.569999993</v>
      </c>
      <c r="AQ2" s="30" t="s">
        <v>245</v>
      </c>
      <c r="AR2" s="43" t="s">
        <v>246</v>
      </c>
      <c r="AS2" s="32"/>
    </row>
    <row r="3" spans="1:45" ht="90" x14ac:dyDescent="0.25">
      <c r="A3" s="47">
        <v>9</v>
      </c>
      <c r="B3" s="63">
        <v>80111614</v>
      </c>
      <c r="C3" s="32" t="s">
        <v>81</v>
      </c>
      <c r="D3" s="29" t="s">
        <v>56</v>
      </c>
      <c r="E3" s="29" t="s">
        <v>82</v>
      </c>
      <c r="F3" s="29" t="s">
        <v>139</v>
      </c>
      <c r="G3" s="41" t="s">
        <v>59</v>
      </c>
      <c r="H3" s="41" t="s">
        <v>60</v>
      </c>
      <c r="I3" s="41">
        <v>2024</v>
      </c>
      <c r="J3" s="41">
        <v>111</v>
      </c>
      <c r="K3" s="29" t="s">
        <v>59</v>
      </c>
      <c r="L3" s="29" t="s">
        <v>3</v>
      </c>
      <c r="M3" s="32" t="s">
        <v>61</v>
      </c>
      <c r="N3" s="32" t="s">
        <v>129</v>
      </c>
      <c r="O3" s="32" t="s">
        <v>140</v>
      </c>
      <c r="P3" s="32" t="s">
        <v>64</v>
      </c>
      <c r="Q3" s="30" t="s">
        <v>141</v>
      </c>
      <c r="R3" s="32" t="s">
        <v>142</v>
      </c>
      <c r="S3" s="46" t="s">
        <v>143</v>
      </c>
      <c r="T3" s="48" t="s">
        <v>144</v>
      </c>
      <c r="U3" s="35" t="s">
        <v>69</v>
      </c>
      <c r="V3" s="68">
        <v>1</v>
      </c>
      <c r="W3" s="36">
        <v>45310</v>
      </c>
      <c r="X3" s="36">
        <v>45313</v>
      </c>
      <c r="Y3" s="36">
        <v>45314</v>
      </c>
      <c r="Z3" s="36">
        <v>45646</v>
      </c>
      <c r="AA3" s="36" t="s">
        <v>70</v>
      </c>
      <c r="AB3" s="36" t="s">
        <v>71</v>
      </c>
      <c r="AC3" s="37" t="s">
        <v>90</v>
      </c>
      <c r="AD3" s="32" t="s">
        <v>73</v>
      </c>
      <c r="AE3" s="38">
        <v>104183350</v>
      </c>
      <c r="AF3" s="38">
        <v>0</v>
      </c>
      <c r="AG3" s="38">
        <v>104183350</v>
      </c>
      <c r="AH3" s="38">
        <v>0</v>
      </c>
      <c r="AI3" s="66">
        <v>104183350</v>
      </c>
      <c r="AJ3" s="38">
        <v>0</v>
      </c>
      <c r="AK3" s="38">
        <v>104500000</v>
      </c>
      <c r="AL3" s="38">
        <f t="shared" si="1"/>
        <v>316650</v>
      </c>
      <c r="AM3" s="66">
        <v>2533333</v>
      </c>
      <c r="AN3" s="38">
        <v>9500000</v>
      </c>
      <c r="AO3" s="54">
        <f t="shared" si="2"/>
        <v>0.02</v>
      </c>
      <c r="AP3" s="65">
        <f t="shared" si="3"/>
        <v>101650017</v>
      </c>
      <c r="AQ3" s="30" t="s">
        <v>145</v>
      </c>
      <c r="AR3" s="43" t="s">
        <v>146</v>
      </c>
      <c r="AS3" s="32"/>
    </row>
    <row r="4" spans="1:45" ht="90" x14ac:dyDescent="0.25">
      <c r="A4" s="47">
        <v>10</v>
      </c>
      <c r="B4" s="63">
        <v>80111614</v>
      </c>
      <c r="C4" s="32" t="s">
        <v>81</v>
      </c>
      <c r="D4" s="29" t="s">
        <v>56</v>
      </c>
      <c r="E4" s="29" t="s">
        <v>82</v>
      </c>
      <c r="F4" s="29" t="s">
        <v>139</v>
      </c>
      <c r="G4" s="41" t="s">
        <v>59</v>
      </c>
      <c r="H4" s="41" t="s">
        <v>60</v>
      </c>
      <c r="I4" s="41">
        <v>2024</v>
      </c>
      <c r="J4" s="41">
        <v>110</v>
      </c>
      <c r="K4" s="29" t="s">
        <v>59</v>
      </c>
      <c r="L4" s="29" t="s">
        <v>3</v>
      </c>
      <c r="M4" s="32" t="s">
        <v>61</v>
      </c>
      <c r="N4" s="32" t="s">
        <v>129</v>
      </c>
      <c r="O4" s="32" t="s">
        <v>140</v>
      </c>
      <c r="P4" s="32" t="s">
        <v>64</v>
      </c>
      <c r="Q4" s="30" t="s">
        <v>147</v>
      </c>
      <c r="R4" s="32" t="s">
        <v>142</v>
      </c>
      <c r="S4" s="57" t="s">
        <v>148</v>
      </c>
      <c r="T4" s="44" t="s">
        <v>149</v>
      </c>
      <c r="U4" s="35" t="s">
        <v>69</v>
      </c>
      <c r="V4" s="68">
        <v>1</v>
      </c>
      <c r="W4" s="36">
        <v>45310</v>
      </c>
      <c r="X4" s="36">
        <v>45313</v>
      </c>
      <c r="Y4" s="36">
        <v>45314</v>
      </c>
      <c r="Z4" s="36">
        <v>45646</v>
      </c>
      <c r="AA4" s="36" t="s">
        <v>70</v>
      </c>
      <c r="AB4" s="36" t="s">
        <v>71</v>
      </c>
      <c r="AC4" s="37" t="s">
        <v>90</v>
      </c>
      <c r="AD4" s="32" t="s">
        <v>73</v>
      </c>
      <c r="AE4" s="38">
        <v>104183350</v>
      </c>
      <c r="AF4" s="38">
        <v>0</v>
      </c>
      <c r="AG4" s="38">
        <f t="shared" ref="AG4:AG39" si="4">AE4+AF4</f>
        <v>104183350</v>
      </c>
      <c r="AH4" s="38">
        <v>0</v>
      </c>
      <c r="AI4" s="66">
        <v>104183350</v>
      </c>
      <c r="AJ4" s="38">
        <v>0</v>
      </c>
      <c r="AK4" s="38">
        <v>104500000</v>
      </c>
      <c r="AL4" s="38">
        <f t="shared" si="1"/>
        <v>316650</v>
      </c>
      <c r="AM4" s="66">
        <v>2533333</v>
      </c>
      <c r="AN4" s="38">
        <v>9500000</v>
      </c>
      <c r="AO4" s="54">
        <f t="shared" si="2"/>
        <v>0.02</v>
      </c>
      <c r="AP4" s="65">
        <f t="shared" si="3"/>
        <v>101650017</v>
      </c>
      <c r="AQ4" s="30" t="s">
        <v>150</v>
      </c>
      <c r="AR4" s="43" t="s">
        <v>151</v>
      </c>
      <c r="AS4" s="32"/>
    </row>
    <row r="5" spans="1:45" ht="180" x14ac:dyDescent="0.25">
      <c r="A5" s="47">
        <v>11</v>
      </c>
      <c r="B5" s="63">
        <v>80111614</v>
      </c>
      <c r="C5" s="32" t="s">
        <v>81</v>
      </c>
      <c r="D5" s="29" t="s">
        <v>56</v>
      </c>
      <c r="E5" s="29" t="s">
        <v>82</v>
      </c>
      <c r="F5" s="29" t="s">
        <v>152</v>
      </c>
      <c r="G5" s="41" t="s">
        <v>59</v>
      </c>
      <c r="H5" s="41" t="s">
        <v>60</v>
      </c>
      <c r="I5" s="41">
        <v>2024</v>
      </c>
      <c r="J5" s="41">
        <v>113</v>
      </c>
      <c r="K5" s="29" t="s">
        <v>59</v>
      </c>
      <c r="L5" s="29" t="s">
        <v>3</v>
      </c>
      <c r="M5" s="32" t="s">
        <v>61</v>
      </c>
      <c r="N5" s="32" t="s">
        <v>129</v>
      </c>
      <c r="O5" s="32" t="s">
        <v>140</v>
      </c>
      <c r="P5" s="32" t="s">
        <v>64</v>
      </c>
      <c r="Q5" s="30" t="s">
        <v>153</v>
      </c>
      <c r="R5" s="32" t="s">
        <v>154</v>
      </c>
      <c r="S5" s="55" t="s">
        <v>155</v>
      </c>
      <c r="T5" s="48" t="s">
        <v>156</v>
      </c>
      <c r="U5" s="35" t="s">
        <v>69</v>
      </c>
      <c r="V5" s="68">
        <v>1</v>
      </c>
      <c r="W5" s="36">
        <v>45308</v>
      </c>
      <c r="X5" s="36">
        <v>45310</v>
      </c>
      <c r="Y5" s="36">
        <v>45313</v>
      </c>
      <c r="Z5" s="36">
        <v>45646</v>
      </c>
      <c r="AA5" s="36" t="s">
        <v>70</v>
      </c>
      <c r="AB5" s="36" t="s">
        <v>71</v>
      </c>
      <c r="AC5" s="37" t="s">
        <v>90</v>
      </c>
      <c r="AD5" s="32" t="s">
        <v>73</v>
      </c>
      <c r="AE5" s="38">
        <v>187000000</v>
      </c>
      <c r="AF5" s="38">
        <v>0</v>
      </c>
      <c r="AG5" s="38">
        <f t="shared" si="4"/>
        <v>187000000</v>
      </c>
      <c r="AH5" s="38">
        <v>0</v>
      </c>
      <c r="AI5" s="66">
        <v>187000000</v>
      </c>
      <c r="AJ5" s="38">
        <v>0</v>
      </c>
      <c r="AK5" s="38">
        <v>187000000</v>
      </c>
      <c r="AL5" s="38">
        <f t="shared" si="1"/>
        <v>0</v>
      </c>
      <c r="AM5" s="66">
        <v>5100000</v>
      </c>
      <c r="AN5" s="38">
        <v>17000000</v>
      </c>
      <c r="AO5" s="54">
        <f t="shared" si="2"/>
        <v>0.03</v>
      </c>
      <c r="AP5" s="65">
        <f t="shared" si="3"/>
        <v>181900000</v>
      </c>
      <c r="AQ5" s="30" t="s">
        <v>157</v>
      </c>
      <c r="AR5" s="43" t="s">
        <v>158</v>
      </c>
      <c r="AS5" s="32"/>
    </row>
    <row r="6" spans="1:45" ht="90" x14ac:dyDescent="0.25">
      <c r="A6" s="47">
        <v>12</v>
      </c>
      <c r="B6" s="63">
        <v>80111614</v>
      </c>
      <c r="C6" s="32" t="s">
        <v>81</v>
      </c>
      <c r="D6" s="29" t="s">
        <v>56</v>
      </c>
      <c r="E6" s="29" t="s">
        <v>82</v>
      </c>
      <c r="F6" s="29" t="s">
        <v>159</v>
      </c>
      <c r="G6" s="41" t="s">
        <v>59</v>
      </c>
      <c r="H6" s="41" t="s">
        <v>60</v>
      </c>
      <c r="I6" s="41">
        <v>2024</v>
      </c>
      <c r="J6" s="41">
        <v>114</v>
      </c>
      <c r="K6" s="29" t="s">
        <v>59</v>
      </c>
      <c r="L6" s="29" t="s">
        <v>3</v>
      </c>
      <c r="M6" s="32" t="s">
        <v>61</v>
      </c>
      <c r="N6" s="32" t="s">
        <v>129</v>
      </c>
      <c r="O6" s="32" t="s">
        <v>85</v>
      </c>
      <c r="P6" s="32" t="s">
        <v>64</v>
      </c>
      <c r="Q6" s="30" t="s">
        <v>160</v>
      </c>
      <c r="R6" s="32" t="s">
        <v>161</v>
      </c>
      <c r="S6" s="55" t="s">
        <v>162</v>
      </c>
      <c r="T6" s="56" t="s">
        <v>163</v>
      </c>
      <c r="U6" s="35" t="s">
        <v>69</v>
      </c>
      <c r="V6" s="68">
        <v>1</v>
      </c>
      <c r="W6" s="36">
        <v>45314</v>
      </c>
      <c r="X6" s="36">
        <v>45315</v>
      </c>
      <c r="Y6" s="36">
        <v>45316</v>
      </c>
      <c r="Z6" s="36">
        <v>45646</v>
      </c>
      <c r="AA6" s="36" t="s">
        <v>70</v>
      </c>
      <c r="AB6" s="36" t="s">
        <v>71</v>
      </c>
      <c r="AC6" s="37" t="s">
        <v>90</v>
      </c>
      <c r="AD6" s="32" t="s">
        <v>73</v>
      </c>
      <c r="AE6" s="38">
        <v>187000000</v>
      </c>
      <c r="AF6" s="38">
        <v>0</v>
      </c>
      <c r="AG6" s="38">
        <f t="shared" si="4"/>
        <v>187000000</v>
      </c>
      <c r="AH6" s="38">
        <v>0</v>
      </c>
      <c r="AI6" s="66">
        <v>187000000</v>
      </c>
      <c r="AJ6" s="38">
        <v>0</v>
      </c>
      <c r="AK6" s="38">
        <v>187000000</v>
      </c>
      <c r="AL6" s="38">
        <f t="shared" si="1"/>
        <v>0</v>
      </c>
      <c r="AM6" s="66">
        <v>3400000</v>
      </c>
      <c r="AN6" s="38">
        <v>17000000</v>
      </c>
      <c r="AO6" s="54">
        <f t="shared" si="2"/>
        <v>0.02</v>
      </c>
      <c r="AP6" s="65">
        <f t="shared" si="3"/>
        <v>183600000</v>
      </c>
      <c r="AQ6" s="30" t="s">
        <v>164</v>
      </c>
      <c r="AR6" s="43" t="s">
        <v>165</v>
      </c>
      <c r="AS6" s="32"/>
    </row>
    <row r="7" spans="1:45" ht="90" x14ac:dyDescent="0.25">
      <c r="A7" s="47">
        <v>13</v>
      </c>
      <c r="B7" s="63"/>
      <c r="C7" s="32"/>
      <c r="D7" s="29" t="s">
        <v>56</v>
      </c>
      <c r="E7" s="29" t="s">
        <v>82</v>
      </c>
      <c r="F7" s="29" t="s">
        <v>166</v>
      </c>
      <c r="G7" s="41" t="s">
        <v>59</v>
      </c>
      <c r="H7" s="41" t="s">
        <v>60</v>
      </c>
      <c r="I7" s="41">
        <v>2024</v>
      </c>
      <c r="J7" s="41">
        <v>108</v>
      </c>
      <c r="K7" s="29" t="s">
        <v>59</v>
      </c>
      <c r="L7" s="29" t="s">
        <v>3</v>
      </c>
      <c r="M7" s="32" t="s">
        <v>61</v>
      </c>
      <c r="N7" s="32" t="s">
        <v>129</v>
      </c>
      <c r="O7" s="32" t="s">
        <v>63</v>
      </c>
      <c r="P7" s="32" t="s">
        <v>64</v>
      </c>
      <c r="Q7" s="30" t="s">
        <v>167</v>
      </c>
      <c r="R7" s="32" t="s">
        <v>168</v>
      </c>
      <c r="S7" s="45" t="s">
        <v>169</v>
      </c>
      <c r="T7" s="48" t="s">
        <v>170</v>
      </c>
      <c r="U7" s="35" t="s">
        <v>69</v>
      </c>
      <c r="V7" s="68">
        <v>0</v>
      </c>
      <c r="W7" s="36">
        <v>45323</v>
      </c>
      <c r="X7" s="36">
        <v>45324</v>
      </c>
      <c r="Y7" s="36" t="s">
        <v>70</v>
      </c>
      <c r="Z7" s="36">
        <v>45646</v>
      </c>
      <c r="AA7" s="36" t="s">
        <v>70</v>
      </c>
      <c r="AB7" s="36" t="s">
        <v>71</v>
      </c>
      <c r="AC7" s="37" t="s">
        <v>72</v>
      </c>
      <c r="AD7" s="32" t="s">
        <v>73</v>
      </c>
      <c r="AE7" s="38">
        <v>148500000</v>
      </c>
      <c r="AF7" s="38">
        <v>0</v>
      </c>
      <c r="AG7" s="38">
        <f t="shared" si="4"/>
        <v>148500000</v>
      </c>
      <c r="AH7" s="38">
        <v>0</v>
      </c>
      <c r="AI7" s="66">
        <v>148500000</v>
      </c>
      <c r="AJ7" s="38">
        <v>0</v>
      </c>
      <c r="AK7" s="38">
        <v>148500000</v>
      </c>
      <c r="AL7" s="38">
        <f t="shared" si="1"/>
        <v>0</v>
      </c>
      <c r="AM7" s="66">
        <v>0</v>
      </c>
      <c r="AN7" s="38">
        <v>13500000</v>
      </c>
      <c r="AO7" s="54">
        <f t="shared" si="2"/>
        <v>0</v>
      </c>
      <c r="AP7" s="65">
        <f t="shared" si="3"/>
        <v>148500000</v>
      </c>
      <c r="AQ7" s="30" t="s">
        <v>171</v>
      </c>
      <c r="AR7" s="43" t="s">
        <v>172</v>
      </c>
      <c r="AS7" s="32"/>
    </row>
    <row r="8" spans="1:45" ht="90" x14ac:dyDescent="0.25">
      <c r="A8" s="47">
        <v>14</v>
      </c>
      <c r="B8" s="63"/>
      <c r="C8" s="32"/>
      <c r="D8" s="29" t="s">
        <v>56</v>
      </c>
      <c r="E8" s="29" t="s">
        <v>82</v>
      </c>
      <c r="F8" s="29" t="s">
        <v>173</v>
      </c>
      <c r="G8" s="41" t="s">
        <v>59</v>
      </c>
      <c r="H8" s="41" t="s">
        <v>60</v>
      </c>
      <c r="I8" s="41">
        <v>2024</v>
      </c>
      <c r="J8" s="41">
        <v>107</v>
      </c>
      <c r="K8" s="29" t="s">
        <v>59</v>
      </c>
      <c r="L8" s="29" t="s">
        <v>3</v>
      </c>
      <c r="M8" s="32" t="s">
        <v>61</v>
      </c>
      <c r="N8" s="32" t="s">
        <v>129</v>
      </c>
      <c r="O8" s="32" t="s">
        <v>63</v>
      </c>
      <c r="P8" s="32" t="s">
        <v>64</v>
      </c>
      <c r="Q8" s="30" t="s">
        <v>174</v>
      </c>
      <c r="R8" s="32" t="s">
        <v>175</v>
      </c>
      <c r="S8" s="45" t="s">
        <v>176</v>
      </c>
      <c r="T8" s="56" t="s">
        <v>177</v>
      </c>
      <c r="U8" s="35" t="s">
        <v>69</v>
      </c>
      <c r="V8" s="68">
        <v>0</v>
      </c>
      <c r="W8" s="36">
        <v>45323</v>
      </c>
      <c r="X8" s="36">
        <v>44962</v>
      </c>
      <c r="Y8" s="36" t="s">
        <v>70</v>
      </c>
      <c r="Z8" s="36">
        <v>45646</v>
      </c>
      <c r="AA8" s="36" t="s">
        <v>70</v>
      </c>
      <c r="AB8" s="36" t="s">
        <v>71</v>
      </c>
      <c r="AC8" s="37" t="s">
        <v>72</v>
      </c>
      <c r="AD8" s="32" t="s">
        <v>73</v>
      </c>
      <c r="AE8" s="38">
        <v>148500000</v>
      </c>
      <c r="AF8" s="38">
        <v>0</v>
      </c>
      <c r="AG8" s="38">
        <f t="shared" si="4"/>
        <v>148500000</v>
      </c>
      <c r="AH8" s="38">
        <v>0</v>
      </c>
      <c r="AI8" s="66">
        <v>148500000</v>
      </c>
      <c r="AJ8" s="38">
        <v>0</v>
      </c>
      <c r="AK8" s="38">
        <v>148500000</v>
      </c>
      <c r="AL8" s="38">
        <f t="shared" si="1"/>
        <v>0</v>
      </c>
      <c r="AM8" s="66">
        <v>0</v>
      </c>
      <c r="AN8" s="38">
        <v>13500000</v>
      </c>
      <c r="AO8" s="54">
        <f t="shared" si="2"/>
        <v>0</v>
      </c>
      <c r="AP8" s="65">
        <f t="shared" si="3"/>
        <v>148500000</v>
      </c>
      <c r="AQ8" s="30" t="s">
        <v>178</v>
      </c>
      <c r="AR8" s="43" t="s">
        <v>179</v>
      </c>
      <c r="AS8" s="32"/>
    </row>
    <row r="9" spans="1:45" ht="90" x14ac:dyDescent="0.25">
      <c r="A9" s="47">
        <v>15</v>
      </c>
      <c r="B9" s="63"/>
      <c r="C9" s="32"/>
      <c r="D9" s="29" t="s">
        <v>56</v>
      </c>
      <c r="E9" s="29" t="s">
        <v>82</v>
      </c>
      <c r="F9" s="29" t="s">
        <v>180</v>
      </c>
      <c r="G9" s="41" t="s">
        <v>59</v>
      </c>
      <c r="H9" s="41" t="s">
        <v>60</v>
      </c>
      <c r="I9" s="41">
        <v>2024</v>
      </c>
      <c r="J9" s="41">
        <v>115</v>
      </c>
      <c r="K9" s="29" t="s">
        <v>59</v>
      </c>
      <c r="L9" s="29" t="s">
        <v>3</v>
      </c>
      <c r="M9" s="32" t="s">
        <v>61</v>
      </c>
      <c r="N9" s="32" t="s">
        <v>129</v>
      </c>
      <c r="O9" s="32" t="s">
        <v>63</v>
      </c>
      <c r="P9" s="32" t="s">
        <v>64</v>
      </c>
      <c r="Q9" s="30" t="s">
        <v>181</v>
      </c>
      <c r="R9" s="32" t="s">
        <v>182</v>
      </c>
      <c r="S9" s="45" t="s">
        <v>183</v>
      </c>
      <c r="T9" s="48" t="s">
        <v>184</v>
      </c>
      <c r="U9" s="35" t="s">
        <v>69</v>
      </c>
      <c r="V9" s="68">
        <v>0</v>
      </c>
      <c r="W9" s="36">
        <v>45323</v>
      </c>
      <c r="X9" s="36">
        <v>44962</v>
      </c>
      <c r="Y9" s="36" t="s">
        <v>70</v>
      </c>
      <c r="Z9" s="36">
        <v>45646</v>
      </c>
      <c r="AA9" s="36" t="s">
        <v>70</v>
      </c>
      <c r="AB9" s="36" t="s">
        <v>71</v>
      </c>
      <c r="AC9" s="37" t="s">
        <v>72</v>
      </c>
      <c r="AD9" s="32" t="s">
        <v>73</v>
      </c>
      <c r="AE9" s="38">
        <v>132000000</v>
      </c>
      <c r="AF9" s="38">
        <v>0</v>
      </c>
      <c r="AG9" s="38">
        <f t="shared" si="4"/>
        <v>132000000</v>
      </c>
      <c r="AH9" s="38">
        <v>0</v>
      </c>
      <c r="AI9" s="66">
        <v>132000000</v>
      </c>
      <c r="AJ9" s="38">
        <v>0</v>
      </c>
      <c r="AK9" s="38">
        <v>132000000</v>
      </c>
      <c r="AL9" s="38">
        <f t="shared" si="1"/>
        <v>0</v>
      </c>
      <c r="AM9" s="66">
        <v>0</v>
      </c>
      <c r="AN9" s="38">
        <v>12000000</v>
      </c>
      <c r="AO9" s="54">
        <f t="shared" si="2"/>
        <v>0</v>
      </c>
      <c r="AP9" s="65">
        <f t="shared" si="3"/>
        <v>132000000</v>
      </c>
      <c r="AQ9" s="30" t="s">
        <v>185</v>
      </c>
      <c r="AR9" s="43" t="s">
        <v>186</v>
      </c>
      <c r="AS9" s="32"/>
    </row>
    <row r="10" spans="1:45" ht="90" x14ac:dyDescent="0.25">
      <c r="A10" s="47">
        <v>16</v>
      </c>
      <c r="B10" s="63"/>
      <c r="C10" s="32"/>
      <c r="D10" s="29" t="s">
        <v>56</v>
      </c>
      <c r="E10" s="29" t="s">
        <v>82</v>
      </c>
      <c r="F10" s="29" t="s">
        <v>187</v>
      </c>
      <c r="G10" s="41" t="s">
        <v>59</v>
      </c>
      <c r="H10" s="41" t="s">
        <v>60</v>
      </c>
      <c r="I10" s="41">
        <v>2024</v>
      </c>
      <c r="J10" s="41">
        <v>109</v>
      </c>
      <c r="K10" s="29" t="s">
        <v>59</v>
      </c>
      <c r="L10" s="29" t="s">
        <v>3</v>
      </c>
      <c r="M10" s="32" t="s">
        <v>61</v>
      </c>
      <c r="N10" s="32" t="s">
        <v>129</v>
      </c>
      <c r="O10" s="32" t="s">
        <v>63</v>
      </c>
      <c r="P10" s="32" t="s">
        <v>64</v>
      </c>
      <c r="Q10" s="30" t="s">
        <v>188</v>
      </c>
      <c r="R10" s="32" t="s">
        <v>189</v>
      </c>
      <c r="S10" s="45" t="s">
        <v>190</v>
      </c>
      <c r="T10" s="56" t="s">
        <v>191</v>
      </c>
      <c r="U10" s="35" t="s">
        <v>69</v>
      </c>
      <c r="V10" s="68">
        <v>0</v>
      </c>
      <c r="W10" s="36">
        <v>45323</v>
      </c>
      <c r="X10" s="36">
        <v>44959</v>
      </c>
      <c r="Y10" s="36" t="s">
        <v>70</v>
      </c>
      <c r="Z10" s="36">
        <v>45646</v>
      </c>
      <c r="AA10" s="36" t="s">
        <v>70</v>
      </c>
      <c r="AB10" s="36" t="s">
        <v>71</v>
      </c>
      <c r="AC10" s="37" t="s">
        <v>72</v>
      </c>
      <c r="AD10" s="32" t="s">
        <v>73</v>
      </c>
      <c r="AE10" s="38">
        <v>121000000</v>
      </c>
      <c r="AF10" s="38">
        <v>0</v>
      </c>
      <c r="AG10" s="38">
        <f t="shared" si="4"/>
        <v>121000000</v>
      </c>
      <c r="AH10" s="38">
        <v>0</v>
      </c>
      <c r="AI10" s="66">
        <v>121000000</v>
      </c>
      <c r="AJ10" s="38">
        <v>0</v>
      </c>
      <c r="AK10" s="38">
        <v>121000000</v>
      </c>
      <c r="AL10" s="38">
        <f t="shared" si="1"/>
        <v>0</v>
      </c>
      <c r="AM10" s="66">
        <v>0</v>
      </c>
      <c r="AN10" s="38">
        <v>11000000</v>
      </c>
      <c r="AO10" s="54">
        <f t="shared" si="2"/>
        <v>0</v>
      </c>
      <c r="AP10" s="65">
        <f t="shared" si="3"/>
        <v>121000000</v>
      </c>
      <c r="AQ10" s="30" t="s">
        <v>192</v>
      </c>
      <c r="AR10" s="43" t="s">
        <v>193</v>
      </c>
      <c r="AS10" s="32"/>
    </row>
    <row r="11" spans="1:45" ht="210" x14ac:dyDescent="0.25">
      <c r="A11" s="47">
        <v>17</v>
      </c>
      <c r="B11" s="63"/>
      <c r="C11" s="36"/>
      <c r="D11" s="29" t="s">
        <v>56</v>
      </c>
      <c r="E11" s="29" t="s">
        <v>247</v>
      </c>
      <c r="F11" s="29" t="s">
        <v>248</v>
      </c>
      <c r="G11" s="41" t="s">
        <v>109</v>
      </c>
      <c r="H11" s="41" t="s">
        <v>249</v>
      </c>
      <c r="I11" s="41">
        <v>2024</v>
      </c>
      <c r="J11" s="41">
        <v>141</v>
      </c>
      <c r="K11" s="29" t="s">
        <v>59</v>
      </c>
      <c r="L11" s="29" t="s">
        <v>3</v>
      </c>
      <c r="M11" s="32" t="s">
        <v>61</v>
      </c>
      <c r="N11" s="32" t="s">
        <v>250</v>
      </c>
      <c r="O11" s="32" t="s">
        <v>251</v>
      </c>
      <c r="P11" s="32" t="s">
        <v>64</v>
      </c>
      <c r="Q11" s="30" t="s">
        <v>252</v>
      </c>
      <c r="R11" s="36" t="s">
        <v>253</v>
      </c>
      <c r="S11" s="45" t="s">
        <v>254</v>
      </c>
      <c r="T11" s="56" t="s">
        <v>255</v>
      </c>
      <c r="U11" s="35" t="s">
        <v>69</v>
      </c>
      <c r="V11" s="68">
        <v>0</v>
      </c>
      <c r="W11" s="36">
        <v>45329</v>
      </c>
      <c r="X11" s="36">
        <v>45331</v>
      </c>
      <c r="Y11" s="36">
        <v>45331</v>
      </c>
      <c r="Z11" s="36">
        <v>45646</v>
      </c>
      <c r="AA11" s="36" t="s">
        <v>70</v>
      </c>
      <c r="AB11" s="36" t="s">
        <v>71</v>
      </c>
      <c r="AC11" s="37" t="s">
        <v>72</v>
      </c>
      <c r="AD11" s="32" t="s">
        <v>73</v>
      </c>
      <c r="AE11" s="38">
        <v>191064000</v>
      </c>
      <c r="AF11" s="38">
        <v>0</v>
      </c>
      <c r="AG11" s="38">
        <f t="shared" si="4"/>
        <v>191064000</v>
      </c>
      <c r="AH11" s="38">
        <v>0</v>
      </c>
      <c r="AI11" s="66">
        <v>191064000</v>
      </c>
      <c r="AJ11" s="38">
        <v>0</v>
      </c>
      <c r="AK11" s="38">
        <v>197034750</v>
      </c>
      <c r="AL11" s="38">
        <f t="shared" si="1"/>
        <v>5970750</v>
      </c>
      <c r="AM11" s="66">
        <v>0</v>
      </c>
      <c r="AN11" s="38">
        <v>17912250</v>
      </c>
      <c r="AO11" s="54">
        <f t="shared" si="2"/>
        <v>0</v>
      </c>
      <c r="AP11" s="65">
        <f t="shared" si="3"/>
        <v>191064000</v>
      </c>
      <c r="AQ11" s="30" t="s">
        <v>256</v>
      </c>
      <c r="AR11" s="43" t="s">
        <v>257</v>
      </c>
      <c r="AS11" s="32"/>
    </row>
    <row r="12" spans="1:45" ht="90" x14ac:dyDescent="0.25">
      <c r="A12" s="47">
        <v>18</v>
      </c>
      <c r="B12" s="63">
        <v>80111614</v>
      </c>
      <c r="C12" s="32" t="s">
        <v>81</v>
      </c>
      <c r="D12" s="29" t="s">
        <v>56</v>
      </c>
      <c r="E12" s="29" t="s">
        <v>82</v>
      </c>
      <c r="F12" s="29" t="s">
        <v>83</v>
      </c>
      <c r="G12" s="41" t="s">
        <v>59</v>
      </c>
      <c r="H12" s="41" t="s">
        <v>60</v>
      </c>
      <c r="I12" s="41">
        <v>2024</v>
      </c>
      <c r="J12" s="41">
        <v>112</v>
      </c>
      <c r="K12" s="29" t="s">
        <v>59</v>
      </c>
      <c r="L12" s="29" t="s">
        <v>3</v>
      </c>
      <c r="M12" s="32" t="s">
        <v>61</v>
      </c>
      <c r="N12" s="32" t="s">
        <v>84</v>
      </c>
      <c r="O12" s="32" t="s">
        <v>85</v>
      </c>
      <c r="P12" s="32" t="s">
        <v>64</v>
      </c>
      <c r="Q12" s="30" t="s">
        <v>86</v>
      </c>
      <c r="R12" s="32" t="s">
        <v>87</v>
      </c>
      <c r="S12" s="45" t="s">
        <v>88</v>
      </c>
      <c r="T12" s="48" t="s">
        <v>89</v>
      </c>
      <c r="U12" s="35" t="s">
        <v>69</v>
      </c>
      <c r="V12" s="68">
        <v>0</v>
      </c>
      <c r="W12" s="36">
        <v>45315</v>
      </c>
      <c r="X12" s="36">
        <v>45315</v>
      </c>
      <c r="Y12" s="36">
        <v>45316</v>
      </c>
      <c r="Z12" s="36">
        <v>45646</v>
      </c>
      <c r="AA12" s="36" t="s">
        <v>70</v>
      </c>
      <c r="AB12" s="36" t="s">
        <v>71</v>
      </c>
      <c r="AC12" s="37" t="s">
        <v>90</v>
      </c>
      <c r="AD12" s="32" t="s">
        <v>73</v>
      </c>
      <c r="AE12" s="38">
        <v>93500000</v>
      </c>
      <c r="AF12" s="38">
        <v>0</v>
      </c>
      <c r="AG12" s="38">
        <f t="shared" si="4"/>
        <v>93500000</v>
      </c>
      <c r="AH12" s="38">
        <v>0</v>
      </c>
      <c r="AI12" s="66">
        <v>93500000</v>
      </c>
      <c r="AJ12" s="38">
        <v>0</v>
      </c>
      <c r="AK12" s="38">
        <v>93500000</v>
      </c>
      <c r="AL12" s="38">
        <f t="shared" si="1"/>
        <v>0</v>
      </c>
      <c r="AM12" s="66">
        <v>0</v>
      </c>
      <c r="AN12" s="38">
        <v>9350000</v>
      </c>
      <c r="AO12" s="54">
        <f t="shared" si="2"/>
        <v>0</v>
      </c>
      <c r="AP12" s="65">
        <f t="shared" si="3"/>
        <v>93500000</v>
      </c>
      <c r="AQ12" s="30" t="s">
        <v>91</v>
      </c>
      <c r="AR12" s="43" t="s">
        <v>92</v>
      </c>
      <c r="AS12" s="32"/>
    </row>
    <row r="13" spans="1:45" ht="40.5" customHeight="1" x14ac:dyDescent="0.25">
      <c r="A13" s="47">
        <v>21</v>
      </c>
      <c r="B13" s="63"/>
      <c r="C13" s="32"/>
      <c r="D13" s="29" t="s">
        <v>56</v>
      </c>
      <c r="E13" s="29" t="s">
        <v>57</v>
      </c>
      <c r="F13" s="29" t="s">
        <v>58</v>
      </c>
      <c r="G13" s="41" t="s">
        <v>59</v>
      </c>
      <c r="H13" s="41" t="s">
        <v>60</v>
      </c>
      <c r="I13" s="41">
        <v>2024</v>
      </c>
      <c r="J13" s="41">
        <v>46</v>
      </c>
      <c r="K13" s="29" t="s">
        <v>59</v>
      </c>
      <c r="L13" s="29" t="s">
        <v>3</v>
      </c>
      <c r="M13" s="32" t="s">
        <v>61</v>
      </c>
      <c r="N13" s="32" t="s">
        <v>62</v>
      </c>
      <c r="O13" s="32" t="s">
        <v>63</v>
      </c>
      <c r="P13" s="32" t="s">
        <v>64</v>
      </c>
      <c r="Q13" s="31" t="s">
        <v>65</v>
      </c>
      <c r="R13" s="32" t="s">
        <v>66</v>
      </c>
      <c r="S13" s="45" t="s">
        <v>67</v>
      </c>
      <c r="T13" s="30" t="s">
        <v>68</v>
      </c>
      <c r="U13" s="35" t="s">
        <v>69</v>
      </c>
      <c r="V13" s="68">
        <v>0</v>
      </c>
      <c r="W13" s="36">
        <v>45329</v>
      </c>
      <c r="X13" s="36">
        <v>45331</v>
      </c>
      <c r="Y13" s="36" t="s">
        <v>70</v>
      </c>
      <c r="Z13" s="36">
        <v>45473</v>
      </c>
      <c r="AA13" s="36" t="s">
        <v>70</v>
      </c>
      <c r="AB13" s="36" t="s">
        <v>71</v>
      </c>
      <c r="AC13" s="37" t="s">
        <v>72</v>
      </c>
      <c r="AD13" s="32" t="s">
        <v>73</v>
      </c>
      <c r="AE13" s="38">
        <v>47500000</v>
      </c>
      <c r="AF13" s="38">
        <v>0</v>
      </c>
      <c r="AG13" s="38">
        <f t="shared" si="4"/>
        <v>47500000</v>
      </c>
      <c r="AH13" s="38">
        <v>0</v>
      </c>
      <c r="AI13" s="66">
        <v>47500000</v>
      </c>
      <c r="AJ13" s="38">
        <v>0</v>
      </c>
      <c r="AK13" s="38">
        <v>47500000</v>
      </c>
      <c r="AL13" s="38">
        <f t="shared" si="1"/>
        <v>0</v>
      </c>
      <c r="AM13" s="66">
        <v>0</v>
      </c>
      <c r="AN13" s="38">
        <v>11875000</v>
      </c>
      <c r="AO13" s="54">
        <f t="shared" si="2"/>
        <v>0</v>
      </c>
      <c r="AP13" s="65">
        <f t="shared" si="3"/>
        <v>47500000</v>
      </c>
      <c r="AQ13" s="30" t="s">
        <v>74</v>
      </c>
      <c r="AR13" s="43" t="s">
        <v>75</v>
      </c>
      <c r="AS13" s="32"/>
    </row>
    <row r="14" spans="1:45" ht="75" x14ac:dyDescent="0.25">
      <c r="A14" s="47">
        <v>23</v>
      </c>
      <c r="B14" s="63"/>
      <c r="C14" s="32"/>
      <c r="D14" s="29" t="s">
        <v>93</v>
      </c>
      <c r="E14" s="29" t="s">
        <v>94</v>
      </c>
      <c r="F14" s="29" t="s">
        <v>95</v>
      </c>
      <c r="G14" s="47" t="s">
        <v>59</v>
      </c>
      <c r="H14" s="41" t="s">
        <v>60</v>
      </c>
      <c r="I14" s="41">
        <v>2024</v>
      </c>
      <c r="J14" s="41">
        <v>94</v>
      </c>
      <c r="K14" s="29" t="s">
        <v>59</v>
      </c>
      <c r="L14" s="29" t="s">
        <v>3</v>
      </c>
      <c r="M14" s="32" t="s">
        <v>61</v>
      </c>
      <c r="N14" s="32" t="s">
        <v>96</v>
      </c>
      <c r="O14" s="32" t="s">
        <v>97</v>
      </c>
      <c r="P14" s="32" t="s">
        <v>64</v>
      </c>
      <c r="Q14" s="30" t="s">
        <v>98</v>
      </c>
      <c r="R14" s="32" t="s">
        <v>99</v>
      </c>
      <c r="S14" s="57" t="s">
        <v>100</v>
      </c>
      <c r="T14" s="49" t="s">
        <v>101</v>
      </c>
      <c r="U14" s="35" t="s">
        <v>69</v>
      </c>
      <c r="V14" s="68">
        <v>0</v>
      </c>
      <c r="W14" s="36">
        <v>45331</v>
      </c>
      <c r="X14" s="36">
        <v>45331</v>
      </c>
      <c r="Y14" s="36">
        <v>45331</v>
      </c>
      <c r="Z14" s="36">
        <v>45359</v>
      </c>
      <c r="AA14" s="58" t="s">
        <v>102</v>
      </c>
      <c r="AB14" s="58" t="s">
        <v>103</v>
      </c>
      <c r="AC14" s="37" t="s">
        <v>90</v>
      </c>
      <c r="AD14" s="32" t="s">
        <v>104</v>
      </c>
      <c r="AE14" s="38">
        <v>194118482.31999999</v>
      </c>
      <c r="AF14" s="38">
        <v>0</v>
      </c>
      <c r="AG14" s="38">
        <f t="shared" si="4"/>
        <v>194118482.31999999</v>
      </c>
      <c r="AH14" s="38">
        <v>0</v>
      </c>
      <c r="AI14" s="66">
        <v>194118482.31999999</v>
      </c>
      <c r="AJ14" s="38">
        <v>0</v>
      </c>
      <c r="AK14" s="38">
        <v>250000000</v>
      </c>
      <c r="AL14" s="38">
        <f t="shared" si="1"/>
        <v>55881517.680000007</v>
      </c>
      <c r="AM14" s="66">
        <v>0</v>
      </c>
      <c r="AN14" s="38" t="s">
        <v>69</v>
      </c>
      <c r="AO14" s="54">
        <f t="shared" si="2"/>
        <v>0</v>
      </c>
      <c r="AP14" s="65">
        <f t="shared" si="3"/>
        <v>194118482.31999999</v>
      </c>
      <c r="AQ14" s="30" t="s">
        <v>105</v>
      </c>
      <c r="AR14" s="43" t="s">
        <v>106</v>
      </c>
      <c r="AS14" s="32"/>
    </row>
    <row r="15" spans="1:45" ht="90" x14ac:dyDescent="0.25">
      <c r="A15" s="47">
        <v>24</v>
      </c>
      <c r="B15" s="63"/>
      <c r="C15" s="32"/>
      <c r="D15" s="29" t="s">
        <v>56</v>
      </c>
      <c r="E15" s="29" t="s">
        <v>82</v>
      </c>
      <c r="F15" s="29" t="s">
        <v>194</v>
      </c>
      <c r="G15" s="41" t="s">
        <v>59</v>
      </c>
      <c r="H15" s="41" t="s">
        <v>60</v>
      </c>
      <c r="I15" s="41">
        <v>2024</v>
      </c>
      <c r="J15" s="41">
        <v>104</v>
      </c>
      <c r="K15" s="29" t="s">
        <v>59</v>
      </c>
      <c r="L15" s="29" t="s">
        <v>3</v>
      </c>
      <c r="M15" s="32" t="s">
        <v>195</v>
      </c>
      <c r="N15" s="32" t="s">
        <v>129</v>
      </c>
      <c r="O15" s="59"/>
      <c r="P15" s="32" t="s">
        <v>64</v>
      </c>
      <c r="Q15" s="30" t="s">
        <v>196</v>
      </c>
      <c r="R15" s="32" t="s">
        <v>197</v>
      </c>
      <c r="S15" s="46" t="s">
        <v>198</v>
      </c>
      <c r="T15" s="30" t="s">
        <v>199</v>
      </c>
      <c r="U15" s="35" t="s">
        <v>69</v>
      </c>
      <c r="V15" s="68">
        <v>0</v>
      </c>
      <c r="W15" s="36">
        <v>45335</v>
      </c>
      <c r="X15" s="36">
        <v>45338</v>
      </c>
      <c r="Y15" s="36" t="s">
        <v>70</v>
      </c>
      <c r="Z15" s="36">
        <v>45646</v>
      </c>
      <c r="AA15" s="36" t="s">
        <v>70</v>
      </c>
      <c r="AB15" s="36" t="s">
        <v>71</v>
      </c>
      <c r="AC15" s="37" t="s">
        <v>72</v>
      </c>
      <c r="AD15" s="32" t="s">
        <v>73</v>
      </c>
      <c r="AE15" s="38">
        <v>165000000</v>
      </c>
      <c r="AF15" s="38">
        <v>0</v>
      </c>
      <c r="AG15" s="38">
        <f t="shared" si="4"/>
        <v>165000000</v>
      </c>
      <c r="AH15" s="38">
        <v>0</v>
      </c>
      <c r="AI15" s="66">
        <v>165000000</v>
      </c>
      <c r="AJ15" s="38">
        <v>0</v>
      </c>
      <c r="AK15" s="38">
        <v>165000000</v>
      </c>
      <c r="AL15" s="38">
        <f>IF(K15="Si",(AK15-AE15),0)</f>
        <v>0</v>
      </c>
      <c r="AM15" s="66">
        <v>0</v>
      </c>
      <c r="AN15" s="38">
        <v>15000000</v>
      </c>
      <c r="AO15" s="54">
        <f t="shared" si="2"/>
        <v>0</v>
      </c>
      <c r="AP15" s="65">
        <f t="shared" si="3"/>
        <v>165000000</v>
      </c>
      <c r="AQ15" s="30" t="s">
        <v>200</v>
      </c>
      <c r="AR15" s="43" t="s">
        <v>201</v>
      </c>
      <c r="AS15" s="32"/>
    </row>
    <row r="16" spans="1:45" ht="105" x14ac:dyDescent="0.25">
      <c r="A16" s="47">
        <v>19</v>
      </c>
      <c r="B16" s="63"/>
      <c r="C16" s="32"/>
      <c r="D16" s="29" t="s">
        <v>56</v>
      </c>
      <c r="E16" s="29" t="s">
        <v>57</v>
      </c>
      <c r="F16" s="29" t="s">
        <v>58</v>
      </c>
      <c r="G16" s="41" t="s">
        <v>59</v>
      </c>
      <c r="H16" s="41" t="s">
        <v>60</v>
      </c>
      <c r="I16" s="41">
        <v>2024</v>
      </c>
      <c r="J16" s="41">
        <v>38</v>
      </c>
      <c r="K16" s="29" t="s">
        <v>59</v>
      </c>
      <c r="L16" s="29" t="s">
        <v>3</v>
      </c>
      <c r="M16" s="32" t="s">
        <v>61</v>
      </c>
      <c r="N16" s="32" t="s">
        <v>62</v>
      </c>
      <c r="O16" s="32" t="s">
        <v>63</v>
      </c>
      <c r="P16" s="32" t="s">
        <v>64</v>
      </c>
      <c r="Q16" s="29" t="s">
        <v>431</v>
      </c>
      <c r="R16" s="32" t="s">
        <v>66</v>
      </c>
      <c r="S16" s="46" t="s">
        <v>432</v>
      </c>
      <c r="T16" s="30" t="s">
        <v>433</v>
      </c>
      <c r="U16" s="35" t="s">
        <v>69</v>
      </c>
      <c r="V16" s="68">
        <v>0</v>
      </c>
      <c r="W16" s="36">
        <v>45329</v>
      </c>
      <c r="X16" s="36">
        <v>45330</v>
      </c>
      <c r="Y16" s="36" t="s">
        <v>70</v>
      </c>
      <c r="Z16" s="36">
        <v>45473</v>
      </c>
      <c r="AA16" s="36" t="s">
        <v>70</v>
      </c>
      <c r="AB16" s="36" t="s">
        <v>71</v>
      </c>
      <c r="AC16" s="37" t="s">
        <v>72</v>
      </c>
      <c r="AD16" s="32" t="s">
        <v>73</v>
      </c>
      <c r="AE16" s="38">
        <v>47500000</v>
      </c>
      <c r="AF16" s="38">
        <v>-47500000</v>
      </c>
      <c r="AG16" s="38">
        <f t="shared" si="4"/>
        <v>0</v>
      </c>
      <c r="AH16" s="38">
        <v>0</v>
      </c>
      <c r="AI16" s="66">
        <v>0</v>
      </c>
      <c r="AJ16" s="38">
        <v>0</v>
      </c>
      <c r="AK16" s="38">
        <v>0</v>
      </c>
      <c r="AL16" s="38">
        <f>AG16-AK16</f>
        <v>0</v>
      </c>
      <c r="AM16" s="66">
        <v>0</v>
      </c>
      <c r="AN16" s="38">
        <v>11875000</v>
      </c>
      <c r="AO16" s="54">
        <f>IF(AI16=0,0,ROUND(AM16/AI16,2))</f>
        <v>0</v>
      </c>
      <c r="AP16" s="65">
        <f t="shared" si="3"/>
        <v>0</v>
      </c>
      <c r="AQ16" s="30" t="s">
        <v>434</v>
      </c>
      <c r="AR16" s="43" t="s">
        <v>435</v>
      </c>
      <c r="AS16" s="32" t="s">
        <v>532</v>
      </c>
    </row>
    <row r="17" spans="1:45" ht="225" x14ac:dyDescent="0.25">
      <c r="A17" s="47">
        <v>22</v>
      </c>
      <c r="B17" s="63"/>
      <c r="C17" s="32"/>
      <c r="D17" s="29" t="s">
        <v>56</v>
      </c>
      <c r="E17" s="29" t="s">
        <v>57</v>
      </c>
      <c r="F17" s="29" t="s">
        <v>58</v>
      </c>
      <c r="G17" s="41" t="s">
        <v>59</v>
      </c>
      <c r="H17" s="41" t="s">
        <v>60</v>
      </c>
      <c r="I17" s="41">
        <v>2024</v>
      </c>
      <c r="J17" s="41">
        <v>52</v>
      </c>
      <c r="K17" s="29" t="s">
        <v>59</v>
      </c>
      <c r="L17" s="29" t="s">
        <v>3</v>
      </c>
      <c r="M17" s="32" t="s">
        <v>61</v>
      </c>
      <c r="N17" s="32" t="s">
        <v>62</v>
      </c>
      <c r="O17" s="32" t="s">
        <v>63</v>
      </c>
      <c r="P17" s="32" t="s">
        <v>64</v>
      </c>
      <c r="Q17" s="30" t="s">
        <v>437</v>
      </c>
      <c r="R17" s="32" t="s">
        <v>66</v>
      </c>
      <c r="S17" s="45" t="s">
        <v>438</v>
      </c>
      <c r="T17" s="30" t="s">
        <v>439</v>
      </c>
      <c r="U17" s="35" t="s">
        <v>69</v>
      </c>
      <c r="V17" s="68">
        <v>0</v>
      </c>
      <c r="W17" s="36">
        <v>45329</v>
      </c>
      <c r="X17" s="36">
        <v>45331</v>
      </c>
      <c r="Y17" s="36" t="s">
        <v>70</v>
      </c>
      <c r="Z17" s="36">
        <v>45473</v>
      </c>
      <c r="AA17" s="36" t="s">
        <v>70</v>
      </c>
      <c r="AB17" s="36" t="s">
        <v>71</v>
      </c>
      <c r="AC17" s="37" t="s">
        <v>72</v>
      </c>
      <c r="AD17" s="32" t="s">
        <v>73</v>
      </c>
      <c r="AE17" s="38">
        <v>47500000</v>
      </c>
      <c r="AF17" s="38">
        <v>-47500000</v>
      </c>
      <c r="AG17" s="38">
        <f t="shared" si="4"/>
        <v>0</v>
      </c>
      <c r="AH17" s="38">
        <v>0</v>
      </c>
      <c r="AI17" s="66">
        <v>0</v>
      </c>
      <c r="AJ17" s="38">
        <v>0</v>
      </c>
      <c r="AK17" s="38">
        <v>0</v>
      </c>
      <c r="AL17" s="38">
        <f>AG17-AK17</f>
        <v>0</v>
      </c>
      <c r="AM17" s="66">
        <v>0</v>
      </c>
      <c r="AN17" s="38">
        <v>11875000</v>
      </c>
      <c r="AO17" s="54">
        <f t="shared" ref="AO17:AO39" si="5">IF(AI17=0,0,ROUND(AM17/AI17,2))</f>
        <v>0</v>
      </c>
      <c r="AP17" s="65">
        <f t="shared" si="3"/>
        <v>0</v>
      </c>
      <c r="AQ17" s="30" t="s">
        <v>440</v>
      </c>
      <c r="AR17" s="43" t="s">
        <v>441</v>
      </c>
      <c r="AS17" s="32" t="s">
        <v>532</v>
      </c>
    </row>
    <row r="18" spans="1:45" ht="42.75" x14ac:dyDescent="0.25">
      <c r="A18" s="47">
        <v>28</v>
      </c>
      <c r="B18" s="64">
        <v>81112501</v>
      </c>
      <c r="C18" s="52" t="s">
        <v>258</v>
      </c>
      <c r="D18" s="50" t="s">
        <v>93</v>
      </c>
      <c r="E18" s="50" t="s">
        <v>259</v>
      </c>
      <c r="F18" s="50" t="s">
        <v>260</v>
      </c>
      <c r="G18" s="51" t="s">
        <v>59</v>
      </c>
      <c r="H18" s="51" t="s">
        <v>60</v>
      </c>
      <c r="I18" s="51">
        <v>2024</v>
      </c>
      <c r="J18" s="51">
        <v>86</v>
      </c>
      <c r="K18" s="50" t="s">
        <v>59</v>
      </c>
      <c r="L18" s="50" t="s">
        <v>5</v>
      </c>
      <c r="M18" s="52" t="s">
        <v>61</v>
      </c>
      <c r="N18" s="52" t="s">
        <v>533</v>
      </c>
      <c r="O18" s="52"/>
      <c r="P18" s="52" t="s">
        <v>64</v>
      </c>
      <c r="Q18" s="53" t="s">
        <v>534</v>
      </c>
      <c r="R18" s="52" t="s">
        <v>263</v>
      </c>
      <c r="S18" s="46"/>
      <c r="T18" s="30"/>
      <c r="U18" s="35"/>
      <c r="V18" s="68">
        <v>0</v>
      </c>
      <c r="W18" s="36"/>
      <c r="X18" s="36"/>
      <c r="Y18" s="36"/>
      <c r="Z18" s="36"/>
      <c r="AA18" s="36"/>
      <c r="AB18" s="36"/>
      <c r="AC18" s="37" t="s">
        <v>90</v>
      </c>
      <c r="AD18" s="30" t="s">
        <v>267</v>
      </c>
      <c r="AE18" s="38"/>
      <c r="AF18" s="38">
        <v>0</v>
      </c>
      <c r="AG18" s="38">
        <f t="shared" si="4"/>
        <v>0</v>
      </c>
      <c r="AH18" s="38"/>
      <c r="AI18" s="38"/>
      <c r="AJ18" s="38"/>
      <c r="AK18" s="38">
        <v>18371251</v>
      </c>
      <c r="AL18" s="38">
        <f>IF(K18="Si",(AK18-AE18),0)</f>
        <v>18371251</v>
      </c>
      <c r="AM18" s="66"/>
      <c r="AN18" s="38"/>
      <c r="AO18" s="54">
        <f t="shared" si="5"/>
        <v>0</v>
      </c>
      <c r="AP18" s="65">
        <f t="shared" si="3"/>
        <v>0</v>
      </c>
      <c r="AQ18" s="30"/>
      <c r="AR18" s="43"/>
      <c r="AS18" s="32"/>
    </row>
    <row r="19" spans="1:45" ht="57" x14ac:dyDescent="0.25">
      <c r="A19" s="47">
        <v>25</v>
      </c>
      <c r="B19" s="64"/>
      <c r="C19" s="52"/>
      <c r="D19" s="50" t="s">
        <v>56</v>
      </c>
      <c r="E19" s="50" t="s">
        <v>82</v>
      </c>
      <c r="F19" s="50" t="s">
        <v>284</v>
      </c>
      <c r="G19" s="51" t="s">
        <v>59</v>
      </c>
      <c r="H19" s="51" t="s">
        <v>60</v>
      </c>
      <c r="I19" s="51">
        <v>2024</v>
      </c>
      <c r="J19" s="51">
        <v>105</v>
      </c>
      <c r="K19" s="50" t="s">
        <v>59</v>
      </c>
      <c r="L19" s="50" t="s">
        <v>5</v>
      </c>
      <c r="M19" s="52" t="s">
        <v>61</v>
      </c>
      <c r="N19" s="52" t="s">
        <v>535</v>
      </c>
      <c r="O19" s="52"/>
      <c r="P19" s="52" t="s">
        <v>64</v>
      </c>
      <c r="Q19" s="53" t="s">
        <v>284</v>
      </c>
      <c r="R19" s="52" t="s">
        <v>287</v>
      </c>
      <c r="S19" s="46"/>
      <c r="T19" s="30"/>
      <c r="U19" s="35"/>
      <c r="V19" s="68">
        <v>0</v>
      </c>
      <c r="W19" s="36"/>
      <c r="X19" s="36"/>
      <c r="Y19" s="36"/>
      <c r="Z19" s="36"/>
      <c r="AA19" s="36"/>
      <c r="AB19" s="36"/>
      <c r="AC19" s="37" t="s">
        <v>72</v>
      </c>
      <c r="AD19" s="30" t="s">
        <v>290</v>
      </c>
      <c r="AE19" s="38"/>
      <c r="AF19" s="38">
        <v>0</v>
      </c>
      <c r="AG19" s="38">
        <f t="shared" si="4"/>
        <v>0</v>
      </c>
      <c r="AH19" s="38"/>
      <c r="AI19" s="38"/>
      <c r="AJ19" s="38"/>
      <c r="AK19" s="38">
        <v>92400000</v>
      </c>
      <c r="AL19" s="38">
        <f>IF(K19="Si",(AK19-AE19),0)</f>
        <v>92400000</v>
      </c>
      <c r="AM19" s="66"/>
      <c r="AN19" s="38"/>
      <c r="AO19" s="54">
        <f t="shared" si="5"/>
        <v>0</v>
      </c>
      <c r="AP19" s="65">
        <f t="shared" si="3"/>
        <v>0</v>
      </c>
      <c r="AQ19" s="30"/>
      <c r="AR19" s="43"/>
      <c r="AS19" s="32"/>
    </row>
    <row r="20" spans="1:45" ht="86.1" customHeight="1" x14ac:dyDescent="0.25">
      <c r="A20" s="47">
        <v>26</v>
      </c>
      <c r="B20" s="64">
        <v>80111614</v>
      </c>
      <c r="C20" s="52"/>
      <c r="D20" s="50" t="s">
        <v>56</v>
      </c>
      <c r="E20" s="50" t="s">
        <v>82</v>
      </c>
      <c r="F20" s="50" t="s">
        <v>296</v>
      </c>
      <c r="G20" s="51" t="s">
        <v>59</v>
      </c>
      <c r="H20" s="51" t="s">
        <v>60</v>
      </c>
      <c r="I20" s="51">
        <v>2024</v>
      </c>
      <c r="J20" s="51">
        <v>106</v>
      </c>
      <c r="K20" s="50" t="s">
        <v>59</v>
      </c>
      <c r="L20" s="50" t="s">
        <v>5</v>
      </c>
      <c r="M20" s="52" t="s">
        <v>61</v>
      </c>
      <c r="N20" s="52" t="s">
        <v>536</v>
      </c>
      <c r="O20" s="52"/>
      <c r="P20" s="52" t="s">
        <v>64</v>
      </c>
      <c r="Q20" s="53" t="s">
        <v>537</v>
      </c>
      <c r="R20" s="52" t="s">
        <v>299</v>
      </c>
      <c r="S20" s="45"/>
      <c r="T20" s="30"/>
      <c r="U20" s="35"/>
      <c r="V20" s="68">
        <v>0</v>
      </c>
      <c r="W20" s="36"/>
      <c r="X20" s="36"/>
      <c r="Y20" s="36"/>
      <c r="Z20" s="36"/>
      <c r="AA20" s="36"/>
      <c r="AB20" s="36"/>
      <c r="AC20" s="37" t="s">
        <v>72</v>
      </c>
      <c r="AD20" s="30" t="s">
        <v>302</v>
      </c>
      <c r="AE20" s="38"/>
      <c r="AF20" s="38">
        <v>0</v>
      </c>
      <c r="AG20" s="38">
        <f t="shared" si="4"/>
        <v>0</v>
      </c>
      <c r="AH20" s="38"/>
      <c r="AI20" s="38"/>
      <c r="AJ20" s="38"/>
      <c r="AK20" s="38">
        <v>197034750</v>
      </c>
      <c r="AL20" s="38">
        <f>IF(K20="Si",(AK20-AE20),0)</f>
        <v>197034750</v>
      </c>
      <c r="AM20" s="66"/>
      <c r="AN20" s="38"/>
      <c r="AO20" s="54">
        <f t="shared" si="5"/>
        <v>0</v>
      </c>
      <c r="AP20" s="65">
        <f t="shared" si="3"/>
        <v>0</v>
      </c>
      <c r="AQ20" s="30"/>
      <c r="AR20" s="30"/>
      <c r="AS20" s="32"/>
    </row>
    <row r="21" spans="1:45" ht="42.75" x14ac:dyDescent="0.25">
      <c r="A21" s="47">
        <v>27</v>
      </c>
      <c r="B21" s="64" t="s">
        <v>271</v>
      </c>
      <c r="C21" s="52"/>
      <c r="D21" s="50" t="s">
        <v>93</v>
      </c>
      <c r="E21" s="50" t="s">
        <v>272</v>
      </c>
      <c r="F21" s="50" t="s">
        <v>273</v>
      </c>
      <c r="G21" s="51" t="s">
        <v>109</v>
      </c>
      <c r="H21" s="51" t="s">
        <v>274</v>
      </c>
      <c r="I21" s="51">
        <v>2024</v>
      </c>
      <c r="J21" s="51">
        <v>76</v>
      </c>
      <c r="K21" s="50" t="s">
        <v>59</v>
      </c>
      <c r="L21" s="50" t="s">
        <v>5</v>
      </c>
      <c r="M21" s="52" t="s">
        <v>61</v>
      </c>
      <c r="N21" s="52" t="s">
        <v>538</v>
      </c>
      <c r="O21" s="52"/>
      <c r="P21" s="52" t="s">
        <v>64</v>
      </c>
      <c r="Q21" s="53" t="s">
        <v>539</v>
      </c>
      <c r="R21" s="52" t="s">
        <v>277</v>
      </c>
      <c r="S21" s="45"/>
      <c r="T21" s="44"/>
      <c r="U21" s="35"/>
      <c r="V21" s="68">
        <v>0</v>
      </c>
      <c r="W21" s="36"/>
      <c r="X21" s="36"/>
      <c r="Y21" s="36"/>
      <c r="Z21" s="36"/>
      <c r="AA21" s="36"/>
      <c r="AB21" s="36"/>
      <c r="AC21" s="37" t="s">
        <v>90</v>
      </c>
      <c r="AD21" s="30" t="s">
        <v>267</v>
      </c>
      <c r="AE21" s="38"/>
      <c r="AF21" s="38">
        <v>0</v>
      </c>
      <c r="AG21" s="38">
        <f t="shared" si="4"/>
        <v>0</v>
      </c>
      <c r="AH21" s="38"/>
      <c r="AI21" s="38"/>
      <c r="AJ21" s="38"/>
      <c r="AK21" s="38">
        <v>2550000</v>
      </c>
      <c r="AL21" s="38">
        <f t="shared" si="1"/>
        <v>2550000</v>
      </c>
      <c r="AM21" s="66"/>
      <c r="AN21" s="38"/>
      <c r="AO21" s="54">
        <f t="shared" si="5"/>
        <v>0</v>
      </c>
      <c r="AP21" s="65">
        <f t="shared" si="3"/>
        <v>0</v>
      </c>
      <c r="AQ21" s="30"/>
      <c r="AR21" s="30"/>
      <c r="AS21" s="32"/>
    </row>
    <row r="22" spans="1:45" ht="57" x14ac:dyDescent="0.25">
      <c r="A22" s="47">
        <v>43</v>
      </c>
      <c r="B22" s="64">
        <v>80111614</v>
      </c>
      <c r="C22" s="52" t="s">
        <v>283</v>
      </c>
      <c r="D22" s="50" t="s">
        <v>56</v>
      </c>
      <c r="E22" s="50" t="s">
        <v>82</v>
      </c>
      <c r="F22" s="50" t="s">
        <v>316</v>
      </c>
      <c r="G22" s="51" t="s">
        <v>59</v>
      </c>
      <c r="H22" s="51" t="s">
        <v>60</v>
      </c>
      <c r="I22" s="51">
        <v>2024</v>
      </c>
      <c r="J22" s="51">
        <v>152</v>
      </c>
      <c r="K22" s="50" t="s">
        <v>59</v>
      </c>
      <c r="L22" s="50" t="s">
        <v>540</v>
      </c>
      <c r="M22" s="52" t="s">
        <v>61</v>
      </c>
      <c r="N22" s="52" t="s">
        <v>129</v>
      </c>
      <c r="O22" s="52"/>
      <c r="P22" s="52" t="s">
        <v>64</v>
      </c>
      <c r="Q22" s="53" t="s">
        <v>541</v>
      </c>
      <c r="R22" s="52" t="s">
        <v>326</v>
      </c>
      <c r="S22" s="46"/>
      <c r="T22" s="30"/>
      <c r="U22" s="35"/>
      <c r="V22" s="68">
        <v>0</v>
      </c>
      <c r="W22" s="36"/>
      <c r="X22" s="36"/>
      <c r="Y22" s="36"/>
      <c r="Z22" s="36"/>
      <c r="AA22" s="36"/>
      <c r="AB22" s="36"/>
      <c r="AC22" s="37" t="s">
        <v>72</v>
      </c>
      <c r="AD22" s="30" t="s">
        <v>302</v>
      </c>
      <c r="AE22" s="38"/>
      <c r="AF22" s="38">
        <v>0</v>
      </c>
      <c r="AG22" s="38">
        <f>AE22+AF22</f>
        <v>0</v>
      </c>
      <c r="AH22" s="38"/>
      <c r="AI22" s="38"/>
      <c r="AJ22" s="38"/>
      <c r="AK22" s="38">
        <v>51000000</v>
      </c>
      <c r="AL22" s="38">
        <f>IF(K22="Si",(AK22-AE22),0)</f>
        <v>51000000</v>
      </c>
      <c r="AM22" s="66"/>
      <c r="AN22" s="38"/>
      <c r="AO22" s="54">
        <f t="shared" si="5"/>
        <v>0</v>
      </c>
      <c r="AP22" s="65">
        <f t="shared" si="3"/>
        <v>0</v>
      </c>
      <c r="AQ22" s="30"/>
      <c r="AR22" s="43"/>
      <c r="AS22" s="32"/>
    </row>
    <row r="23" spans="1:45" ht="57" x14ac:dyDescent="0.25">
      <c r="A23" s="47">
        <v>44</v>
      </c>
      <c r="B23" s="64">
        <v>80111614</v>
      </c>
      <c r="C23" s="52" t="s">
        <v>283</v>
      </c>
      <c r="D23" s="50" t="s">
        <v>56</v>
      </c>
      <c r="E23" s="50" t="s">
        <v>82</v>
      </c>
      <c r="F23" s="50" t="s">
        <v>316</v>
      </c>
      <c r="G23" s="51" t="s">
        <v>59</v>
      </c>
      <c r="H23" s="51" t="s">
        <v>60</v>
      </c>
      <c r="I23" s="51">
        <v>2024</v>
      </c>
      <c r="J23" s="51">
        <v>153</v>
      </c>
      <c r="K23" s="50" t="s">
        <v>59</v>
      </c>
      <c r="L23" s="50" t="s">
        <v>542</v>
      </c>
      <c r="M23" s="52" t="s">
        <v>61</v>
      </c>
      <c r="N23" s="52" t="s">
        <v>129</v>
      </c>
      <c r="O23" s="52"/>
      <c r="P23" s="52" t="s">
        <v>64</v>
      </c>
      <c r="Q23" s="53" t="s">
        <v>541</v>
      </c>
      <c r="R23" s="52" t="s">
        <v>319</v>
      </c>
      <c r="S23" s="46"/>
      <c r="T23" s="30"/>
      <c r="U23" s="35"/>
      <c r="V23" s="68">
        <v>0</v>
      </c>
      <c r="W23" s="36"/>
      <c r="X23" s="36"/>
      <c r="Y23" s="36"/>
      <c r="Z23" s="36"/>
      <c r="AA23" s="36"/>
      <c r="AB23" s="36"/>
      <c r="AC23" s="37" t="s">
        <v>72</v>
      </c>
      <c r="AD23" s="30" t="s">
        <v>302</v>
      </c>
      <c r="AE23" s="38"/>
      <c r="AF23" s="38">
        <v>0</v>
      </c>
      <c r="AG23" s="38">
        <f>AE23+AF23</f>
        <v>0</v>
      </c>
      <c r="AH23" s="38"/>
      <c r="AI23" s="38"/>
      <c r="AJ23" s="38"/>
      <c r="AK23" s="38">
        <v>51000000</v>
      </c>
      <c r="AL23" s="38">
        <f>IF(K23="Si",(AK23-AE23),0)</f>
        <v>51000000</v>
      </c>
      <c r="AM23" s="66"/>
      <c r="AN23" s="38"/>
      <c r="AO23" s="54">
        <f t="shared" si="5"/>
        <v>0</v>
      </c>
      <c r="AP23" s="65">
        <f t="shared" si="3"/>
        <v>0</v>
      </c>
      <c r="AQ23" s="30"/>
      <c r="AR23" s="43"/>
      <c r="AS23" s="32"/>
    </row>
    <row r="24" spans="1:45" ht="71.25" x14ac:dyDescent="0.25">
      <c r="A24" s="47">
        <v>45</v>
      </c>
      <c r="B24" s="64">
        <v>80111614</v>
      </c>
      <c r="C24" s="52" t="s">
        <v>283</v>
      </c>
      <c r="D24" s="50" t="s">
        <v>56</v>
      </c>
      <c r="E24" s="50" t="s">
        <v>82</v>
      </c>
      <c r="F24" s="50" t="s">
        <v>331</v>
      </c>
      <c r="G24" s="51" t="s">
        <v>59</v>
      </c>
      <c r="H24" s="51" t="s">
        <v>60</v>
      </c>
      <c r="I24" s="51">
        <v>2024</v>
      </c>
      <c r="J24" s="51">
        <v>154</v>
      </c>
      <c r="K24" s="50" t="s">
        <v>59</v>
      </c>
      <c r="L24" s="50" t="s">
        <v>543</v>
      </c>
      <c r="M24" s="52" t="s">
        <v>61</v>
      </c>
      <c r="N24" s="52" t="s">
        <v>129</v>
      </c>
      <c r="O24" s="52"/>
      <c r="P24" s="52" t="s">
        <v>64</v>
      </c>
      <c r="Q24" s="53" t="s">
        <v>452</v>
      </c>
      <c r="R24" s="52" t="s">
        <v>333</v>
      </c>
      <c r="S24" s="46"/>
      <c r="T24" s="30"/>
      <c r="U24" s="35"/>
      <c r="V24" s="68">
        <v>0</v>
      </c>
      <c r="W24" s="36"/>
      <c r="X24" s="36"/>
      <c r="Y24" s="36"/>
      <c r="Z24" s="36"/>
      <c r="AA24" s="36"/>
      <c r="AB24" s="36"/>
      <c r="AC24" s="37" t="s">
        <v>72</v>
      </c>
      <c r="AD24" s="30" t="s">
        <v>336</v>
      </c>
      <c r="AE24" s="38"/>
      <c r="AF24" s="38">
        <v>0</v>
      </c>
      <c r="AG24" s="38">
        <f>AE24+AF24</f>
        <v>0</v>
      </c>
      <c r="AH24" s="38"/>
      <c r="AI24" s="38"/>
      <c r="AJ24" s="38"/>
      <c r="AK24" s="38">
        <v>76000000</v>
      </c>
      <c r="AL24" s="38">
        <f>IF(K24="Si",(AK24-AE24),0)</f>
        <v>76000000</v>
      </c>
      <c r="AM24" s="66"/>
      <c r="AN24" s="38"/>
      <c r="AO24" s="54">
        <f t="shared" si="5"/>
        <v>0</v>
      </c>
      <c r="AP24" s="65">
        <f t="shared" si="3"/>
        <v>0</v>
      </c>
      <c r="AQ24" s="30"/>
      <c r="AR24" s="43"/>
      <c r="AS24" s="32"/>
    </row>
    <row r="25" spans="1:45" ht="71.25" x14ac:dyDescent="0.25">
      <c r="A25" s="47">
        <v>46</v>
      </c>
      <c r="B25" s="64">
        <v>80111614</v>
      </c>
      <c r="C25" s="52" t="s">
        <v>283</v>
      </c>
      <c r="D25" s="50" t="s">
        <v>56</v>
      </c>
      <c r="E25" s="50" t="s">
        <v>82</v>
      </c>
      <c r="F25" s="50" t="s">
        <v>331</v>
      </c>
      <c r="G25" s="51" t="s">
        <v>59</v>
      </c>
      <c r="H25" s="51" t="s">
        <v>60</v>
      </c>
      <c r="I25" s="51">
        <v>2024</v>
      </c>
      <c r="J25" s="51">
        <v>155</v>
      </c>
      <c r="K25" s="50" t="s">
        <v>59</v>
      </c>
      <c r="L25" s="50" t="s">
        <v>451</v>
      </c>
      <c r="M25" s="52" t="s">
        <v>61</v>
      </c>
      <c r="N25" s="52" t="s">
        <v>129</v>
      </c>
      <c r="O25" s="52"/>
      <c r="P25" s="52" t="s">
        <v>64</v>
      </c>
      <c r="Q25" s="53" t="s">
        <v>452</v>
      </c>
      <c r="R25" s="52" t="s">
        <v>333</v>
      </c>
      <c r="S25" s="46"/>
      <c r="T25" s="30"/>
      <c r="U25" s="35"/>
      <c r="V25" s="68">
        <v>0</v>
      </c>
      <c r="W25" s="36"/>
      <c r="X25" s="36"/>
      <c r="Y25" s="36"/>
      <c r="Z25" s="36"/>
      <c r="AA25" s="36"/>
      <c r="AB25" s="36"/>
      <c r="AC25" s="37" t="s">
        <v>72</v>
      </c>
      <c r="AD25" s="30" t="s">
        <v>336</v>
      </c>
      <c r="AE25" s="38"/>
      <c r="AF25" s="38">
        <v>0</v>
      </c>
      <c r="AG25" s="38">
        <f>AE25+AF25</f>
        <v>0</v>
      </c>
      <c r="AH25" s="38"/>
      <c r="AI25" s="38"/>
      <c r="AJ25" s="38"/>
      <c r="AK25" s="38">
        <v>76000000</v>
      </c>
      <c r="AL25" s="38">
        <f>IF(K25="Si",(AK25-AE25),0)</f>
        <v>76000000</v>
      </c>
      <c r="AM25" s="66"/>
      <c r="AN25" s="38"/>
      <c r="AO25" s="54">
        <f t="shared" si="5"/>
        <v>0</v>
      </c>
      <c r="AP25" s="65">
        <f t="shared" si="3"/>
        <v>0</v>
      </c>
      <c r="AQ25" s="30"/>
      <c r="AR25" s="43"/>
      <c r="AS25" s="32"/>
    </row>
    <row r="26" spans="1:45" ht="51.6" customHeight="1" x14ac:dyDescent="0.25">
      <c r="A26" s="47">
        <v>29</v>
      </c>
      <c r="B26" s="64" t="s">
        <v>378</v>
      </c>
      <c r="C26" s="52" t="s">
        <v>379</v>
      </c>
      <c r="D26" s="50" t="s">
        <v>93</v>
      </c>
      <c r="E26" s="50" t="s">
        <v>305</v>
      </c>
      <c r="F26" s="50" t="s">
        <v>380</v>
      </c>
      <c r="G26" s="51" t="s">
        <v>59</v>
      </c>
      <c r="H26" s="51" t="s">
        <v>60</v>
      </c>
      <c r="I26" s="51">
        <v>2024</v>
      </c>
      <c r="J26" s="51">
        <v>84</v>
      </c>
      <c r="K26" s="50" t="s">
        <v>59</v>
      </c>
      <c r="L26" s="50" t="s">
        <v>5</v>
      </c>
      <c r="M26" s="52" t="s">
        <v>61</v>
      </c>
      <c r="N26" s="52" t="s">
        <v>96</v>
      </c>
      <c r="O26" s="52"/>
      <c r="P26" s="52" t="s">
        <v>64</v>
      </c>
      <c r="Q26" s="53"/>
      <c r="R26" s="52" t="s">
        <v>381</v>
      </c>
      <c r="S26" s="57"/>
      <c r="T26" s="34"/>
      <c r="U26" s="35"/>
      <c r="V26" s="68">
        <v>0</v>
      </c>
      <c r="W26" s="36"/>
      <c r="X26" s="36"/>
      <c r="Y26" s="36"/>
      <c r="Z26" s="36"/>
      <c r="AA26" s="36"/>
      <c r="AB26" s="36"/>
      <c r="AC26" s="37" t="s">
        <v>90</v>
      </c>
      <c r="AD26" s="30" t="s">
        <v>267</v>
      </c>
      <c r="AE26" s="38"/>
      <c r="AF26" s="38">
        <v>0</v>
      </c>
      <c r="AG26" s="38">
        <f t="shared" si="4"/>
        <v>0</v>
      </c>
      <c r="AH26" s="38"/>
      <c r="AI26" s="38"/>
      <c r="AJ26" s="38"/>
      <c r="AK26" s="38">
        <v>4500000</v>
      </c>
      <c r="AL26" s="38">
        <f t="shared" si="1"/>
        <v>4500000</v>
      </c>
      <c r="AM26" s="66"/>
      <c r="AN26" s="38"/>
      <c r="AO26" s="54">
        <f t="shared" si="5"/>
        <v>0</v>
      </c>
      <c r="AP26" s="65">
        <f t="shared" si="3"/>
        <v>0</v>
      </c>
      <c r="AQ26" s="30"/>
      <c r="AR26" s="30"/>
      <c r="AS26" s="32"/>
    </row>
    <row r="27" spans="1:45" ht="42.75" x14ac:dyDescent="0.25">
      <c r="A27" s="47">
        <v>30</v>
      </c>
      <c r="B27" s="64"/>
      <c r="C27" s="52"/>
      <c r="D27" s="50" t="s">
        <v>93</v>
      </c>
      <c r="E27" s="50" t="s">
        <v>272</v>
      </c>
      <c r="F27" s="50" t="s">
        <v>365</v>
      </c>
      <c r="G27" s="51" t="s">
        <v>59</v>
      </c>
      <c r="H27" s="51" t="s">
        <v>60</v>
      </c>
      <c r="I27" s="51">
        <v>2024</v>
      </c>
      <c r="J27" s="51">
        <v>85</v>
      </c>
      <c r="K27" s="50" t="s">
        <v>59</v>
      </c>
      <c r="L27" s="50" t="s">
        <v>5</v>
      </c>
      <c r="M27" s="52" t="s">
        <v>61</v>
      </c>
      <c r="N27" s="52" t="s">
        <v>533</v>
      </c>
      <c r="O27" s="52"/>
      <c r="P27" s="52" t="s">
        <v>64</v>
      </c>
      <c r="Q27" s="53" t="s">
        <v>367</v>
      </c>
      <c r="R27" s="52" t="s">
        <v>368</v>
      </c>
      <c r="S27" s="46"/>
      <c r="T27" s="30"/>
      <c r="U27" s="35"/>
      <c r="V27" s="68"/>
      <c r="W27" s="36"/>
      <c r="X27" s="36"/>
      <c r="Y27" s="36"/>
      <c r="Z27" s="36"/>
      <c r="AA27" s="36"/>
      <c r="AB27" s="36"/>
      <c r="AC27" s="37" t="s">
        <v>90</v>
      </c>
      <c r="AD27" s="30" t="s">
        <v>267</v>
      </c>
      <c r="AE27" s="38"/>
      <c r="AF27" s="38">
        <v>0</v>
      </c>
      <c r="AG27" s="38">
        <f t="shared" si="4"/>
        <v>0</v>
      </c>
      <c r="AH27" s="38"/>
      <c r="AI27" s="38"/>
      <c r="AJ27" s="38"/>
      <c r="AK27" s="38">
        <v>20000000</v>
      </c>
      <c r="AL27" s="38">
        <f t="shared" si="1"/>
        <v>20000000</v>
      </c>
      <c r="AM27" s="66"/>
      <c r="AN27" s="38"/>
      <c r="AO27" s="54">
        <f t="shared" si="5"/>
        <v>0</v>
      </c>
      <c r="AP27" s="65">
        <f t="shared" si="3"/>
        <v>0</v>
      </c>
      <c r="AQ27" s="30"/>
      <c r="AR27" s="30"/>
      <c r="AS27" s="32"/>
    </row>
    <row r="28" spans="1:45" ht="40.5" customHeight="1" x14ac:dyDescent="0.25">
      <c r="A28" s="47">
        <v>31</v>
      </c>
      <c r="B28" s="64"/>
      <c r="C28" s="52"/>
      <c r="D28" s="50" t="s">
        <v>93</v>
      </c>
      <c r="E28" s="50" t="s">
        <v>272</v>
      </c>
      <c r="F28" s="50" t="s">
        <v>382</v>
      </c>
      <c r="G28" s="51" t="s">
        <v>59</v>
      </c>
      <c r="H28" s="51" t="s">
        <v>60</v>
      </c>
      <c r="I28" s="51">
        <v>2024</v>
      </c>
      <c r="J28" s="51">
        <v>87</v>
      </c>
      <c r="K28" s="50" t="s">
        <v>59</v>
      </c>
      <c r="L28" s="50" t="s">
        <v>5</v>
      </c>
      <c r="M28" s="52" t="s">
        <v>61</v>
      </c>
      <c r="N28" s="52" t="s">
        <v>96</v>
      </c>
      <c r="O28" s="52"/>
      <c r="P28" s="52" t="s">
        <v>64</v>
      </c>
      <c r="Q28" s="53"/>
      <c r="R28" s="52" t="s">
        <v>383</v>
      </c>
      <c r="S28" s="45"/>
      <c r="T28" s="30"/>
      <c r="U28" s="35"/>
      <c r="V28" s="68">
        <v>0</v>
      </c>
      <c r="W28" s="36"/>
      <c r="X28" s="36"/>
      <c r="Y28" s="36"/>
      <c r="Z28" s="36"/>
      <c r="AA28" s="36"/>
      <c r="AB28" s="36"/>
      <c r="AC28" s="37" t="s">
        <v>90</v>
      </c>
      <c r="AD28" s="30" t="s">
        <v>104</v>
      </c>
      <c r="AE28" s="38"/>
      <c r="AF28" s="38">
        <v>0</v>
      </c>
      <c r="AG28" s="38">
        <f t="shared" si="4"/>
        <v>0</v>
      </c>
      <c r="AH28" s="38"/>
      <c r="AI28" s="38"/>
      <c r="AJ28" s="38"/>
      <c r="AK28" s="38">
        <v>270000000</v>
      </c>
      <c r="AL28" s="38">
        <f t="shared" si="1"/>
        <v>270000000</v>
      </c>
      <c r="AM28" s="66"/>
      <c r="AN28" s="38"/>
      <c r="AO28" s="54">
        <f t="shared" si="5"/>
        <v>0</v>
      </c>
      <c r="AP28" s="65">
        <f t="shared" si="3"/>
        <v>0</v>
      </c>
      <c r="AQ28" s="30"/>
      <c r="AR28" s="30"/>
      <c r="AS28" s="32"/>
    </row>
    <row r="29" spans="1:45" ht="42.75" x14ac:dyDescent="0.25">
      <c r="A29" s="47">
        <v>32</v>
      </c>
      <c r="B29" s="64">
        <v>81112501</v>
      </c>
      <c r="C29" s="52" t="s">
        <v>379</v>
      </c>
      <c r="D29" s="50" t="s">
        <v>93</v>
      </c>
      <c r="E29" s="50" t="s">
        <v>272</v>
      </c>
      <c r="F29" s="50" t="s">
        <v>384</v>
      </c>
      <c r="G29" s="51" t="s">
        <v>59</v>
      </c>
      <c r="H29" s="51" t="s">
        <v>60</v>
      </c>
      <c r="I29" s="51">
        <v>2024</v>
      </c>
      <c r="J29" s="51">
        <v>88</v>
      </c>
      <c r="K29" s="50" t="s">
        <v>59</v>
      </c>
      <c r="L29" s="50" t="s">
        <v>5</v>
      </c>
      <c r="M29" s="52" t="s">
        <v>61</v>
      </c>
      <c r="N29" s="52" t="s">
        <v>538</v>
      </c>
      <c r="O29" s="52"/>
      <c r="P29" s="52" t="s">
        <v>64</v>
      </c>
      <c r="Q29" s="53"/>
      <c r="R29" s="52" t="s">
        <v>386</v>
      </c>
      <c r="S29" s="45"/>
      <c r="T29" s="30"/>
      <c r="U29" s="35"/>
      <c r="V29" s="68">
        <v>0</v>
      </c>
      <c r="W29" s="36"/>
      <c r="X29" s="36"/>
      <c r="Y29" s="36"/>
      <c r="Z29" s="36"/>
      <c r="AA29" s="36"/>
      <c r="AB29" s="36"/>
      <c r="AC29" s="37" t="s">
        <v>90</v>
      </c>
      <c r="AD29" s="30" t="s">
        <v>267</v>
      </c>
      <c r="AE29" s="38"/>
      <c r="AF29" s="38">
        <v>0</v>
      </c>
      <c r="AG29" s="38">
        <f t="shared" si="4"/>
        <v>0</v>
      </c>
      <c r="AH29" s="38"/>
      <c r="AI29" s="38"/>
      <c r="AJ29" s="38"/>
      <c r="AK29" s="38">
        <v>18000000</v>
      </c>
      <c r="AL29" s="38">
        <f t="shared" si="1"/>
        <v>18000000</v>
      </c>
      <c r="AM29" s="66"/>
      <c r="AN29" s="38"/>
      <c r="AO29" s="54">
        <f t="shared" si="5"/>
        <v>0</v>
      </c>
      <c r="AP29" s="65">
        <f t="shared" si="3"/>
        <v>0</v>
      </c>
      <c r="AQ29" s="30"/>
      <c r="AR29" s="43"/>
      <c r="AS29" s="32"/>
    </row>
    <row r="30" spans="1:45" ht="42.75" x14ac:dyDescent="0.25">
      <c r="A30" s="47">
        <v>33</v>
      </c>
      <c r="B30" s="64"/>
      <c r="C30" s="52"/>
      <c r="D30" s="50" t="s">
        <v>93</v>
      </c>
      <c r="E30" s="50" t="s">
        <v>119</v>
      </c>
      <c r="F30" s="50" t="s">
        <v>387</v>
      </c>
      <c r="G30" s="51" t="s">
        <v>59</v>
      </c>
      <c r="H30" s="51" t="s">
        <v>60</v>
      </c>
      <c r="I30" s="51">
        <v>2024</v>
      </c>
      <c r="J30" s="51">
        <v>89</v>
      </c>
      <c r="K30" s="50" t="s">
        <v>59</v>
      </c>
      <c r="L30" s="50" t="s">
        <v>5</v>
      </c>
      <c r="M30" s="52" t="s">
        <v>61</v>
      </c>
      <c r="N30" s="52" t="s">
        <v>96</v>
      </c>
      <c r="O30" s="52"/>
      <c r="P30" s="52" t="s">
        <v>112</v>
      </c>
      <c r="Q30" s="53"/>
      <c r="R30" s="52" t="s">
        <v>388</v>
      </c>
      <c r="S30" s="45"/>
      <c r="T30" s="44"/>
      <c r="U30" s="35"/>
      <c r="V30" s="68">
        <v>0</v>
      </c>
      <c r="W30" s="36"/>
      <c r="X30" s="36"/>
      <c r="Y30" s="36"/>
      <c r="Z30" s="36"/>
      <c r="AA30" s="36"/>
      <c r="AB30" s="36"/>
      <c r="AC30" s="37" t="s">
        <v>90</v>
      </c>
      <c r="AD30" s="30" t="s">
        <v>312</v>
      </c>
      <c r="AE30" s="38"/>
      <c r="AF30" s="38">
        <v>0</v>
      </c>
      <c r="AG30" s="38">
        <f t="shared" si="4"/>
        <v>0</v>
      </c>
      <c r="AH30" s="38"/>
      <c r="AI30" s="38"/>
      <c r="AJ30" s="38"/>
      <c r="AK30" s="38">
        <v>15000000</v>
      </c>
      <c r="AL30" s="38">
        <f t="shared" si="1"/>
        <v>15000000</v>
      </c>
      <c r="AM30" s="66"/>
      <c r="AN30" s="38"/>
      <c r="AO30" s="54">
        <f t="shared" si="5"/>
        <v>0</v>
      </c>
      <c r="AP30" s="65">
        <f t="shared" si="3"/>
        <v>0</v>
      </c>
      <c r="AQ30" s="30"/>
      <c r="AR30" s="30"/>
      <c r="AS30" s="32"/>
    </row>
    <row r="31" spans="1:45" ht="42.75" x14ac:dyDescent="0.25">
      <c r="A31" s="47">
        <v>34</v>
      </c>
      <c r="B31" s="64"/>
      <c r="C31" s="52"/>
      <c r="D31" s="50" t="s">
        <v>389</v>
      </c>
      <c r="E31" s="50" t="s">
        <v>212</v>
      </c>
      <c r="F31" s="50" t="s">
        <v>390</v>
      </c>
      <c r="G31" s="51" t="s">
        <v>59</v>
      </c>
      <c r="H31" s="51" t="s">
        <v>60</v>
      </c>
      <c r="I31" s="51">
        <v>2024</v>
      </c>
      <c r="J31" s="51">
        <v>93</v>
      </c>
      <c r="K31" s="50" t="s">
        <v>59</v>
      </c>
      <c r="L31" s="50" t="s">
        <v>5</v>
      </c>
      <c r="M31" s="52" t="s">
        <v>61</v>
      </c>
      <c r="N31" s="52" t="s">
        <v>533</v>
      </c>
      <c r="O31" s="52"/>
      <c r="P31" s="52" t="s">
        <v>64</v>
      </c>
      <c r="Q31" s="53"/>
      <c r="R31" s="52" t="s">
        <v>391</v>
      </c>
      <c r="S31" s="45"/>
      <c r="T31" s="44"/>
      <c r="U31" s="35"/>
      <c r="V31" s="68">
        <v>0</v>
      </c>
      <c r="W31" s="36"/>
      <c r="X31" s="36"/>
      <c r="Y31" s="36"/>
      <c r="Z31" s="36"/>
      <c r="AA31" s="36"/>
      <c r="AB31" s="36"/>
      <c r="AC31" s="37" t="s">
        <v>90</v>
      </c>
      <c r="AD31" s="30" t="s">
        <v>312</v>
      </c>
      <c r="AE31" s="38"/>
      <c r="AF31" s="38">
        <v>0</v>
      </c>
      <c r="AG31" s="38">
        <f t="shared" si="4"/>
        <v>0</v>
      </c>
      <c r="AH31" s="38"/>
      <c r="AI31" s="38"/>
      <c r="AJ31" s="38"/>
      <c r="AK31" s="38">
        <v>38023681</v>
      </c>
      <c r="AL31" s="38">
        <f t="shared" si="1"/>
        <v>38023681</v>
      </c>
      <c r="AM31" s="66"/>
      <c r="AN31" s="38"/>
      <c r="AO31" s="54">
        <f t="shared" si="5"/>
        <v>0</v>
      </c>
      <c r="AP31" s="65">
        <f t="shared" si="3"/>
        <v>0</v>
      </c>
      <c r="AQ31" s="30"/>
      <c r="AR31" s="43"/>
      <c r="AS31" s="32"/>
    </row>
    <row r="32" spans="1:45" ht="42.75" x14ac:dyDescent="0.25">
      <c r="A32" s="47">
        <v>35</v>
      </c>
      <c r="B32" s="64"/>
      <c r="C32" s="52"/>
      <c r="D32" s="50" t="s">
        <v>93</v>
      </c>
      <c r="E32" s="50" t="s">
        <v>406</v>
      </c>
      <c r="F32" s="50" t="s">
        <v>446</v>
      </c>
      <c r="G32" s="51" t="s">
        <v>59</v>
      </c>
      <c r="H32" s="51" t="s">
        <v>60</v>
      </c>
      <c r="I32" s="51">
        <v>2024</v>
      </c>
      <c r="J32" s="51">
        <v>96</v>
      </c>
      <c r="K32" s="50" t="s">
        <v>59</v>
      </c>
      <c r="L32" s="50" t="s">
        <v>5</v>
      </c>
      <c r="M32" s="52" t="s">
        <v>61</v>
      </c>
      <c r="N32" s="52" t="s">
        <v>544</v>
      </c>
      <c r="O32" s="52"/>
      <c r="P32" s="52" t="s">
        <v>64</v>
      </c>
      <c r="Q32" s="53" t="s">
        <v>446</v>
      </c>
      <c r="R32" s="52" t="s">
        <v>405</v>
      </c>
      <c r="S32" s="46"/>
      <c r="T32" s="30"/>
      <c r="U32" s="35"/>
      <c r="V32" s="68">
        <v>0</v>
      </c>
      <c r="W32" s="36"/>
      <c r="X32" s="36"/>
      <c r="Y32" s="36"/>
      <c r="Z32" s="36"/>
      <c r="AA32" s="36"/>
      <c r="AB32" s="36"/>
      <c r="AC32" s="37" t="s">
        <v>90</v>
      </c>
      <c r="AD32" s="30" t="s">
        <v>104</v>
      </c>
      <c r="AE32" s="38"/>
      <c r="AF32" s="38">
        <v>0</v>
      </c>
      <c r="AG32" s="38">
        <f t="shared" si="4"/>
        <v>0</v>
      </c>
      <c r="AH32" s="38"/>
      <c r="AI32" s="38"/>
      <c r="AJ32" s="38"/>
      <c r="AK32" s="38">
        <v>60000000</v>
      </c>
      <c r="AL32" s="38">
        <f t="shared" si="1"/>
        <v>60000000</v>
      </c>
      <c r="AM32" s="66"/>
      <c r="AN32" s="38"/>
      <c r="AO32" s="54">
        <f t="shared" si="5"/>
        <v>0</v>
      </c>
      <c r="AP32" s="65">
        <f t="shared" si="3"/>
        <v>0</v>
      </c>
      <c r="AQ32" s="30"/>
      <c r="AR32" s="30"/>
      <c r="AS32" s="32"/>
    </row>
    <row r="33" spans="1:45" ht="57" x14ac:dyDescent="0.25">
      <c r="A33" s="47">
        <v>36</v>
      </c>
      <c r="B33" s="64"/>
      <c r="C33" s="52"/>
      <c r="D33" s="50" t="s">
        <v>93</v>
      </c>
      <c r="E33" s="50" t="s">
        <v>369</v>
      </c>
      <c r="F33" s="50" t="s">
        <v>374</v>
      </c>
      <c r="G33" s="51" t="s">
        <v>59</v>
      </c>
      <c r="H33" s="51" t="s">
        <v>60</v>
      </c>
      <c r="I33" s="51">
        <v>2024</v>
      </c>
      <c r="J33" s="51">
        <v>97</v>
      </c>
      <c r="K33" s="50" t="s">
        <v>59</v>
      </c>
      <c r="L33" s="50" t="s">
        <v>5</v>
      </c>
      <c r="M33" s="52" t="s">
        <v>61</v>
      </c>
      <c r="N33" s="52" t="s">
        <v>545</v>
      </c>
      <c r="O33" s="52"/>
      <c r="P33" s="52" t="s">
        <v>64</v>
      </c>
      <c r="Q33" s="53" t="s">
        <v>375</v>
      </c>
      <c r="R33" s="52" t="s">
        <v>376</v>
      </c>
      <c r="S33" s="46"/>
      <c r="T33" s="30"/>
      <c r="U33" s="35"/>
      <c r="V33" s="68">
        <v>0</v>
      </c>
      <c r="W33" s="36"/>
      <c r="X33" s="36"/>
      <c r="Y33" s="36"/>
      <c r="Z33" s="36"/>
      <c r="AA33" s="36"/>
      <c r="AB33" s="36"/>
      <c r="AC33" s="37" t="s">
        <v>72</v>
      </c>
      <c r="AD33" s="30" t="s">
        <v>359</v>
      </c>
      <c r="AE33" s="38"/>
      <c r="AF33" s="38">
        <v>0</v>
      </c>
      <c r="AG33" s="38">
        <f t="shared" si="4"/>
        <v>0</v>
      </c>
      <c r="AH33" s="38"/>
      <c r="AI33" s="38"/>
      <c r="AJ33" s="38"/>
      <c r="AK33" s="38">
        <v>350000000</v>
      </c>
      <c r="AL33" s="38">
        <f t="shared" si="1"/>
        <v>350000000</v>
      </c>
      <c r="AM33" s="66"/>
      <c r="AN33" s="38"/>
      <c r="AO33" s="54">
        <f t="shared" si="5"/>
        <v>0</v>
      </c>
      <c r="AP33" s="65">
        <f t="shared" si="3"/>
        <v>0</v>
      </c>
      <c r="AQ33" s="30"/>
      <c r="AR33" s="43"/>
      <c r="AS33" s="32"/>
    </row>
    <row r="34" spans="1:45" ht="40.5" customHeight="1" x14ac:dyDescent="0.25">
      <c r="A34" s="47">
        <v>37</v>
      </c>
      <c r="B34" s="64"/>
      <c r="C34" s="52"/>
      <c r="D34" s="50" t="s">
        <v>93</v>
      </c>
      <c r="E34" s="50" t="s">
        <v>126</v>
      </c>
      <c r="F34" s="50" t="s">
        <v>355</v>
      </c>
      <c r="G34" s="51" t="s">
        <v>59</v>
      </c>
      <c r="H34" s="51" t="s">
        <v>60</v>
      </c>
      <c r="I34" s="51">
        <v>2024</v>
      </c>
      <c r="J34" s="51">
        <v>99</v>
      </c>
      <c r="K34" s="50" t="s">
        <v>59</v>
      </c>
      <c r="L34" s="50" t="s">
        <v>5</v>
      </c>
      <c r="M34" s="52" t="s">
        <v>61</v>
      </c>
      <c r="N34" s="52" t="s">
        <v>84</v>
      </c>
      <c r="O34" s="52"/>
      <c r="P34" s="52" t="s">
        <v>64</v>
      </c>
      <c r="Q34" s="53" t="s">
        <v>357</v>
      </c>
      <c r="R34" s="52" t="s">
        <v>358</v>
      </c>
      <c r="S34" s="45"/>
      <c r="T34" s="30"/>
      <c r="U34" s="35"/>
      <c r="V34" s="68">
        <v>0</v>
      </c>
      <c r="W34" s="36"/>
      <c r="X34" s="36"/>
      <c r="Y34" s="36"/>
      <c r="Z34" s="36"/>
      <c r="AA34" s="36"/>
      <c r="AB34" s="36"/>
      <c r="AC34" s="37" t="s">
        <v>72</v>
      </c>
      <c r="AD34" s="30" t="s">
        <v>359</v>
      </c>
      <c r="AE34" s="38"/>
      <c r="AF34" s="38">
        <v>0</v>
      </c>
      <c r="AG34" s="38">
        <f t="shared" si="4"/>
        <v>0</v>
      </c>
      <c r="AH34" s="38"/>
      <c r="AI34" s="38"/>
      <c r="AJ34" s="38"/>
      <c r="AK34" s="38">
        <v>2245889285</v>
      </c>
      <c r="AL34" s="38">
        <f t="shared" si="1"/>
        <v>2245889285</v>
      </c>
      <c r="AM34" s="66"/>
      <c r="AN34" s="38"/>
      <c r="AO34" s="54">
        <f t="shared" si="5"/>
        <v>0</v>
      </c>
      <c r="AP34" s="65">
        <f t="shared" si="3"/>
        <v>0</v>
      </c>
      <c r="AQ34" s="30" t="s">
        <v>360</v>
      </c>
      <c r="AR34" s="30"/>
      <c r="AS34" s="32"/>
    </row>
    <row r="35" spans="1:45" ht="128.25" x14ac:dyDescent="0.25">
      <c r="A35" s="47">
        <v>38</v>
      </c>
      <c r="B35" s="64"/>
      <c r="C35" s="52"/>
      <c r="D35" s="50" t="s">
        <v>93</v>
      </c>
      <c r="E35" s="50" t="s">
        <v>361</v>
      </c>
      <c r="F35" s="50" t="s">
        <v>362</v>
      </c>
      <c r="G35" s="51" t="s">
        <v>59</v>
      </c>
      <c r="H35" s="51" t="s">
        <v>60</v>
      </c>
      <c r="I35" s="51">
        <v>2024</v>
      </c>
      <c r="J35" s="51">
        <v>100</v>
      </c>
      <c r="K35" s="50" t="s">
        <v>59</v>
      </c>
      <c r="L35" s="50" t="s">
        <v>5</v>
      </c>
      <c r="M35" s="52" t="s">
        <v>61</v>
      </c>
      <c r="N35" s="52" t="s">
        <v>84</v>
      </c>
      <c r="O35" s="52"/>
      <c r="P35" s="52" t="s">
        <v>64</v>
      </c>
      <c r="Q35" s="53" t="s">
        <v>361</v>
      </c>
      <c r="R35" s="52" t="s">
        <v>363</v>
      </c>
      <c r="S35" s="45"/>
      <c r="T35" s="30"/>
      <c r="U35" s="35"/>
      <c r="V35" s="68">
        <v>0</v>
      </c>
      <c r="W35" s="36"/>
      <c r="X35" s="36"/>
      <c r="Y35" s="36"/>
      <c r="Z35" s="36"/>
      <c r="AA35" s="36"/>
      <c r="AB35" s="36"/>
      <c r="AC35" s="37" t="s">
        <v>72</v>
      </c>
      <c r="AD35" s="30" t="s">
        <v>359</v>
      </c>
      <c r="AE35" s="38"/>
      <c r="AF35" s="38">
        <v>0</v>
      </c>
      <c r="AG35" s="38">
        <f t="shared" si="4"/>
        <v>0</v>
      </c>
      <c r="AH35" s="38"/>
      <c r="AI35" s="38"/>
      <c r="AJ35" s="38"/>
      <c r="AK35" s="38">
        <v>696150000</v>
      </c>
      <c r="AL35" s="38">
        <f t="shared" si="1"/>
        <v>696150000</v>
      </c>
      <c r="AM35" s="66"/>
      <c r="AN35" s="38"/>
      <c r="AO35" s="54">
        <f t="shared" si="5"/>
        <v>0</v>
      </c>
      <c r="AP35" s="65">
        <f t="shared" si="3"/>
        <v>0</v>
      </c>
      <c r="AQ35" s="30" t="s">
        <v>364</v>
      </c>
      <c r="AR35" s="43"/>
      <c r="AS35" s="32"/>
    </row>
    <row r="36" spans="1:45" ht="42.75" x14ac:dyDescent="0.25">
      <c r="A36" s="47">
        <v>39</v>
      </c>
      <c r="B36" s="64"/>
      <c r="C36" s="52"/>
      <c r="D36" s="50" t="s">
        <v>93</v>
      </c>
      <c r="E36" s="50" t="s">
        <v>305</v>
      </c>
      <c r="F36" s="50" t="s">
        <v>306</v>
      </c>
      <c r="G36" s="51" t="s">
        <v>59</v>
      </c>
      <c r="H36" s="51" t="s">
        <v>60</v>
      </c>
      <c r="I36" s="51">
        <v>2024</v>
      </c>
      <c r="J36" s="51">
        <v>101</v>
      </c>
      <c r="K36" s="50" t="s">
        <v>59</v>
      </c>
      <c r="L36" s="50" t="s">
        <v>5</v>
      </c>
      <c r="M36" s="52" t="s">
        <v>61</v>
      </c>
      <c r="N36" s="52" t="s">
        <v>544</v>
      </c>
      <c r="O36" s="52"/>
      <c r="P36" s="52" t="s">
        <v>64</v>
      </c>
      <c r="Q36" s="53" t="s">
        <v>306</v>
      </c>
      <c r="R36" s="52" t="s">
        <v>309</v>
      </c>
      <c r="S36" s="45"/>
      <c r="T36" s="44"/>
      <c r="U36" s="35"/>
      <c r="V36" s="68">
        <v>0</v>
      </c>
      <c r="W36" s="36"/>
      <c r="X36" s="36"/>
      <c r="Y36" s="36"/>
      <c r="Z36" s="36"/>
      <c r="AA36" s="36"/>
      <c r="AB36" s="36"/>
      <c r="AC36" s="37" t="s">
        <v>72</v>
      </c>
      <c r="AD36" s="30" t="s">
        <v>312</v>
      </c>
      <c r="AE36" s="38"/>
      <c r="AF36" s="38">
        <v>0</v>
      </c>
      <c r="AG36" s="38">
        <f t="shared" si="4"/>
        <v>0</v>
      </c>
      <c r="AH36" s="38"/>
      <c r="AI36" s="38"/>
      <c r="AJ36" s="38"/>
      <c r="AK36" s="38">
        <v>700000000</v>
      </c>
      <c r="AL36" s="38">
        <f t="shared" si="1"/>
        <v>700000000</v>
      </c>
      <c r="AM36" s="66"/>
      <c r="AN36" s="38"/>
      <c r="AO36" s="54">
        <f t="shared" si="5"/>
        <v>0</v>
      </c>
      <c r="AP36" s="65">
        <f t="shared" si="3"/>
        <v>0</v>
      </c>
      <c r="AQ36" s="30"/>
      <c r="AR36" s="30"/>
      <c r="AS36" s="32"/>
    </row>
    <row r="37" spans="1:45" ht="42.75" x14ac:dyDescent="0.25">
      <c r="A37" s="47">
        <v>40</v>
      </c>
      <c r="B37" s="64"/>
      <c r="C37" s="52"/>
      <c r="D37" s="50" t="s">
        <v>93</v>
      </c>
      <c r="E37" s="50" t="s">
        <v>369</v>
      </c>
      <c r="F37" s="50" t="s">
        <v>370</v>
      </c>
      <c r="G37" s="51" t="s">
        <v>59</v>
      </c>
      <c r="H37" s="51" t="s">
        <v>60</v>
      </c>
      <c r="I37" s="51">
        <v>2024</v>
      </c>
      <c r="J37" s="51">
        <v>102</v>
      </c>
      <c r="K37" s="50" t="s">
        <v>59</v>
      </c>
      <c r="L37" s="50" t="s">
        <v>5</v>
      </c>
      <c r="M37" s="52" t="s">
        <v>61</v>
      </c>
      <c r="N37" s="52" t="s">
        <v>546</v>
      </c>
      <c r="O37" s="52"/>
      <c r="P37" s="52" t="s">
        <v>64</v>
      </c>
      <c r="Q37" s="53" t="s">
        <v>371</v>
      </c>
      <c r="R37" s="52" t="s">
        <v>372</v>
      </c>
      <c r="S37" s="45"/>
      <c r="T37" s="44"/>
      <c r="U37" s="35"/>
      <c r="V37" s="68">
        <v>0</v>
      </c>
      <c r="W37" s="36"/>
      <c r="X37" s="36"/>
      <c r="Y37" s="36"/>
      <c r="Z37" s="36"/>
      <c r="AA37" s="36"/>
      <c r="AB37" s="36"/>
      <c r="AC37" s="37" t="s">
        <v>72</v>
      </c>
      <c r="AD37" s="30" t="s">
        <v>312</v>
      </c>
      <c r="AE37" s="38"/>
      <c r="AF37" s="38">
        <v>0</v>
      </c>
      <c r="AG37" s="38">
        <f t="shared" si="4"/>
        <v>0</v>
      </c>
      <c r="AH37" s="38"/>
      <c r="AI37" s="38"/>
      <c r="AJ37" s="38"/>
      <c r="AK37" s="38">
        <v>100000000</v>
      </c>
      <c r="AL37" s="38">
        <f t="shared" si="1"/>
        <v>100000000</v>
      </c>
      <c r="AM37" s="66"/>
      <c r="AN37" s="38"/>
      <c r="AO37" s="54">
        <f t="shared" si="5"/>
        <v>0</v>
      </c>
      <c r="AP37" s="65">
        <f t="shared" si="3"/>
        <v>0</v>
      </c>
      <c r="AQ37" s="30"/>
      <c r="AR37" s="43"/>
      <c r="AS37" s="32"/>
    </row>
    <row r="38" spans="1:45" ht="42.75" x14ac:dyDescent="0.25">
      <c r="A38" s="47">
        <v>41</v>
      </c>
      <c r="B38" s="64" t="s">
        <v>348</v>
      </c>
      <c r="C38" s="52" t="s">
        <v>379</v>
      </c>
      <c r="D38" s="50" t="s">
        <v>93</v>
      </c>
      <c r="E38" s="50" t="s">
        <v>107</v>
      </c>
      <c r="F38" s="50" t="s">
        <v>352</v>
      </c>
      <c r="G38" s="51" t="s">
        <v>59</v>
      </c>
      <c r="H38" s="51" t="s">
        <v>60</v>
      </c>
      <c r="I38" s="51">
        <v>2024</v>
      </c>
      <c r="J38" s="51">
        <v>103</v>
      </c>
      <c r="K38" s="50" t="s">
        <v>59</v>
      </c>
      <c r="L38" s="50" t="s">
        <v>5</v>
      </c>
      <c r="M38" s="52" t="s">
        <v>61</v>
      </c>
      <c r="N38" s="52" t="s">
        <v>450</v>
      </c>
      <c r="O38" s="52"/>
      <c r="P38" s="52" t="s">
        <v>64</v>
      </c>
      <c r="Q38" s="53" t="s">
        <v>353</v>
      </c>
      <c r="R38" s="52" t="s">
        <v>407</v>
      </c>
      <c r="S38" s="57"/>
      <c r="T38" s="34"/>
      <c r="U38" s="35"/>
      <c r="V38" s="68">
        <v>0</v>
      </c>
      <c r="W38" s="36"/>
      <c r="X38" s="36"/>
      <c r="Y38" s="36"/>
      <c r="Z38" s="36"/>
      <c r="AA38" s="36"/>
      <c r="AB38" s="36"/>
      <c r="AC38" s="37" t="s">
        <v>90</v>
      </c>
      <c r="AD38" s="30" t="s">
        <v>312</v>
      </c>
      <c r="AE38" s="38"/>
      <c r="AF38" s="38">
        <v>0</v>
      </c>
      <c r="AG38" s="38">
        <f t="shared" si="4"/>
        <v>0</v>
      </c>
      <c r="AH38" s="38"/>
      <c r="AI38" s="38"/>
      <c r="AJ38" s="38"/>
      <c r="AK38" s="38">
        <v>2200000000</v>
      </c>
      <c r="AL38" s="38">
        <f t="shared" si="1"/>
        <v>2200000000</v>
      </c>
      <c r="AM38" s="66"/>
      <c r="AN38" s="38"/>
      <c r="AO38" s="54">
        <f t="shared" si="5"/>
        <v>0</v>
      </c>
      <c r="AP38" s="65">
        <f t="shared" si="3"/>
        <v>0</v>
      </c>
      <c r="AQ38" s="30"/>
      <c r="AR38" s="30"/>
      <c r="AS38" s="32"/>
    </row>
    <row r="39" spans="1:45" ht="85.5" x14ac:dyDescent="0.25">
      <c r="A39" s="47">
        <v>42</v>
      </c>
      <c r="B39" s="64"/>
      <c r="C39" s="52"/>
      <c r="D39" s="50" t="s">
        <v>93</v>
      </c>
      <c r="E39" s="50" t="s">
        <v>369</v>
      </c>
      <c r="F39" s="50" t="s">
        <v>442</v>
      </c>
      <c r="G39" s="51" t="s">
        <v>59</v>
      </c>
      <c r="H39" s="51" t="s">
        <v>60</v>
      </c>
      <c r="I39" s="51">
        <v>2024</v>
      </c>
      <c r="J39" s="51">
        <v>116</v>
      </c>
      <c r="K39" s="50" t="s">
        <v>59</v>
      </c>
      <c r="L39" s="50" t="s">
        <v>5</v>
      </c>
      <c r="M39" s="52" t="s">
        <v>61</v>
      </c>
      <c r="N39" s="52" t="s">
        <v>84</v>
      </c>
      <c r="O39" s="52"/>
      <c r="P39" s="52" t="s">
        <v>64</v>
      </c>
      <c r="Q39" s="53" t="s">
        <v>443</v>
      </c>
      <c r="R39" s="52" t="s">
        <v>408</v>
      </c>
      <c r="S39" s="57"/>
      <c r="T39" s="34"/>
      <c r="U39" s="35"/>
      <c r="V39" s="68">
        <v>0</v>
      </c>
      <c r="W39" s="36"/>
      <c r="X39" s="36"/>
      <c r="Y39" s="36"/>
      <c r="Z39" s="36"/>
      <c r="AA39" s="36"/>
      <c r="AB39" s="36"/>
      <c r="AC39" s="37" t="s">
        <v>72</v>
      </c>
      <c r="AD39" s="30" t="s">
        <v>444</v>
      </c>
      <c r="AE39" s="38"/>
      <c r="AF39" s="38">
        <v>0</v>
      </c>
      <c r="AG39" s="38">
        <f t="shared" si="4"/>
        <v>0</v>
      </c>
      <c r="AH39" s="38"/>
      <c r="AI39" s="38"/>
      <c r="AJ39" s="38"/>
      <c r="AK39" s="38">
        <v>180177900</v>
      </c>
      <c r="AL39" s="38">
        <f t="shared" si="1"/>
        <v>180177900</v>
      </c>
      <c r="AM39" s="66"/>
      <c r="AN39" s="38"/>
      <c r="AO39" s="54">
        <f t="shared" si="5"/>
        <v>0</v>
      </c>
      <c r="AP39" s="65">
        <f t="shared" si="3"/>
        <v>0</v>
      </c>
      <c r="AQ39" s="30"/>
      <c r="AR39" s="30"/>
      <c r="AS39" s="32"/>
    </row>
    <row r="40" spans="1:45" ht="15" x14ac:dyDescent="0.25">
      <c r="A40" s="47">
        <v>47</v>
      </c>
      <c r="B40" s="61"/>
      <c r="C40" s="32"/>
      <c r="D40" s="29"/>
      <c r="E40" s="29"/>
      <c r="F40" s="29"/>
      <c r="G40" s="41"/>
      <c r="H40" s="41"/>
      <c r="I40" s="41"/>
      <c r="J40" s="41"/>
      <c r="K40" s="29"/>
      <c r="L40" s="29"/>
      <c r="M40" s="32"/>
      <c r="N40" s="32"/>
      <c r="O40" s="32"/>
      <c r="P40" s="32"/>
      <c r="Q40" s="30"/>
      <c r="R40" s="32"/>
      <c r="S40" s="46"/>
      <c r="T40" s="30"/>
      <c r="U40" s="35"/>
      <c r="V40" s="68"/>
      <c r="W40" s="36"/>
      <c r="X40" s="36"/>
      <c r="Y40" s="36"/>
      <c r="Z40" s="36"/>
      <c r="AA40" s="36"/>
      <c r="AB40" s="36"/>
      <c r="AC40" s="37"/>
      <c r="AD40" s="30"/>
      <c r="AE40" s="38"/>
      <c r="AF40" s="38"/>
      <c r="AG40" s="38"/>
      <c r="AH40" s="38"/>
      <c r="AI40" s="38"/>
      <c r="AJ40" s="38"/>
      <c r="AK40" s="38"/>
      <c r="AL40" s="38"/>
      <c r="AM40" s="66"/>
      <c r="AN40" s="38"/>
      <c r="AO40" s="39"/>
      <c r="AP40" s="38"/>
      <c r="AQ40" s="30"/>
      <c r="AR40" s="43"/>
      <c r="AS40" s="32"/>
    </row>
    <row r="41" spans="1:45" x14ac:dyDescent="0.25">
      <c r="A41" s="47">
        <v>48</v>
      </c>
      <c r="B41" s="61"/>
      <c r="C41" s="32"/>
      <c r="D41" s="29"/>
      <c r="E41" s="29"/>
      <c r="F41" s="29"/>
      <c r="G41" s="41"/>
      <c r="H41" s="41"/>
      <c r="I41" s="41"/>
      <c r="J41" s="41"/>
      <c r="K41" s="29"/>
      <c r="L41" s="29"/>
      <c r="M41" s="32"/>
      <c r="N41" s="32"/>
      <c r="O41" s="32"/>
      <c r="P41" s="32"/>
      <c r="Q41" s="30"/>
      <c r="R41" s="32"/>
      <c r="S41" s="45"/>
      <c r="T41" s="30"/>
      <c r="U41" s="35"/>
      <c r="V41" s="68"/>
      <c r="W41" s="36"/>
      <c r="X41" s="36"/>
      <c r="Y41" s="36"/>
      <c r="Z41" s="36"/>
      <c r="AA41" s="36"/>
      <c r="AB41" s="36"/>
      <c r="AC41" s="37"/>
      <c r="AD41" s="32"/>
      <c r="AE41" s="38"/>
      <c r="AF41" s="38"/>
      <c r="AG41" s="38"/>
      <c r="AH41" s="38"/>
      <c r="AI41" s="38"/>
      <c r="AJ41" s="38"/>
      <c r="AK41" s="38"/>
      <c r="AL41" s="38"/>
      <c r="AM41" s="66"/>
      <c r="AN41" s="38"/>
      <c r="AO41" s="39"/>
      <c r="AP41" s="38"/>
      <c r="AQ41" s="30"/>
      <c r="AR41" s="30"/>
      <c r="AS41" s="32"/>
    </row>
    <row r="42" spans="1:45" ht="15" x14ac:dyDescent="0.25">
      <c r="A42" s="47">
        <v>49</v>
      </c>
      <c r="B42" s="61"/>
      <c r="C42" s="32"/>
      <c r="D42" s="29"/>
      <c r="E42" s="29"/>
      <c r="F42" s="29"/>
      <c r="G42" s="41"/>
      <c r="H42" s="41"/>
      <c r="I42" s="41"/>
      <c r="J42" s="41"/>
      <c r="K42" s="29"/>
      <c r="L42" s="29"/>
      <c r="M42" s="32"/>
      <c r="N42" s="32"/>
      <c r="O42" s="32"/>
      <c r="P42" s="32"/>
      <c r="Q42" s="30"/>
      <c r="R42" s="32"/>
      <c r="S42" s="45"/>
      <c r="T42" s="30"/>
      <c r="U42" s="35"/>
      <c r="V42" s="68"/>
      <c r="W42" s="36"/>
      <c r="X42" s="36"/>
      <c r="Y42" s="36"/>
      <c r="Z42" s="36"/>
      <c r="AA42" s="36"/>
      <c r="AB42" s="36"/>
      <c r="AC42" s="37"/>
      <c r="AD42" s="30"/>
      <c r="AE42" s="38"/>
      <c r="AF42" s="38"/>
      <c r="AG42" s="38"/>
      <c r="AH42" s="38"/>
      <c r="AI42" s="38"/>
      <c r="AJ42" s="38"/>
      <c r="AK42" s="38"/>
      <c r="AL42" s="38"/>
      <c r="AM42" s="66"/>
      <c r="AN42" s="38"/>
      <c r="AO42" s="39"/>
      <c r="AP42" s="38"/>
      <c r="AQ42" s="30"/>
      <c r="AR42" s="43"/>
      <c r="AS42" s="32"/>
    </row>
    <row r="43" spans="1:45" x14ac:dyDescent="0.25">
      <c r="A43" s="47">
        <v>50</v>
      </c>
      <c r="B43" s="61"/>
      <c r="C43" s="32"/>
      <c r="D43" s="29"/>
      <c r="E43" s="29"/>
      <c r="F43" s="29"/>
      <c r="G43" s="41"/>
      <c r="H43" s="41"/>
      <c r="I43" s="41"/>
      <c r="J43" s="41"/>
      <c r="K43" s="29"/>
      <c r="L43" s="29"/>
      <c r="M43" s="32"/>
      <c r="N43" s="32"/>
      <c r="O43" s="32"/>
      <c r="P43" s="32"/>
      <c r="Q43" s="30"/>
      <c r="R43" s="32"/>
      <c r="S43" s="45"/>
      <c r="T43" s="44"/>
      <c r="U43" s="35"/>
      <c r="V43" s="68"/>
      <c r="W43" s="36"/>
      <c r="X43" s="36"/>
      <c r="Y43" s="36"/>
      <c r="Z43" s="36"/>
      <c r="AA43" s="36"/>
      <c r="AB43" s="36"/>
      <c r="AC43" s="37"/>
      <c r="AD43" s="30"/>
      <c r="AE43" s="38"/>
      <c r="AF43" s="38"/>
      <c r="AG43" s="38"/>
      <c r="AH43" s="38"/>
      <c r="AI43" s="38"/>
      <c r="AJ43" s="38"/>
      <c r="AK43" s="38"/>
      <c r="AL43" s="38"/>
      <c r="AM43" s="66"/>
      <c r="AN43" s="38"/>
      <c r="AO43" s="39"/>
      <c r="AP43" s="38"/>
      <c r="AQ43" s="30"/>
      <c r="AR43" s="30"/>
      <c r="AS43" s="32"/>
    </row>
    <row r="44" spans="1:45" ht="15" x14ac:dyDescent="0.25">
      <c r="A44" s="47">
        <v>51</v>
      </c>
      <c r="B44" s="61"/>
      <c r="C44" s="32"/>
      <c r="D44" s="29"/>
      <c r="E44" s="29"/>
      <c r="F44" s="29"/>
      <c r="G44" s="41"/>
      <c r="H44" s="41"/>
      <c r="I44" s="41"/>
      <c r="J44" s="41"/>
      <c r="K44" s="29"/>
      <c r="L44" s="29"/>
      <c r="M44" s="32"/>
      <c r="N44" s="32"/>
      <c r="O44" s="32"/>
      <c r="P44" s="32"/>
      <c r="Q44" s="30"/>
      <c r="R44" s="32"/>
      <c r="S44" s="45"/>
      <c r="T44" s="44"/>
      <c r="U44" s="35"/>
      <c r="V44" s="68"/>
      <c r="W44" s="36"/>
      <c r="X44" s="36"/>
      <c r="Y44" s="36"/>
      <c r="Z44" s="36"/>
      <c r="AA44" s="36"/>
      <c r="AB44" s="36"/>
      <c r="AC44" s="37"/>
      <c r="AD44" s="30"/>
      <c r="AE44" s="38"/>
      <c r="AF44" s="38"/>
      <c r="AG44" s="38"/>
      <c r="AH44" s="38"/>
      <c r="AI44" s="38"/>
      <c r="AJ44" s="38"/>
      <c r="AK44" s="38"/>
      <c r="AL44" s="38"/>
      <c r="AM44" s="66"/>
      <c r="AN44" s="38"/>
      <c r="AO44" s="39"/>
      <c r="AP44" s="38"/>
      <c r="AQ44" s="30"/>
      <c r="AR44" s="43"/>
      <c r="AS44" s="32"/>
    </row>
    <row r="45" spans="1:45" x14ac:dyDescent="0.25">
      <c r="A45" s="47">
        <v>52</v>
      </c>
      <c r="B45" s="61"/>
      <c r="C45" s="32"/>
      <c r="D45" s="29"/>
      <c r="E45" s="29"/>
      <c r="F45" s="29"/>
      <c r="G45" s="41"/>
      <c r="H45" s="41"/>
      <c r="I45" s="41"/>
      <c r="J45" s="41"/>
      <c r="K45" s="29"/>
      <c r="L45" s="29"/>
      <c r="M45" s="32"/>
      <c r="N45" s="32"/>
      <c r="O45" s="32"/>
      <c r="P45" s="32"/>
      <c r="Q45" s="30"/>
      <c r="R45" s="32"/>
      <c r="S45" s="57"/>
      <c r="T45" s="34"/>
      <c r="U45" s="35"/>
      <c r="V45" s="68"/>
      <c r="W45" s="36"/>
      <c r="X45" s="36"/>
      <c r="Y45" s="36"/>
      <c r="Z45" s="36"/>
      <c r="AA45" s="36"/>
      <c r="AB45" s="36"/>
      <c r="AC45" s="37"/>
      <c r="AD45" s="30"/>
      <c r="AE45" s="38"/>
      <c r="AF45" s="38"/>
      <c r="AG45" s="38"/>
      <c r="AH45" s="38"/>
      <c r="AI45" s="38"/>
      <c r="AJ45" s="38"/>
      <c r="AK45" s="38"/>
      <c r="AL45" s="38"/>
      <c r="AM45" s="66"/>
      <c r="AN45" s="38"/>
      <c r="AO45" s="39"/>
      <c r="AP45" s="38"/>
      <c r="AQ45" s="30"/>
      <c r="AR45" s="30"/>
      <c r="AS45" s="32"/>
    </row>
    <row r="46" spans="1:45" x14ac:dyDescent="0.25">
      <c r="AM46" s="67"/>
    </row>
  </sheetData>
  <hyperlinks>
    <hyperlink ref="AR2" r:id="rId1" display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xr:uid="{8F88E3CD-F30F-4480-9924-DD2053C3299D}"/>
    <hyperlink ref="AR4" r:id="rId2" display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xr:uid="{85EA65BA-AB0B-440A-B13F-B214D82FDD45}"/>
    <hyperlink ref="AR3" r:id="rId3" display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xr:uid="{A7B640D6-B4B7-455B-ADB9-8D1CC3739C75}"/>
    <hyperlink ref="AR12" r:id="rId4" display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xr:uid="{72519A22-2DA0-4F95-9D1D-38C5CEC1F159}"/>
    <hyperlink ref="AR5" r:id="rId5" display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xr:uid="{F08B4C7F-69AB-4D57-9324-8E79E75A282D}"/>
    <hyperlink ref="AR6" r:id="rId6" display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xr:uid="{0B480482-C7BD-42D0-9619-3F2C10AAF97E}"/>
    <hyperlink ref="AR7" r:id="rId7" display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xr:uid="{A251019A-0E28-4891-988D-17CBB4CEFADA}"/>
    <hyperlink ref="AR8" r:id="rId8" display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xr:uid="{9BB6871B-9BA5-4725-A60F-8BD89D1A651D}"/>
    <hyperlink ref="AR9" r:id="rId9" display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xr:uid="{AAFA428F-87D0-40E2-B81F-3FC7419A7DE5}"/>
    <hyperlink ref="AR10" r:id="rId10" display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xr:uid="{83CD0CDB-CB99-4C6D-913D-3AF7A0967A7E}"/>
    <hyperlink ref="AR11" r:id="rId11" display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 xr:uid="{C1240EA9-7D86-4FE3-A4B5-DE74B46BE624}"/>
    <hyperlink ref="AR16" r:id="rId12" display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xr:uid="{93738A00-A425-45C4-B71E-6BF8ADBF5667}"/>
    <hyperlink ref="AR13" r:id="rId13" display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xr:uid="{5EA6F1CA-98EB-4A9B-B3DD-912F1791868B}"/>
    <hyperlink ref="AR17" r:id="rId14" display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xr:uid="{42115737-1DCF-457E-8CB2-881A20AF4977}"/>
    <hyperlink ref="AR14" r:id="rId15" xr:uid="{1ACEECEB-20DD-448A-AB79-FADB16398FFF}"/>
    <hyperlink ref="AR15" r:id="rId16" display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xr:uid="{7A59CDB8-4D4A-462F-B5D5-3EAAE64351CE}"/>
  </hyperlinks>
  <pageMargins left="0.23622047244094491" right="0.23622047244094491" top="0.74803149606299213" bottom="0.74803149606299213" header="0.31496062992125984" footer="0.31496062992125984"/>
  <pageSetup orientation="landscape" horizontalDpi="1200" verticalDpi="1200" r:id="rId17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D2AD-6A3C-4E91-8EBB-5CFC014DA784}">
  <sheetPr codeName="Hoja17">
    <pageSetUpPr autoPageBreaks="0"/>
  </sheetPr>
  <dimension ref="A1:AS53"/>
  <sheetViews>
    <sheetView topLeftCell="AG1" zoomScale="80" zoomScaleNormal="80" zoomScaleSheetLayoutView="100" workbookViewId="0">
      <pane ySplit="1" topLeftCell="A2" activePane="bottomLeft" state="frozen"/>
      <selection pane="bottomLeft" activeCell="AJ7" sqref="AJ7"/>
    </sheetView>
  </sheetViews>
  <sheetFormatPr baseColWidth="10" defaultColWidth="10.7109375" defaultRowHeight="14.25" x14ac:dyDescent="0.25"/>
  <cols>
    <col min="1" max="1" width="11" style="27" bestFit="1" customWidth="1"/>
    <col min="2" max="2" width="17.42578125" style="62" bestFit="1" customWidth="1"/>
    <col min="3" max="3" width="17.5703125" style="27" customWidth="1"/>
    <col min="4" max="4" width="24.5703125" style="27" customWidth="1"/>
    <col min="5" max="5" width="28.5703125" style="27" customWidth="1"/>
    <col min="6" max="6" width="35.5703125" style="27" customWidth="1"/>
    <col min="7" max="10" width="8" style="42" customWidth="1"/>
    <col min="11" max="12" width="11.7109375" style="42" customWidth="1"/>
    <col min="13" max="16" width="18.7109375" style="27" customWidth="1"/>
    <col min="17" max="17" width="25.42578125" style="27" customWidth="1"/>
    <col min="18" max="18" width="73.5703125" style="27" customWidth="1"/>
    <col min="19" max="19" width="21.42578125" style="33" customWidth="1"/>
    <col min="20" max="20" width="13.42578125" style="27" customWidth="1"/>
    <col min="21" max="22" width="14.5703125" style="27" customWidth="1"/>
    <col min="23" max="25" width="15.42578125" style="27" customWidth="1"/>
    <col min="26" max="26" width="16.42578125" style="27" customWidth="1"/>
    <col min="27" max="27" width="19.28515625" style="27" customWidth="1"/>
    <col min="28" max="28" width="21.5703125" style="27" customWidth="1"/>
    <col min="29" max="29" width="20.5703125" style="27" customWidth="1"/>
    <col min="30" max="30" width="19" style="27" customWidth="1"/>
    <col min="31" max="37" width="23.28515625" style="27" customWidth="1"/>
    <col min="38" max="38" width="19.5703125" style="27" customWidth="1"/>
    <col min="39" max="39" width="23" style="27" customWidth="1"/>
    <col min="40" max="42" width="18.5703125" style="27" customWidth="1"/>
    <col min="43" max="43" width="23.42578125" style="27" customWidth="1"/>
    <col min="44" max="44" width="56" style="27" customWidth="1"/>
    <col min="45" max="45" width="73.5703125" style="27" bestFit="1" customWidth="1"/>
    <col min="46" max="46" width="18.7109375" style="27" customWidth="1"/>
    <col min="47" max="16384" width="10.7109375" style="27"/>
  </cols>
  <sheetData>
    <row r="1" spans="1:45" ht="83.25" customHeight="1" x14ac:dyDescent="0.25">
      <c r="A1" s="28" t="s">
        <v>10</v>
      </c>
      <c r="B1" s="60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40" t="s">
        <v>16</v>
      </c>
      <c r="H1" s="40" t="s">
        <v>17</v>
      </c>
      <c r="I1" s="40" t="s">
        <v>18</v>
      </c>
      <c r="J1" s="40" t="s">
        <v>19</v>
      </c>
      <c r="K1" s="40" t="s">
        <v>20</v>
      </c>
      <c r="L1" s="40" t="s">
        <v>21</v>
      </c>
      <c r="M1" s="28" t="s">
        <v>22</v>
      </c>
      <c r="N1" s="28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40" t="s">
        <v>28</v>
      </c>
      <c r="T1" s="28" t="s">
        <v>29</v>
      </c>
      <c r="U1" s="28" t="s">
        <v>30</v>
      </c>
      <c r="V1" s="28" t="s">
        <v>31</v>
      </c>
      <c r="W1" s="28" t="s">
        <v>32</v>
      </c>
      <c r="X1" s="28" t="s">
        <v>33</v>
      </c>
      <c r="Y1" s="28" t="s">
        <v>34</v>
      </c>
      <c r="Z1" s="28" t="s">
        <v>35</v>
      </c>
      <c r="AA1" s="28" t="s">
        <v>36</v>
      </c>
      <c r="AB1" s="28" t="s">
        <v>37</v>
      </c>
      <c r="AC1" s="28" t="s">
        <v>38</v>
      </c>
      <c r="AD1" s="28" t="s">
        <v>39</v>
      </c>
      <c r="AE1" s="28" t="s">
        <v>40</v>
      </c>
      <c r="AF1" s="28" t="s">
        <v>41</v>
      </c>
      <c r="AG1" s="28" t="s">
        <v>42</v>
      </c>
      <c r="AH1" s="28" t="s">
        <v>43</v>
      </c>
      <c r="AI1" s="28" t="s">
        <v>44</v>
      </c>
      <c r="AJ1" s="28" t="s">
        <v>45</v>
      </c>
      <c r="AK1" s="28" t="s">
        <v>46</v>
      </c>
      <c r="AL1" s="28" t="s">
        <v>47</v>
      </c>
      <c r="AM1" s="28" t="s">
        <v>49</v>
      </c>
      <c r="AN1" s="28" t="s">
        <v>50</v>
      </c>
      <c r="AO1" s="28" t="s">
        <v>51</v>
      </c>
      <c r="AP1" s="28" t="s">
        <v>52</v>
      </c>
      <c r="AQ1" s="28" t="s">
        <v>53</v>
      </c>
      <c r="AR1" s="28" t="s">
        <v>54</v>
      </c>
      <c r="AS1" s="28" t="s">
        <v>55</v>
      </c>
    </row>
    <row r="2" spans="1:45" ht="45" x14ac:dyDescent="0.25">
      <c r="A2" s="47">
        <v>1</v>
      </c>
      <c r="B2" s="63"/>
      <c r="C2" s="32"/>
      <c r="D2" s="29" t="s">
        <v>93</v>
      </c>
      <c r="E2" s="29" t="s">
        <v>107</v>
      </c>
      <c r="F2" s="29" t="s">
        <v>108</v>
      </c>
      <c r="G2" s="41" t="s">
        <v>59</v>
      </c>
      <c r="H2" s="41" t="s">
        <v>60</v>
      </c>
      <c r="I2" s="41">
        <v>2023</v>
      </c>
      <c r="J2" s="41">
        <v>100</v>
      </c>
      <c r="K2" s="29" t="s">
        <v>109</v>
      </c>
      <c r="L2" s="29" t="s">
        <v>2</v>
      </c>
      <c r="M2" s="32" t="s">
        <v>61</v>
      </c>
      <c r="N2" s="32" t="s">
        <v>110</v>
      </c>
      <c r="O2" s="32" t="s">
        <v>111</v>
      </c>
      <c r="P2" s="32" t="s">
        <v>112</v>
      </c>
      <c r="Q2" s="31" t="s">
        <v>113</v>
      </c>
      <c r="R2" s="32" t="s">
        <v>114</v>
      </c>
      <c r="S2" s="46">
        <v>162174</v>
      </c>
      <c r="T2" s="48" t="s">
        <v>115</v>
      </c>
      <c r="U2" s="35">
        <v>121005</v>
      </c>
      <c r="V2" s="68">
        <v>1</v>
      </c>
      <c r="W2" s="36">
        <v>45258</v>
      </c>
      <c r="X2" s="36">
        <v>45266</v>
      </c>
      <c r="Y2" s="36">
        <v>45274</v>
      </c>
      <c r="Z2" s="36">
        <v>46013</v>
      </c>
      <c r="AA2" s="36" t="s">
        <v>70</v>
      </c>
      <c r="AB2" s="36" t="s">
        <v>71</v>
      </c>
      <c r="AC2" s="37" t="s">
        <v>90</v>
      </c>
      <c r="AD2" s="32" t="s">
        <v>116</v>
      </c>
      <c r="AE2" s="38">
        <v>120586666.84999999</v>
      </c>
      <c r="AF2" s="38">
        <v>0</v>
      </c>
      <c r="AG2" s="38">
        <f t="shared" ref="AG2:AG4" si="0">AE2+AF2</f>
        <v>120586666.84999999</v>
      </c>
      <c r="AH2" s="38">
        <v>6381044.4221000075</v>
      </c>
      <c r="AI2" s="66">
        <v>60293333.439999998</v>
      </c>
      <c r="AJ2" s="38">
        <v>53912288.987899996</v>
      </c>
      <c r="AK2" s="38">
        <v>0</v>
      </c>
      <c r="AL2" s="38">
        <f t="shared" ref="AL2:AL46" si="1">IF(K2="Si",(AK2-AE2),0)</f>
        <v>0</v>
      </c>
      <c r="AM2" s="66">
        <v>4222222</v>
      </c>
      <c r="AN2" s="38">
        <v>5024444.4099999992</v>
      </c>
      <c r="AO2" s="54">
        <f>ROUND(AM2/AI2,2)</f>
        <v>7.0000000000000007E-2</v>
      </c>
      <c r="AP2" s="65">
        <f>AI2-AM2</f>
        <v>56071111.439999998</v>
      </c>
      <c r="AQ2" s="30" t="s">
        <v>117</v>
      </c>
      <c r="AR2" s="43" t="s">
        <v>118</v>
      </c>
      <c r="AS2" s="32"/>
    </row>
    <row r="3" spans="1:45" ht="57" x14ac:dyDescent="0.25">
      <c r="A3" s="47">
        <v>2</v>
      </c>
      <c r="B3" s="63"/>
      <c r="C3" s="32"/>
      <c r="D3" s="29" t="s">
        <v>93</v>
      </c>
      <c r="E3" s="29" t="s">
        <v>119</v>
      </c>
      <c r="F3" s="29" t="s">
        <v>120</v>
      </c>
      <c r="G3" s="41" t="s">
        <v>59</v>
      </c>
      <c r="H3" s="41" t="s">
        <v>60</v>
      </c>
      <c r="I3" s="41">
        <v>2023</v>
      </c>
      <c r="J3" s="41">
        <v>98</v>
      </c>
      <c r="K3" s="29" t="s">
        <v>109</v>
      </c>
      <c r="L3" s="29" t="s">
        <v>2</v>
      </c>
      <c r="M3" s="32" t="s">
        <v>61</v>
      </c>
      <c r="N3" s="32" t="s">
        <v>110</v>
      </c>
      <c r="O3" s="32" t="s">
        <v>121</v>
      </c>
      <c r="P3" s="32" t="s">
        <v>112</v>
      </c>
      <c r="Q3" s="31" t="s">
        <v>113</v>
      </c>
      <c r="R3" s="32" t="s">
        <v>122</v>
      </c>
      <c r="S3" s="46">
        <v>162171</v>
      </c>
      <c r="T3" s="30" t="s">
        <v>123</v>
      </c>
      <c r="U3" s="35">
        <v>120075</v>
      </c>
      <c r="V3" s="68">
        <v>1</v>
      </c>
      <c r="W3" s="36">
        <v>45247</v>
      </c>
      <c r="X3" s="36">
        <v>45257</v>
      </c>
      <c r="Y3" s="36">
        <v>45283</v>
      </c>
      <c r="Z3" s="36">
        <v>45603</v>
      </c>
      <c r="AA3" s="36" t="s">
        <v>70</v>
      </c>
      <c r="AB3" s="36" t="s">
        <v>71</v>
      </c>
      <c r="AC3" s="37" t="s">
        <v>90</v>
      </c>
      <c r="AD3" s="32" t="s">
        <v>116</v>
      </c>
      <c r="AE3" s="38">
        <v>52210518.659999996</v>
      </c>
      <c r="AF3" s="38">
        <v>0</v>
      </c>
      <c r="AG3" s="38">
        <f t="shared" si="0"/>
        <v>52210518.659999996</v>
      </c>
      <c r="AH3" s="38">
        <v>5750723.7799999937</v>
      </c>
      <c r="AI3" s="66">
        <v>46459794.880000003</v>
      </c>
      <c r="AJ3" s="38">
        <v>0</v>
      </c>
      <c r="AK3" s="38">
        <v>0</v>
      </c>
      <c r="AL3" s="38">
        <f t="shared" si="1"/>
        <v>0</v>
      </c>
      <c r="AM3" s="66">
        <v>4540045</v>
      </c>
      <c r="AN3" s="38">
        <v>4540045.0999999996</v>
      </c>
      <c r="AO3" s="54">
        <f t="shared" ref="AO3:AO22" si="2">IF(AI3=0,0,ROUND(AM3/AI3,2))</f>
        <v>0.1</v>
      </c>
      <c r="AP3" s="65">
        <f t="shared" ref="AP3:AP46" si="3">AI3-AM3</f>
        <v>41919749.880000003</v>
      </c>
      <c r="AQ3" s="30" t="s">
        <v>124</v>
      </c>
      <c r="AR3" s="43" t="s">
        <v>125</v>
      </c>
      <c r="AS3" s="32"/>
    </row>
    <row r="4" spans="1:45" ht="40.5" customHeight="1" x14ac:dyDescent="0.25">
      <c r="A4" s="47">
        <v>3</v>
      </c>
      <c r="B4" s="63"/>
      <c r="C4" s="32"/>
      <c r="D4" s="29" t="s">
        <v>93</v>
      </c>
      <c r="E4" s="29" t="s">
        <v>202</v>
      </c>
      <c r="F4" s="29" t="s">
        <v>203</v>
      </c>
      <c r="G4" s="41" t="s">
        <v>59</v>
      </c>
      <c r="H4" s="41" t="s">
        <v>60</v>
      </c>
      <c r="I4" s="41">
        <v>2023</v>
      </c>
      <c r="J4" s="41">
        <v>226</v>
      </c>
      <c r="K4" s="29" t="s">
        <v>109</v>
      </c>
      <c r="L4" s="29" t="s">
        <v>2</v>
      </c>
      <c r="M4" s="32" t="s">
        <v>61</v>
      </c>
      <c r="N4" s="32" t="s">
        <v>204</v>
      </c>
      <c r="O4" s="32" t="s">
        <v>205</v>
      </c>
      <c r="P4" s="32" t="s">
        <v>112</v>
      </c>
      <c r="Q4" s="31" t="s">
        <v>206</v>
      </c>
      <c r="R4" s="32" t="s">
        <v>207</v>
      </c>
      <c r="S4" s="45">
        <v>205529</v>
      </c>
      <c r="T4" s="30" t="s">
        <v>208</v>
      </c>
      <c r="U4" s="35">
        <v>121233</v>
      </c>
      <c r="V4" s="68">
        <v>1</v>
      </c>
      <c r="W4" s="36">
        <v>45259</v>
      </c>
      <c r="X4" s="36">
        <v>45265</v>
      </c>
      <c r="Y4" s="36">
        <v>45265</v>
      </c>
      <c r="Z4" s="36">
        <v>45777</v>
      </c>
      <c r="AA4" s="36" t="s">
        <v>70</v>
      </c>
      <c r="AB4" s="36" t="s">
        <v>71</v>
      </c>
      <c r="AC4" s="37" t="s">
        <v>90</v>
      </c>
      <c r="AD4" s="32" t="s">
        <v>116</v>
      </c>
      <c r="AE4" s="38">
        <v>37300074</v>
      </c>
      <c r="AF4" s="38">
        <v>0</v>
      </c>
      <c r="AG4" s="38">
        <f t="shared" si="0"/>
        <v>37300074</v>
      </c>
      <c r="AH4" s="38">
        <v>2194122</v>
      </c>
      <c r="AI4" s="66">
        <v>26329464</v>
      </c>
      <c r="AJ4" s="38">
        <v>8776488</v>
      </c>
      <c r="AK4" s="38">
        <v>0</v>
      </c>
      <c r="AL4" s="38">
        <f t="shared" si="1"/>
        <v>0</v>
      </c>
      <c r="AM4" s="66">
        <v>1314970.23</v>
      </c>
      <c r="AN4" s="38">
        <v>2194122</v>
      </c>
      <c r="AO4" s="54">
        <f t="shared" si="2"/>
        <v>0.05</v>
      </c>
      <c r="AP4" s="65">
        <f t="shared" si="3"/>
        <v>25014493.77</v>
      </c>
      <c r="AQ4" s="30" t="s">
        <v>209</v>
      </c>
      <c r="AR4" s="30" t="s">
        <v>210</v>
      </c>
      <c r="AS4" s="32"/>
    </row>
    <row r="5" spans="1:45" ht="60" x14ac:dyDescent="0.25">
      <c r="A5" s="47">
        <v>4</v>
      </c>
      <c r="B5" s="63"/>
      <c r="C5" s="32"/>
      <c r="D5" s="29" t="s">
        <v>211</v>
      </c>
      <c r="E5" s="29" t="s">
        <v>212</v>
      </c>
      <c r="F5" s="29" t="s">
        <v>213</v>
      </c>
      <c r="G5" s="41" t="s">
        <v>59</v>
      </c>
      <c r="H5" s="41" t="s">
        <v>60</v>
      </c>
      <c r="I5" s="41">
        <v>2023</v>
      </c>
      <c r="J5" s="41">
        <v>95</v>
      </c>
      <c r="K5" s="29" t="s">
        <v>109</v>
      </c>
      <c r="L5" s="29" t="s">
        <v>2</v>
      </c>
      <c r="M5" s="32" t="s">
        <v>61</v>
      </c>
      <c r="N5" s="32" t="s">
        <v>204</v>
      </c>
      <c r="O5" s="32" t="s">
        <v>214</v>
      </c>
      <c r="P5" s="32" t="s">
        <v>112</v>
      </c>
      <c r="Q5" s="30" t="s">
        <v>215</v>
      </c>
      <c r="R5" s="32" t="s">
        <v>216</v>
      </c>
      <c r="S5" s="45">
        <v>163259</v>
      </c>
      <c r="T5" s="48" t="s">
        <v>217</v>
      </c>
      <c r="U5" s="35">
        <v>121992</v>
      </c>
      <c r="V5" s="68">
        <v>1</v>
      </c>
      <c r="W5" s="36">
        <v>45267</v>
      </c>
      <c r="X5" s="36">
        <v>45273</v>
      </c>
      <c r="Y5" s="36">
        <v>45273</v>
      </c>
      <c r="Z5" s="36">
        <v>45639</v>
      </c>
      <c r="AA5" s="36" t="s">
        <v>70</v>
      </c>
      <c r="AB5" s="36" t="s">
        <v>71</v>
      </c>
      <c r="AC5" s="37" t="s">
        <v>90</v>
      </c>
      <c r="AD5" s="30" t="s">
        <v>116</v>
      </c>
      <c r="AE5" s="38">
        <v>547593718.28999996</v>
      </c>
      <c r="AF5" s="38">
        <f>-10857905.7+62899991.32-0.06</f>
        <v>52042085.560000002</v>
      </c>
      <c r="AG5" s="38">
        <f>AE5+AF5</f>
        <v>599635803.8499999</v>
      </c>
      <c r="AH5" s="38">
        <v>15609124.010000002</v>
      </c>
      <c r="AI5" s="66">
        <v>584026679.84000003</v>
      </c>
      <c r="AJ5" s="38">
        <v>0</v>
      </c>
      <c r="AK5" s="38">
        <v>0</v>
      </c>
      <c r="AL5" s="38">
        <f t="shared" si="1"/>
        <v>0</v>
      </c>
      <c r="AM5" s="66">
        <v>40165517.859999999</v>
      </c>
      <c r="AN5" s="38">
        <v>51140690.039999999</v>
      </c>
      <c r="AO5" s="54">
        <f t="shared" si="2"/>
        <v>7.0000000000000007E-2</v>
      </c>
      <c r="AP5" s="65">
        <f t="shared" si="3"/>
        <v>543861161.98000002</v>
      </c>
      <c r="AQ5" s="30" t="s">
        <v>218</v>
      </c>
      <c r="AR5" s="43" t="s">
        <v>219</v>
      </c>
      <c r="AS5" s="32"/>
    </row>
    <row r="6" spans="1:45" ht="150" x14ac:dyDescent="0.25">
      <c r="A6" s="47">
        <v>5</v>
      </c>
      <c r="B6" s="63"/>
      <c r="C6" s="32"/>
      <c r="D6" s="29" t="s">
        <v>93</v>
      </c>
      <c r="E6" s="29" t="s">
        <v>126</v>
      </c>
      <c r="F6" s="29" t="s">
        <v>127</v>
      </c>
      <c r="G6" s="41" t="s">
        <v>109</v>
      </c>
      <c r="H6" s="41" t="s">
        <v>128</v>
      </c>
      <c r="I6" s="41">
        <v>2023</v>
      </c>
      <c r="J6" s="41">
        <v>120</v>
      </c>
      <c r="K6" s="29" t="s">
        <v>109</v>
      </c>
      <c r="L6" s="29" t="s">
        <v>2</v>
      </c>
      <c r="M6" s="32" t="s">
        <v>61</v>
      </c>
      <c r="N6" s="32" t="s">
        <v>129</v>
      </c>
      <c r="O6" s="32" t="s">
        <v>130</v>
      </c>
      <c r="P6" s="32" t="s">
        <v>64</v>
      </c>
      <c r="Q6" s="30" t="s">
        <v>131</v>
      </c>
      <c r="R6" s="32" t="s">
        <v>132</v>
      </c>
      <c r="S6" s="45" t="s">
        <v>133</v>
      </c>
      <c r="T6" s="44" t="s">
        <v>134</v>
      </c>
      <c r="U6" s="35" t="s">
        <v>69</v>
      </c>
      <c r="V6" s="68">
        <v>0</v>
      </c>
      <c r="W6" s="36">
        <v>45141</v>
      </c>
      <c r="X6" s="36">
        <v>45148</v>
      </c>
      <c r="Y6" s="36">
        <v>45148</v>
      </c>
      <c r="Z6" s="36">
        <v>45380</v>
      </c>
      <c r="AA6" s="36" t="s">
        <v>70</v>
      </c>
      <c r="AB6" s="36" t="s">
        <v>71</v>
      </c>
      <c r="AC6" s="37" t="s">
        <v>72</v>
      </c>
      <c r="AD6" s="30" t="s">
        <v>135</v>
      </c>
      <c r="AE6" s="38">
        <v>1038872287</v>
      </c>
      <c r="AF6" s="38">
        <v>0</v>
      </c>
      <c r="AG6" s="38">
        <f>AE6+AF6</f>
        <v>1038872287</v>
      </c>
      <c r="AH6" s="38">
        <v>93891229</v>
      </c>
      <c r="AI6" s="66">
        <f>281673686*3+99960000</f>
        <v>944981058</v>
      </c>
      <c r="AJ6" s="38">
        <v>0</v>
      </c>
      <c r="AK6" s="38">
        <v>0</v>
      </c>
      <c r="AL6" s="38">
        <f t="shared" si="1"/>
        <v>0</v>
      </c>
      <c r="AM6" s="66">
        <v>0</v>
      </c>
      <c r="AN6" s="38" t="s">
        <v>69</v>
      </c>
      <c r="AO6" s="54">
        <f t="shared" si="2"/>
        <v>0</v>
      </c>
      <c r="AP6" s="65">
        <f t="shared" si="3"/>
        <v>944981058</v>
      </c>
      <c r="AQ6" s="30" t="s">
        <v>136</v>
      </c>
      <c r="AR6" s="43" t="s">
        <v>137</v>
      </c>
      <c r="AS6" s="32"/>
    </row>
    <row r="7" spans="1:45" ht="105" x14ac:dyDescent="0.25">
      <c r="A7" s="47">
        <v>6</v>
      </c>
      <c r="B7" s="63"/>
      <c r="C7" s="32"/>
      <c r="D7" s="29" t="s">
        <v>220</v>
      </c>
      <c r="E7" s="29" t="s">
        <v>221</v>
      </c>
      <c r="F7" s="29" t="s">
        <v>222</v>
      </c>
      <c r="G7" s="41" t="s">
        <v>59</v>
      </c>
      <c r="H7" s="41" t="s">
        <v>60</v>
      </c>
      <c r="I7" s="41">
        <v>2023</v>
      </c>
      <c r="J7" s="41">
        <v>246</v>
      </c>
      <c r="K7" s="29" t="s">
        <v>109</v>
      </c>
      <c r="L7" s="29" t="s">
        <v>2</v>
      </c>
      <c r="M7" s="32" t="s">
        <v>223</v>
      </c>
      <c r="N7" s="32" t="s">
        <v>204</v>
      </c>
      <c r="O7" s="32" t="s">
        <v>224</v>
      </c>
      <c r="P7" s="32" t="s">
        <v>64</v>
      </c>
      <c r="Q7" s="30" t="s">
        <v>225</v>
      </c>
      <c r="R7" s="32" t="s">
        <v>226</v>
      </c>
      <c r="S7" s="45" t="s">
        <v>227</v>
      </c>
      <c r="T7" s="44" t="s">
        <v>228</v>
      </c>
      <c r="U7" s="35" t="s">
        <v>69</v>
      </c>
      <c r="V7" s="68">
        <v>0</v>
      </c>
      <c r="W7" s="36">
        <v>45260</v>
      </c>
      <c r="X7" s="36">
        <v>45260</v>
      </c>
      <c r="Y7" s="36">
        <v>45260</v>
      </c>
      <c r="Z7" s="36">
        <v>45473</v>
      </c>
      <c r="AA7" s="36" t="s">
        <v>70</v>
      </c>
      <c r="AB7" s="36" t="s">
        <v>71</v>
      </c>
      <c r="AC7" s="37" t="s">
        <v>72</v>
      </c>
      <c r="AD7" s="30" t="s">
        <v>135</v>
      </c>
      <c r="AE7" s="38">
        <v>1272271483</v>
      </c>
      <c r="AF7" s="38">
        <v>0</v>
      </c>
      <c r="AG7" s="38">
        <f>AE7+AF7</f>
        <v>1272271483</v>
      </c>
      <c r="AH7" s="38">
        <v>868916461</v>
      </c>
      <c r="AI7" s="66">
        <v>403355022</v>
      </c>
      <c r="AJ7" s="38">
        <v>0</v>
      </c>
      <c r="AK7" s="38">
        <v>0</v>
      </c>
      <c r="AL7" s="38">
        <f t="shared" si="1"/>
        <v>0</v>
      </c>
      <c r="AM7" s="66">
        <v>0</v>
      </c>
      <c r="AN7" s="38" t="s">
        <v>69</v>
      </c>
      <c r="AO7" s="54">
        <f t="shared" si="2"/>
        <v>0</v>
      </c>
      <c r="AP7" s="65">
        <f t="shared" si="3"/>
        <v>403355022</v>
      </c>
      <c r="AQ7" s="30" t="s">
        <v>229</v>
      </c>
      <c r="AR7" s="43" t="s">
        <v>230</v>
      </c>
      <c r="AS7" s="32"/>
    </row>
    <row r="8" spans="1:45" ht="57" x14ac:dyDescent="0.25">
      <c r="A8" s="47">
        <v>7</v>
      </c>
      <c r="B8" s="63"/>
      <c r="C8" s="32"/>
      <c r="D8" s="29" t="s">
        <v>93</v>
      </c>
      <c r="E8" s="29" t="s">
        <v>202</v>
      </c>
      <c r="F8" s="29" t="s">
        <v>231</v>
      </c>
      <c r="G8" s="41" t="s">
        <v>59</v>
      </c>
      <c r="H8" s="41" t="s">
        <v>60</v>
      </c>
      <c r="I8" s="41">
        <v>2023</v>
      </c>
      <c r="J8" s="41">
        <v>245</v>
      </c>
      <c r="K8" s="29" t="s">
        <v>109</v>
      </c>
      <c r="L8" s="29" t="s">
        <v>2</v>
      </c>
      <c r="M8" s="32" t="s">
        <v>61</v>
      </c>
      <c r="N8" s="32" t="s">
        <v>204</v>
      </c>
      <c r="O8" s="32" t="s">
        <v>232</v>
      </c>
      <c r="P8" s="32" t="s">
        <v>112</v>
      </c>
      <c r="Q8" s="30" t="s">
        <v>233</v>
      </c>
      <c r="R8" s="32" t="s">
        <v>234</v>
      </c>
      <c r="S8" s="57">
        <v>206721</v>
      </c>
      <c r="T8" s="49" t="s">
        <v>235</v>
      </c>
      <c r="U8" s="35">
        <v>122184</v>
      </c>
      <c r="V8" s="68">
        <v>1</v>
      </c>
      <c r="W8" s="36">
        <v>45271</v>
      </c>
      <c r="X8" s="36">
        <v>45275</v>
      </c>
      <c r="Y8" s="36">
        <v>45275</v>
      </c>
      <c r="Z8" s="36">
        <v>45983</v>
      </c>
      <c r="AA8" s="36" t="s">
        <v>70</v>
      </c>
      <c r="AB8" s="36" t="s">
        <v>71</v>
      </c>
      <c r="AC8" s="37" t="s">
        <v>90</v>
      </c>
      <c r="AD8" s="30" t="s">
        <v>116</v>
      </c>
      <c r="AE8" s="38">
        <v>120685506.48</v>
      </c>
      <c r="AF8" s="38">
        <v>0</v>
      </c>
      <c r="AG8" s="38">
        <f t="shared" ref="AG8:AG9" si="4">AE8+AF8</f>
        <v>120685506.48</v>
      </c>
      <c r="AH8" s="38">
        <v>2742852.42</v>
      </c>
      <c r="AI8" s="66">
        <v>65828458.079999998</v>
      </c>
      <c r="AJ8" s="38">
        <v>52114195.980000004</v>
      </c>
      <c r="AK8" s="38">
        <v>0</v>
      </c>
      <c r="AL8" s="38">
        <f t="shared" si="1"/>
        <v>0</v>
      </c>
      <c r="AM8" s="66">
        <v>5485704.8399999999</v>
      </c>
      <c r="AN8" s="38">
        <v>5485704.8399999999</v>
      </c>
      <c r="AO8" s="54">
        <f t="shared" si="2"/>
        <v>0.08</v>
      </c>
      <c r="AP8" s="65">
        <f t="shared" si="3"/>
        <v>60342753.239999995</v>
      </c>
      <c r="AQ8" s="30" t="s">
        <v>236</v>
      </c>
      <c r="AR8" s="30" t="s">
        <v>531</v>
      </c>
      <c r="AS8" s="32"/>
    </row>
    <row r="9" spans="1:45" ht="210" x14ac:dyDescent="0.25">
      <c r="A9" s="47">
        <v>8</v>
      </c>
      <c r="B9" s="63">
        <v>80111614</v>
      </c>
      <c r="C9" s="32" t="s">
        <v>81</v>
      </c>
      <c r="D9" s="29" t="s">
        <v>56</v>
      </c>
      <c r="E9" s="29" t="s">
        <v>238</v>
      </c>
      <c r="F9" s="29" t="s">
        <v>239</v>
      </c>
      <c r="G9" s="41" t="s">
        <v>59</v>
      </c>
      <c r="H9" s="41" t="s">
        <v>60</v>
      </c>
      <c r="I9" s="41">
        <v>2024</v>
      </c>
      <c r="J9" s="41">
        <v>83</v>
      </c>
      <c r="K9" s="29" t="s">
        <v>59</v>
      </c>
      <c r="L9" s="29" t="s">
        <v>3</v>
      </c>
      <c r="M9" s="32" t="s">
        <v>61</v>
      </c>
      <c r="N9" s="32" t="s">
        <v>204</v>
      </c>
      <c r="O9" s="32" t="s">
        <v>240</v>
      </c>
      <c r="P9" s="32" t="s">
        <v>64</v>
      </c>
      <c r="Q9" s="30" t="s">
        <v>241</v>
      </c>
      <c r="R9" s="32" t="s">
        <v>242</v>
      </c>
      <c r="S9" s="45" t="s">
        <v>243</v>
      </c>
      <c r="T9" s="44" t="s">
        <v>244</v>
      </c>
      <c r="U9" s="35" t="s">
        <v>69</v>
      </c>
      <c r="V9" s="68">
        <v>1</v>
      </c>
      <c r="W9" s="36">
        <v>45314</v>
      </c>
      <c r="X9" s="36">
        <v>45315</v>
      </c>
      <c r="Y9" s="36">
        <v>45315</v>
      </c>
      <c r="Z9" s="36">
        <v>45646</v>
      </c>
      <c r="AA9" s="36" t="s">
        <v>70</v>
      </c>
      <c r="AB9" s="36" t="s">
        <v>71</v>
      </c>
      <c r="AC9" s="37" t="s">
        <v>90</v>
      </c>
      <c r="AD9" s="32" t="s">
        <v>73</v>
      </c>
      <c r="AE9" s="38">
        <v>101790360</v>
      </c>
      <c r="AF9" s="38">
        <v>0</v>
      </c>
      <c r="AG9" s="38">
        <f t="shared" si="4"/>
        <v>101790360</v>
      </c>
      <c r="AH9" s="38">
        <v>0</v>
      </c>
      <c r="AI9" s="66">
        <v>101790360</v>
      </c>
      <c r="AJ9" s="38">
        <v>0</v>
      </c>
      <c r="AK9" s="38">
        <v>101790360.76000001</v>
      </c>
      <c r="AL9" s="38">
        <f t="shared" si="1"/>
        <v>0.76000000536441803</v>
      </c>
      <c r="AM9" s="66">
        <v>2159189.4300000002</v>
      </c>
      <c r="AN9" s="38">
        <v>9253669</v>
      </c>
      <c r="AO9" s="54">
        <f t="shared" si="2"/>
        <v>0.02</v>
      </c>
      <c r="AP9" s="65">
        <f t="shared" si="3"/>
        <v>99631170.569999993</v>
      </c>
      <c r="AQ9" s="30" t="s">
        <v>245</v>
      </c>
      <c r="AR9" s="43" t="s">
        <v>246</v>
      </c>
      <c r="AS9" s="32"/>
    </row>
    <row r="10" spans="1:45" ht="90" x14ac:dyDescent="0.25">
      <c r="A10" s="47">
        <v>9</v>
      </c>
      <c r="B10" s="63">
        <v>80111614</v>
      </c>
      <c r="C10" s="32" t="s">
        <v>81</v>
      </c>
      <c r="D10" s="29" t="s">
        <v>56</v>
      </c>
      <c r="E10" s="29" t="s">
        <v>82</v>
      </c>
      <c r="F10" s="29" t="s">
        <v>139</v>
      </c>
      <c r="G10" s="41" t="s">
        <v>59</v>
      </c>
      <c r="H10" s="41" t="s">
        <v>60</v>
      </c>
      <c r="I10" s="41">
        <v>2024</v>
      </c>
      <c r="J10" s="41">
        <v>111</v>
      </c>
      <c r="K10" s="29" t="s">
        <v>59</v>
      </c>
      <c r="L10" s="29" t="s">
        <v>3</v>
      </c>
      <c r="M10" s="32" t="s">
        <v>61</v>
      </c>
      <c r="N10" s="32" t="s">
        <v>129</v>
      </c>
      <c r="O10" s="32" t="s">
        <v>140</v>
      </c>
      <c r="P10" s="32" t="s">
        <v>64</v>
      </c>
      <c r="Q10" s="30" t="s">
        <v>141</v>
      </c>
      <c r="R10" s="32" t="s">
        <v>142</v>
      </c>
      <c r="S10" s="46" t="s">
        <v>143</v>
      </c>
      <c r="T10" s="48" t="s">
        <v>144</v>
      </c>
      <c r="U10" s="35" t="s">
        <v>69</v>
      </c>
      <c r="V10" s="68">
        <v>1</v>
      </c>
      <c r="W10" s="36">
        <v>45310</v>
      </c>
      <c r="X10" s="36">
        <v>45313</v>
      </c>
      <c r="Y10" s="36">
        <v>45314</v>
      </c>
      <c r="Z10" s="36">
        <v>45646</v>
      </c>
      <c r="AA10" s="36" t="s">
        <v>70</v>
      </c>
      <c r="AB10" s="36" t="s">
        <v>71</v>
      </c>
      <c r="AC10" s="37" t="s">
        <v>90</v>
      </c>
      <c r="AD10" s="32" t="s">
        <v>73</v>
      </c>
      <c r="AE10" s="38">
        <v>104183350</v>
      </c>
      <c r="AF10" s="38">
        <v>0</v>
      </c>
      <c r="AG10" s="38">
        <v>104183350</v>
      </c>
      <c r="AH10" s="38">
        <v>0</v>
      </c>
      <c r="AI10" s="66">
        <v>104183350</v>
      </c>
      <c r="AJ10" s="38">
        <v>0</v>
      </c>
      <c r="AK10" s="38">
        <v>104500000</v>
      </c>
      <c r="AL10" s="38">
        <f t="shared" si="1"/>
        <v>316650</v>
      </c>
      <c r="AM10" s="66">
        <v>2533333</v>
      </c>
      <c r="AN10" s="38">
        <v>9500000</v>
      </c>
      <c r="AO10" s="54">
        <f t="shared" si="2"/>
        <v>0.02</v>
      </c>
      <c r="AP10" s="65">
        <f t="shared" si="3"/>
        <v>101650017</v>
      </c>
      <c r="AQ10" s="30" t="s">
        <v>145</v>
      </c>
      <c r="AR10" s="43" t="s">
        <v>146</v>
      </c>
      <c r="AS10" s="32"/>
    </row>
    <row r="11" spans="1:45" ht="90" x14ac:dyDescent="0.25">
      <c r="A11" s="47">
        <v>10</v>
      </c>
      <c r="B11" s="63">
        <v>80111614</v>
      </c>
      <c r="C11" s="32" t="s">
        <v>81</v>
      </c>
      <c r="D11" s="29" t="s">
        <v>56</v>
      </c>
      <c r="E11" s="29" t="s">
        <v>82</v>
      </c>
      <c r="F11" s="29" t="s">
        <v>139</v>
      </c>
      <c r="G11" s="41" t="s">
        <v>59</v>
      </c>
      <c r="H11" s="41" t="s">
        <v>60</v>
      </c>
      <c r="I11" s="41">
        <v>2024</v>
      </c>
      <c r="J11" s="41">
        <v>110</v>
      </c>
      <c r="K11" s="29" t="s">
        <v>59</v>
      </c>
      <c r="L11" s="29" t="s">
        <v>3</v>
      </c>
      <c r="M11" s="32" t="s">
        <v>61</v>
      </c>
      <c r="N11" s="32" t="s">
        <v>129</v>
      </c>
      <c r="O11" s="32" t="s">
        <v>140</v>
      </c>
      <c r="P11" s="32" t="s">
        <v>64</v>
      </c>
      <c r="Q11" s="30" t="s">
        <v>147</v>
      </c>
      <c r="R11" s="32" t="s">
        <v>142</v>
      </c>
      <c r="S11" s="57" t="s">
        <v>148</v>
      </c>
      <c r="T11" s="44" t="s">
        <v>149</v>
      </c>
      <c r="U11" s="35" t="s">
        <v>69</v>
      </c>
      <c r="V11" s="68">
        <v>1</v>
      </c>
      <c r="W11" s="36">
        <v>45310</v>
      </c>
      <c r="X11" s="36">
        <v>45313</v>
      </c>
      <c r="Y11" s="36">
        <v>45314</v>
      </c>
      <c r="Z11" s="36">
        <v>45646</v>
      </c>
      <c r="AA11" s="36" t="s">
        <v>70</v>
      </c>
      <c r="AB11" s="36" t="s">
        <v>71</v>
      </c>
      <c r="AC11" s="37" t="s">
        <v>90</v>
      </c>
      <c r="AD11" s="32" t="s">
        <v>73</v>
      </c>
      <c r="AE11" s="38">
        <v>104183350</v>
      </c>
      <c r="AF11" s="38">
        <v>0</v>
      </c>
      <c r="AG11" s="38">
        <f t="shared" ref="AG11:AG46" si="5">AE11+AF11</f>
        <v>104183350</v>
      </c>
      <c r="AH11" s="38">
        <v>0</v>
      </c>
      <c r="AI11" s="66">
        <v>104183350</v>
      </c>
      <c r="AJ11" s="38">
        <v>0</v>
      </c>
      <c r="AK11" s="38">
        <v>104500000</v>
      </c>
      <c r="AL11" s="38">
        <f t="shared" si="1"/>
        <v>316650</v>
      </c>
      <c r="AM11" s="66">
        <v>2533333</v>
      </c>
      <c r="AN11" s="38">
        <v>9500000</v>
      </c>
      <c r="AO11" s="54">
        <f t="shared" si="2"/>
        <v>0.02</v>
      </c>
      <c r="AP11" s="65">
        <f t="shared" si="3"/>
        <v>101650017</v>
      </c>
      <c r="AQ11" s="30" t="s">
        <v>150</v>
      </c>
      <c r="AR11" s="43" t="s">
        <v>151</v>
      </c>
      <c r="AS11" s="32"/>
    </row>
    <row r="12" spans="1:45" ht="180" x14ac:dyDescent="0.25">
      <c r="A12" s="47">
        <v>11</v>
      </c>
      <c r="B12" s="63">
        <v>80111614</v>
      </c>
      <c r="C12" s="32" t="s">
        <v>81</v>
      </c>
      <c r="D12" s="29" t="s">
        <v>56</v>
      </c>
      <c r="E12" s="29" t="s">
        <v>82</v>
      </c>
      <c r="F12" s="29" t="s">
        <v>152</v>
      </c>
      <c r="G12" s="41" t="s">
        <v>59</v>
      </c>
      <c r="H12" s="41" t="s">
        <v>60</v>
      </c>
      <c r="I12" s="41">
        <v>2024</v>
      </c>
      <c r="J12" s="41">
        <v>113</v>
      </c>
      <c r="K12" s="29" t="s">
        <v>59</v>
      </c>
      <c r="L12" s="29" t="s">
        <v>3</v>
      </c>
      <c r="M12" s="32" t="s">
        <v>61</v>
      </c>
      <c r="N12" s="32" t="s">
        <v>129</v>
      </c>
      <c r="O12" s="32" t="s">
        <v>140</v>
      </c>
      <c r="P12" s="32" t="s">
        <v>64</v>
      </c>
      <c r="Q12" s="30" t="s">
        <v>153</v>
      </c>
      <c r="R12" s="32" t="s">
        <v>154</v>
      </c>
      <c r="S12" s="55" t="s">
        <v>155</v>
      </c>
      <c r="T12" s="48" t="s">
        <v>156</v>
      </c>
      <c r="U12" s="35" t="s">
        <v>69</v>
      </c>
      <c r="V12" s="68">
        <v>1</v>
      </c>
      <c r="W12" s="36">
        <v>45308</v>
      </c>
      <c r="X12" s="36">
        <v>45310</v>
      </c>
      <c r="Y12" s="36">
        <v>45313</v>
      </c>
      <c r="Z12" s="36">
        <v>45646</v>
      </c>
      <c r="AA12" s="36" t="s">
        <v>70</v>
      </c>
      <c r="AB12" s="36" t="s">
        <v>71</v>
      </c>
      <c r="AC12" s="37" t="s">
        <v>90</v>
      </c>
      <c r="AD12" s="32" t="s">
        <v>73</v>
      </c>
      <c r="AE12" s="38">
        <v>187000000</v>
      </c>
      <c r="AF12" s="38">
        <v>0</v>
      </c>
      <c r="AG12" s="38">
        <f t="shared" si="5"/>
        <v>187000000</v>
      </c>
      <c r="AH12" s="38">
        <v>0</v>
      </c>
      <c r="AI12" s="66">
        <v>187000000</v>
      </c>
      <c r="AJ12" s="38">
        <v>0</v>
      </c>
      <c r="AK12" s="38">
        <v>187000000</v>
      </c>
      <c r="AL12" s="38">
        <f t="shared" si="1"/>
        <v>0</v>
      </c>
      <c r="AM12" s="66">
        <v>5100000</v>
      </c>
      <c r="AN12" s="38">
        <v>17000000</v>
      </c>
      <c r="AO12" s="54">
        <f t="shared" si="2"/>
        <v>0.03</v>
      </c>
      <c r="AP12" s="65">
        <f t="shared" si="3"/>
        <v>181900000</v>
      </c>
      <c r="AQ12" s="30" t="s">
        <v>157</v>
      </c>
      <c r="AR12" s="43" t="s">
        <v>158</v>
      </c>
      <c r="AS12" s="32"/>
    </row>
    <row r="13" spans="1:45" ht="90" x14ac:dyDescent="0.25">
      <c r="A13" s="47">
        <v>12</v>
      </c>
      <c r="B13" s="63">
        <v>80111614</v>
      </c>
      <c r="C13" s="32" t="s">
        <v>81</v>
      </c>
      <c r="D13" s="29" t="s">
        <v>56</v>
      </c>
      <c r="E13" s="29" t="s">
        <v>82</v>
      </c>
      <c r="F13" s="29" t="s">
        <v>159</v>
      </c>
      <c r="G13" s="41" t="s">
        <v>59</v>
      </c>
      <c r="H13" s="41" t="s">
        <v>60</v>
      </c>
      <c r="I13" s="41">
        <v>2024</v>
      </c>
      <c r="J13" s="41">
        <v>114</v>
      </c>
      <c r="K13" s="29" t="s">
        <v>59</v>
      </c>
      <c r="L13" s="29" t="s">
        <v>3</v>
      </c>
      <c r="M13" s="32" t="s">
        <v>61</v>
      </c>
      <c r="N13" s="32" t="s">
        <v>129</v>
      </c>
      <c r="O13" s="32" t="s">
        <v>85</v>
      </c>
      <c r="P13" s="32" t="s">
        <v>64</v>
      </c>
      <c r="Q13" s="30" t="s">
        <v>160</v>
      </c>
      <c r="R13" s="32" t="s">
        <v>161</v>
      </c>
      <c r="S13" s="55" t="s">
        <v>162</v>
      </c>
      <c r="T13" s="56" t="s">
        <v>163</v>
      </c>
      <c r="U13" s="35" t="s">
        <v>69</v>
      </c>
      <c r="V13" s="68">
        <v>1</v>
      </c>
      <c r="W13" s="36">
        <v>45314</v>
      </c>
      <c r="X13" s="36">
        <v>45315</v>
      </c>
      <c r="Y13" s="36">
        <v>45316</v>
      </c>
      <c r="Z13" s="36">
        <v>45646</v>
      </c>
      <c r="AA13" s="36" t="s">
        <v>70</v>
      </c>
      <c r="AB13" s="36" t="s">
        <v>71</v>
      </c>
      <c r="AC13" s="37" t="s">
        <v>90</v>
      </c>
      <c r="AD13" s="32" t="s">
        <v>73</v>
      </c>
      <c r="AE13" s="38">
        <v>187000000</v>
      </c>
      <c r="AF13" s="38">
        <v>0</v>
      </c>
      <c r="AG13" s="38">
        <f t="shared" si="5"/>
        <v>187000000</v>
      </c>
      <c r="AH13" s="38">
        <v>0</v>
      </c>
      <c r="AI13" s="66">
        <v>187000000</v>
      </c>
      <c r="AJ13" s="38">
        <v>0</v>
      </c>
      <c r="AK13" s="38">
        <v>187000000</v>
      </c>
      <c r="AL13" s="38">
        <f t="shared" si="1"/>
        <v>0</v>
      </c>
      <c r="AM13" s="66">
        <v>3400000</v>
      </c>
      <c r="AN13" s="38">
        <v>17000000</v>
      </c>
      <c r="AO13" s="54">
        <f t="shared" si="2"/>
        <v>0.02</v>
      </c>
      <c r="AP13" s="65">
        <f t="shared" si="3"/>
        <v>183600000</v>
      </c>
      <c r="AQ13" s="30" t="s">
        <v>164</v>
      </c>
      <c r="AR13" s="43" t="s">
        <v>165</v>
      </c>
      <c r="AS13" s="32"/>
    </row>
    <row r="14" spans="1:45" ht="90" x14ac:dyDescent="0.25">
      <c r="A14" s="47">
        <v>13</v>
      </c>
      <c r="B14" s="63"/>
      <c r="C14" s="32"/>
      <c r="D14" s="29" t="s">
        <v>56</v>
      </c>
      <c r="E14" s="29" t="s">
        <v>82</v>
      </c>
      <c r="F14" s="29" t="s">
        <v>166</v>
      </c>
      <c r="G14" s="41" t="s">
        <v>59</v>
      </c>
      <c r="H14" s="41" t="s">
        <v>60</v>
      </c>
      <c r="I14" s="41">
        <v>2024</v>
      </c>
      <c r="J14" s="41">
        <v>108</v>
      </c>
      <c r="K14" s="29" t="s">
        <v>59</v>
      </c>
      <c r="L14" s="29" t="s">
        <v>3</v>
      </c>
      <c r="M14" s="32" t="s">
        <v>61</v>
      </c>
      <c r="N14" s="32" t="s">
        <v>129</v>
      </c>
      <c r="O14" s="32" t="s">
        <v>63</v>
      </c>
      <c r="P14" s="32" t="s">
        <v>64</v>
      </c>
      <c r="Q14" s="30" t="s">
        <v>167</v>
      </c>
      <c r="R14" s="32" t="s">
        <v>168</v>
      </c>
      <c r="S14" s="45" t="s">
        <v>169</v>
      </c>
      <c r="T14" s="48" t="s">
        <v>170</v>
      </c>
      <c r="U14" s="35" t="s">
        <v>69</v>
      </c>
      <c r="V14" s="68">
        <v>0</v>
      </c>
      <c r="W14" s="36">
        <v>45323</v>
      </c>
      <c r="X14" s="36">
        <v>45324</v>
      </c>
      <c r="Y14" s="36" t="s">
        <v>70</v>
      </c>
      <c r="Z14" s="36">
        <v>45646</v>
      </c>
      <c r="AA14" s="36" t="s">
        <v>70</v>
      </c>
      <c r="AB14" s="36" t="s">
        <v>71</v>
      </c>
      <c r="AC14" s="37" t="s">
        <v>72</v>
      </c>
      <c r="AD14" s="32" t="s">
        <v>73</v>
      </c>
      <c r="AE14" s="38">
        <v>148500000</v>
      </c>
      <c r="AF14" s="38">
        <v>0</v>
      </c>
      <c r="AG14" s="38">
        <f t="shared" si="5"/>
        <v>148500000</v>
      </c>
      <c r="AH14" s="38">
        <v>0</v>
      </c>
      <c r="AI14" s="66">
        <v>148500000</v>
      </c>
      <c r="AJ14" s="38">
        <v>0</v>
      </c>
      <c r="AK14" s="38">
        <v>148500000</v>
      </c>
      <c r="AL14" s="38">
        <f t="shared" si="1"/>
        <v>0</v>
      </c>
      <c r="AM14" s="66">
        <v>0</v>
      </c>
      <c r="AN14" s="38">
        <v>13500000</v>
      </c>
      <c r="AO14" s="54">
        <f t="shared" si="2"/>
        <v>0</v>
      </c>
      <c r="AP14" s="65">
        <f t="shared" si="3"/>
        <v>148500000</v>
      </c>
      <c r="AQ14" s="30" t="s">
        <v>171</v>
      </c>
      <c r="AR14" s="43" t="s">
        <v>172</v>
      </c>
      <c r="AS14" s="32"/>
    </row>
    <row r="15" spans="1:45" ht="90" x14ac:dyDescent="0.25">
      <c r="A15" s="47">
        <v>14</v>
      </c>
      <c r="B15" s="63"/>
      <c r="C15" s="32"/>
      <c r="D15" s="29" t="s">
        <v>56</v>
      </c>
      <c r="E15" s="29" t="s">
        <v>82</v>
      </c>
      <c r="F15" s="29" t="s">
        <v>173</v>
      </c>
      <c r="G15" s="41" t="s">
        <v>59</v>
      </c>
      <c r="H15" s="41" t="s">
        <v>60</v>
      </c>
      <c r="I15" s="41">
        <v>2024</v>
      </c>
      <c r="J15" s="41">
        <v>107</v>
      </c>
      <c r="K15" s="29" t="s">
        <v>59</v>
      </c>
      <c r="L15" s="29" t="s">
        <v>3</v>
      </c>
      <c r="M15" s="32" t="s">
        <v>61</v>
      </c>
      <c r="N15" s="32" t="s">
        <v>129</v>
      </c>
      <c r="O15" s="32" t="s">
        <v>63</v>
      </c>
      <c r="P15" s="32" t="s">
        <v>64</v>
      </c>
      <c r="Q15" s="30" t="s">
        <v>174</v>
      </c>
      <c r="R15" s="32" t="s">
        <v>175</v>
      </c>
      <c r="S15" s="45" t="s">
        <v>176</v>
      </c>
      <c r="T15" s="56" t="s">
        <v>177</v>
      </c>
      <c r="U15" s="35" t="s">
        <v>69</v>
      </c>
      <c r="V15" s="68">
        <v>0</v>
      </c>
      <c r="W15" s="36">
        <v>45323</v>
      </c>
      <c r="X15" s="36">
        <v>44962</v>
      </c>
      <c r="Y15" s="36" t="s">
        <v>70</v>
      </c>
      <c r="Z15" s="36">
        <v>45646</v>
      </c>
      <c r="AA15" s="36" t="s">
        <v>70</v>
      </c>
      <c r="AB15" s="36" t="s">
        <v>71</v>
      </c>
      <c r="AC15" s="37" t="s">
        <v>72</v>
      </c>
      <c r="AD15" s="32" t="s">
        <v>73</v>
      </c>
      <c r="AE15" s="38">
        <v>148500000</v>
      </c>
      <c r="AF15" s="38">
        <v>0</v>
      </c>
      <c r="AG15" s="38">
        <f t="shared" si="5"/>
        <v>148500000</v>
      </c>
      <c r="AH15" s="38">
        <v>0</v>
      </c>
      <c r="AI15" s="66">
        <v>148500000</v>
      </c>
      <c r="AJ15" s="38">
        <v>0</v>
      </c>
      <c r="AK15" s="38">
        <v>148500000</v>
      </c>
      <c r="AL15" s="38">
        <f t="shared" si="1"/>
        <v>0</v>
      </c>
      <c r="AM15" s="66">
        <v>0</v>
      </c>
      <c r="AN15" s="38">
        <v>13500000</v>
      </c>
      <c r="AO15" s="54">
        <f t="shared" si="2"/>
        <v>0</v>
      </c>
      <c r="AP15" s="65">
        <f t="shared" si="3"/>
        <v>148500000</v>
      </c>
      <c r="AQ15" s="30" t="s">
        <v>178</v>
      </c>
      <c r="AR15" s="43" t="s">
        <v>179</v>
      </c>
      <c r="AS15" s="32"/>
    </row>
    <row r="16" spans="1:45" ht="90" x14ac:dyDescent="0.25">
      <c r="A16" s="47">
        <v>15</v>
      </c>
      <c r="B16" s="63"/>
      <c r="C16" s="32"/>
      <c r="D16" s="29" t="s">
        <v>56</v>
      </c>
      <c r="E16" s="29" t="s">
        <v>82</v>
      </c>
      <c r="F16" s="29" t="s">
        <v>180</v>
      </c>
      <c r="G16" s="41" t="s">
        <v>59</v>
      </c>
      <c r="H16" s="41" t="s">
        <v>60</v>
      </c>
      <c r="I16" s="41">
        <v>2024</v>
      </c>
      <c r="J16" s="41">
        <v>115</v>
      </c>
      <c r="K16" s="29" t="s">
        <v>59</v>
      </c>
      <c r="L16" s="29" t="s">
        <v>3</v>
      </c>
      <c r="M16" s="32" t="s">
        <v>61</v>
      </c>
      <c r="N16" s="32" t="s">
        <v>129</v>
      </c>
      <c r="O16" s="32" t="s">
        <v>63</v>
      </c>
      <c r="P16" s="32" t="s">
        <v>64</v>
      </c>
      <c r="Q16" s="30" t="s">
        <v>181</v>
      </c>
      <c r="R16" s="32" t="s">
        <v>182</v>
      </c>
      <c r="S16" s="45" t="s">
        <v>183</v>
      </c>
      <c r="T16" s="48" t="s">
        <v>184</v>
      </c>
      <c r="U16" s="35" t="s">
        <v>69</v>
      </c>
      <c r="V16" s="68">
        <v>0</v>
      </c>
      <c r="W16" s="36">
        <v>45323</v>
      </c>
      <c r="X16" s="36">
        <v>44962</v>
      </c>
      <c r="Y16" s="36" t="s">
        <v>70</v>
      </c>
      <c r="Z16" s="36">
        <v>45646</v>
      </c>
      <c r="AA16" s="36" t="s">
        <v>70</v>
      </c>
      <c r="AB16" s="36" t="s">
        <v>71</v>
      </c>
      <c r="AC16" s="37" t="s">
        <v>72</v>
      </c>
      <c r="AD16" s="32" t="s">
        <v>73</v>
      </c>
      <c r="AE16" s="38">
        <v>132000000</v>
      </c>
      <c r="AF16" s="38">
        <v>0</v>
      </c>
      <c r="AG16" s="38">
        <f t="shared" si="5"/>
        <v>132000000</v>
      </c>
      <c r="AH16" s="38">
        <v>0</v>
      </c>
      <c r="AI16" s="66">
        <v>132000000</v>
      </c>
      <c r="AJ16" s="38">
        <v>0</v>
      </c>
      <c r="AK16" s="38">
        <v>132000000</v>
      </c>
      <c r="AL16" s="38">
        <f t="shared" si="1"/>
        <v>0</v>
      </c>
      <c r="AM16" s="66">
        <v>0</v>
      </c>
      <c r="AN16" s="38">
        <v>12000000</v>
      </c>
      <c r="AO16" s="54">
        <f t="shared" si="2"/>
        <v>0</v>
      </c>
      <c r="AP16" s="65">
        <f t="shared" si="3"/>
        <v>132000000</v>
      </c>
      <c r="AQ16" s="30" t="s">
        <v>185</v>
      </c>
      <c r="AR16" s="43" t="s">
        <v>186</v>
      </c>
      <c r="AS16" s="32"/>
    </row>
    <row r="17" spans="1:45" ht="90" x14ac:dyDescent="0.25">
      <c r="A17" s="47">
        <v>16</v>
      </c>
      <c r="B17" s="63"/>
      <c r="C17" s="32"/>
      <c r="D17" s="29" t="s">
        <v>56</v>
      </c>
      <c r="E17" s="29" t="s">
        <v>82</v>
      </c>
      <c r="F17" s="29" t="s">
        <v>187</v>
      </c>
      <c r="G17" s="41" t="s">
        <v>59</v>
      </c>
      <c r="H17" s="41" t="s">
        <v>60</v>
      </c>
      <c r="I17" s="41">
        <v>2024</v>
      </c>
      <c r="J17" s="41">
        <v>109</v>
      </c>
      <c r="K17" s="29" t="s">
        <v>59</v>
      </c>
      <c r="L17" s="29" t="s">
        <v>3</v>
      </c>
      <c r="M17" s="32" t="s">
        <v>61</v>
      </c>
      <c r="N17" s="32" t="s">
        <v>129</v>
      </c>
      <c r="O17" s="32" t="s">
        <v>63</v>
      </c>
      <c r="P17" s="32" t="s">
        <v>64</v>
      </c>
      <c r="Q17" s="30" t="s">
        <v>188</v>
      </c>
      <c r="R17" s="32" t="s">
        <v>189</v>
      </c>
      <c r="S17" s="45" t="s">
        <v>190</v>
      </c>
      <c r="T17" s="56" t="s">
        <v>191</v>
      </c>
      <c r="U17" s="35" t="s">
        <v>69</v>
      </c>
      <c r="V17" s="68">
        <v>0</v>
      </c>
      <c r="W17" s="36">
        <v>45323</v>
      </c>
      <c r="X17" s="36">
        <v>44959</v>
      </c>
      <c r="Y17" s="36" t="s">
        <v>70</v>
      </c>
      <c r="Z17" s="36">
        <v>45646</v>
      </c>
      <c r="AA17" s="36" t="s">
        <v>70</v>
      </c>
      <c r="AB17" s="36" t="s">
        <v>71</v>
      </c>
      <c r="AC17" s="37" t="s">
        <v>72</v>
      </c>
      <c r="AD17" s="32" t="s">
        <v>73</v>
      </c>
      <c r="AE17" s="38">
        <v>121000000</v>
      </c>
      <c r="AF17" s="38">
        <v>0</v>
      </c>
      <c r="AG17" s="38">
        <f t="shared" si="5"/>
        <v>121000000</v>
      </c>
      <c r="AH17" s="38">
        <v>0</v>
      </c>
      <c r="AI17" s="66">
        <v>121000000</v>
      </c>
      <c r="AJ17" s="38">
        <v>0</v>
      </c>
      <c r="AK17" s="38">
        <v>121000000</v>
      </c>
      <c r="AL17" s="38">
        <f t="shared" si="1"/>
        <v>0</v>
      </c>
      <c r="AM17" s="66">
        <v>0</v>
      </c>
      <c r="AN17" s="38">
        <v>11000000</v>
      </c>
      <c r="AO17" s="54">
        <f t="shared" si="2"/>
        <v>0</v>
      </c>
      <c r="AP17" s="65">
        <f t="shared" si="3"/>
        <v>121000000</v>
      </c>
      <c r="AQ17" s="30" t="s">
        <v>192</v>
      </c>
      <c r="AR17" s="43" t="s">
        <v>193</v>
      </c>
      <c r="AS17" s="32"/>
    </row>
    <row r="18" spans="1:45" ht="195" x14ac:dyDescent="0.25">
      <c r="A18" s="47">
        <v>17</v>
      </c>
      <c r="B18" s="63"/>
      <c r="C18" s="36"/>
      <c r="D18" s="29" t="s">
        <v>56</v>
      </c>
      <c r="E18" s="29" t="s">
        <v>247</v>
      </c>
      <c r="F18" s="29" t="s">
        <v>248</v>
      </c>
      <c r="G18" s="41" t="s">
        <v>109</v>
      </c>
      <c r="H18" s="41" t="s">
        <v>249</v>
      </c>
      <c r="I18" s="41">
        <v>2024</v>
      </c>
      <c r="J18" s="41">
        <v>141</v>
      </c>
      <c r="K18" s="29" t="s">
        <v>59</v>
      </c>
      <c r="L18" s="29" t="s">
        <v>3</v>
      </c>
      <c r="M18" s="32" t="s">
        <v>61</v>
      </c>
      <c r="N18" s="32" t="s">
        <v>250</v>
      </c>
      <c r="O18" s="32" t="s">
        <v>251</v>
      </c>
      <c r="P18" s="32" t="s">
        <v>64</v>
      </c>
      <c r="Q18" s="30" t="s">
        <v>252</v>
      </c>
      <c r="R18" s="36" t="s">
        <v>253</v>
      </c>
      <c r="S18" s="45" t="s">
        <v>254</v>
      </c>
      <c r="T18" s="56" t="s">
        <v>255</v>
      </c>
      <c r="U18" s="35" t="s">
        <v>69</v>
      </c>
      <c r="V18" s="68">
        <v>0</v>
      </c>
      <c r="W18" s="36">
        <v>45329</v>
      </c>
      <c r="X18" s="36">
        <v>45331</v>
      </c>
      <c r="Y18" s="36">
        <v>45331</v>
      </c>
      <c r="Z18" s="36">
        <v>45646</v>
      </c>
      <c r="AA18" s="36" t="s">
        <v>70</v>
      </c>
      <c r="AB18" s="36" t="s">
        <v>71</v>
      </c>
      <c r="AC18" s="37" t="s">
        <v>72</v>
      </c>
      <c r="AD18" s="32" t="s">
        <v>73</v>
      </c>
      <c r="AE18" s="38">
        <v>191064000</v>
      </c>
      <c r="AF18" s="38">
        <v>0</v>
      </c>
      <c r="AG18" s="38">
        <f t="shared" si="5"/>
        <v>191064000</v>
      </c>
      <c r="AH18" s="38">
        <v>0</v>
      </c>
      <c r="AI18" s="66">
        <v>191064000</v>
      </c>
      <c r="AJ18" s="38">
        <v>0</v>
      </c>
      <c r="AK18" s="38">
        <v>197034750</v>
      </c>
      <c r="AL18" s="38">
        <f t="shared" si="1"/>
        <v>5970750</v>
      </c>
      <c r="AM18" s="66">
        <v>0</v>
      </c>
      <c r="AN18" s="38">
        <v>17912250</v>
      </c>
      <c r="AO18" s="54">
        <f t="shared" si="2"/>
        <v>0</v>
      </c>
      <c r="AP18" s="65">
        <f t="shared" si="3"/>
        <v>191064000</v>
      </c>
      <c r="AQ18" s="30" t="s">
        <v>256</v>
      </c>
      <c r="AR18" s="43" t="s">
        <v>257</v>
      </c>
      <c r="AS18" s="32"/>
    </row>
    <row r="19" spans="1:45" ht="90" x14ac:dyDescent="0.25">
      <c r="A19" s="47">
        <v>18</v>
      </c>
      <c r="B19" s="63">
        <v>80111614</v>
      </c>
      <c r="C19" s="32" t="s">
        <v>81</v>
      </c>
      <c r="D19" s="29" t="s">
        <v>56</v>
      </c>
      <c r="E19" s="29" t="s">
        <v>82</v>
      </c>
      <c r="F19" s="29" t="s">
        <v>83</v>
      </c>
      <c r="G19" s="41" t="s">
        <v>59</v>
      </c>
      <c r="H19" s="41" t="s">
        <v>60</v>
      </c>
      <c r="I19" s="41">
        <v>2024</v>
      </c>
      <c r="J19" s="41">
        <v>112</v>
      </c>
      <c r="K19" s="29" t="s">
        <v>59</v>
      </c>
      <c r="L19" s="29" t="s">
        <v>3</v>
      </c>
      <c r="M19" s="32" t="s">
        <v>61</v>
      </c>
      <c r="N19" s="32" t="s">
        <v>84</v>
      </c>
      <c r="O19" s="32" t="s">
        <v>85</v>
      </c>
      <c r="P19" s="32" t="s">
        <v>64</v>
      </c>
      <c r="Q19" s="30" t="s">
        <v>86</v>
      </c>
      <c r="R19" s="32" t="s">
        <v>87</v>
      </c>
      <c r="S19" s="45" t="s">
        <v>88</v>
      </c>
      <c r="T19" s="48" t="s">
        <v>89</v>
      </c>
      <c r="U19" s="35" t="s">
        <v>69</v>
      </c>
      <c r="V19" s="68">
        <v>0</v>
      </c>
      <c r="W19" s="36">
        <v>45315</v>
      </c>
      <c r="X19" s="36">
        <v>45315</v>
      </c>
      <c r="Y19" s="36">
        <v>45316</v>
      </c>
      <c r="Z19" s="36">
        <v>45646</v>
      </c>
      <c r="AA19" s="36" t="s">
        <v>70</v>
      </c>
      <c r="AB19" s="36" t="s">
        <v>71</v>
      </c>
      <c r="AC19" s="37" t="s">
        <v>90</v>
      </c>
      <c r="AD19" s="32" t="s">
        <v>73</v>
      </c>
      <c r="AE19" s="38">
        <v>93500000</v>
      </c>
      <c r="AF19" s="38">
        <v>0</v>
      </c>
      <c r="AG19" s="38">
        <f t="shared" si="5"/>
        <v>93500000</v>
      </c>
      <c r="AH19" s="38">
        <v>0</v>
      </c>
      <c r="AI19" s="66">
        <v>93500000</v>
      </c>
      <c r="AJ19" s="38">
        <v>0</v>
      </c>
      <c r="AK19" s="38">
        <v>93500000</v>
      </c>
      <c r="AL19" s="38">
        <f t="shared" si="1"/>
        <v>0</v>
      </c>
      <c r="AM19" s="66">
        <v>0</v>
      </c>
      <c r="AN19" s="38">
        <v>9350000</v>
      </c>
      <c r="AO19" s="54">
        <f t="shared" si="2"/>
        <v>0</v>
      </c>
      <c r="AP19" s="65">
        <f t="shared" si="3"/>
        <v>93500000</v>
      </c>
      <c r="AQ19" s="30" t="s">
        <v>91</v>
      </c>
      <c r="AR19" s="43" t="s">
        <v>92</v>
      </c>
      <c r="AS19" s="32"/>
    </row>
    <row r="20" spans="1:45" ht="40.5" customHeight="1" x14ac:dyDescent="0.25">
      <c r="A20" s="47">
        <v>21</v>
      </c>
      <c r="B20" s="63"/>
      <c r="C20" s="32"/>
      <c r="D20" s="29" t="s">
        <v>56</v>
      </c>
      <c r="E20" s="29" t="s">
        <v>57</v>
      </c>
      <c r="F20" s="29" t="s">
        <v>58</v>
      </c>
      <c r="G20" s="41" t="s">
        <v>59</v>
      </c>
      <c r="H20" s="41" t="s">
        <v>60</v>
      </c>
      <c r="I20" s="41">
        <v>2024</v>
      </c>
      <c r="J20" s="41">
        <v>46</v>
      </c>
      <c r="K20" s="29" t="s">
        <v>59</v>
      </c>
      <c r="L20" s="29" t="s">
        <v>3</v>
      </c>
      <c r="M20" s="32" t="s">
        <v>61</v>
      </c>
      <c r="N20" s="32" t="s">
        <v>62</v>
      </c>
      <c r="O20" s="32" t="s">
        <v>63</v>
      </c>
      <c r="P20" s="32" t="s">
        <v>64</v>
      </c>
      <c r="Q20" s="31" t="s">
        <v>65</v>
      </c>
      <c r="R20" s="32" t="s">
        <v>66</v>
      </c>
      <c r="S20" s="45" t="s">
        <v>67</v>
      </c>
      <c r="T20" s="30" t="s">
        <v>68</v>
      </c>
      <c r="U20" s="35" t="s">
        <v>69</v>
      </c>
      <c r="V20" s="68">
        <v>0</v>
      </c>
      <c r="W20" s="36">
        <v>45329</v>
      </c>
      <c r="X20" s="36">
        <v>45331</v>
      </c>
      <c r="Y20" s="36" t="s">
        <v>70</v>
      </c>
      <c r="Z20" s="36">
        <v>45473</v>
      </c>
      <c r="AA20" s="36" t="s">
        <v>70</v>
      </c>
      <c r="AB20" s="36" t="s">
        <v>71</v>
      </c>
      <c r="AC20" s="37" t="s">
        <v>72</v>
      </c>
      <c r="AD20" s="32" t="s">
        <v>73</v>
      </c>
      <c r="AE20" s="38">
        <v>47500000</v>
      </c>
      <c r="AF20" s="38">
        <v>0</v>
      </c>
      <c r="AG20" s="38">
        <f t="shared" si="5"/>
        <v>47500000</v>
      </c>
      <c r="AH20" s="38">
        <v>0</v>
      </c>
      <c r="AI20" s="66">
        <v>47500000</v>
      </c>
      <c r="AJ20" s="38">
        <v>0</v>
      </c>
      <c r="AK20" s="38">
        <v>47500000</v>
      </c>
      <c r="AL20" s="38">
        <f t="shared" si="1"/>
        <v>0</v>
      </c>
      <c r="AM20" s="66">
        <v>0</v>
      </c>
      <c r="AN20" s="38">
        <v>11875000</v>
      </c>
      <c r="AO20" s="54">
        <f t="shared" si="2"/>
        <v>0</v>
      </c>
      <c r="AP20" s="65">
        <f t="shared" si="3"/>
        <v>47500000</v>
      </c>
      <c r="AQ20" s="30" t="s">
        <v>74</v>
      </c>
      <c r="AR20" s="43" t="s">
        <v>75</v>
      </c>
      <c r="AS20" s="32"/>
    </row>
    <row r="21" spans="1:45" ht="75" x14ac:dyDescent="0.25">
      <c r="A21" s="47">
        <v>23</v>
      </c>
      <c r="B21" s="63"/>
      <c r="C21" s="32"/>
      <c r="D21" s="29" t="s">
        <v>93</v>
      </c>
      <c r="E21" s="29" t="s">
        <v>94</v>
      </c>
      <c r="F21" s="29" t="s">
        <v>95</v>
      </c>
      <c r="G21" s="47" t="s">
        <v>59</v>
      </c>
      <c r="H21" s="41" t="s">
        <v>60</v>
      </c>
      <c r="I21" s="41">
        <v>2024</v>
      </c>
      <c r="J21" s="41">
        <v>94</v>
      </c>
      <c r="K21" s="29" t="s">
        <v>59</v>
      </c>
      <c r="L21" s="29" t="s">
        <v>3</v>
      </c>
      <c r="M21" s="32" t="s">
        <v>61</v>
      </c>
      <c r="N21" s="32" t="s">
        <v>96</v>
      </c>
      <c r="O21" s="32" t="s">
        <v>97</v>
      </c>
      <c r="P21" s="32" t="s">
        <v>64</v>
      </c>
      <c r="Q21" s="30" t="s">
        <v>98</v>
      </c>
      <c r="R21" s="32" t="s">
        <v>99</v>
      </c>
      <c r="S21" s="57" t="s">
        <v>100</v>
      </c>
      <c r="T21" s="49" t="s">
        <v>101</v>
      </c>
      <c r="U21" s="35" t="s">
        <v>69</v>
      </c>
      <c r="V21" s="68">
        <v>0</v>
      </c>
      <c r="W21" s="36">
        <v>45331</v>
      </c>
      <c r="X21" s="36">
        <v>45331</v>
      </c>
      <c r="Y21" s="36">
        <v>45331</v>
      </c>
      <c r="Z21" s="36">
        <v>45359</v>
      </c>
      <c r="AA21" s="58" t="s">
        <v>102</v>
      </c>
      <c r="AB21" s="58" t="s">
        <v>103</v>
      </c>
      <c r="AC21" s="37" t="s">
        <v>90</v>
      </c>
      <c r="AD21" s="32" t="s">
        <v>104</v>
      </c>
      <c r="AE21" s="38">
        <v>194118482.31999999</v>
      </c>
      <c r="AF21" s="38">
        <v>0</v>
      </c>
      <c r="AG21" s="38">
        <f t="shared" si="5"/>
        <v>194118482.31999999</v>
      </c>
      <c r="AH21" s="38">
        <v>0</v>
      </c>
      <c r="AI21" s="66">
        <v>194118482.31999999</v>
      </c>
      <c r="AJ21" s="38">
        <v>0</v>
      </c>
      <c r="AK21" s="38">
        <v>250000000</v>
      </c>
      <c r="AL21" s="38">
        <f t="shared" si="1"/>
        <v>55881517.680000007</v>
      </c>
      <c r="AM21" s="66">
        <v>0</v>
      </c>
      <c r="AN21" s="38" t="s">
        <v>69</v>
      </c>
      <c r="AO21" s="54">
        <f t="shared" si="2"/>
        <v>0</v>
      </c>
      <c r="AP21" s="65">
        <f t="shared" si="3"/>
        <v>194118482.31999999</v>
      </c>
      <c r="AQ21" s="30" t="s">
        <v>105</v>
      </c>
      <c r="AR21" s="43" t="s">
        <v>106</v>
      </c>
      <c r="AS21" s="32"/>
    </row>
    <row r="22" spans="1:45" ht="90" x14ac:dyDescent="0.25">
      <c r="A22" s="47">
        <v>24</v>
      </c>
      <c r="B22" s="63"/>
      <c r="C22" s="32"/>
      <c r="D22" s="29" t="s">
        <v>56</v>
      </c>
      <c r="E22" s="29" t="s">
        <v>82</v>
      </c>
      <c r="F22" s="29" t="s">
        <v>194</v>
      </c>
      <c r="G22" s="41" t="s">
        <v>59</v>
      </c>
      <c r="H22" s="41" t="s">
        <v>60</v>
      </c>
      <c r="I22" s="41">
        <v>2024</v>
      </c>
      <c r="J22" s="41">
        <v>104</v>
      </c>
      <c r="K22" s="29" t="s">
        <v>59</v>
      </c>
      <c r="L22" s="29" t="s">
        <v>3</v>
      </c>
      <c r="M22" s="32" t="s">
        <v>195</v>
      </c>
      <c r="N22" s="32" t="s">
        <v>129</v>
      </c>
      <c r="O22" s="59"/>
      <c r="P22" s="32" t="s">
        <v>64</v>
      </c>
      <c r="Q22" s="30" t="s">
        <v>196</v>
      </c>
      <c r="R22" s="32" t="s">
        <v>197</v>
      </c>
      <c r="S22" s="46" t="s">
        <v>198</v>
      </c>
      <c r="T22" s="30" t="s">
        <v>199</v>
      </c>
      <c r="U22" s="35" t="s">
        <v>69</v>
      </c>
      <c r="V22" s="68">
        <v>0</v>
      </c>
      <c r="W22" s="36">
        <v>45335</v>
      </c>
      <c r="X22" s="36">
        <v>45338</v>
      </c>
      <c r="Y22" s="36" t="s">
        <v>70</v>
      </c>
      <c r="Z22" s="36">
        <v>45646</v>
      </c>
      <c r="AA22" s="36" t="s">
        <v>70</v>
      </c>
      <c r="AB22" s="36" t="s">
        <v>71</v>
      </c>
      <c r="AC22" s="37" t="s">
        <v>72</v>
      </c>
      <c r="AD22" s="32" t="s">
        <v>73</v>
      </c>
      <c r="AE22" s="38">
        <v>165000000</v>
      </c>
      <c r="AF22" s="38">
        <v>0</v>
      </c>
      <c r="AG22" s="38">
        <f t="shared" si="5"/>
        <v>165000000</v>
      </c>
      <c r="AH22" s="38">
        <v>0</v>
      </c>
      <c r="AI22" s="66">
        <v>165000000</v>
      </c>
      <c r="AJ22" s="38">
        <v>0</v>
      </c>
      <c r="AK22" s="38">
        <v>165000000</v>
      </c>
      <c r="AL22" s="38">
        <f>IF(K22="Si",(AK22-AE22),0)</f>
        <v>0</v>
      </c>
      <c r="AM22" s="66">
        <v>0</v>
      </c>
      <c r="AN22" s="38">
        <v>15000000</v>
      </c>
      <c r="AO22" s="54">
        <f t="shared" si="2"/>
        <v>0</v>
      </c>
      <c r="AP22" s="65">
        <f t="shared" si="3"/>
        <v>165000000</v>
      </c>
      <c r="AQ22" s="30" t="s">
        <v>200</v>
      </c>
      <c r="AR22" s="43" t="s">
        <v>201</v>
      </c>
      <c r="AS22" s="32"/>
    </row>
    <row r="23" spans="1:45" ht="105" x14ac:dyDescent="0.25">
      <c r="A23" s="47">
        <v>19</v>
      </c>
      <c r="B23" s="63"/>
      <c r="C23" s="32"/>
      <c r="D23" s="29" t="s">
        <v>56</v>
      </c>
      <c r="E23" s="29" t="s">
        <v>57</v>
      </c>
      <c r="F23" s="29" t="s">
        <v>58</v>
      </c>
      <c r="G23" s="41" t="s">
        <v>59</v>
      </c>
      <c r="H23" s="41" t="s">
        <v>60</v>
      </c>
      <c r="I23" s="41">
        <v>2024</v>
      </c>
      <c r="J23" s="41">
        <v>38</v>
      </c>
      <c r="K23" s="29" t="s">
        <v>59</v>
      </c>
      <c r="L23" s="29" t="s">
        <v>3</v>
      </c>
      <c r="M23" s="32" t="s">
        <v>61</v>
      </c>
      <c r="N23" s="32" t="s">
        <v>62</v>
      </c>
      <c r="O23" s="32" t="s">
        <v>63</v>
      </c>
      <c r="P23" s="32" t="s">
        <v>64</v>
      </c>
      <c r="Q23" s="29" t="s">
        <v>431</v>
      </c>
      <c r="R23" s="32" t="s">
        <v>66</v>
      </c>
      <c r="S23" s="46" t="s">
        <v>432</v>
      </c>
      <c r="T23" s="30" t="s">
        <v>433</v>
      </c>
      <c r="U23" s="35" t="s">
        <v>69</v>
      </c>
      <c r="V23" s="68">
        <v>0</v>
      </c>
      <c r="W23" s="36">
        <v>45329</v>
      </c>
      <c r="X23" s="36">
        <v>45330</v>
      </c>
      <c r="Y23" s="36" t="s">
        <v>70</v>
      </c>
      <c r="Z23" s="36">
        <v>45473</v>
      </c>
      <c r="AA23" s="36" t="s">
        <v>70</v>
      </c>
      <c r="AB23" s="36" t="s">
        <v>71</v>
      </c>
      <c r="AC23" s="37" t="s">
        <v>72</v>
      </c>
      <c r="AD23" s="32" t="s">
        <v>73</v>
      </c>
      <c r="AE23" s="38">
        <v>47500000</v>
      </c>
      <c r="AF23" s="38">
        <v>-47500000</v>
      </c>
      <c r="AG23" s="38">
        <f t="shared" si="5"/>
        <v>0</v>
      </c>
      <c r="AH23" s="38">
        <v>0</v>
      </c>
      <c r="AI23" s="66">
        <v>0</v>
      </c>
      <c r="AJ23" s="38">
        <v>0</v>
      </c>
      <c r="AK23" s="38">
        <v>0</v>
      </c>
      <c r="AL23" s="38">
        <f>AG23-AK23</f>
        <v>0</v>
      </c>
      <c r="AM23" s="66">
        <v>0</v>
      </c>
      <c r="AN23" s="38">
        <v>11875000</v>
      </c>
      <c r="AO23" s="54">
        <f>IF(AI23=0,0,ROUND(AM23/AI23,2))</f>
        <v>0</v>
      </c>
      <c r="AP23" s="65">
        <f t="shared" si="3"/>
        <v>0</v>
      </c>
      <c r="AQ23" s="30" t="s">
        <v>434</v>
      </c>
      <c r="AR23" s="43" t="s">
        <v>435</v>
      </c>
      <c r="AS23" s="32" t="s">
        <v>532</v>
      </c>
    </row>
    <row r="24" spans="1:45" ht="225" x14ac:dyDescent="0.25">
      <c r="A24" s="47">
        <v>22</v>
      </c>
      <c r="B24" s="63"/>
      <c r="C24" s="32"/>
      <c r="D24" s="29" t="s">
        <v>56</v>
      </c>
      <c r="E24" s="29" t="s">
        <v>57</v>
      </c>
      <c r="F24" s="29" t="s">
        <v>58</v>
      </c>
      <c r="G24" s="41" t="s">
        <v>59</v>
      </c>
      <c r="H24" s="41" t="s">
        <v>60</v>
      </c>
      <c r="I24" s="41">
        <v>2024</v>
      </c>
      <c r="J24" s="41">
        <v>52</v>
      </c>
      <c r="K24" s="29" t="s">
        <v>59</v>
      </c>
      <c r="L24" s="29" t="s">
        <v>3</v>
      </c>
      <c r="M24" s="32" t="s">
        <v>61</v>
      </c>
      <c r="N24" s="32" t="s">
        <v>62</v>
      </c>
      <c r="O24" s="32" t="s">
        <v>63</v>
      </c>
      <c r="P24" s="32" t="s">
        <v>64</v>
      </c>
      <c r="Q24" s="30" t="s">
        <v>437</v>
      </c>
      <c r="R24" s="32" t="s">
        <v>66</v>
      </c>
      <c r="S24" s="45" t="s">
        <v>438</v>
      </c>
      <c r="T24" s="30" t="s">
        <v>439</v>
      </c>
      <c r="U24" s="35" t="s">
        <v>69</v>
      </c>
      <c r="V24" s="68">
        <v>0</v>
      </c>
      <c r="W24" s="36">
        <v>45329</v>
      </c>
      <c r="X24" s="36">
        <v>45331</v>
      </c>
      <c r="Y24" s="36" t="s">
        <v>70</v>
      </c>
      <c r="Z24" s="36">
        <v>45473</v>
      </c>
      <c r="AA24" s="36" t="s">
        <v>70</v>
      </c>
      <c r="AB24" s="36" t="s">
        <v>71</v>
      </c>
      <c r="AC24" s="37" t="s">
        <v>72</v>
      </c>
      <c r="AD24" s="32" t="s">
        <v>73</v>
      </c>
      <c r="AE24" s="38">
        <v>47500000</v>
      </c>
      <c r="AF24" s="38">
        <v>-47500000</v>
      </c>
      <c r="AG24" s="38">
        <f t="shared" si="5"/>
        <v>0</v>
      </c>
      <c r="AH24" s="38">
        <v>0</v>
      </c>
      <c r="AI24" s="66">
        <v>0</v>
      </c>
      <c r="AJ24" s="38">
        <v>0</v>
      </c>
      <c r="AK24" s="38">
        <v>0</v>
      </c>
      <c r="AL24" s="38">
        <f>AG24-AK24</f>
        <v>0</v>
      </c>
      <c r="AM24" s="66">
        <v>0</v>
      </c>
      <c r="AN24" s="38">
        <v>11875000</v>
      </c>
      <c r="AO24" s="54">
        <f t="shared" ref="AO24:AO46" si="6">IF(AI24=0,0,ROUND(AM24/AI24,2))</f>
        <v>0</v>
      </c>
      <c r="AP24" s="65">
        <f t="shared" si="3"/>
        <v>0</v>
      </c>
      <c r="AQ24" s="30" t="s">
        <v>440</v>
      </c>
      <c r="AR24" s="43" t="s">
        <v>441</v>
      </c>
      <c r="AS24" s="32" t="s">
        <v>532</v>
      </c>
    </row>
    <row r="25" spans="1:45" ht="42.75" x14ac:dyDescent="0.25">
      <c r="A25" s="47">
        <v>28</v>
      </c>
      <c r="B25" s="64">
        <v>81112501</v>
      </c>
      <c r="C25" s="52" t="s">
        <v>258</v>
      </c>
      <c r="D25" s="50" t="s">
        <v>93</v>
      </c>
      <c r="E25" s="50" t="s">
        <v>259</v>
      </c>
      <c r="F25" s="50" t="s">
        <v>260</v>
      </c>
      <c r="G25" s="51" t="s">
        <v>59</v>
      </c>
      <c r="H25" s="51" t="s">
        <v>60</v>
      </c>
      <c r="I25" s="51">
        <v>2024</v>
      </c>
      <c r="J25" s="51">
        <v>86</v>
      </c>
      <c r="K25" s="50" t="s">
        <v>59</v>
      </c>
      <c r="L25" s="50" t="s">
        <v>5</v>
      </c>
      <c r="M25" s="52" t="s">
        <v>61</v>
      </c>
      <c r="N25" s="52" t="s">
        <v>533</v>
      </c>
      <c r="O25" s="52"/>
      <c r="P25" s="52" t="s">
        <v>64</v>
      </c>
      <c r="Q25" s="53" t="s">
        <v>534</v>
      </c>
      <c r="R25" s="52" t="s">
        <v>263</v>
      </c>
      <c r="S25" s="46"/>
      <c r="T25" s="30"/>
      <c r="U25" s="35"/>
      <c r="V25" s="68">
        <v>0</v>
      </c>
      <c r="W25" s="36"/>
      <c r="X25" s="36"/>
      <c r="Y25" s="36"/>
      <c r="Z25" s="36"/>
      <c r="AA25" s="36"/>
      <c r="AB25" s="36"/>
      <c r="AC25" s="37" t="s">
        <v>90</v>
      </c>
      <c r="AD25" s="30" t="s">
        <v>267</v>
      </c>
      <c r="AE25" s="38"/>
      <c r="AF25" s="38">
        <v>0</v>
      </c>
      <c r="AG25" s="38">
        <f t="shared" si="5"/>
        <v>0</v>
      </c>
      <c r="AH25" s="38"/>
      <c r="AI25" s="38"/>
      <c r="AJ25" s="38"/>
      <c r="AK25" s="38">
        <v>18371251</v>
      </c>
      <c r="AL25" s="38">
        <f>IF(K25="Si",(AK25-AE25),0)</f>
        <v>18371251</v>
      </c>
      <c r="AM25" s="66"/>
      <c r="AN25" s="38"/>
      <c r="AO25" s="54">
        <f t="shared" si="6"/>
        <v>0</v>
      </c>
      <c r="AP25" s="65">
        <f t="shared" si="3"/>
        <v>0</v>
      </c>
      <c r="AQ25" s="30"/>
      <c r="AR25" s="43"/>
      <c r="AS25" s="32"/>
    </row>
    <row r="26" spans="1:45" ht="57" x14ac:dyDescent="0.25">
      <c r="A26" s="47">
        <v>25</v>
      </c>
      <c r="B26" s="64"/>
      <c r="C26" s="52"/>
      <c r="D26" s="50" t="s">
        <v>56</v>
      </c>
      <c r="E26" s="50" t="s">
        <v>82</v>
      </c>
      <c r="F26" s="50" t="s">
        <v>284</v>
      </c>
      <c r="G26" s="51" t="s">
        <v>59</v>
      </c>
      <c r="H26" s="51" t="s">
        <v>60</v>
      </c>
      <c r="I26" s="51">
        <v>2024</v>
      </c>
      <c r="J26" s="51">
        <v>105</v>
      </c>
      <c r="K26" s="50" t="s">
        <v>59</v>
      </c>
      <c r="L26" s="50" t="s">
        <v>5</v>
      </c>
      <c r="M26" s="52" t="s">
        <v>61</v>
      </c>
      <c r="N26" s="52" t="s">
        <v>535</v>
      </c>
      <c r="O26" s="52"/>
      <c r="P26" s="52" t="s">
        <v>64</v>
      </c>
      <c r="Q26" s="53" t="s">
        <v>284</v>
      </c>
      <c r="R26" s="52" t="s">
        <v>287</v>
      </c>
      <c r="S26" s="46"/>
      <c r="T26" s="30"/>
      <c r="U26" s="35"/>
      <c r="V26" s="68">
        <v>0</v>
      </c>
      <c r="W26" s="36"/>
      <c r="X26" s="36"/>
      <c r="Y26" s="36"/>
      <c r="Z26" s="36"/>
      <c r="AA26" s="36"/>
      <c r="AB26" s="36"/>
      <c r="AC26" s="37" t="s">
        <v>72</v>
      </c>
      <c r="AD26" s="30" t="s">
        <v>290</v>
      </c>
      <c r="AE26" s="38"/>
      <c r="AF26" s="38">
        <v>0</v>
      </c>
      <c r="AG26" s="38">
        <f t="shared" si="5"/>
        <v>0</v>
      </c>
      <c r="AH26" s="38"/>
      <c r="AI26" s="38"/>
      <c r="AJ26" s="38"/>
      <c r="AK26" s="38">
        <v>92400000</v>
      </c>
      <c r="AL26" s="38">
        <f>IF(K26="Si",(AK26-AE26),0)</f>
        <v>92400000</v>
      </c>
      <c r="AM26" s="66"/>
      <c r="AN26" s="38"/>
      <c r="AO26" s="54">
        <f t="shared" si="6"/>
        <v>0</v>
      </c>
      <c r="AP26" s="65">
        <f t="shared" si="3"/>
        <v>0</v>
      </c>
      <c r="AQ26" s="30"/>
      <c r="AR26" s="43"/>
      <c r="AS26" s="32"/>
    </row>
    <row r="27" spans="1:45" ht="86.1" customHeight="1" x14ac:dyDescent="0.25">
      <c r="A27" s="47">
        <v>26</v>
      </c>
      <c r="B27" s="64">
        <v>80111614</v>
      </c>
      <c r="C27" s="52"/>
      <c r="D27" s="50" t="s">
        <v>56</v>
      </c>
      <c r="E27" s="50" t="s">
        <v>82</v>
      </c>
      <c r="F27" s="50" t="s">
        <v>296</v>
      </c>
      <c r="G27" s="51" t="s">
        <v>59</v>
      </c>
      <c r="H27" s="51" t="s">
        <v>60</v>
      </c>
      <c r="I27" s="51">
        <v>2024</v>
      </c>
      <c r="J27" s="51">
        <v>106</v>
      </c>
      <c r="K27" s="50" t="s">
        <v>59</v>
      </c>
      <c r="L27" s="50" t="s">
        <v>5</v>
      </c>
      <c r="M27" s="52" t="s">
        <v>61</v>
      </c>
      <c r="N27" s="52" t="s">
        <v>536</v>
      </c>
      <c r="O27" s="52"/>
      <c r="P27" s="52" t="s">
        <v>64</v>
      </c>
      <c r="Q27" s="53" t="s">
        <v>537</v>
      </c>
      <c r="R27" s="52" t="s">
        <v>299</v>
      </c>
      <c r="S27" s="45"/>
      <c r="T27" s="30"/>
      <c r="U27" s="35"/>
      <c r="V27" s="68">
        <v>0</v>
      </c>
      <c r="W27" s="36"/>
      <c r="X27" s="36"/>
      <c r="Y27" s="36"/>
      <c r="Z27" s="36"/>
      <c r="AA27" s="36"/>
      <c r="AB27" s="36"/>
      <c r="AC27" s="37" t="s">
        <v>72</v>
      </c>
      <c r="AD27" s="30" t="s">
        <v>302</v>
      </c>
      <c r="AE27" s="38"/>
      <c r="AF27" s="38">
        <v>0</v>
      </c>
      <c r="AG27" s="38">
        <f t="shared" si="5"/>
        <v>0</v>
      </c>
      <c r="AH27" s="38"/>
      <c r="AI27" s="38"/>
      <c r="AJ27" s="38"/>
      <c r="AK27" s="38">
        <v>197034750</v>
      </c>
      <c r="AL27" s="38">
        <f>IF(K27="Si",(AK27-AE27),0)</f>
        <v>197034750</v>
      </c>
      <c r="AM27" s="66"/>
      <c r="AN27" s="38"/>
      <c r="AO27" s="54">
        <f t="shared" si="6"/>
        <v>0</v>
      </c>
      <c r="AP27" s="65">
        <f t="shared" si="3"/>
        <v>0</v>
      </c>
      <c r="AQ27" s="30"/>
      <c r="AR27" s="30"/>
      <c r="AS27" s="32"/>
    </row>
    <row r="28" spans="1:45" ht="42.75" x14ac:dyDescent="0.25">
      <c r="A28" s="47">
        <v>27</v>
      </c>
      <c r="B28" s="64" t="s">
        <v>271</v>
      </c>
      <c r="C28" s="52"/>
      <c r="D28" s="50" t="s">
        <v>93</v>
      </c>
      <c r="E28" s="50" t="s">
        <v>272</v>
      </c>
      <c r="F28" s="50" t="s">
        <v>273</v>
      </c>
      <c r="G28" s="51" t="s">
        <v>109</v>
      </c>
      <c r="H28" s="51" t="s">
        <v>274</v>
      </c>
      <c r="I28" s="51">
        <v>2024</v>
      </c>
      <c r="J28" s="51">
        <v>76</v>
      </c>
      <c r="K28" s="50" t="s">
        <v>59</v>
      </c>
      <c r="L28" s="50" t="s">
        <v>5</v>
      </c>
      <c r="M28" s="52" t="s">
        <v>61</v>
      </c>
      <c r="N28" s="52" t="s">
        <v>538</v>
      </c>
      <c r="O28" s="52"/>
      <c r="P28" s="52" t="s">
        <v>64</v>
      </c>
      <c r="Q28" s="53" t="s">
        <v>539</v>
      </c>
      <c r="R28" s="52" t="s">
        <v>277</v>
      </c>
      <c r="S28" s="45"/>
      <c r="T28" s="44"/>
      <c r="U28" s="35"/>
      <c r="V28" s="68">
        <v>0</v>
      </c>
      <c r="W28" s="36"/>
      <c r="X28" s="36"/>
      <c r="Y28" s="36"/>
      <c r="Z28" s="36"/>
      <c r="AA28" s="36"/>
      <c r="AB28" s="36"/>
      <c r="AC28" s="37" t="s">
        <v>90</v>
      </c>
      <c r="AD28" s="30" t="s">
        <v>267</v>
      </c>
      <c r="AE28" s="38"/>
      <c r="AF28" s="38">
        <v>0</v>
      </c>
      <c r="AG28" s="38">
        <f t="shared" si="5"/>
        <v>0</v>
      </c>
      <c r="AH28" s="38"/>
      <c r="AI28" s="38"/>
      <c r="AJ28" s="38"/>
      <c r="AK28" s="38">
        <v>2550000</v>
      </c>
      <c r="AL28" s="38">
        <f t="shared" si="1"/>
        <v>2550000</v>
      </c>
      <c r="AM28" s="66"/>
      <c r="AN28" s="38"/>
      <c r="AO28" s="54">
        <f t="shared" si="6"/>
        <v>0</v>
      </c>
      <c r="AP28" s="65">
        <f t="shared" si="3"/>
        <v>0</v>
      </c>
      <c r="AQ28" s="30"/>
      <c r="AR28" s="30"/>
      <c r="AS28" s="32"/>
    </row>
    <row r="29" spans="1:45" ht="57" x14ac:dyDescent="0.25">
      <c r="A29" s="47">
        <v>43</v>
      </c>
      <c r="B29" s="64">
        <v>80111614</v>
      </c>
      <c r="C29" s="52" t="s">
        <v>283</v>
      </c>
      <c r="D29" s="50" t="s">
        <v>56</v>
      </c>
      <c r="E29" s="50" t="s">
        <v>82</v>
      </c>
      <c r="F29" s="50" t="s">
        <v>316</v>
      </c>
      <c r="G29" s="51" t="s">
        <v>59</v>
      </c>
      <c r="H29" s="51" t="s">
        <v>60</v>
      </c>
      <c r="I29" s="51">
        <v>2024</v>
      </c>
      <c r="J29" s="51">
        <v>152</v>
      </c>
      <c r="K29" s="50" t="s">
        <v>59</v>
      </c>
      <c r="L29" s="50" t="s">
        <v>540</v>
      </c>
      <c r="M29" s="52" t="s">
        <v>61</v>
      </c>
      <c r="N29" s="52" t="s">
        <v>129</v>
      </c>
      <c r="O29" s="52"/>
      <c r="P29" s="52" t="s">
        <v>64</v>
      </c>
      <c r="Q29" s="53" t="s">
        <v>541</v>
      </c>
      <c r="R29" s="52" t="s">
        <v>326</v>
      </c>
      <c r="S29" s="46"/>
      <c r="T29" s="30"/>
      <c r="U29" s="35"/>
      <c r="V29" s="68">
        <v>0</v>
      </c>
      <c r="W29" s="36"/>
      <c r="X29" s="36"/>
      <c r="Y29" s="36"/>
      <c r="Z29" s="36"/>
      <c r="AA29" s="36"/>
      <c r="AB29" s="36"/>
      <c r="AC29" s="37" t="s">
        <v>72</v>
      </c>
      <c r="AD29" s="30" t="s">
        <v>302</v>
      </c>
      <c r="AE29" s="38"/>
      <c r="AF29" s="38">
        <v>0</v>
      </c>
      <c r="AG29" s="38">
        <f>AE29+AF29</f>
        <v>0</v>
      </c>
      <c r="AH29" s="38"/>
      <c r="AI29" s="38"/>
      <c r="AJ29" s="38"/>
      <c r="AK29" s="38">
        <v>51000000</v>
      </c>
      <c r="AL29" s="38">
        <f>IF(K29="Si",(AK29-AE29),0)</f>
        <v>51000000</v>
      </c>
      <c r="AM29" s="66"/>
      <c r="AN29" s="38"/>
      <c r="AO29" s="54">
        <f t="shared" si="6"/>
        <v>0</v>
      </c>
      <c r="AP29" s="65">
        <f t="shared" si="3"/>
        <v>0</v>
      </c>
      <c r="AQ29" s="30"/>
      <c r="AR29" s="43"/>
      <c r="AS29" s="32"/>
    </row>
    <row r="30" spans="1:45" ht="57" x14ac:dyDescent="0.25">
      <c r="A30" s="47">
        <v>44</v>
      </c>
      <c r="B30" s="64">
        <v>80111614</v>
      </c>
      <c r="C30" s="52" t="s">
        <v>283</v>
      </c>
      <c r="D30" s="50" t="s">
        <v>56</v>
      </c>
      <c r="E30" s="50" t="s">
        <v>82</v>
      </c>
      <c r="F30" s="50" t="s">
        <v>316</v>
      </c>
      <c r="G30" s="51" t="s">
        <v>59</v>
      </c>
      <c r="H30" s="51" t="s">
        <v>60</v>
      </c>
      <c r="I30" s="51">
        <v>2024</v>
      </c>
      <c r="J30" s="51">
        <v>153</v>
      </c>
      <c r="K30" s="50" t="s">
        <v>59</v>
      </c>
      <c r="L30" s="50" t="s">
        <v>542</v>
      </c>
      <c r="M30" s="52" t="s">
        <v>61</v>
      </c>
      <c r="N30" s="52" t="s">
        <v>129</v>
      </c>
      <c r="O30" s="52"/>
      <c r="P30" s="52" t="s">
        <v>64</v>
      </c>
      <c r="Q30" s="53" t="s">
        <v>541</v>
      </c>
      <c r="R30" s="52" t="s">
        <v>319</v>
      </c>
      <c r="S30" s="46"/>
      <c r="T30" s="30"/>
      <c r="U30" s="35"/>
      <c r="V30" s="68">
        <v>0</v>
      </c>
      <c r="W30" s="36"/>
      <c r="X30" s="36"/>
      <c r="Y30" s="36"/>
      <c r="Z30" s="36"/>
      <c r="AA30" s="36"/>
      <c r="AB30" s="36"/>
      <c r="AC30" s="37" t="s">
        <v>72</v>
      </c>
      <c r="AD30" s="30" t="s">
        <v>302</v>
      </c>
      <c r="AE30" s="38"/>
      <c r="AF30" s="38">
        <v>0</v>
      </c>
      <c r="AG30" s="38">
        <f>AE30+AF30</f>
        <v>0</v>
      </c>
      <c r="AH30" s="38"/>
      <c r="AI30" s="38"/>
      <c r="AJ30" s="38"/>
      <c r="AK30" s="38">
        <v>51000000</v>
      </c>
      <c r="AL30" s="38">
        <f>IF(K30="Si",(AK30-AE30),0)</f>
        <v>51000000</v>
      </c>
      <c r="AM30" s="66"/>
      <c r="AN30" s="38"/>
      <c r="AO30" s="54">
        <f t="shared" si="6"/>
        <v>0</v>
      </c>
      <c r="AP30" s="65">
        <f t="shared" si="3"/>
        <v>0</v>
      </c>
      <c r="AQ30" s="30"/>
      <c r="AR30" s="43"/>
      <c r="AS30" s="32"/>
    </row>
    <row r="31" spans="1:45" ht="71.25" x14ac:dyDescent="0.25">
      <c r="A31" s="47">
        <v>45</v>
      </c>
      <c r="B31" s="64">
        <v>80111614</v>
      </c>
      <c r="C31" s="52" t="s">
        <v>283</v>
      </c>
      <c r="D31" s="50" t="s">
        <v>56</v>
      </c>
      <c r="E31" s="50" t="s">
        <v>82</v>
      </c>
      <c r="F31" s="50" t="s">
        <v>331</v>
      </c>
      <c r="G31" s="51" t="s">
        <v>59</v>
      </c>
      <c r="H31" s="51" t="s">
        <v>60</v>
      </c>
      <c r="I31" s="51">
        <v>2024</v>
      </c>
      <c r="J31" s="51">
        <v>154</v>
      </c>
      <c r="K31" s="50" t="s">
        <v>59</v>
      </c>
      <c r="L31" s="50" t="s">
        <v>543</v>
      </c>
      <c r="M31" s="52" t="s">
        <v>61</v>
      </c>
      <c r="N31" s="52" t="s">
        <v>129</v>
      </c>
      <c r="O31" s="52"/>
      <c r="P31" s="52" t="s">
        <v>64</v>
      </c>
      <c r="Q31" s="53" t="s">
        <v>452</v>
      </c>
      <c r="R31" s="52" t="s">
        <v>333</v>
      </c>
      <c r="S31" s="46"/>
      <c r="T31" s="30"/>
      <c r="U31" s="35"/>
      <c r="V31" s="68">
        <v>0</v>
      </c>
      <c r="W31" s="36"/>
      <c r="X31" s="36"/>
      <c r="Y31" s="36"/>
      <c r="Z31" s="36"/>
      <c r="AA31" s="36"/>
      <c r="AB31" s="36"/>
      <c r="AC31" s="37" t="s">
        <v>72</v>
      </c>
      <c r="AD31" s="30" t="s">
        <v>336</v>
      </c>
      <c r="AE31" s="38"/>
      <c r="AF31" s="38">
        <v>0</v>
      </c>
      <c r="AG31" s="38">
        <f>AE31+AF31</f>
        <v>0</v>
      </c>
      <c r="AH31" s="38"/>
      <c r="AI31" s="38"/>
      <c r="AJ31" s="38"/>
      <c r="AK31" s="38">
        <v>76000000</v>
      </c>
      <c r="AL31" s="38">
        <f>IF(K31="Si",(AK31-AE31),0)</f>
        <v>76000000</v>
      </c>
      <c r="AM31" s="66"/>
      <c r="AN31" s="38"/>
      <c r="AO31" s="54">
        <f t="shared" si="6"/>
        <v>0</v>
      </c>
      <c r="AP31" s="65">
        <f t="shared" si="3"/>
        <v>0</v>
      </c>
      <c r="AQ31" s="30"/>
      <c r="AR31" s="43"/>
      <c r="AS31" s="32"/>
    </row>
    <row r="32" spans="1:45" ht="71.25" x14ac:dyDescent="0.25">
      <c r="A32" s="47">
        <v>46</v>
      </c>
      <c r="B32" s="64">
        <v>80111614</v>
      </c>
      <c r="C32" s="52" t="s">
        <v>283</v>
      </c>
      <c r="D32" s="50" t="s">
        <v>56</v>
      </c>
      <c r="E32" s="50" t="s">
        <v>82</v>
      </c>
      <c r="F32" s="50" t="s">
        <v>331</v>
      </c>
      <c r="G32" s="51" t="s">
        <v>59</v>
      </c>
      <c r="H32" s="51" t="s">
        <v>60</v>
      </c>
      <c r="I32" s="51">
        <v>2024</v>
      </c>
      <c r="J32" s="51">
        <v>155</v>
      </c>
      <c r="K32" s="50" t="s">
        <v>59</v>
      </c>
      <c r="L32" s="50" t="s">
        <v>451</v>
      </c>
      <c r="M32" s="52" t="s">
        <v>61</v>
      </c>
      <c r="N32" s="52" t="s">
        <v>129</v>
      </c>
      <c r="O32" s="52"/>
      <c r="P32" s="52" t="s">
        <v>64</v>
      </c>
      <c r="Q32" s="53" t="s">
        <v>452</v>
      </c>
      <c r="R32" s="52" t="s">
        <v>333</v>
      </c>
      <c r="S32" s="46"/>
      <c r="T32" s="30"/>
      <c r="U32" s="35"/>
      <c r="V32" s="68">
        <v>0</v>
      </c>
      <c r="W32" s="36"/>
      <c r="X32" s="36"/>
      <c r="Y32" s="36"/>
      <c r="Z32" s="36"/>
      <c r="AA32" s="36"/>
      <c r="AB32" s="36"/>
      <c r="AC32" s="37" t="s">
        <v>72</v>
      </c>
      <c r="AD32" s="30" t="s">
        <v>336</v>
      </c>
      <c r="AE32" s="38"/>
      <c r="AF32" s="38">
        <v>0</v>
      </c>
      <c r="AG32" s="38">
        <f>AE32+AF32</f>
        <v>0</v>
      </c>
      <c r="AH32" s="38"/>
      <c r="AI32" s="38"/>
      <c r="AJ32" s="38"/>
      <c r="AK32" s="38">
        <v>76000000</v>
      </c>
      <c r="AL32" s="38">
        <f>IF(K32="Si",(AK32-AE32),0)</f>
        <v>76000000</v>
      </c>
      <c r="AM32" s="66"/>
      <c r="AN32" s="38"/>
      <c r="AO32" s="54">
        <f t="shared" si="6"/>
        <v>0</v>
      </c>
      <c r="AP32" s="65">
        <f t="shared" si="3"/>
        <v>0</v>
      </c>
      <c r="AQ32" s="30"/>
      <c r="AR32" s="43"/>
      <c r="AS32" s="32"/>
    </row>
    <row r="33" spans="1:45" ht="51.6" customHeight="1" x14ac:dyDescent="0.25">
      <c r="A33" s="47">
        <v>29</v>
      </c>
      <c r="B33" s="64" t="s">
        <v>378</v>
      </c>
      <c r="C33" s="52" t="s">
        <v>379</v>
      </c>
      <c r="D33" s="50" t="s">
        <v>93</v>
      </c>
      <c r="E33" s="50" t="s">
        <v>305</v>
      </c>
      <c r="F33" s="50" t="s">
        <v>380</v>
      </c>
      <c r="G33" s="51" t="s">
        <v>59</v>
      </c>
      <c r="H33" s="51" t="s">
        <v>60</v>
      </c>
      <c r="I33" s="51">
        <v>2024</v>
      </c>
      <c r="J33" s="51">
        <v>84</v>
      </c>
      <c r="K33" s="50" t="s">
        <v>59</v>
      </c>
      <c r="L33" s="50" t="s">
        <v>5</v>
      </c>
      <c r="M33" s="52" t="s">
        <v>61</v>
      </c>
      <c r="N33" s="52" t="s">
        <v>96</v>
      </c>
      <c r="O33" s="52"/>
      <c r="P33" s="52" t="s">
        <v>64</v>
      </c>
      <c r="Q33" s="53"/>
      <c r="R33" s="52" t="s">
        <v>381</v>
      </c>
      <c r="S33" s="57"/>
      <c r="T33" s="34"/>
      <c r="U33" s="35"/>
      <c r="V33" s="68">
        <v>0</v>
      </c>
      <c r="W33" s="36"/>
      <c r="X33" s="36"/>
      <c r="Y33" s="36"/>
      <c r="Z33" s="36"/>
      <c r="AA33" s="36"/>
      <c r="AB33" s="36"/>
      <c r="AC33" s="37" t="s">
        <v>90</v>
      </c>
      <c r="AD33" s="30" t="s">
        <v>267</v>
      </c>
      <c r="AE33" s="38"/>
      <c r="AF33" s="38">
        <v>0</v>
      </c>
      <c r="AG33" s="38">
        <f t="shared" si="5"/>
        <v>0</v>
      </c>
      <c r="AH33" s="38"/>
      <c r="AI33" s="38"/>
      <c r="AJ33" s="38"/>
      <c r="AK33" s="38">
        <v>4500000</v>
      </c>
      <c r="AL33" s="38">
        <f t="shared" si="1"/>
        <v>4500000</v>
      </c>
      <c r="AM33" s="66"/>
      <c r="AN33" s="38"/>
      <c r="AO33" s="54">
        <f t="shared" si="6"/>
        <v>0</v>
      </c>
      <c r="AP33" s="65">
        <f t="shared" si="3"/>
        <v>0</v>
      </c>
      <c r="AQ33" s="30"/>
      <c r="AR33" s="30"/>
      <c r="AS33" s="32"/>
    </row>
    <row r="34" spans="1:45" ht="42.75" x14ac:dyDescent="0.25">
      <c r="A34" s="47">
        <v>30</v>
      </c>
      <c r="B34" s="64"/>
      <c r="C34" s="52"/>
      <c r="D34" s="50" t="s">
        <v>93</v>
      </c>
      <c r="E34" s="50" t="s">
        <v>272</v>
      </c>
      <c r="F34" s="50" t="s">
        <v>365</v>
      </c>
      <c r="G34" s="51" t="s">
        <v>59</v>
      </c>
      <c r="H34" s="51" t="s">
        <v>60</v>
      </c>
      <c r="I34" s="51">
        <v>2024</v>
      </c>
      <c r="J34" s="51">
        <v>85</v>
      </c>
      <c r="K34" s="50" t="s">
        <v>59</v>
      </c>
      <c r="L34" s="50" t="s">
        <v>5</v>
      </c>
      <c r="M34" s="52" t="s">
        <v>61</v>
      </c>
      <c r="N34" s="52" t="s">
        <v>533</v>
      </c>
      <c r="O34" s="52"/>
      <c r="P34" s="52" t="s">
        <v>64</v>
      </c>
      <c r="Q34" s="53" t="s">
        <v>367</v>
      </c>
      <c r="R34" s="52" t="s">
        <v>368</v>
      </c>
      <c r="S34" s="46"/>
      <c r="T34" s="30"/>
      <c r="U34" s="35"/>
      <c r="V34" s="68"/>
      <c r="W34" s="36"/>
      <c r="X34" s="36"/>
      <c r="Y34" s="36"/>
      <c r="Z34" s="36"/>
      <c r="AA34" s="36"/>
      <c r="AB34" s="36"/>
      <c r="AC34" s="37" t="s">
        <v>90</v>
      </c>
      <c r="AD34" s="30" t="s">
        <v>267</v>
      </c>
      <c r="AE34" s="38"/>
      <c r="AF34" s="38">
        <v>0</v>
      </c>
      <c r="AG34" s="38">
        <f t="shared" si="5"/>
        <v>0</v>
      </c>
      <c r="AH34" s="38"/>
      <c r="AI34" s="38"/>
      <c r="AJ34" s="38"/>
      <c r="AK34" s="38">
        <v>20000000</v>
      </c>
      <c r="AL34" s="38">
        <f t="shared" si="1"/>
        <v>20000000</v>
      </c>
      <c r="AM34" s="66"/>
      <c r="AN34" s="38"/>
      <c r="AO34" s="54">
        <f t="shared" si="6"/>
        <v>0</v>
      </c>
      <c r="AP34" s="65">
        <f t="shared" si="3"/>
        <v>0</v>
      </c>
      <c r="AQ34" s="30"/>
      <c r="AR34" s="30"/>
      <c r="AS34" s="32"/>
    </row>
    <row r="35" spans="1:45" ht="40.5" customHeight="1" x14ac:dyDescent="0.25">
      <c r="A35" s="47">
        <v>31</v>
      </c>
      <c r="B35" s="64"/>
      <c r="C35" s="52"/>
      <c r="D35" s="50" t="s">
        <v>93</v>
      </c>
      <c r="E35" s="50" t="s">
        <v>272</v>
      </c>
      <c r="F35" s="50" t="s">
        <v>382</v>
      </c>
      <c r="G35" s="51" t="s">
        <v>59</v>
      </c>
      <c r="H35" s="51" t="s">
        <v>60</v>
      </c>
      <c r="I35" s="51">
        <v>2024</v>
      </c>
      <c r="J35" s="51">
        <v>87</v>
      </c>
      <c r="K35" s="50" t="s">
        <v>59</v>
      </c>
      <c r="L35" s="50" t="s">
        <v>5</v>
      </c>
      <c r="M35" s="52" t="s">
        <v>61</v>
      </c>
      <c r="N35" s="52" t="s">
        <v>96</v>
      </c>
      <c r="O35" s="52"/>
      <c r="P35" s="52" t="s">
        <v>64</v>
      </c>
      <c r="Q35" s="53"/>
      <c r="R35" s="52" t="s">
        <v>383</v>
      </c>
      <c r="S35" s="45"/>
      <c r="T35" s="30"/>
      <c r="U35" s="35"/>
      <c r="V35" s="68">
        <v>0</v>
      </c>
      <c r="W35" s="36"/>
      <c r="X35" s="36"/>
      <c r="Y35" s="36"/>
      <c r="Z35" s="36"/>
      <c r="AA35" s="36"/>
      <c r="AB35" s="36"/>
      <c r="AC35" s="37" t="s">
        <v>90</v>
      </c>
      <c r="AD35" s="30" t="s">
        <v>104</v>
      </c>
      <c r="AE35" s="38"/>
      <c r="AF35" s="38">
        <v>0</v>
      </c>
      <c r="AG35" s="38">
        <f t="shared" si="5"/>
        <v>0</v>
      </c>
      <c r="AH35" s="38"/>
      <c r="AI35" s="38"/>
      <c r="AJ35" s="38"/>
      <c r="AK35" s="38">
        <v>270000000</v>
      </c>
      <c r="AL35" s="38">
        <f t="shared" si="1"/>
        <v>270000000</v>
      </c>
      <c r="AM35" s="66"/>
      <c r="AN35" s="38"/>
      <c r="AO35" s="54">
        <f t="shared" si="6"/>
        <v>0</v>
      </c>
      <c r="AP35" s="65">
        <f t="shared" si="3"/>
        <v>0</v>
      </c>
      <c r="AQ35" s="30"/>
      <c r="AR35" s="30"/>
      <c r="AS35" s="32"/>
    </row>
    <row r="36" spans="1:45" ht="42.75" x14ac:dyDescent="0.25">
      <c r="A36" s="47">
        <v>32</v>
      </c>
      <c r="B36" s="64">
        <v>81112501</v>
      </c>
      <c r="C36" s="52" t="s">
        <v>379</v>
      </c>
      <c r="D36" s="50" t="s">
        <v>93</v>
      </c>
      <c r="E36" s="50" t="s">
        <v>272</v>
      </c>
      <c r="F36" s="50" t="s">
        <v>384</v>
      </c>
      <c r="G36" s="51" t="s">
        <v>59</v>
      </c>
      <c r="H36" s="51" t="s">
        <v>60</v>
      </c>
      <c r="I36" s="51">
        <v>2024</v>
      </c>
      <c r="J36" s="51">
        <v>88</v>
      </c>
      <c r="K36" s="50" t="s">
        <v>59</v>
      </c>
      <c r="L36" s="50" t="s">
        <v>5</v>
      </c>
      <c r="M36" s="52" t="s">
        <v>61</v>
      </c>
      <c r="N36" s="52" t="s">
        <v>538</v>
      </c>
      <c r="O36" s="52"/>
      <c r="P36" s="52" t="s">
        <v>64</v>
      </c>
      <c r="Q36" s="53"/>
      <c r="R36" s="52" t="s">
        <v>386</v>
      </c>
      <c r="S36" s="45"/>
      <c r="T36" s="30"/>
      <c r="U36" s="35"/>
      <c r="V36" s="68">
        <v>0</v>
      </c>
      <c r="W36" s="36"/>
      <c r="X36" s="36"/>
      <c r="Y36" s="36"/>
      <c r="Z36" s="36"/>
      <c r="AA36" s="36"/>
      <c r="AB36" s="36"/>
      <c r="AC36" s="37" t="s">
        <v>90</v>
      </c>
      <c r="AD36" s="30" t="s">
        <v>267</v>
      </c>
      <c r="AE36" s="38"/>
      <c r="AF36" s="38">
        <v>0</v>
      </c>
      <c r="AG36" s="38">
        <f t="shared" si="5"/>
        <v>0</v>
      </c>
      <c r="AH36" s="38"/>
      <c r="AI36" s="38"/>
      <c r="AJ36" s="38"/>
      <c r="AK36" s="38">
        <v>18000000</v>
      </c>
      <c r="AL36" s="38">
        <f t="shared" si="1"/>
        <v>18000000</v>
      </c>
      <c r="AM36" s="66"/>
      <c r="AN36" s="38"/>
      <c r="AO36" s="54">
        <f t="shared" si="6"/>
        <v>0</v>
      </c>
      <c r="AP36" s="65">
        <f t="shared" si="3"/>
        <v>0</v>
      </c>
      <c r="AQ36" s="30"/>
      <c r="AR36" s="43"/>
      <c r="AS36" s="32"/>
    </row>
    <row r="37" spans="1:45" ht="42.75" x14ac:dyDescent="0.25">
      <c r="A37" s="47">
        <v>33</v>
      </c>
      <c r="B37" s="64"/>
      <c r="C37" s="52"/>
      <c r="D37" s="50" t="s">
        <v>93</v>
      </c>
      <c r="E37" s="50" t="s">
        <v>119</v>
      </c>
      <c r="F37" s="50" t="s">
        <v>387</v>
      </c>
      <c r="G37" s="51" t="s">
        <v>59</v>
      </c>
      <c r="H37" s="51" t="s">
        <v>60</v>
      </c>
      <c r="I37" s="51">
        <v>2024</v>
      </c>
      <c r="J37" s="51">
        <v>89</v>
      </c>
      <c r="K37" s="50" t="s">
        <v>59</v>
      </c>
      <c r="L37" s="50" t="s">
        <v>5</v>
      </c>
      <c r="M37" s="52" t="s">
        <v>61</v>
      </c>
      <c r="N37" s="52" t="s">
        <v>96</v>
      </c>
      <c r="O37" s="52"/>
      <c r="P37" s="52" t="s">
        <v>112</v>
      </c>
      <c r="Q37" s="53"/>
      <c r="R37" s="52" t="s">
        <v>388</v>
      </c>
      <c r="S37" s="45"/>
      <c r="T37" s="44"/>
      <c r="U37" s="35"/>
      <c r="V37" s="68">
        <v>0</v>
      </c>
      <c r="W37" s="36"/>
      <c r="X37" s="36"/>
      <c r="Y37" s="36"/>
      <c r="Z37" s="36"/>
      <c r="AA37" s="36"/>
      <c r="AB37" s="36"/>
      <c r="AC37" s="37" t="s">
        <v>90</v>
      </c>
      <c r="AD37" s="30" t="s">
        <v>312</v>
      </c>
      <c r="AE37" s="38"/>
      <c r="AF37" s="38">
        <v>0</v>
      </c>
      <c r="AG37" s="38">
        <f t="shared" si="5"/>
        <v>0</v>
      </c>
      <c r="AH37" s="38"/>
      <c r="AI37" s="38"/>
      <c r="AJ37" s="38"/>
      <c r="AK37" s="38">
        <v>15000000</v>
      </c>
      <c r="AL37" s="38">
        <f t="shared" si="1"/>
        <v>15000000</v>
      </c>
      <c r="AM37" s="66"/>
      <c r="AN37" s="38"/>
      <c r="AO37" s="54">
        <f t="shared" si="6"/>
        <v>0</v>
      </c>
      <c r="AP37" s="65">
        <f t="shared" si="3"/>
        <v>0</v>
      </c>
      <c r="AQ37" s="30"/>
      <c r="AR37" s="30"/>
      <c r="AS37" s="32"/>
    </row>
    <row r="38" spans="1:45" ht="42.75" x14ac:dyDescent="0.25">
      <c r="A38" s="47">
        <v>34</v>
      </c>
      <c r="B38" s="64"/>
      <c r="C38" s="52"/>
      <c r="D38" s="50" t="s">
        <v>389</v>
      </c>
      <c r="E38" s="50" t="s">
        <v>212</v>
      </c>
      <c r="F38" s="50" t="s">
        <v>390</v>
      </c>
      <c r="G38" s="51" t="s">
        <v>59</v>
      </c>
      <c r="H38" s="51" t="s">
        <v>60</v>
      </c>
      <c r="I38" s="51">
        <v>2024</v>
      </c>
      <c r="J38" s="51">
        <v>93</v>
      </c>
      <c r="K38" s="50" t="s">
        <v>59</v>
      </c>
      <c r="L38" s="50" t="s">
        <v>5</v>
      </c>
      <c r="M38" s="52" t="s">
        <v>61</v>
      </c>
      <c r="N38" s="52" t="s">
        <v>533</v>
      </c>
      <c r="O38" s="52"/>
      <c r="P38" s="52" t="s">
        <v>64</v>
      </c>
      <c r="Q38" s="53"/>
      <c r="R38" s="52" t="s">
        <v>391</v>
      </c>
      <c r="S38" s="45"/>
      <c r="T38" s="44"/>
      <c r="U38" s="35"/>
      <c r="V38" s="68">
        <v>0</v>
      </c>
      <c r="W38" s="36"/>
      <c r="X38" s="36"/>
      <c r="Y38" s="36"/>
      <c r="Z38" s="36"/>
      <c r="AA38" s="36"/>
      <c r="AB38" s="36"/>
      <c r="AC38" s="37" t="s">
        <v>90</v>
      </c>
      <c r="AD38" s="30" t="s">
        <v>312</v>
      </c>
      <c r="AE38" s="38"/>
      <c r="AF38" s="38">
        <v>0</v>
      </c>
      <c r="AG38" s="38">
        <f t="shared" si="5"/>
        <v>0</v>
      </c>
      <c r="AH38" s="38"/>
      <c r="AI38" s="38"/>
      <c r="AJ38" s="38"/>
      <c r="AK38" s="38">
        <v>38023681</v>
      </c>
      <c r="AL38" s="38">
        <f t="shared" si="1"/>
        <v>38023681</v>
      </c>
      <c r="AM38" s="66"/>
      <c r="AN38" s="38"/>
      <c r="AO38" s="54">
        <f t="shared" si="6"/>
        <v>0</v>
      </c>
      <c r="AP38" s="65">
        <f t="shared" si="3"/>
        <v>0</v>
      </c>
      <c r="AQ38" s="30"/>
      <c r="AR38" s="43"/>
      <c r="AS38" s="32"/>
    </row>
    <row r="39" spans="1:45" ht="42.75" x14ac:dyDescent="0.25">
      <c r="A39" s="47">
        <v>35</v>
      </c>
      <c r="B39" s="64"/>
      <c r="C39" s="52"/>
      <c r="D39" s="50" t="s">
        <v>93</v>
      </c>
      <c r="E39" s="50" t="s">
        <v>406</v>
      </c>
      <c r="F39" s="50" t="s">
        <v>446</v>
      </c>
      <c r="G39" s="51" t="s">
        <v>59</v>
      </c>
      <c r="H39" s="51" t="s">
        <v>60</v>
      </c>
      <c r="I39" s="51">
        <v>2024</v>
      </c>
      <c r="J39" s="51">
        <v>96</v>
      </c>
      <c r="K39" s="50" t="s">
        <v>59</v>
      </c>
      <c r="L39" s="50" t="s">
        <v>5</v>
      </c>
      <c r="M39" s="52" t="s">
        <v>61</v>
      </c>
      <c r="N39" s="52" t="s">
        <v>544</v>
      </c>
      <c r="O39" s="52"/>
      <c r="P39" s="52" t="s">
        <v>64</v>
      </c>
      <c r="Q39" s="53" t="s">
        <v>446</v>
      </c>
      <c r="R39" s="52" t="s">
        <v>405</v>
      </c>
      <c r="S39" s="46"/>
      <c r="T39" s="30"/>
      <c r="U39" s="35"/>
      <c r="V39" s="68">
        <v>0</v>
      </c>
      <c r="W39" s="36"/>
      <c r="X39" s="36"/>
      <c r="Y39" s="36"/>
      <c r="Z39" s="36"/>
      <c r="AA39" s="36"/>
      <c r="AB39" s="36"/>
      <c r="AC39" s="37" t="s">
        <v>90</v>
      </c>
      <c r="AD39" s="30" t="s">
        <v>104</v>
      </c>
      <c r="AE39" s="38"/>
      <c r="AF39" s="38">
        <v>0</v>
      </c>
      <c r="AG39" s="38">
        <f t="shared" si="5"/>
        <v>0</v>
      </c>
      <c r="AH39" s="38"/>
      <c r="AI39" s="38"/>
      <c r="AJ39" s="38"/>
      <c r="AK39" s="38">
        <v>60000000</v>
      </c>
      <c r="AL39" s="38">
        <f t="shared" si="1"/>
        <v>60000000</v>
      </c>
      <c r="AM39" s="66"/>
      <c r="AN39" s="38"/>
      <c r="AO39" s="54">
        <f t="shared" si="6"/>
        <v>0</v>
      </c>
      <c r="AP39" s="65">
        <f t="shared" si="3"/>
        <v>0</v>
      </c>
      <c r="AQ39" s="30"/>
      <c r="AR39" s="30"/>
      <c r="AS39" s="32"/>
    </row>
    <row r="40" spans="1:45" ht="57" x14ac:dyDescent="0.25">
      <c r="A40" s="47">
        <v>36</v>
      </c>
      <c r="B40" s="64"/>
      <c r="C40" s="52"/>
      <c r="D40" s="50" t="s">
        <v>93</v>
      </c>
      <c r="E40" s="50" t="s">
        <v>369</v>
      </c>
      <c r="F40" s="50" t="s">
        <v>374</v>
      </c>
      <c r="G40" s="51" t="s">
        <v>59</v>
      </c>
      <c r="H40" s="51" t="s">
        <v>60</v>
      </c>
      <c r="I40" s="51">
        <v>2024</v>
      </c>
      <c r="J40" s="51">
        <v>97</v>
      </c>
      <c r="K40" s="50" t="s">
        <v>59</v>
      </c>
      <c r="L40" s="50" t="s">
        <v>5</v>
      </c>
      <c r="M40" s="52" t="s">
        <v>61</v>
      </c>
      <c r="N40" s="52" t="s">
        <v>545</v>
      </c>
      <c r="O40" s="52"/>
      <c r="P40" s="52" t="s">
        <v>64</v>
      </c>
      <c r="Q40" s="53" t="s">
        <v>375</v>
      </c>
      <c r="R40" s="52" t="s">
        <v>376</v>
      </c>
      <c r="S40" s="46"/>
      <c r="T40" s="30"/>
      <c r="U40" s="35"/>
      <c r="V40" s="68">
        <v>0</v>
      </c>
      <c r="W40" s="36"/>
      <c r="X40" s="36"/>
      <c r="Y40" s="36"/>
      <c r="Z40" s="36"/>
      <c r="AA40" s="36"/>
      <c r="AB40" s="36"/>
      <c r="AC40" s="37" t="s">
        <v>72</v>
      </c>
      <c r="AD40" s="30" t="s">
        <v>359</v>
      </c>
      <c r="AE40" s="38"/>
      <c r="AF40" s="38">
        <v>0</v>
      </c>
      <c r="AG40" s="38">
        <f t="shared" si="5"/>
        <v>0</v>
      </c>
      <c r="AH40" s="38"/>
      <c r="AI40" s="38"/>
      <c r="AJ40" s="38"/>
      <c r="AK40" s="38">
        <v>350000000</v>
      </c>
      <c r="AL40" s="38">
        <f t="shared" si="1"/>
        <v>350000000</v>
      </c>
      <c r="AM40" s="66"/>
      <c r="AN40" s="38"/>
      <c r="AO40" s="54">
        <f t="shared" si="6"/>
        <v>0</v>
      </c>
      <c r="AP40" s="65">
        <f t="shared" si="3"/>
        <v>0</v>
      </c>
      <c r="AQ40" s="30"/>
      <c r="AR40" s="43"/>
      <c r="AS40" s="32"/>
    </row>
    <row r="41" spans="1:45" ht="40.5" customHeight="1" x14ac:dyDescent="0.25">
      <c r="A41" s="47">
        <v>37</v>
      </c>
      <c r="B41" s="64"/>
      <c r="C41" s="52"/>
      <c r="D41" s="50" t="s">
        <v>93</v>
      </c>
      <c r="E41" s="50" t="s">
        <v>126</v>
      </c>
      <c r="F41" s="50" t="s">
        <v>355</v>
      </c>
      <c r="G41" s="51" t="s">
        <v>59</v>
      </c>
      <c r="H41" s="51" t="s">
        <v>60</v>
      </c>
      <c r="I41" s="51">
        <v>2024</v>
      </c>
      <c r="J41" s="51">
        <v>99</v>
      </c>
      <c r="K41" s="50" t="s">
        <v>59</v>
      </c>
      <c r="L41" s="50" t="s">
        <v>5</v>
      </c>
      <c r="M41" s="52" t="s">
        <v>61</v>
      </c>
      <c r="N41" s="52" t="s">
        <v>84</v>
      </c>
      <c r="O41" s="52"/>
      <c r="P41" s="52" t="s">
        <v>64</v>
      </c>
      <c r="Q41" s="53" t="s">
        <v>357</v>
      </c>
      <c r="R41" s="52" t="s">
        <v>358</v>
      </c>
      <c r="S41" s="45"/>
      <c r="T41" s="30"/>
      <c r="U41" s="35"/>
      <c r="V41" s="68">
        <v>0</v>
      </c>
      <c r="W41" s="36"/>
      <c r="X41" s="36"/>
      <c r="Y41" s="36"/>
      <c r="Z41" s="36"/>
      <c r="AA41" s="36"/>
      <c r="AB41" s="36"/>
      <c r="AC41" s="37" t="s">
        <v>72</v>
      </c>
      <c r="AD41" s="30" t="s">
        <v>359</v>
      </c>
      <c r="AE41" s="38"/>
      <c r="AF41" s="38">
        <v>0</v>
      </c>
      <c r="AG41" s="38">
        <f t="shared" si="5"/>
        <v>0</v>
      </c>
      <c r="AH41" s="38"/>
      <c r="AI41" s="38"/>
      <c r="AJ41" s="38"/>
      <c r="AK41" s="38">
        <v>2245889285</v>
      </c>
      <c r="AL41" s="38">
        <f t="shared" si="1"/>
        <v>2245889285</v>
      </c>
      <c r="AM41" s="66"/>
      <c r="AN41" s="38"/>
      <c r="AO41" s="54">
        <f t="shared" si="6"/>
        <v>0</v>
      </c>
      <c r="AP41" s="65">
        <f t="shared" si="3"/>
        <v>0</v>
      </c>
      <c r="AQ41" s="30" t="s">
        <v>360</v>
      </c>
      <c r="AR41" s="30"/>
      <c r="AS41" s="32"/>
    </row>
    <row r="42" spans="1:45" ht="128.25" x14ac:dyDescent="0.25">
      <c r="A42" s="47">
        <v>38</v>
      </c>
      <c r="B42" s="64"/>
      <c r="C42" s="52"/>
      <c r="D42" s="50" t="s">
        <v>93</v>
      </c>
      <c r="E42" s="50" t="s">
        <v>361</v>
      </c>
      <c r="F42" s="50" t="s">
        <v>362</v>
      </c>
      <c r="G42" s="51" t="s">
        <v>59</v>
      </c>
      <c r="H42" s="51" t="s">
        <v>60</v>
      </c>
      <c r="I42" s="51">
        <v>2024</v>
      </c>
      <c r="J42" s="51">
        <v>100</v>
      </c>
      <c r="K42" s="50" t="s">
        <v>59</v>
      </c>
      <c r="L42" s="50" t="s">
        <v>5</v>
      </c>
      <c r="M42" s="52" t="s">
        <v>61</v>
      </c>
      <c r="N42" s="52" t="s">
        <v>84</v>
      </c>
      <c r="O42" s="52"/>
      <c r="P42" s="52" t="s">
        <v>64</v>
      </c>
      <c r="Q42" s="53" t="s">
        <v>361</v>
      </c>
      <c r="R42" s="52" t="s">
        <v>363</v>
      </c>
      <c r="S42" s="45"/>
      <c r="T42" s="30"/>
      <c r="U42" s="35"/>
      <c r="V42" s="68">
        <v>0</v>
      </c>
      <c r="W42" s="36"/>
      <c r="X42" s="36"/>
      <c r="Y42" s="36"/>
      <c r="Z42" s="36"/>
      <c r="AA42" s="36"/>
      <c r="AB42" s="36"/>
      <c r="AC42" s="37" t="s">
        <v>72</v>
      </c>
      <c r="AD42" s="30" t="s">
        <v>359</v>
      </c>
      <c r="AE42" s="38"/>
      <c r="AF42" s="38">
        <v>0</v>
      </c>
      <c r="AG42" s="38">
        <f t="shared" si="5"/>
        <v>0</v>
      </c>
      <c r="AH42" s="38"/>
      <c r="AI42" s="38"/>
      <c r="AJ42" s="38"/>
      <c r="AK42" s="38">
        <v>696150000</v>
      </c>
      <c r="AL42" s="38">
        <f t="shared" si="1"/>
        <v>696150000</v>
      </c>
      <c r="AM42" s="66"/>
      <c r="AN42" s="38"/>
      <c r="AO42" s="54">
        <f t="shared" si="6"/>
        <v>0</v>
      </c>
      <c r="AP42" s="65">
        <f t="shared" si="3"/>
        <v>0</v>
      </c>
      <c r="AQ42" s="30" t="s">
        <v>364</v>
      </c>
      <c r="AR42" s="43"/>
      <c r="AS42" s="32"/>
    </row>
    <row r="43" spans="1:45" ht="42.75" x14ac:dyDescent="0.25">
      <c r="A43" s="47">
        <v>39</v>
      </c>
      <c r="B43" s="64"/>
      <c r="C43" s="52"/>
      <c r="D43" s="50" t="s">
        <v>93</v>
      </c>
      <c r="E43" s="50" t="s">
        <v>305</v>
      </c>
      <c r="F43" s="50" t="s">
        <v>306</v>
      </c>
      <c r="G43" s="51" t="s">
        <v>59</v>
      </c>
      <c r="H43" s="51" t="s">
        <v>60</v>
      </c>
      <c r="I43" s="51">
        <v>2024</v>
      </c>
      <c r="J43" s="51">
        <v>101</v>
      </c>
      <c r="K43" s="50" t="s">
        <v>59</v>
      </c>
      <c r="L43" s="50" t="s">
        <v>5</v>
      </c>
      <c r="M43" s="52" t="s">
        <v>61</v>
      </c>
      <c r="N43" s="52" t="s">
        <v>544</v>
      </c>
      <c r="O43" s="52"/>
      <c r="P43" s="52" t="s">
        <v>64</v>
      </c>
      <c r="Q43" s="53" t="s">
        <v>306</v>
      </c>
      <c r="R43" s="52" t="s">
        <v>309</v>
      </c>
      <c r="S43" s="45"/>
      <c r="T43" s="44"/>
      <c r="U43" s="35"/>
      <c r="V43" s="68">
        <v>0</v>
      </c>
      <c r="W43" s="36"/>
      <c r="X43" s="36"/>
      <c r="Y43" s="36"/>
      <c r="Z43" s="36"/>
      <c r="AA43" s="36"/>
      <c r="AB43" s="36"/>
      <c r="AC43" s="37" t="s">
        <v>72</v>
      </c>
      <c r="AD43" s="30" t="s">
        <v>312</v>
      </c>
      <c r="AE43" s="38"/>
      <c r="AF43" s="38">
        <v>0</v>
      </c>
      <c r="AG43" s="38">
        <f t="shared" si="5"/>
        <v>0</v>
      </c>
      <c r="AH43" s="38"/>
      <c r="AI43" s="38"/>
      <c r="AJ43" s="38"/>
      <c r="AK43" s="38">
        <v>700000000</v>
      </c>
      <c r="AL43" s="38">
        <f t="shared" si="1"/>
        <v>700000000</v>
      </c>
      <c r="AM43" s="66"/>
      <c r="AN43" s="38"/>
      <c r="AO43" s="54">
        <f t="shared" si="6"/>
        <v>0</v>
      </c>
      <c r="AP43" s="65">
        <f t="shared" si="3"/>
        <v>0</v>
      </c>
      <c r="AQ43" s="30"/>
      <c r="AR43" s="30"/>
      <c r="AS43" s="32"/>
    </row>
    <row r="44" spans="1:45" ht="42.75" x14ac:dyDescent="0.25">
      <c r="A44" s="47">
        <v>40</v>
      </c>
      <c r="B44" s="64"/>
      <c r="C44" s="52"/>
      <c r="D44" s="50" t="s">
        <v>93</v>
      </c>
      <c r="E44" s="50" t="s">
        <v>369</v>
      </c>
      <c r="F44" s="50" t="s">
        <v>370</v>
      </c>
      <c r="G44" s="51" t="s">
        <v>59</v>
      </c>
      <c r="H44" s="51" t="s">
        <v>60</v>
      </c>
      <c r="I44" s="51">
        <v>2024</v>
      </c>
      <c r="J44" s="51">
        <v>102</v>
      </c>
      <c r="K44" s="50" t="s">
        <v>59</v>
      </c>
      <c r="L44" s="50" t="s">
        <v>5</v>
      </c>
      <c r="M44" s="52" t="s">
        <v>61</v>
      </c>
      <c r="N44" s="52" t="s">
        <v>546</v>
      </c>
      <c r="O44" s="52"/>
      <c r="P44" s="52" t="s">
        <v>64</v>
      </c>
      <c r="Q44" s="53" t="s">
        <v>371</v>
      </c>
      <c r="R44" s="52" t="s">
        <v>372</v>
      </c>
      <c r="S44" s="45"/>
      <c r="T44" s="44"/>
      <c r="U44" s="35"/>
      <c r="V44" s="68">
        <v>0</v>
      </c>
      <c r="W44" s="36"/>
      <c r="X44" s="36"/>
      <c r="Y44" s="36"/>
      <c r="Z44" s="36"/>
      <c r="AA44" s="36"/>
      <c r="AB44" s="36"/>
      <c r="AC44" s="37" t="s">
        <v>72</v>
      </c>
      <c r="AD44" s="30" t="s">
        <v>312</v>
      </c>
      <c r="AE44" s="38"/>
      <c r="AF44" s="38">
        <v>0</v>
      </c>
      <c r="AG44" s="38">
        <f t="shared" si="5"/>
        <v>0</v>
      </c>
      <c r="AH44" s="38"/>
      <c r="AI44" s="38"/>
      <c r="AJ44" s="38"/>
      <c r="AK44" s="38">
        <v>100000000</v>
      </c>
      <c r="AL44" s="38">
        <f t="shared" si="1"/>
        <v>100000000</v>
      </c>
      <c r="AM44" s="66"/>
      <c r="AN44" s="38"/>
      <c r="AO44" s="54">
        <f t="shared" si="6"/>
        <v>0</v>
      </c>
      <c r="AP44" s="65">
        <f t="shared" si="3"/>
        <v>0</v>
      </c>
      <c r="AQ44" s="30"/>
      <c r="AR44" s="43"/>
      <c r="AS44" s="32"/>
    </row>
    <row r="45" spans="1:45" ht="42.75" x14ac:dyDescent="0.25">
      <c r="A45" s="47">
        <v>41</v>
      </c>
      <c r="B45" s="64" t="s">
        <v>348</v>
      </c>
      <c r="C45" s="52" t="s">
        <v>379</v>
      </c>
      <c r="D45" s="50" t="s">
        <v>93</v>
      </c>
      <c r="E45" s="50" t="s">
        <v>107</v>
      </c>
      <c r="F45" s="50" t="s">
        <v>352</v>
      </c>
      <c r="G45" s="51" t="s">
        <v>59</v>
      </c>
      <c r="H45" s="51" t="s">
        <v>60</v>
      </c>
      <c r="I45" s="51">
        <v>2024</v>
      </c>
      <c r="J45" s="51">
        <v>103</v>
      </c>
      <c r="K45" s="50" t="s">
        <v>59</v>
      </c>
      <c r="L45" s="50" t="s">
        <v>5</v>
      </c>
      <c r="M45" s="52" t="s">
        <v>61</v>
      </c>
      <c r="N45" s="52" t="s">
        <v>450</v>
      </c>
      <c r="O45" s="52"/>
      <c r="P45" s="52" t="s">
        <v>64</v>
      </c>
      <c r="Q45" s="53" t="s">
        <v>353</v>
      </c>
      <c r="R45" s="52" t="s">
        <v>407</v>
      </c>
      <c r="S45" s="57"/>
      <c r="T45" s="34"/>
      <c r="U45" s="35"/>
      <c r="V45" s="68">
        <v>0</v>
      </c>
      <c r="W45" s="36"/>
      <c r="X45" s="36"/>
      <c r="Y45" s="36"/>
      <c r="Z45" s="36"/>
      <c r="AA45" s="36"/>
      <c r="AB45" s="36"/>
      <c r="AC45" s="37" t="s">
        <v>90</v>
      </c>
      <c r="AD45" s="30" t="s">
        <v>312</v>
      </c>
      <c r="AE45" s="38"/>
      <c r="AF45" s="38">
        <v>0</v>
      </c>
      <c r="AG45" s="38">
        <f t="shared" si="5"/>
        <v>0</v>
      </c>
      <c r="AH45" s="38"/>
      <c r="AI45" s="38"/>
      <c r="AJ45" s="38"/>
      <c r="AK45" s="38">
        <v>2200000000</v>
      </c>
      <c r="AL45" s="38">
        <f t="shared" si="1"/>
        <v>2200000000</v>
      </c>
      <c r="AM45" s="66"/>
      <c r="AN45" s="38"/>
      <c r="AO45" s="54">
        <f t="shared" si="6"/>
        <v>0</v>
      </c>
      <c r="AP45" s="65">
        <f t="shared" si="3"/>
        <v>0</v>
      </c>
      <c r="AQ45" s="30"/>
      <c r="AR45" s="30"/>
      <c r="AS45" s="32"/>
    </row>
    <row r="46" spans="1:45" ht="85.5" x14ac:dyDescent="0.25">
      <c r="A46" s="47">
        <v>42</v>
      </c>
      <c r="B46" s="64"/>
      <c r="C46" s="52"/>
      <c r="D46" s="50" t="s">
        <v>93</v>
      </c>
      <c r="E46" s="50" t="s">
        <v>369</v>
      </c>
      <c r="F46" s="50" t="s">
        <v>442</v>
      </c>
      <c r="G46" s="51" t="s">
        <v>59</v>
      </c>
      <c r="H46" s="51" t="s">
        <v>60</v>
      </c>
      <c r="I46" s="51">
        <v>2024</v>
      </c>
      <c r="J46" s="51">
        <v>116</v>
      </c>
      <c r="K46" s="50" t="s">
        <v>59</v>
      </c>
      <c r="L46" s="50" t="s">
        <v>5</v>
      </c>
      <c r="M46" s="52" t="s">
        <v>61</v>
      </c>
      <c r="N46" s="52" t="s">
        <v>84</v>
      </c>
      <c r="O46" s="52"/>
      <c r="P46" s="52" t="s">
        <v>64</v>
      </c>
      <c r="Q46" s="53" t="s">
        <v>443</v>
      </c>
      <c r="R46" s="52" t="s">
        <v>408</v>
      </c>
      <c r="S46" s="57"/>
      <c r="T46" s="34"/>
      <c r="U46" s="35"/>
      <c r="V46" s="68">
        <v>0</v>
      </c>
      <c r="W46" s="36"/>
      <c r="X46" s="36"/>
      <c r="Y46" s="36"/>
      <c r="Z46" s="36"/>
      <c r="AA46" s="36"/>
      <c r="AB46" s="36"/>
      <c r="AC46" s="37" t="s">
        <v>72</v>
      </c>
      <c r="AD46" s="30" t="s">
        <v>444</v>
      </c>
      <c r="AE46" s="38"/>
      <c r="AF46" s="38">
        <v>0</v>
      </c>
      <c r="AG46" s="38">
        <f t="shared" si="5"/>
        <v>0</v>
      </c>
      <c r="AH46" s="38"/>
      <c r="AI46" s="38"/>
      <c r="AJ46" s="38"/>
      <c r="AK46" s="38">
        <v>180177900</v>
      </c>
      <c r="AL46" s="38">
        <f t="shared" si="1"/>
        <v>180177900</v>
      </c>
      <c r="AM46" s="66"/>
      <c r="AN46" s="38"/>
      <c r="AO46" s="54">
        <f t="shared" si="6"/>
        <v>0</v>
      </c>
      <c r="AP46" s="65">
        <f t="shared" si="3"/>
        <v>0</v>
      </c>
      <c r="AQ46" s="30"/>
      <c r="AR46" s="30"/>
      <c r="AS46" s="32"/>
    </row>
    <row r="47" spans="1:45" ht="15" x14ac:dyDescent="0.25">
      <c r="A47" s="47">
        <v>47</v>
      </c>
      <c r="B47" s="61"/>
      <c r="C47" s="32"/>
      <c r="D47" s="29"/>
      <c r="E47" s="29"/>
      <c r="F47" s="29"/>
      <c r="G47" s="41"/>
      <c r="H47" s="41"/>
      <c r="I47" s="41"/>
      <c r="J47" s="41"/>
      <c r="K47" s="29"/>
      <c r="L47" s="29"/>
      <c r="M47" s="32"/>
      <c r="N47" s="32"/>
      <c r="O47" s="32"/>
      <c r="P47" s="32"/>
      <c r="Q47" s="30"/>
      <c r="R47" s="32"/>
      <c r="S47" s="46"/>
      <c r="T47" s="30"/>
      <c r="U47" s="35"/>
      <c r="V47" s="68"/>
      <c r="W47" s="36"/>
      <c r="X47" s="36"/>
      <c r="Y47" s="36"/>
      <c r="Z47" s="36"/>
      <c r="AA47" s="36"/>
      <c r="AB47" s="36"/>
      <c r="AC47" s="37"/>
      <c r="AD47" s="30"/>
      <c r="AE47" s="38"/>
      <c r="AF47" s="38"/>
      <c r="AG47" s="38"/>
      <c r="AH47" s="38"/>
      <c r="AI47" s="38"/>
      <c r="AJ47" s="38"/>
      <c r="AK47" s="38"/>
      <c r="AL47" s="38"/>
      <c r="AM47" s="66"/>
      <c r="AN47" s="38"/>
      <c r="AO47" s="39"/>
      <c r="AP47" s="38"/>
      <c r="AQ47" s="30"/>
      <c r="AR47" s="43"/>
      <c r="AS47" s="32"/>
    </row>
    <row r="48" spans="1:45" x14ac:dyDescent="0.25">
      <c r="A48" s="47">
        <v>48</v>
      </c>
      <c r="B48" s="61"/>
      <c r="C48" s="32"/>
      <c r="D48" s="29"/>
      <c r="E48" s="29"/>
      <c r="F48" s="29"/>
      <c r="G48" s="41"/>
      <c r="H48" s="41"/>
      <c r="I48" s="41"/>
      <c r="J48" s="41"/>
      <c r="K48" s="29"/>
      <c r="L48" s="29"/>
      <c r="M48" s="32"/>
      <c r="N48" s="32"/>
      <c r="O48" s="32"/>
      <c r="P48" s="32"/>
      <c r="Q48" s="30"/>
      <c r="R48" s="32"/>
      <c r="S48" s="45"/>
      <c r="T48" s="30"/>
      <c r="U48" s="35"/>
      <c r="V48" s="68"/>
      <c r="W48" s="36"/>
      <c r="X48" s="36"/>
      <c r="Y48" s="36"/>
      <c r="Z48" s="36"/>
      <c r="AA48" s="36"/>
      <c r="AB48" s="36"/>
      <c r="AC48" s="37"/>
      <c r="AD48" s="32"/>
      <c r="AE48" s="38"/>
      <c r="AF48" s="38"/>
      <c r="AG48" s="38"/>
      <c r="AH48" s="38"/>
      <c r="AI48" s="38"/>
      <c r="AJ48" s="38"/>
      <c r="AK48" s="38"/>
      <c r="AL48" s="38"/>
      <c r="AM48" s="66"/>
      <c r="AN48" s="38"/>
      <c r="AO48" s="39"/>
      <c r="AP48" s="38"/>
      <c r="AQ48" s="30"/>
      <c r="AR48" s="30"/>
      <c r="AS48" s="32"/>
    </row>
    <row r="49" spans="1:45" ht="15" x14ac:dyDescent="0.25">
      <c r="A49" s="47">
        <v>49</v>
      </c>
      <c r="B49" s="61"/>
      <c r="C49" s="32"/>
      <c r="D49" s="29"/>
      <c r="E49" s="29"/>
      <c r="F49" s="29"/>
      <c r="G49" s="41"/>
      <c r="H49" s="41"/>
      <c r="I49" s="41"/>
      <c r="J49" s="41"/>
      <c r="K49" s="29"/>
      <c r="L49" s="29"/>
      <c r="M49" s="32"/>
      <c r="N49" s="32"/>
      <c r="O49" s="32"/>
      <c r="P49" s="32"/>
      <c r="Q49" s="30"/>
      <c r="R49" s="32"/>
      <c r="S49" s="45"/>
      <c r="T49" s="30"/>
      <c r="U49" s="35"/>
      <c r="V49" s="68"/>
      <c r="W49" s="36"/>
      <c r="X49" s="36"/>
      <c r="Y49" s="36"/>
      <c r="Z49" s="36"/>
      <c r="AA49" s="36"/>
      <c r="AB49" s="36"/>
      <c r="AC49" s="37"/>
      <c r="AD49" s="30"/>
      <c r="AE49" s="38"/>
      <c r="AF49" s="38"/>
      <c r="AG49" s="38"/>
      <c r="AH49" s="38"/>
      <c r="AI49" s="38"/>
      <c r="AJ49" s="38"/>
      <c r="AK49" s="38"/>
      <c r="AL49" s="38"/>
      <c r="AM49" s="66"/>
      <c r="AN49" s="38"/>
      <c r="AO49" s="39"/>
      <c r="AP49" s="38"/>
      <c r="AQ49" s="30"/>
      <c r="AR49" s="43"/>
      <c r="AS49" s="32"/>
    </row>
    <row r="50" spans="1:45" x14ac:dyDescent="0.25">
      <c r="A50" s="47">
        <v>50</v>
      </c>
      <c r="B50" s="61"/>
      <c r="C50" s="32"/>
      <c r="D50" s="29"/>
      <c r="E50" s="29"/>
      <c r="F50" s="29"/>
      <c r="G50" s="41"/>
      <c r="H50" s="41"/>
      <c r="I50" s="41"/>
      <c r="J50" s="41"/>
      <c r="K50" s="29"/>
      <c r="L50" s="29"/>
      <c r="M50" s="32"/>
      <c r="N50" s="32"/>
      <c r="O50" s="32"/>
      <c r="P50" s="32"/>
      <c r="Q50" s="30"/>
      <c r="R50" s="32"/>
      <c r="S50" s="45"/>
      <c r="T50" s="44"/>
      <c r="U50" s="35"/>
      <c r="V50" s="68"/>
      <c r="W50" s="36"/>
      <c r="X50" s="36"/>
      <c r="Y50" s="36"/>
      <c r="Z50" s="36"/>
      <c r="AA50" s="36"/>
      <c r="AB50" s="36"/>
      <c r="AC50" s="37"/>
      <c r="AD50" s="30"/>
      <c r="AE50" s="38"/>
      <c r="AF50" s="38"/>
      <c r="AG50" s="38"/>
      <c r="AH50" s="38"/>
      <c r="AI50" s="38"/>
      <c r="AJ50" s="38"/>
      <c r="AK50" s="38"/>
      <c r="AL50" s="38"/>
      <c r="AM50" s="66"/>
      <c r="AN50" s="38"/>
      <c r="AO50" s="39"/>
      <c r="AP50" s="38"/>
      <c r="AQ50" s="30"/>
      <c r="AR50" s="30"/>
      <c r="AS50" s="32"/>
    </row>
    <row r="51" spans="1:45" ht="15" x14ac:dyDescent="0.25">
      <c r="A51" s="47">
        <v>51</v>
      </c>
      <c r="B51" s="61"/>
      <c r="C51" s="32"/>
      <c r="D51" s="29"/>
      <c r="E51" s="29"/>
      <c r="F51" s="29"/>
      <c r="G51" s="41"/>
      <c r="H51" s="41"/>
      <c r="I51" s="41"/>
      <c r="J51" s="41"/>
      <c r="K51" s="29"/>
      <c r="L51" s="29"/>
      <c r="M51" s="32"/>
      <c r="N51" s="32"/>
      <c r="O51" s="32"/>
      <c r="P51" s="32"/>
      <c r="Q51" s="30"/>
      <c r="R51" s="32"/>
      <c r="S51" s="45"/>
      <c r="T51" s="44"/>
      <c r="U51" s="35"/>
      <c r="V51" s="68"/>
      <c r="W51" s="36"/>
      <c r="X51" s="36"/>
      <c r="Y51" s="36"/>
      <c r="Z51" s="36"/>
      <c r="AA51" s="36"/>
      <c r="AB51" s="36"/>
      <c r="AC51" s="37"/>
      <c r="AD51" s="30"/>
      <c r="AE51" s="38"/>
      <c r="AF51" s="38"/>
      <c r="AG51" s="38"/>
      <c r="AH51" s="38"/>
      <c r="AI51" s="38"/>
      <c r="AJ51" s="38"/>
      <c r="AK51" s="38"/>
      <c r="AL51" s="38"/>
      <c r="AM51" s="66"/>
      <c r="AN51" s="38"/>
      <c r="AO51" s="39"/>
      <c r="AP51" s="38"/>
      <c r="AQ51" s="30"/>
      <c r="AR51" s="43"/>
      <c r="AS51" s="32"/>
    </row>
    <row r="52" spans="1:45" x14ac:dyDescent="0.25">
      <c r="A52" s="47">
        <v>52</v>
      </c>
      <c r="B52" s="61"/>
      <c r="C52" s="32"/>
      <c r="D52" s="29"/>
      <c r="E52" s="29"/>
      <c r="F52" s="29"/>
      <c r="G52" s="41"/>
      <c r="H52" s="41"/>
      <c r="I52" s="41"/>
      <c r="J52" s="41"/>
      <c r="K52" s="29"/>
      <c r="L52" s="29"/>
      <c r="M52" s="32"/>
      <c r="N52" s="32"/>
      <c r="O52" s="32"/>
      <c r="P52" s="32"/>
      <c r="Q52" s="30"/>
      <c r="R52" s="32"/>
      <c r="S52" s="57"/>
      <c r="T52" s="34"/>
      <c r="U52" s="35"/>
      <c r="V52" s="68"/>
      <c r="W52" s="36"/>
      <c r="X52" s="36"/>
      <c r="Y52" s="36"/>
      <c r="Z52" s="36"/>
      <c r="AA52" s="36"/>
      <c r="AB52" s="36"/>
      <c r="AC52" s="37"/>
      <c r="AD52" s="30"/>
      <c r="AE52" s="38"/>
      <c r="AF52" s="38"/>
      <c r="AG52" s="38"/>
      <c r="AH52" s="38"/>
      <c r="AI52" s="38"/>
      <c r="AJ52" s="38"/>
      <c r="AK52" s="38"/>
      <c r="AL52" s="38"/>
      <c r="AM52" s="66"/>
      <c r="AN52" s="38"/>
      <c r="AO52" s="39"/>
      <c r="AP52" s="38"/>
      <c r="AQ52" s="30"/>
      <c r="AR52" s="30"/>
      <c r="AS52" s="32"/>
    </row>
    <row r="53" spans="1:45" x14ac:dyDescent="0.25">
      <c r="AM53" s="67"/>
    </row>
  </sheetData>
  <hyperlinks>
    <hyperlink ref="AR5" r:id="rId1" xr:uid="{2C57B3E7-7E5B-4CE7-85CB-8EC2760CB7E9}"/>
    <hyperlink ref="AR3" r:id="rId2" xr:uid="{7B12710A-AA19-453A-A256-9F336D48BFBB}"/>
    <hyperlink ref="AR7" r:id="rId3" display="https://www.secop.gov.co/CO1ContractsManagement/Tendering/ProcurementContractEdit/Update?ProfileName=CCE-11-Procedimiento_Publicidad&amp;PPI=CO1.PPI.28194039&amp;DocUniqueName=ContratoDeCompra&amp;DocTypeName=NextWay.Entities.Marketplace.Tendering.ProcurementContract&amp;ProfileVersion=11&amp;DocUniqueIdentifier=CO1.PCCNTR.5611078" xr:uid="{4A7BC1A6-5A05-4257-9A2A-211615D1A5AD}"/>
    <hyperlink ref="AR2" r:id="rId4" xr:uid="{D3BEED1A-F740-4306-8EE5-A20FAF26CAED}"/>
    <hyperlink ref="AR6" r:id="rId5" display="https://www.secop.gov.co/CO1ContractsManagement/Tendering/ProcurementContractEdit/Update?ProfileName=CCE-11-Procedimiento_Publicidad&amp;PPI=CO1.PPI.22248061&amp;DocUniqueName=ContratoDeCompra&amp;DocTypeName=NextWay.Entities.Marketplace.Tendering.ProcurementContract&amp;ProfileVersion=10&amp;DocUniqueIdentifier=CO1.PCCNTR.5268463&amp;prevCtxUrl=https%3a%2f%2fwww.secop.gov.co%3a443%2fCO1ContractsManagement%2fTendering%2fProcurementContractManagement%2fIndex&amp;prevCtxLbl=Contratos+" xr:uid="{4FF7A84F-4B70-4A00-B1FA-38C37D81D0D0}"/>
    <hyperlink ref="AR9" r:id="rId6" display="https://www.secop.gov.co/CO1ContractsManagement/Tendering/ProcurementContractEdit/Update?ProfileName=CCE-16-Servicios_profesionales_gestion&amp;PPI=CO1.PPI.29361611&amp;DocUniqueName=ContratoDeCompra&amp;DocTypeName=NextWay.Entities.Marketplace.Tendering.ProcurementContract&amp;ProfileVersion=8&amp;DocUniqueIdentifier=CO1.PCCNTR.5791426&amp;prevCtxUrl=https%3a%2f%2fwww.secop.gov.co%2fCO1BusinessLine%2fTendering%2fBuyerDossierWorkspace%2fIndex%3fsortingState%3dLastModifiedDESC%26showAdvancedSearch%3dFalse%26showAdvancedSearchFields%3dFalse%26selectedDossier%3dCO1.BDOS.5478878%26selectedRequest%3dCO1.REQ.5596563%26&amp;prevCtxLbl=Procesos+de+la+Entidad+Estatal" xr:uid="{4DABCE0A-315A-431A-8306-2D1232FB40D3}"/>
    <hyperlink ref="AR11" r:id="rId7" display="https://www.secop.gov.co/CO1ContractsManagement/Tendering/ProcurementContractEdit/View?docUniqueIdentifier=CO1.PCCNTR.5765421&amp;prevCtxUrl=https%3a%2f%2fwww.secop.gov.co%3a443%2fCO1ContractsManagement%2fTendering%2fProcurementContractManagement%2fIndex&amp;prevCtxLbl=Contratos+" xr:uid="{A80FEC98-AFC1-475E-827E-56E1D1E8BEF2}"/>
    <hyperlink ref="AR10" r:id="rId8" display="https://www.secop.gov.co/CO1ContractsManagement/Tendering/ProcurementContractEdit/View?docUniqueIdentifier=CO1.PCCNTR.5761575&amp;prevCtxUrl=https%3a%2f%2fwww.secop.gov.co%3a443%2fCO1ContractsManagement%2fTendering%2fProcurementContractManagement%2fIndex&amp;prevCtxLbl=Contratos+" xr:uid="{0AF551C4-CE81-4B1A-A652-C9B00100E7BC}"/>
    <hyperlink ref="AR19" r:id="rId9" display="https://www.secop.gov.co/CO1ContractsManagement/Tendering/ProcurementContractEdit/View?docUniqueIdentifier=CO1.PCCNTR.5792973&amp;prevCtxUrl=https%3a%2f%2fwww.secop.gov.co%3a443%2fCO1ContractsManagement%2fTendering%2fProcurementContractManagement%2fIndex&amp;prevCtxLbl=Contratos+" xr:uid="{21DC532E-DD22-4AA6-B6E4-9A2DC215C024}"/>
    <hyperlink ref="AR12" r:id="rId10" display="https://www.secop.gov.co/CO1ContractsManagement/Tendering/ProcurementContractEdit/View?docUniqueIdentifier=CO1.PCCNTR.5746635&amp;awardUniqueIdentifier=&amp;buyerDossierUniqueIdentifier=CO1.BDOS.5429050&amp;id=3173347&amp;prevCtxUrl=https%3a%2f%2fwww.secop.gov.co%2fCO1BusinessLine%2fTendering%2fBuyerDossierWorkspace%2fIndex%3fallWords2Search%3dCD-014-2024%26sortingState%3dLastModifiedDESC%26showAdvancedSearch%3dFalse%26showAdvancedSearchFields%3dFalse%26selectedDossier%3dCO1.BDOS.5429050%26selectedRequest%3dCO1.REQ.5546474%26&amp;prevCtxLbl=Procesos+de+la+Entidad+Estatal" xr:uid="{B5E85D03-B09D-43CD-9163-7ED764F52DFE}"/>
    <hyperlink ref="AR13" r:id="rId11" display="https://www.secop.gov.co/CO1ContractsManagement/Tendering/ProcurementContractEdit/View?docUniqueIdentifier=CO1.PCCNTR.5784353&amp;prevCtxUrl=https%3a%2f%2fwww.secop.gov.co%3a443%2fCO1ContractsManagement%2fTendering%2fProcurementContractManagement%2fIndex&amp;prevCtxLbl=Contratos+" xr:uid="{533C974C-062D-491E-96D4-E68AAFC457C7}"/>
    <hyperlink ref="AR14" r:id="rId12" display="https://www.secop.gov.co/CO1ContractsManagement/Tendering/ProcurementContractEdit/View?docUniqueIdentifier=CO1.PCCNTR.5858148&amp;prevCtxUrl=https%3a%2f%2fwww.secop.gov.co%3a443%2fCO1ContractsManagement%2fTendering%2fProcurementContractManagement%2fIndex&amp;prevCtxLbl=Contratos+" xr:uid="{67192B12-E83D-4A7F-9275-735B2FFF0B37}"/>
    <hyperlink ref="AR15" r:id="rId13" display="https://www.secop.gov.co/CO1ContractsManagement/Tendering/ProcurementContractEdit/View?docUniqueIdentifier=CO1.PCCNTR.5858497&amp;prevCtxUrl=https%3a%2f%2fwww.secop.gov.co%3a443%2fCO1ContractsManagement%2fTendering%2fProcurementContractManagement%2fIndex&amp;prevCtxLbl=Contratos+" xr:uid="{14A4E671-47D7-42B6-9AA9-7CA2EEC7A280}"/>
    <hyperlink ref="AR16" r:id="rId14" display="https://www.secop.gov.co/CO1ContractsManagement/Tendering/ProcurementContractEdit/View?docUniqueIdentifier=CO1.PCCNTR.5864728&amp;prevCtxUrl=https%3a%2f%2fwww.secop.gov.co%3a443%2fCO1ContractsManagement%2fTendering%2fProcurementContractManagement%2fIndex&amp;prevCtxLbl=Contratos+" xr:uid="{CA16067C-D80F-47A6-92BA-9309C06CDC41}"/>
    <hyperlink ref="AR17" r:id="rId15" display="https://www.secop.gov.co/CO1ContractsManagement/Tendering/ProcurementContractEdit/View?docUniqueIdentifier=CO1.PCCNTR.5865626&amp;prevCtxUrl=https%3a%2f%2fwww.secop.gov.co%3a443%2fCO1ContractsManagement%2fTendering%2fProcurementContractManagement%2fIndex&amp;prevCtxLbl=Contratos+" xr:uid="{E905A5A4-3D12-42CF-9148-F49064F79546}"/>
    <hyperlink ref="AR18" r:id="rId16" display="https://www.secop.gov.co/CO1ContractsManagement/Tendering/ProcurementContractEdit/Update?ProfileName=CCE-11-Procedimiento_Publicidad&amp;PPI=CO1.PPI.29720916&amp;DocUniqueName=ContratoDeCompra&amp;DocTypeName=NextWay.Entities.Marketplace.Tendering.ProcurementContract&amp;ProfileVersion=12&amp;DocUniqueIdentifier=CO1.PCCNTR.5903245&amp;prevCtxUrl=https%3a%2f%2fwww.secop.gov.co%2fCO1BusinessLine%2fTendering%2fBuyerDossierWorkspace%2fIndex%3fsortingState%3dLastModifiedDESC%26showAdvancedSearch%3dFalse%26showAdvancedSearchFields%3dFalse%26selectedDossier%3dCO1.BDOS.5591836%26selectedRequest%3dCO1.REQ.5709325%26&amp;prevCtxLbl=Procesos+de+la+Entidad+Estatal" xr:uid="{18B52E3F-356F-4C8D-BEC3-453020FD73E3}"/>
    <hyperlink ref="AR23" r:id="rId17" display="https://www.secop.gov.co/CO1ContractsManagement/Tendering/ProcurementContractEdit/Update?ProfileName=CCE-11-Procedimiento_Publicidad&amp;PPI=CO1.PPI.29280265&amp;DocUniqueName=ContratoDeCompra&amp;DocTypeName=NextWay.Entities.Marketplace.Tendering.ProcurementContract&amp;ProfileVersion=12&amp;DocUniqueIdentifier=CO1.PCCNTR.5763987" xr:uid="{788099A3-2818-44BE-AAD5-F9C543C5C835}"/>
    <hyperlink ref="AR20" r:id="rId18" display="https://www.secop.gov.co/CO1ContractsManagement/Tendering/ProcurementContractEdit/Update?ProfileName=CCE-11-Procedimiento_Publicidad&amp;PPI=CO1.PPI.29284502&amp;DocUniqueName=ContratoDeCompra&amp;DocTypeName=NextWay.Entities.Marketplace.Tendering.ProcurementContract&amp;ProfileVersion=12&amp;DocUniqueIdentifier=CO1.PCCNTR.5766401&amp;prevCtxUrl=https%3a%2f%2fwww.secop.gov.co%2fCO1BusinessLine%2fTendering%2fBuyerDossierWorkspace%2fIndex%3fallWords2Search%3dCO-L1251-P187498%26sortingState%3dLastModifiedDESC%26showAdvancedSearch%3dFalse%26showAdvancedSearchFields%3dFalse%26selectedDossier%3dCO1.BDOS.5453639%26selectedRequest%3dCO1.REQ.5570680%26&amp;prevCtxLbl=Procesos+de+la+Entidad+Estatal" xr:uid="{63848F86-9770-4500-A0E2-3246C53B2967}"/>
    <hyperlink ref="AR24" r:id="rId19" display="https://www.secop.gov.co/CO1ContractsManagement/Tendering/ProcurementContractEdit/Update?ProfileName=CCE-11-Procedimiento_Publicidad&amp;PPI=CO1.PPI.29285442&amp;DocUniqueName=ContratoDeCompra&amp;DocTypeName=NextWay.Entities.Marketplace.Tendering.ProcurementContract&amp;ProfileVersion=12&amp;DocUniqueIdentifier=CO1.PCCNTR.5765881&amp;prevCtxUrl=https%3a%2f%2fwww.secop.gov.co%2fCO1BusinessLine%2fTendering%2fBuyerDossierWorkspace%2fIndex%3fallWords2Search%3dCO-L1251-P187499%26sortingState%3dLastModifiedDESC%26showAdvancedSearch%3dFalse%26showAdvancedSearchFields%3dFalse%26selectedDossier%3dCO1.BDOS.5454076%26selectedRequest%3dCO1.REQ.5570976%26&amp;prevCtxLbl=Procesos+de+la+Entidad+Estatal" xr:uid="{CF404455-9052-448E-957C-0227AD93E094}"/>
    <hyperlink ref="AR21" r:id="rId20" xr:uid="{7D1B226D-682B-46D2-BF87-C5FFD22A8693}"/>
    <hyperlink ref="AR22" r:id="rId21" display="https://www.secop.gov.co/CO1ContractsManagement/Tendering/ProcurementContractEdit/View?docUniqueIdentifier=CO1.PCCNTR.5920492&amp;prevCtxUrl=https%3a%2f%2fwww.secop.gov.co%3a443%2fCO1ContractsManagement%2fTendering%2fProcurementContractManagement%2fIndex&amp;prevCtxLbl=Contratos+" xr:uid="{D1FACF11-B150-4367-A35F-19E67F35D9D1}"/>
  </hyperlinks>
  <pageMargins left="0.23622047244094491" right="0.23622047244094491" top="0.74803149606299213" bottom="0.74803149606299213" header="0.31496062992125984" footer="0.31496062992125984"/>
  <pageSetup orientation="landscape" horizontalDpi="1200" verticalDpi="1200" r:id="rId2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A44-0381-44E1-87EA-72DB87B5ACEE}">
  <sheetPr codeName="Hoja18">
    <pageSetUpPr autoPageBreaks="0"/>
  </sheetPr>
  <dimension ref="A2:P6"/>
  <sheetViews>
    <sheetView zoomScaleNormal="100" zoomScaleSheetLayoutView="100" workbookViewId="0">
      <selection activeCell="M10" sqref="M10"/>
    </sheetView>
  </sheetViews>
  <sheetFormatPr baseColWidth="10" defaultColWidth="10.7109375" defaultRowHeight="15" x14ac:dyDescent="0.25"/>
  <cols>
    <col min="1" max="1" width="2.42578125" style="1" customWidth="1"/>
    <col min="2" max="2" width="47.42578125" style="3" bestFit="1" customWidth="1"/>
    <col min="3" max="3" width="21.5703125" style="3" bestFit="1" customWidth="1"/>
    <col min="4" max="5" width="18.7109375" style="1" bestFit="1" customWidth="1"/>
    <col min="6" max="7" width="11.5703125" style="1" bestFit="1" customWidth="1"/>
    <col min="8" max="8" width="19" style="3" customWidth="1"/>
    <col min="9" max="9" width="20.5703125" style="1" bestFit="1" customWidth="1"/>
    <col min="10" max="10" width="17.7109375" style="1" customWidth="1"/>
    <col min="11" max="11" width="17.7109375" style="18" customWidth="1"/>
    <col min="12" max="12" width="17.7109375" style="1" customWidth="1"/>
    <col min="13" max="13" width="15.42578125" style="1" customWidth="1"/>
    <col min="14" max="14" width="16.28515625" style="1" bestFit="1" customWidth="1"/>
    <col min="15" max="15" width="19" style="1" customWidth="1"/>
    <col min="16" max="16" width="55.42578125" style="1" customWidth="1"/>
    <col min="17" max="16384" width="10.7109375" style="1"/>
  </cols>
  <sheetData>
    <row r="2" spans="1:16" ht="44.25" customHeight="1" x14ac:dyDescent="0.25">
      <c r="B2" s="5" t="s">
        <v>555</v>
      </c>
      <c r="C2" s="5" t="s">
        <v>556</v>
      </c>
      <c r="D2" s="5" t="s">
        <v>557</v>
      </c>
      <c r="E2" s="5" t="s">
        <v>22</v>
      </c>
      <c r="F2" s="5" t="s">
        <v>558</v>
      </c>
      <c r="G2" s="5" t="s">
        <v>29</v>
      </c>
      <c r="H2" s="5" t="s">
        <v>39</v>
      </c>
      <c r="I2" s="5" t="s">
        <v>559</v>
      </c>
      <c r="J2" s="5" t="s">
        <v>560</v>
      </c>
      <c r="K2" s="5" t="s">
        <v>455</v>
      </c>
      <c r="L2" s="5" t="s">
        <v>561</v>
      </c>
      <c r="M2" s="5" t="s">
        <v>562</v>
      </c>
      <c r="N2" s="6" t="s">
        <v>35</v>
      </c>
      <c r="O2" s="5" t="s">
        <v>563</v>
      </c>
      <c r="P2" s="5" t="s">
        <v>27</v>
      </c>
    </row>
    <row r="3" spans="1:16" ht="30" customHeight="1" x14ac:dyDescent="0.25">
      <c r="A3" s="19"/>
      <c r="B3" s="7" t="s">
        <v>564</v>
      </c>
      <c r="C3" s="7" t="s">
        <v>308</v>
      </c>
      <c r="D3" s="2" t="s">
        <v>565</v>
      </c>
      <c r="E3" s="2" t="s">
        <v>566</v>
      </c>
      <c r="F3" s="2" t="s">
        <v>112</v>
      </c>
      <c r="G3" s="20">
        <v>35377</v>
      </c>
      <c r="H3" s="10" t="s">
        <v>567</v>
      </c>
      <c r="I3" s="15" t="s">
        <v>568</v>
      </c>
      <c r="J3" s="16">
        <v>354275963.86000001</v>
      </c>
      <c r="K3" s="17">
        <v>519</v>
      </c>
      <c r="L3" s="16">
        <v>354275963.86000001</v>
      </c>
      <c r="M3" s="11">
        <v>43495</v>
      </c>
      <c r="N3" s="11">
        <v>43555</v>
      </c>
      <c r="O3" s="8">
        <v>354275963.86000001</v>
      </c>
      <c r="P3" s="12" t="s">
        <v>569</v>
      </c>
    </row>
    <row r="4" spans="1:16" ht="30" customHeight="1" x14ac:dyDescent="0.25">
      <c r="B4" s="21" t="s">
        <v>570</v>
      </c>
      <c r="C4" s="21" t="s">
        <v>571</v>
      </c>
      <c r="D4" s="2" t="s">
        <v>572</v>
      </c>
      <c r="E4" s="2" t="s">
        <v>573</v>
      </c>
      <c r="F4" s="2" t="s">
        <v>112</v>
      </c>
      <c r="G4" s="20">
        <v>36736</v>
      </c>
      <c r="H4" s="10" t="s">
        <v>567</v>
      </c>
      <c r="I4" s="15" t="s">
        <v>568</v>
      </c>
      <c r="J4" s="22">
        <v>135770583.09999999</v>
      </c>
      <c r="K4" s="17">
        <v>12619</v>
      </c>
      <c r="L4" s="16">
        <v>135770583.09999999</v>
      </c>
      <c r="M4" s="11">
        <v>43551</v>
      </c>
      <c r="N4" s="11">
        <v>43738</v>
      </c>
      <c r="O4" s="4">
        <v>135770583.09999999</v>
      </c>
      <c r="P4" s="13" t="s">
        <v>574</v>
      </c>
    </row>
    <row r="5" spans="1:16" ht="30" customHeight="1" x14ac:dyDescent="0.25">
      <c r="B5" s="7" t="s">
        <v>575</v>
      </c>
      <c r="C5" s="7" t="s">
        <v>576</v>
      </c>
      <c r="D5" s="2" t="s">
        <v>577</v>
      </c>
      <c r="E5" s="2" t="s">
        <v>573</v>
      </c>
      <c r="F5" s="2" t="s">
        <v>112</v>
      </c>
      <c r="G5" s="20">
        <v>35378</v>
      </c>
      <c r="H5" s="10" t="s">
        <v>578</v>
      </c>
      <c r="I5" s="15" t="s">
        <v>579</v>
      </c>
      <c r="J5" s="16">
        <v>746560168.91999996</v>
      </c>
      <c r="K5" s="17">
        <v>9619</v>
      </c>
      <c r="L5" s="16">
        <v>746560168.91999996</v>
      </c>
      <c r="M5" s="11">
        <v>43495</v>
      </c>
      <c r="N5" s="11">
        <v>43830</v>
      </c>
      <c r="O5" s="8">
        <f>L5</f>
        <v>746560168.91999996</v>
      </c>
      <c r="P5" s="13" t="s">
        <v>580</v>
      </c>
    </row>
    <row r="6" spans="1:16" ht="30" customHeight="1" x14ac:dyDescent="0.25">
      <c r="B6" s="9" t="s">
        <v>581</v>
      </c>
      <c r="C6" s="9" t="s">
        <v>582</v>
      </c>
      <c r="D6" s="2" t="s">
        <v>583</v>
      </c>
      <c r="E6" s="2" t="s">
        <v>573</v>
      </c>
      <c r="F6" s="2" t="s">
        <v>112</v>
      </c>
      <c r="G6" s="20">
        <v>36564</v>
      </c>
      <c r="H6" s="10" t="s">
        <v>584</v>
      </c>
      <c r="I6" s="15" t="s">
        <v>579</v>
      </c>
      <c r="J6" s="16">
        <v>1432013657.9300001</v>
      </c>
      <c r="K6" s="17">
        <v>12419</v>
      </c>
      <c r="L6" s="16">
        <v>1432013657.9300001</v>
      </c>
      <c r="M6" s="11">
        <v>43544</v>
      </c>
      <c r="N6" s="11">
        <v>43830</v>
      </c>
      <c r="O6" s="8">
        <f>L6</f>
        <v>1432013657.9300001</v>
      </c>
      <c r="P6" s="12" t="s">
        <v>585</v>
      </c>
    </row>
  </sheetData>
  <hyperlinks>
    <hyperlink ref="G6" location="Objeto!C30" display="Objeto!C30" xr:uid="{0B707D8D-23E1-41BB-A3F2-DDBDC199BDF9}"/>
    <hyperlink ref="G4" location="Objeto!C31" display="Objeto!C31" xr:uid="{8B78BD54-590C-49B0-B595-05CCCB9C642A}"/>
    <hyperlink ref="G5" location="Objeto!C32" display="Objeto!C32" xr:uid="{5D73835F-8025-48CA-8680-E8A2E248A9F8}"/>
  </hyperlinks>
  <pageMargins left="0.23622047244094491" right="0.23622047244094491" top="0.74803149606299213" bottom="0.74803149606299213" header="0.31496062992125984" footer="0.31496062992125984"/>
  <pageSetup orientation="landscape" horizontalDpi="1200" verticalDpi="1200" r:id="rId1"/>
  <colBreaks count="1" manualBreakCount="1">
    <brk id="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ff53cb-894c-4b15-9ce9-da606a22eab0">
      <Terms xmlns="http://schemas.microsoft.com/office/infopath/2007/PartnerControls"/>
    </lcf76f155ced4ddcb4097134ff3c332f>
    <Contenido xmlns="d5ff53cb-894c-4b15-9ce9-da606a22eab0" xsi:nil="true"/>
    <TaxCatchAll xmlns="d3d9ac82-35e7-48a0-a12b-f78d7b3f9ccf" xsi:nil="true"/>
    <SharedWithUsers xmlns="d3d9ac82-35e7-48a0-a12b-f78d7b3f9ccf">
      <UserInfo>
        <DisplayName>Jenny Yasmin Pinzón Perilla</DisplayName>
        <AccountId>32</AccountId>
        <AccountType/>
      </UserInfo>
      <UserInfo>
        <DisplayName>Jefferson Giraldo Munoz</DisplayName>
        <AccountId>320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08C15402C3614AA284631E3EFB4968" ma:contentTypeVersion="16" ma:contentTypeDescription="Crear nuevo documento." ma:contentTypeScope="" ma:versionID="fcf881263dbe3720d9881ad736f3dcef">
  <xsd:schema xmlns:xsd="http://www.w3.org/2001/XMLSchema" xmlns:xs="http://www.w3.org/2001/XMLSchema" xmlns:p="http://schemas.microsoft.com/office/2006/metadata/properties" xmlns:ns2="d5ff53cb-894c-4b15-9ce9-da606a22eab0" xmlns:ns3="d3d9ac82-35e7-48a0-a12b-f78d7b3f9ccf" targetNamespace="http://schemas.microsoft.com/office/2006/metadata/properties" ma:root="true" ma:fieldsID="81acd048ae9dc5f828afb15ca6e77f2f" ns2:_="" ns3:_="">
    <xsd:import namespace="d5ff53cb-894c-4b15-9ce9-da606a22eab0"/>
    <xsd:import namespace="d3d9ac82-35e7-48a0-a12b-f78d7b3f9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Contenid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f53cb-894c-4b15-9ce9-da606a22ea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d2cf0eb-9827-4521-962f-5ac362b4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ntenido" ma:index="22" nillable="true" ma:displayName="Contenido" ma:format="Dropdown" ma:internalName="Contenido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9ac82-35e7-48a0-a12b-f78d7b3f9cc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1997512-4d7b-4dd1-b98b-4d3565b16c95}" ma:internalName="TaxCatchAll" ma:showField="CatchAllData" ma:web="d3d9ac82-35e7-48a0-a12b-f78d7b3f9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4D4163-F787-473A-9C0F-9A6977A583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58B8E-25B5-4487-9737-97B763AED3A8}">
  <ds:schemaRefs>
    <ds:schemaRef ds:uri="http://schemas.microsoft.com/office/2006/metadata/properties"/>
    <ds:schemaRef ds:uri="http://schemas.microsoft.com/office/infopath/2007/PartnerControls"/>
    <ds:schemaRef ds:uri="d5ff53cb-894c-4b15-9ce9-da606a22eab0"/>
    <ds:schemaRef ds:uri="d3d9ac82-35e7-48a0-a12b-f78d7b3f9ccf"/>
  </ds:schemaRefs>
</ds:datastoreItem>
</file>

<file path=customXml/itemProps3.xml><?xml version="1.0" encoding="utf-8"?>
<ds:datastoreItem xmlns:ds="http://schemas.openxmlformats.org/officeDocument/2006/customXml" ds:itemID="{1D8BFFBB-2BCD-48B7-8D75-FE8E43A93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ff53cb-894c-4b15-9ce9-da606a22eab0"/>
    <ds:schemaRef ds:uri="d3d9ac82-35e7-48a0-a12b-f78d7b3f9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Hoja3</vt:lpstr>
      <vt:lpstr>Tempo</vt:lpstr>
      <vt:lpstr>Seguimiento19-11-2024</vt:lpstr>
      <vt:lpstr>BID-EKOGUI</vt:lpstr>
      <vt:lpstr>VigFuturas</vt:lpstr>
      <vt:lpstr>Contratos 2024</vt:lpstr>
      <vt:lpstr>Hoja2</vt:lpstr>
      <vt:lpstr>Cuadro 31 de julio</vt:lpstr>
      <vt:lpstr>Compromisos</vt:lpstr>
      <vt:lpstr>Cuadro 9 Jul</vt:lpstr>
      <vt:lpstr>personas</vt:lpstr>
      <vt:lpstr>CDP_PTES</vt:lpstr>
      <vt:lpstr>LiberacionesRP</vt:lpstr>
      <vt:lpstr>Todo</vt:lpstr>
      <vt:lpstr>Gráfico</vt:lpstr>
      <vt:lpstr>TablaDinamica</vt:lpstr>
      <vt:lpstr>Consolidado</vt:lpstr>
      <vt:lpstr>Calculo%Financiero</vt:lpstr>
      <vt:lpstr>ContratosInclAugus26-jun</vt:lpstr>
      <vt:lpstr>Cuadros 02 Abril</vt:lpstr>
      <vt:lpstr>Tempo-falta</vt:lpstr>
      <vt:lpstr>Tempo-FaltaDinamica</vt:lpstr>
      <vt:lpstr>Hoja1</vt:lpstr>
      <vt:lpstr>Cuadro PAA</vt:lpstr>
      <vt:lpstr>segun PAA</vt:lpstr>
      <vt:lpstr>Cto_PAA2024</vt:lpstr>
      <vt:lpstr>TVEC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Pinzon</dc:creator>
  <cp:keywords/>
  <dc:description/>
  <cp:lastModifiedBy>Edwin Santiago Paz Bedoya</cp:lastModifiedBy>
  <cp:revision/>
  <dcterms:created xsi:type="dcterms:W3CDTF">2015-02-05T17:19:20Z</dcterms:created>
  <dcterms:modified xsi:type="dcterms:W3CDTF">2024-12-09T15:00:58Z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024">
    <vt:lpwstr>6</vt:lpwstr>
  </property>
  <property fmtid="{D5CDD505-2E9C-101B-9397-08002B2CF9AE}" pid="3" name="ContentTypeId">
    <vt:lpwstr>0x0101005108C15402C3614AA284631E3EFB4968</vt:lpwstr>
  </property>
  <property fmtid="{D5CDD505-2E9C-101B-9397-08002B2CF9AE}" pid="4" name="AuthorIds_UIVersion_1536">
    <vt:lpwstr>6</vt:lpwstr>
  </property>
  <property fmtid="{D5CDD505-2E9C-101B-9397-08002B2CF9AE}" pid="5" name="AuthorIds_UIVersion_16384">
    <vt:lpwstr>6</vt:lpwstr>
  </property>
  <property fmtid="{D5CDD505-2E9C-101B-9397-08002B2CF9AE}" pid="6" name="MediaServiceImageTags">
    <vt:lpwstr/>
  </property>
</Properties>
</file>