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rookebordonaro/Desktop/Senior Year/Inv society/"/>
    </mc:Choice>
  </mc:AlternateContent>
  <xr:revisionPtr revIDLastSave="0" documentId="8_{06F3CE87-C914-AD45-9F18-58A93E2DDABF}" xr6:coauthVersionLast="46" xr6:coauthVersionMax="46" xr10:uidLastSave="{00000000-0000-0000-0000-000000000000}"/>
  <bookViews>
    <workbookView xWindow="1140" yWindow="540" windowWidth="28800" windowHeight="16680" tabRatio="685" xr2:uid="{00000000-000D-0000-FFFF-FFFF00000000}"/>
  </bookViews>
  <sheets>
    <sheet name="DCF Model" sheetId="25" r:id="rId1"/>
    <sheet name="Sheet1" sheetId="27" r:id="rId2"/>
  </sheets>
  <definedNames>
    <definedName name="_xlchart.v1.0" hidden="1">'DCF Model'!$L$36:$L$38</definedName>
    <definedName name="_xlchart.v1.1" hidden="1">'DCF Model'!$N$36:$N$38</definedName>
    <definedName name="_xlchart.v1.10" hidden="1">'DCF Model'!$N$36:$N$38</definedName>
    <definedName name="_xlchart.v1.11" hidden="1">'DCF Model'!$N$36:$N$39</definedName>
    <definedName name="_xlchart.v1.12" hidden="1">'DCF Model'!$L$36:$L$38</definedName>
    <definedName name="_xlchart.v1.13" hidden="1">'DCF Model'!$N$36:$N$38</definedName>
    <definedName name="_xlchart.v1.14" hidden="1">'DCF Model'!$L$36:$L$38</definedName>
    <definedName name="_xlchart.v1.15" hidden="1">'DCF Model'!$N$36:$N$38</definedName>
    <definedName name="_xlchart.v1.16" hidden="1">'DCF Model'!$L$36:$L$38</definedName>
    <definedName name="_xlchart.v1.17" hidden="1">'DCF Model'!$N$36:$N$38</definedName>
    <definedName name="_xlchart.v1.18" hidden="1">'DCF Model'!$L$36:$L$39</definedName>
    <definedName name="_xlchart.v1.19" hidden="1">'DCF Model'!$M$36:$M$39</definedName>
    <definedName name="_xlchart.v1.2" hidden="1">'DCF Model'!$L$36:$L$38</definedName>
    <definedName name="_xlchart.v1.20" hidden="1">'DCF Model'!$N$36:$N$39</definedName>
    <definedName name="_xlchart.v1.21" hidden="1">'DCF Model'!$L$36:$L$38</definedName>
    <definedName name="_xlchart.v1.22" hidden="1">'DCF Model'!$N$36:$N$38</definedName>
    <definedName name="_xlchart.v1.23" hidden="1">'DCF Model'!$L$36:$L$38</definedName>
    <definedName name="_xlchart.v1.24" hidden="1">'DCF Model'!$N$36:$N$38</definedName>
    <definedName name="_xlchart.v1.3" hidden="1">'DCF Model'!$N$36:$N$38</definedName>
    <definedName name="_xlchart.v1.4" hidden="1">'DCF Model'!$L$36:$L$38</definedName>
    <definedName name="_xlchart.v1.5" hidden="1">'DCF Model'!$N$36:$N$38</definedName>
    <definedName name="_xlchart.v1.6" hidden="1">'DCF Model'!$L$36:$L$38</definedName>
    <definedName name="_xlchart.v1.7" hidden="1">'DCF Model'!$L$36:$L$39</definedName>
    <definedName name="_xlchart.v1.8" hidden="1">'DCF Model'!$M$36:$M$38</definedName>
    <definedName name="_xlchart.v1.9" hidden="1">'DCF Model'!$M$36:$M$39</definedName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27" l="1"/>
  <c r="C34" i="27" s="1"/>
  <c r="D28" i="27"/>
  <c r="D27" i="27"/>
  <c r="I32" i="25"/>
  <c r="E24" i="25"/>
  <c r="E22" i="25"/>
  <c r="H36" i="27"/>
  <c r="M35" i="27"/>
  <c r="H33" i="27"/>
  <c r="C33" i="27"/>
  <c r="H32" i="27"/>
  <c r="C32" i="27"/>
  <c r="H31" i="27"/>
  <c r="H34" i="27" s="1"/>
  <c r="C26" i="27" s="1"/>
  <c r="C28" i="27" s="1"/>
  <c r="H25" i="27"/>
  <c r="G25" i="27"/>
  <c r="H23" i="27"/>
  <c r="G23" i="27"/>
  <c r="F23" i="27"/>
  <c r="E23" i="27"/>
  <c r="D23" i="27"/>
  <c r="H21" i="27"/>
  <c r="G21" i="27"/>
  <c r="F21" i="27"/>
  <c r="F25" i="27" s="1"/>
  <c r="E21" i="27"/>
  <c r="E25" i="27" s="1"/>
  <c r="D21" i="27"/>
  <c r="D25" i="27" s="1"/>
  <c r="M18" i="27"/>
  <c r="E18" i="27"/>
  <c r="E17" i="27" s="1"/>
  <c r="D17" i="27"/>
  <c r="E19" i="27" s="1"/>
  <c r="C17" i="27"/>
  <c r="E26" i="25" l="1"/>
  <c r="E16" i="27"/>
  <c r="E27" i="27"/>
  <c r="E28" i="27"/>
  <c r="F18" i="27"/>
  <c r="D16" i="27"/>
  <c r="D19" i="27"/>
  <c r="M17" i="27"/>
  <c r="M19" i="27" s="1"/>
  <c r="I26" i="27" s="1"/>
  <c r="I37" i="25"/>
  <c r="N36" i="25" s="1"/>
  <c r="C36" i="27" l="1"/>
  <c r="F17" i="27"/>
  <c r="G18" i="27"/>
  <c r="I27" i="27"/>
  <c r="I28" i="27"/>
  <c r="F19" i="25"/>
  <c r="G19" i="25" s="1"/>
  <c r="G18" i="25" s="1"/>
  <c r="G17" i="25" s="1"/>
  <c r="E18" i="25"/>
  <c r="E17" i="25" s="1"/>
  <c r="F16" i="27" l="1"/>
  <c r="F19" i="27"/>
  <c r="G17" i="27"/>
  <c r="H18" i="27"/>
  <c r="H17" i="27" s="1"/>
  <c r="M36" i="27"/>
  <c r="M37" i="27" s="1"/>
  <c r="M31" i="27"/>
  <c r="F18" i="25"/>
  <c r="F17" i="25" s="1"/>
  <c r="H19" i="25"/>
  <c r="I19" i="25" s="1"/>
  <c r="I18" i="25" s="1"/>
  <c r="F24" i="25"/>
  <c r="G24" i="25"/>
  <c r="H24" i="25"/>
  <c r="I24" i="25"/>
  <c r="I34" i="25"/>
  <c r="I33" i="25"/>
  <c r="D34" i="25"/>
  <c r="D33" i="25"/>
  <c r="I35" i="25" l="1"/>
  <c r="D27" i="25" s="1"/>
  <c r="F27" i="27"/>
  <c r="F28" i="27"/>
  <c r="H16" i="27"/>
  <c r="I17" i="27"/>
  <c r="G16" i="27"/>
  <c r="H19" i="27"/>
  <c r="G19" i="27"/>
  <c r="G20" i="25"/>
  <c r="F20" i="25"/>
  <c r="I17" i="25"/>
  <c r="J18" i="25"/>
  <c r="H18" i="25"/>
  <c r="I20" i="25" s="1"/>
  <c r="D18" i="25"/>
  <c r="G28" i="27" l="1"/>
  <c r="G27" i="27"/>
  <c r="H27" i="27"/>
  <c r="H28" i="27"/>
  <c r="M32" i="27" s="1"/>
  <c r="E20" i="25"/>
  <c r="E28" i="25" s="1"/>
  <c r="H17" i="25"/>
  <c r="H20" i="25"/>
  <c r="D29" i="25"/>
  <c r="E29" i="25" l="1"/>
  <c r="F22" i="25"/>
  <c r="F26" i="25" l="1"/>
  <c r="G22" i="25"/>
  <c r="G26" i="25" s="1"/>
  <c r="G28" i="25" l="1"/>
  <c r="G29" i="25"/>
  <c r="F28" i="25"/>
  <c r="F29" i="25"/>
  <c r="H22" i="25"/>
  <c r="I22" i="25" l="1"/>
  <c r="H26" i="25" l="1"/>
  <c r="H28" i="25" l="1"/>
  <c r="H29" i="25"/>
  <c r="N19" i="25"/>
  <c r="I26" i="25"/>
  <c r="I29" i="25" s="1"/>
  <c r="N18" i="25" l="1"/>
  <c r="N20" i="25" s="1"/>
  <c r="I28" i="25"/>
  <c r="J27" i="25" l="1"/>
  <c r="J28" i="25" l="1"/>
  <c r="D32" i="25" s="1"/>
  <c r="J29" i="25"/>
  <c r="N33" i="25" s="1"/>
  <c r="D35" i="25" l="1"/>
  <c r="D37" i="25" s="1"/>
  <c r="N32" i="25" s="1"/>
  <c r="N37" i="25" l="1"/>
  <c r="N38" i="25" s="1"/>
</calcChain>
</file>

<file path=xl/sharedStrings.xml><?xml version="1.0" encoding="utf-8"?>
<sst xmlns="http://schemas.openxmlformats.org/spreadsheetml/2006/main" count="106" uniqueCount="51">
  <si>
    <t>Cash</t>
  </si>
  <si>
    <t>Debt</t>
  </si>
  <si>
    <t>Assumptions</t>
  </si>
  <si>
    <t>DCF Model</t>
  </si>
  <si>
    <t>EBIT</t>
  </si>
  <si>
    <t>Less: Cash Taxes</t>
  </si>
  <si>
    <t>Less: Capex</t>
  </si>
  <si>
    <t>Less: Changes in NWC</t>
  </si>
  <si>
    <t>Plus: D&amp;A</t>
  </si>
  <si>
    <t>Terminal Value</t>
  </si>
  <si>
    <t>Perpetural Growth</t>
  </si>
  <si>
    <t>Tax Rate</t>
  </si>
  <si>
    <t>Discount Rate</t>
  </si>
  <si>
    <t>Perpetural Growth Rate</t>
  </si>
  <si>
    <t>EV/EBITDA Mulltiple</t>
  </si>
  <si>
    <t>Unlevered FCF</t>
  </si>
  <si>
    <t>(Entry)/Exit</t>
  </si>
  <si>
    <t>EV/EBITDA</t>
  </si>
  <si>
    <t>Average</t>
  </si>
  <si>
    <t>Transaction Date</t>
  </si>
  <si>
    <t>Discounted Cash Flow</t>
  </si>
  <si>
    <t>Shares Outstanding</t>
  </si>
  <si>
    <t>Entry</t>
  </si>
  <si>
    <t>Exit</t>
  </si>
  <si>
    <t>Date</t>
  </si>
  <si>
    <t>Current Price</t>
  </si>
  <si>
    <t>Market Cap</t>
  </si>
  <si>
    <t>Plus: Debt</t>
  </si>
  <si>
    <t>Less: Cash</t>
  </si>
  <si>
    <t>Enterprise Value</t>
  </si>
  <si>
    <t>Plus: Cash</t>
  </si>
  <si>
    <t>Less: Debt</t>
  </si>
  <si>
    <t>Equity Value</t>
  </si>
  <si>
    <t>Equity Value/Share</t>
  </si>
  <si>
    <t>Intrinsic Value</t>
  </si>
  <si>
    <t>Market Value</t>
  </si>
  <si>
    <t>Rate of Return</t>
  </si>
  <si>
    <t>Target Price Upside</t>
  </si>
  <si>
    <t>Capex</t>
  </si>
  <si>
    <t>Fiscal Year End</t>
  </si>
  <si>
    <t>Transaction CF</t>
  </si>
  <si>
    <t>Year Fraction</t>
  </si>
  <si>
    <t>Time Periods</t>
  </si>
  <si>
    <t>1. NWC = Current Assets (less cash) - Current Liabilities (less debt)</t>
  </si>
  <si>
    <t>2. NWC = Accounts Receivable + Inventory - Accounts Payable</t>
  </si>
  <si>
    <t>Market Value vs Intrinsic Value</t>
  </si>
  <si>
    <t>Upside</t>
  </si>
  <si>
    <t>Internal Rate of Return (IRR)</t>
  </si>
  <si>
    <t xml:space="preserve">Notes: </t>
  </si>
  <si>
    <t xml:space="preserve">DCF </t>
  </si>
  <si>
    <t>swz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</si>
</sst>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(#,##0\)_-;_-* &quot;-&quot;_-;_-@_-"/>
    <numFmt numFmtId="166" formatCode="_-* #,##0_-;\-* #,##0_-;_-* &quot;-&quot;??_-;_-@_-"/>
    <numFmt numFmtId="167" formatCode="_(* #,##0_);_(* \(#,##0\);_(* &quot;-&quot;??_);_(@_)"/>
    <numFmt numFmtId="168" formatCode="0.0\x"/>
    <numFmt numFmtId="169" formatCode="_-* #,##0.00_-;\(#,##0.00\)_-;_-* &quot;-&quot;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0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rgb="FF0000FF"/>
      <name val="Open Sans"/>
      <family val="2"/>
    </font>
    <font>
      <b/>
      <sz val="10"/>
      <name val="Open Sans"/>
      <family val="2"/>
    </font>
    <font>
      <sz val="10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00FF"/>
      <name val="Open Sans"/>
      <family val="2"/>
    </font>
    <font>
      <i/>
      <sz val="10"/>
      <name val="Open Sans"/>
      <family val="2"/>
    </font>
    <font>
      <u/>
      <sz val="10"/>
      <color theme="10"/>
      <name val="Arial"/>
      <family val="2"/>
    </font>
    <font>
      <sz val="8"/>
      <color theme="2" tint="-0.249977111117893"/>
      <name val="Open Sans"/>
      <family val="2"/>
    </font>
    <font>
      <sz val="12"/>
      <color theme="2" tint="-0.249977111117893"/>
      <name val="Open Sans"/>
      <family val="2"/>
    </font>
    <font>
      <sz val="12"/>
      <color theme="2" tint="-0.249977111117893"/>
      <name val="Arial Narrow"/>
      <family val="2"/>
    </font>
    <font>
      <b/>
      <sz val="10"/>
      <color theme="2" tint="-0.249977111117893"/>
      <name val="Open Sans"/>
      <family val="2"/>
    </font>
    <font>
      <b/>
      <sz val="11"/>
      <color theme="2" tint="-0.249977111117893"/>
      <name val="Open Sans"/>
      <family val="2"/>
    </font>
    <font>
      <sz val="10"/>
      <color theme="0"/>
      <name val="Open Sans"/>
      <family val="2"/>
    </font>
    <font>
      <b/>
      <i/>
      <sz val="10"/>
      <color theme="0"/>
      <name val="Open Sans"/>
    </font>
    <font>
      <i/>
      <sz val="10"/>
      <color theme="0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165" fontId="2" fillId="0" borderId="0" xfId="1" applyNumberFormat="1" applyFont="1"/>
    <xf numFmtId="165" fontId="2" fillId="0" borderId="0" xfId="1" applyNumberFormat="1" applyFont="1" applyAlignment="1">
      <alignment horizontal="center"/>
    </xf>
    <xf numFmtId="165" fontId="4" fillId="0" borderId="0" xfId="1" applyNumberFormat="1" applyFont="1"/>
    <xf numFmtId="165" fontId="5" fillId="0" borderId="0" xfId="1" applyNumberFormat="1" applyFont="1"/>
    <xf numFmtId="165" fontId="4" fillId="0" borderId="0" xfId="1" applyNumberFormat="1" applyFont="1" applyAlignment="1">
      <alignment horizontal="center"/>
    </xf>
    <xf numFmtId="165" fontId="6" fillId="0" borderId="0" xfId="1" applyNumberFormat="1" applyFont="1"/>
    <xf numFmtId="165" fontId="8" fillId="0" borderId="0" xfId="1" applyNumberFormat="1" applyFont="1"/>
    <xf numFmtId="9" fontId="6" fillId="0" borderId="0" xfId="2" applyFont="1" applyAlignment="1">
      <alignment horizontal="right"/>
    </xf>
    <xf numFmtId="168" fontId="6" fillId="0" borderId="0" xfId="1" applyNumberFormat="1" applyFont="1" applyAlignment="1">
      <alignment horizontal="right"/>
    </xf>
    <xf numFmtId="14" fontId="6" fillId="0" borderId="0" xfId="1" applyNumberFormat="1" applyFont="1"/>
    <xf numFmtId="164" fontId="6" fillId="0" borderId="0" xfId="1" applyFont="1" applyAlignment="1">
      <alignment horizontal="right"/>
    </xf>
    <xf numFmtId="166" fontId="6" fillId="0" borderId="0" xfId="1" applyNumberFormat="1" applyFont="1" applyAlignment="1">
      <alignment horizontal="right"/>
    </xf>
    <xf numFmtId="165" fontId="4" fillId="0" borderId="1" xfId="1" applyNumberFormat="1" applyFont="1" applyBorder="1"/>
    <xf numFmtId="165" fontId="4" fillId="0" borderId="0" xfId="1" applyNumberFormat="1" applyFont="1" applyBorder="1"/>
    <xf numFmtId="167" fontId="4" fillId="0" borderId="0" xfId="1" applyNumberFormat="1" applyFont="1"/>
    <xf numFmtId="165" fontId="6" fillId="0" borderId="0" xfId="1" applyNumberFormat="1" applyFont="1" applyBorder="1"/>
    <xf numFmtId="167" fontId="6" fillId="0" borderId="0" xfId="1" applyNumberFormat="1" applyFont="1"/>
    <xf numFmtId="165" fontId="4" fillId="0" borderId="0" xfId="1" applyNumberFormat="1" applyFont="1" applyFill="1"/>
    <xf numFmtId="9" fontId="4" fillId="0" borderId="0" xfId="2" applyFont="1"/>
    <xf numFmtId="169" fontId="4" fillId="0" borderId="0" xfId="1" applyNumberFormat="1" applyFont="1"/>
    <xf numFmtId="164" fontId="9" fillId="0" borderId="0" xfId="1" applyFont="1" applyBorder="1"/>
    <xf numFmtId="165" fontId="9" fillId="0" borderId="0" xfId="1" applyNumberFormat="1" applyFont="1"/>
    <xf numFmtId="165" fontId="8" fillId="0" borderId="0" xfId="1" applyNumberFormat="1" applyFont="1" applyBorder="1"/>
    <xf numFmtId="9" fontId="6" fillId="0" borderId="0" xfId="2" applyFont="1" applyBorder="1" applyAlignment="1">
      <alignment horizontal="right"/>
    </xf>
    <xf numFmtId="14" fontId="6" fillId="0" borderId="0" xfId="1" applyNumberFormat="1" applyFont="1" applyFill="1"/>
    <xf numFmtId="14" fontId="9" fillId="0" borderId="0" xfId="1" applyNumberFormat="1" applyFont="1" applyBorder="1"/>
    <xf numFmtId="14" fontId="9" fillId="0" borderId="0" xfId="1" applyNumberFormat="1" applyFont="1" applyFill="1" applyBorder="1"/>
    <xf numFmtId="165" fontId="9" fillId="0" borderId="0" xfId="1" applyNumberFormat="1" applyFont="1" applyBorder="1"/>
    <xf numFmtId="1" fontId="9" fillId="0" borderId="0" xfId="1" applyNumberFormat="1" applyFont="1"/>
    <xf numFmtId="1" fontId="12" fillId="0" borderId="0" xfId="1" applyNumberFormat="1" applyFont="1"/>
    <xf numFmtId="14" fontId="13" fillId="0" borderId="0" xfId="1" applyNumberFormat="1" applyFont="1" applyBorder="1"/>
    <xf numFmtId="9" fontId="4" fillId="0" borderId="0" xfId="2" applyFont="1" applyBorder="1"/>
    <xf numFmtId="165" fontId="4" fillId="0" borderId="0" xfId="1" applyNumberFormat="1" applyFont="1" applyAlignment="1">
      <alignment horizontal="left" indent="5"/>
    </xf>
    <xf numFmtId="0" fontId="11" fillId="0" borderId="0" xfId="0" applyFont="1" applyAlignment="1">
      <alignment horizontal="right"/>
    </xf>
    <xf numFmtId="0" fontId="10" fillId="0" borderId="0" xfId="4" applyAlignment="1">
      <alignment horizontal="right"/>
    </xf>
    <xf numFmtId="165" fontId="15" fillId="0" borderId="0" xfId="1" applyNumberFormat="1" applyFont="1" applyFill="1"/>
    <xf numFmtId="165" fontId="16" fillId="0" borderId="0" xfId="1" applyNumberFormat="1" applyFont="1" applyFill="1"/>
    <xf numFmtId="165" fontId="16" fillId="0" borderId="0" xfId="1" applyNumberFormat="1" applyFont="1" applyFill="1" applyAlignment="1">
      <alignment horizontal="center"/>
    </xf>
    <xf numFmtId="165" fontId="17" fillId="0" borderId="0" xfId="1" applyNumberFormat="1" applyFont="1" applyFill="1"/>
    <xf numFmtId="0" fontId="18" fillId="0" borderId="0" xfId="0" applyFont="1" applyFill="1" applyAlignment="1">
      <alignment vertical="center"/>
    </xf>
    <xf numFmtId="0" fontId="19" fillId="0" borderId="0" xfId="0" applyFont="1" applyFill="1"/>
    <xf numFmtId="165" fontId="7" fillId="0" borderId="0" xfId="1" applyNumberFormat="1" applyFont="1" applyFill="1" applyBorder="1"/>
    <xf numFmtId="165" fontId="6" fillId="0" borderId="0" xfId="1" applyNumberFormat="1" applyFont="1" applyFill="1" applyBorder="1"/>
    <xf numFmtId="165" fontId="6" fillId="0" borderId="0" xfId="1" applyNumberFormat="1" applyFont="1" applyFill="1"/>
    <xf numFmtId="165" fontId="4" fillId="2" borderId="0" xfId="1" applyNumberFormat="1" applyFont="1" applyFill="1"/>
    <xf numFmtId="165" fontId="5" fillId="2" borderId="0" xfId="1" applyNumberFormat="1" applyFont="1" applyFill="1"/>
    <xf numFmtId="165" fontId="4" fillId="2" borderId="0" xfId="1" applyNumberFormat="1" applyFont="1" applyFill="1" applyAlignment="1">
      <alignment horizontal="center"/>
    </xf>
    <xf numFmtId="165" fontId="2" fillId="2" borderId="0" xfId="1" applyNumberFormat="1" applyFont="1" applyFill="1"/>
    <xf numFmtId="165" fontId="3" fillId="3" borderId="0" xfId="1" applyNumberFormat="1" applyFont="1" applyFill="1" applyBorder="1"/>
    <xf numFmtId="165" fontId="20" fillId="3" borderId="0" xfId="1" applyNumberFormat="1" applyFont="1" applyFill="1" applyBorder="1"/>
    <xf numFmtId="165" fontId="3" fillId="3" borderId="0" xfId="1" applyNumberFormat="1" applyFont="1" applyFill="1" applyBorder="1" applyAlignment="1">
      <alignment horizontal="right"/>
    </xf>
    <xf numFmtId="0" fontId="3" fillId="3" borderId="0" xfId="1" applyNumberFormat="1" applyFont="1" applyFill="1" applyBorder="1"/>
    <xf numFmtId="165" fontId="21" fillId="3" borderId="0" xfId="1" applyNumberFormat="1" applyFont="1" applyFill="1" applyBorder="1"/>
    <xf numFmtId="165" fontId="22" fillId="3" borderId="0" xfId="1" applyNumberFormat="1" applyFont="1" applyFill="1" applyBorder="1"/>
    <xf numFmtId="165" fontId="21" fillId="3" borderId="0" xfId="1" applyNumberFormat="1" applyFont="1" applyFill="1" applyBorder="1" applyAlignment="1">
      <alignment horizontal="right"/>
    </xf>
    <xf numFmtId="0" fontId="21" fillId="3" borderId="0" xfId="1" applyNumberFormat="1" applyFont="1" applyFill="1" applyBorder="1"/>
  </cellXfs>
  <cellStyles count="8">
    <cellStyle name="Comma" xfId="1" builtinId="3"/>
    <cellStyle name="Hyperlink" xfId="4" builtinId="8"/>
    <cellStyle name="Hyperlink 2" xfId="6" xr:uid="{00000000-0005-0000-0000-000002000000}"/>
    <cellStyle name="Hyperlink 3" xfId="3" xr:uid="{00000000-0005-0000-0000-000003000000}"/>
    <cellStyle name="Normal" xfId="0" builtinId="0"/>
    <cellStyle name="Normal 2" xfId="5" xr:uid="{00000000-0005-0000-0000-000005000000}"/>
    <cellStyle name="Normal 2 2 2" xfId="7" xr:uid="{65687AD3-88B9-461F-8736-3AEEF1815662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 Model'!$E$18:$I$18</c:f>
              <c:numCache>
                <c:formatCode>m/d/yy</c:formatCode>
                <c:ptCount val="5"/>
                <c:pt idx="0">
                  <c:v>43281</c:v>
                </c:pt>
                <c:pt idx="1">
                  <c:v>43646</c:v>
                </c:pt>
                <c:pt idx="2">
                  <c:v>44012</c:v>
                </c:pt>
                <c:pt idx="3">
                  <c:v>44377</c:v>
                </c:pt>
                <c:pt idx="4">
                  <c:v>44742</c:v>
                </c:pt>
              </c:numCache>
            </c:numRef>
          </c:cat>
          <c:val>
            <c:numRef>
              <c:f>'DCF Model'!$E$28:$I$28</c:f>
              <c:numCache>
                <c:formatCode>_-* #,##0_-;\(#,##0\)_-;_-* "-"_-;_-@_-</c:formatCode>
                <c:ptCount val="5"/>
                <c:pt idx="0">
                  <c:v>17747.131000000001</c:v>
                </c:pt>
                <c:pt idx="1">
                  <c:v>37715.192064999996</c:v>
                </c:pt>
                <c:pt idx="2">
                  <c:v>41501.07372819999</c:v>
                </c:pt>
                <c:pt idx="3">
                  <c:v>43510.461665686991</c:v>
                </c:pt>
                <c:pt idx="4">
                  <c:v>47008.029943582238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A-4754-B867-94CF948C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 Model'!$E$18:$I$18</c:f>
              <c:numCache>
                <c:formatCode>m/d/yy</c:formatCode>
                <c:ptCount val="5"/>
                <c:pt idx="0">
                  <c:v>43281</c:v>
                </c:pt>
                <c:pt idx="1">
                  <c:v>43646</c:v>
                </c:pt>
                <c:pt idx="2">
                  <c:v>44012</c:v>
                </c:pt>
                <c:pt idx="3">
                  <c:v>44377</c:v>
                </c:pt>
                <c:pt idx="4">
                  <c:v>44742</c:v>
                </c:pt>
              </c:numCache>
            </c:numRef>
          </c:cat>
          <c:val>
            <c:numRef>
              <c:f>'DCF Model'!$E$28:$I$28</c:f>
              <c:numCache>
                <c:formatCode>_-* #,##0_-;\(#,##0\)_-;_-* "-"_-;_-@_-</c:formatCode>
                <c:ptCount val="5"/>
                <c:pt idx="0">
                  <c:v>17747.131000000001</c:v>
                </c:pt>
                <c:pt idx="1">
                  <c:v>37715.192064999996</c:v>
                </c:pt>
                <c:pt idx="2">
                  <c:v>41501.07372819999</c:v>
                </c:pt>
                <c:pt idx="3">
                  <c:v>43510.461665686991</c:v>
                </c:pt>
                <c:pt idx="4">
                  <c:v>47008.029943582238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1-7E45-9648-70139E7E4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/>
              <a:t>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bg2"/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'DCF Model'!$E$18:$I$18</c:f>
              <c:numCache>
                <c:formatCode>m/d/yy</c:formatCode>
                <c:ptCount val="5"/>
                <c:pt idx="0">
                  <c:v>43281</c:v>
                </c:pt>
                <c:pt idx="1">
                  <c:v>43646</c:v>
                </c:pt>
                <c:pt idx="2">
                  <c:v>44012</c:v>
                </c:pt>
                <c:pt idx="3">
                  <c:v>44377</c:v>
                </c:pt>
                <c:pt idx="4">
                  <c:v>44742</c:v>
                </c:pt>
              </c:numCache>
            </c:numRef>
          </c:cat>
          <c:val>
            <c:numRef>
              <c:f>'DCF Model'!$E$28:$I$28</c:f>
              <c:numCache>
                <c:formatCode>_-* #,##0_-;\(#,##0\)_-;_-* "-"_-;_-@_-</c:formatCode>
                <c:ptCount val="5"/>
                <c:pt idx="0">
                  <c:v>17747.131000000001</c:v>
                </c:pt>
                <c:pt idx="1">
                  <c:v>37715.192064999996</c:v>
                </c:pt>
                <c:pt idx="2">
                  <c:v>41501.07372819999</c:v>
                </c:pt>
                <c:pt idx="3">
                  <c:v>43510.461665686991</c:v>
                </c:pt>
                <c:pt idx="4">
                  <c:v>47008.029943582238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2D-3B43-A9A3-D18CAB4A2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42849320"/>
        <c:axId val="542849648"/>
      </c:barChart>
      <c:dateAx>
        <c:axId val="54284932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64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542849648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4284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dataLabels pos="outEnd">
            <cx:visibility seriesName="0" categoryName="0" value="1"/>
          </cx:dataLabels>
          <cx:dataId val="0"/>
          <cx:layoutPr>
            <cx:visibility connectorLines="1"/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r>
              <a:rPr 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Market Value vs Intrinsic Value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waterfall" uniqueId="{8DE9D384-90CA-46AD-9838-15A56339DF8B}" formatIdx="1">
          <cx:spPr>
            <a:solidFill>
              <a:schemeClr val="bg2"/>
            </a:solidFill>
          </cx:spPr>
          <cx:dataPt idx="0">
            <cx:spPr>
              <a:solidFill>
                <a:srgbClr val="1E8496">
                  <a:lumMod val="75000"/>
                </a:srgbClr>
              </a:solidFill>
            </cx:spPr>
          </cx:dataPt>
          <cx:dataPt idx="1">
            <cx:spPr>
              <a:solidFill>
                <a:srgbClr val="1E8496">
                  <a:lumMod val="60000"/>
                  <a:lumOff val="40000"/>
                </a:srgbClr>
              </a:solidFill>
            </cx:spPr>
          </cx:dataPt>
          <cx:dataPt idx="2">
            <cx:spPr>
              <a:solidFill>
                <a:srgbClr val="1E8496">
                  <a:lumMod val="40000"/>
                  <a:lumOff val="60000"/>
                </a:srgbClr>
              </a:solidFill>
            </cx:spPr>
          </cx:dataPt>
          <cx:dataLabels pos="outEnd">
            <cx:numFmt formatCode="$#,##0.00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2"/>
                    </a:solidFill>
                  </a:defRPr>
                </a:pPr>
                <a:endParaRPr lang="en-US" sz="900" b="0" i="0" u="none" strike="noStrike" baseline="0">
                  <a:solidFill>
                    <a:schemeClr val="bg2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subtotals>
              <cx:idx val="2"/>
            </cx:subtotals>
          </cx:layoutPr>
        </cx:series>
      </cx:plotAreaRegion>
      <cx:axis id="0">
        <cx:catScaling gapWidth="0.5"/>
        <cx:tickLabels/>
      </cx:axis>
      <cx:axis id="1">
        <cx:valScaling/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jpeg"/><Relationship Id="rId1" Type="http://schemas.openxmlformats.org/officeDocument/2006/relationships/hyperlink" Target="https://corporatefinanceinstitute.com/?utm_source=excel&amp;utm_medium=template&amp;utm_campaign=excel_template" TargetMode="External"/><Relationship Id="rId5" Type="http://schemas.openxmlformats.org/officeDocument/2006/relationships/chart" Target="../charts/chart2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42</xdr:row>
      <xdr:rowOff>129314</xdr:rowOff>
    </xdr:from>
    <xdr:to>
      <xdr:col>12</xdr:col>
      <xdr:colOff>740410</xdr:colOff>
      <xdr:row>46</xdr:row>
      <xdr:rowOff>104773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3C2993-3553-4689-91E4-AE8D129BF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1" y="8714514"/>
          <a:ext cx="742950" cy="788259"/>
        </a:xfrm>
        <a:prstGeom prst="rect">
          <a:avLst/>
        </a:prstGeom>
      </xdr:spPr>
    </xdr:pic>
    <xdr:clientData/>
  </xdr:twoCellAnchor>
  <xdr:twoCellAnchor>
    <xdr:from>
      <xdr:col>4</xdr:col>
      <xdr:colOff>714376</xdr:colOff>
      <xdr:row>3</xdr:row>
      <xdr:rowOff>28575</xdr:rowOff>
    </xdr:from>
    <xdr:to>
      <xdr:col>9</xdr:col>
      <xdr:colOff>771525</xdr:colOff>
      <xdr:row>14</xdr:row>
      <xdr:rowOff>51063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31E59A-1A30-40A8-B4F9-0770A24C3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257174</xdr:colOff>
      <xdr:row>3</xdr:row>
      <xdr:rowOff>47626</xdr:rowOff>
    </xdr:from>
    <xdr:to>
      <xdr:col>13</xdr:col>
      <xdr:colOff>781049</xdr:colOff>
      <xdr:row>14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279C28A-B758-47E1-9CB3-ABF566CBF1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9174" y="746126"/>
              <a:ext cx="3381375" cy="245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714376</xdr:colOff>
      <xdr:row>3</xdr:row>
      <xdr:rowOff>28575</xdr:rowOff>
    </xdr:from>
    <xdr:to>
      <xdr:col>9</xdr:col>
      <xdr:colOff>771525</xdr:colOff>
      <xdr:row>14</xdr:row>
      <xdr:rowOff>51063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C1731B-D6D2-1346-856F-05223E4A33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571500</xdr:colOff>
      <xdr:row>40</xdr:row>
      <xdr:rowOff>165100</xdr:rowOff>
    </xdr:from>
    <xdr:to>
      <xdr:col>13</xdr:col>
      <xdr:colOff>38100</xdr:colOff>
      <xdr:row>47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2FEDE7-ABBD-1F4B-867F-F041012E785E}"/>
            </a:ext>
          </a:extLst>
        </xdr:cNvPr>
        <xdr:cNvSpPr/>
      </xdr:nvSpPr>
      <xdr:spPr>
        <a:xfrm>
          <a:off x="9906000" y="8851900"/>
          <a:ext cx="1371600" cy="1473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714376</xdr:colOff>
      <xdr:row>2</xdr:row>
      <xdr:rowOff>28575</xdr:rowOff>
    </xdr:from>
    <xdr:to>
      <xdr:col>8</xdr:col>
      <xdr:colOff>771525</xdr:colOff>
      <xdr:row>13</xdr:row>
      <xdr:rowOff>51063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AE5648-1DEC-3047-8CC4-936FE935F3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257174</xdr:colOff>
      <xdr:row>2</xdr:row>
      <xdr:rowOff>47626</xdr:rowOff>
    </xdr:from>
    <xdr:to>
      <xdr:col>12</xdr:col>
      <xdr:colOff>781049</xdr:colOff>
      <xdr:row>13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26038BB-B5CB-914A-871E-191C11DB52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9174" y="746126"/>
              <a:ext cx="3381375" cy="2451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showGridLines="0" tabSelected="1" zoomScaleNormal="100" workbookViewId="0">
      <selection activeCell="O26" sqref="O26"/>
    </sheetView>
  </sheetViews>
  <sheetFormatPr baseColWidth="10" defaultColWidth="9.1640625" defaultRowHeight="16" x14ac:dyDescent="0.2"/>
  <cols>
    <col min="1" max="1" width="3.5" style="1" customWidth="1"/>
    <col min="2" max="2" width="12.6640625" style="1" customWidth="1"/>
    <col min="3" max="3" width="12.5" style="1" customWidth="1"/>
    <col min="4" max="4" width="11.33203125" style="2" customWidth="1"/>
    <col min="5" max="9" width="11.5" style="1" customWidth="1"/>
    <col min="10" max="14" width="12.5" style="1" customWidth="1"/>
    <col min="15" max="16384" width="9.1640625" style="1"/>
  </cols>
  <sheetData>
    <row r="1" spans="1:15" ht="19" x14ac:dyDescent="0.25">
      <c r="A1" s="36"/>
      <c r="B1" s="37"/>
      <c r="C1" s="37"/>
      <c r="D1" s="38"/>
      <c r="E1" s="38"/>
      <c r="F1" s="38"/>
      <c r="G1" s="38"/>
      <c r="H1" s="36"/>
      <c r="I1" s="37"/>
      <c r="J1" s="37"/>
      <c r="K1" s="38"/>
      <c r="L1" s="38"/>
      <c r="M1" s="38"/>
      <c r="N1" s="38"/>
      <c r="O1" s="39"/>
    </row>
    <row r="2" spans="1:15" ht="19" x14ac:dyDescent="0.25">
      <c r="A2" s="37"/>
      <c r="B2" s="40" t="s">
        <v>49</v>
      </c>
      <c r="C2" s="41"/>
      <c r="D2" s="41"/>
      <c r="E2" s="41"/>
      <c r="F2" s="38"/>
      <c r="G2" s="38"/>
      <c r="H2" s="37"/>
      <c r="I2" s="40"/>
      <c r="J2" s="41"/>
      <c r="K2" s="41"/>
      <c r="L2" s="41"/>
      <c r="M2" s="38"/>
      <c r="N2" s="38"/>
      <c r="O2" s="39"/>
    </row>
    <row r="3" spans="1:15" ht="17" x14ac:dyDescent="0.25">
      <c r="A3" s="3"/>
      <c r="B3" s="4"/>
      <c r="C3" s="3"/>
      <c r="D3" s="5"/>
      <c r="E3" s="6"/>
      <c r="F3" s="6"/>
      <c r="G3" s="6"/>
      <c r="H3" s="6"/>
      <c r="I3" s="6"/>
      <c r="J3" s="3"/>
      <c r="K3" s="3"/>
      <c r="L3" s="3"/>
      <c r="M3" s="3"/>
      <c r="N3" s="3"/>
      <c r="O3" s="3"/>
    </row>
    <row r="4" spans="1:15" ht="17" x14ac:dyDescent="0.25">
      <c r="A4" s="3"/>
      <c r="B4" s="42" t="s">
        <v>2</v>
      </c>
      <c r="C4" s="43"/>
      <c r="D4" s="43"/>
      <c r="E4" s="44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7" x14ac:dyDescent="0.25">
      <c r="A5" s="3"/>
      <c r="B5" s="23" t="s">
        <v>11</v>
      </c>
      <c r="C5" s="16"/>
      <c r="D5" s="24">
        <v>0.25</v>
      </c>
      <c r="E5" s="6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7" x14ac:dyDescent="0.25">
      <c r="A6" s="3"/>
      <c r="B6" s="7" t="s">
        <v>12</v>
      </c>
      <c r="C6" s="3"/>
      <c r="D6" s="8">
        <v>0.12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7" x14ac:dyDescent="0.25">
      <c r="A7" s="3"/>
      <c r="B7" s="3" t="s">
        <v>13</v>
      </c>
      <c r="C7" s="3"/>
      <c r="D7" s="8">
        <v>0.03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7" x14ac:dyDescent="0.25">
      <c r="A8" s="3"/>
      <c r="B8" s="3" t="s">
        <v>14</v>
      </c>
      <c r="C8" s="3"/>
      <c r="D8" s="9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7" x14ac:dyDescent="0.25">
      <c r="A9" s="3"/>
      <c r="B9" s="3" t="s">
        <v>19</v>
      </c>
      <c r="C9" s="3"/>
      <c r="D9" s="10">
        <v>43100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7" x14ac:dyDescent="0.25">
      <c r="A10" s="3"/>
      <c r="B10" s="3" t="s">
        <v>39</v>
      </c>
      <c r="C10" s="3"/>
      <c r="D10" s="25">
        <v>43281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7" x14ac:dyDescent="0.25">
      <c r="A11" s="3"/>
      <c r="B11" s="3" t="s">
        <v>25</v>
      </c>
      <c r="C11" s="3"/>
      <c r="D11" s="11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7" x14ac:dyDescent="0.25">
      <c r="A12" s="3"/>
      <c r="B12" s="3" t="s">
        <v>21</v>
      </c>
      <c r="C12" s="3"/>
      <c r="D12" s="12">
        <v>20000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7" x14ac:dyDescent="0.25">
      <c r="A13" s="3"/>
      <c r="B13" s="3" t="s">
        <v>1</v>
      </c>
      <c r="C13" s="3"/>
      <c r="D13" s="12">
        <v>30000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7" x14ac:dyDescent="0.25">
      <c r="A14" s="3"/>
      <c r="B14" s="3" t="s">
        <v>0</v>
      </c>
      <c r="C14" s="3"/>
      <c r="D14" s="12">
        <v>239549.5203651849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7" x14ac:dyDescent="0.25">
      <c r="A15" s="3"/>
      <c r="B15" s="3" t="s">
        <v>38</v>
      </c>
      <c r="C15" s="3"/>
      <c r="D15" s="6">
        <v>15000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7" x14ac:dyDescent="0.25">
      <c r="A16" s="3"/>
      <c r="B16" s="3"/>
      <c r="C16" s="3"/>
      <c r="D16" s="10"/>
      <c r="J16" s="3"/>
      <c r="K16" s="3"/>
      <c r="L16" s="3"/>
      <c r="M16" s="3"/>
      <c r="N16" s="3"/>
      <c r="O16" s="3"/>
    </row>
    <row r="17" spans="1:15" ht="17" x14ac:dyDescent="0.25">
      <c r="A17" s="3"/>
      <c r="B17" s="53" t="s">
        <v>20</v>
      </c>
      <c r="C17" s="54"/>
      <c r="D17" s="55" t="s">
        <v>22</v>
      </c>
      <c r="E17" s="56">
        <f>YEAR(E18)</f>
        <v>2018</v>
      </c>
      <c r="F17" s="56">
        <f t="shared" ref="F17:I17" si="0">YEAR(F18)</f>
        <v>2019</v>
      </c>
      <c r="G17" s="56">
        <f t="shared" si="0"/>
        <v>2020</v>
      </c>
      <c r="H17" s="56">
        <f t="shared" si="0"/>
        <v>2021</v>
      </c>
      <c r="I17" s="56">
        <f t="shared" si="0"/>
        <v>2022</v>
      </c>
      <c r="J17" s="55" t="s">
        <v>23</v>
      </c>
      <c r="K17" s="3"/>
      <c r="L17" s="53" t="s">
        <v>9</v>
      </c>
      <c r="M17" s="54"/>
      <c r="N17" s="54"/>
      <c r="O17" s="3"/>
    </row>
    <row r="18" spans="1:15" ht="17" x14ac:dyDescent="0.25">
      <c r="A18" s="3"/>
      <c r="B18" s="14" t="s">
        <v>24</v>
      </c>
      <c r="C18" s="14"/>
      <c r="D18" s="26">
        <f>D9</f>
        <v>43100</v>
      </c>
      <c r="E18" s="27">
        <f>DATE(YEAR($D$10)+E19,6,30)</f>
        <v>43281</v>
      </c>
      <c r="F18" s="27">
        <f>DATE(YEAR($D$10)+F19,6,30)</f>
        <v>43646</v>
      </c>
      <c r="G18" s="27">
        <f>DATE(YEAR($D$10)+G19,6,30)</f>
        <v>44012</v>
      </c>
      <c r="H18" s="27">
        <f>DATE(YEAR($D$10)+H19,6,30)</f>
        <v>44377</v>
      </c>
      <c r="I18" s="27">
        <f>DATE(YEAR($D$10)+I19,6,30)</f>
        <v>44742</v>
      </c>
      <c r="J18" s="31">
        <f>I18</f>
        <v>44742</v>
      </c>
      <c r="K18" s="3"/>
      <c r="L18" s="14" t="s">
        <v>10</v>
      </c>
      <c r="M18" s="14"/>
      <c r="N18" s="14">
        <f>(I26*(1+D7))/(D6-D7)</f>
        <v>537980.78713210789</v>
      </c>
      <c r="O18" s="3"/>
    </row>
    <row r="19" spans="1:15" ht="17" x14ac:dyDescent="0.25">
      <c r="A19" s="3"/>
      <c r="B19" s="28" t="s">
        <v>42</v>
      </c>
      <c r="C19" s="28"/>
      <c r="D19" s="26"/>
      <c r="E19" s="30">
        <v>0</v>
      </c>
      <c r="F19" s="29">
        <f>E19+1</f>
        <v>1</v>
      </c>
      <c r="G19" s="29">
        <f>F19+1</f>
        <v>2</v>
      </c>
      <c r="H19" s="29">
        <f t="shared" ref="H19:I19" si="1">G19+1</f>
        <v>3</v>
      </c>
      <c r="I19" s="29">
        <f t="shared" si="1"/>
        <v>4</v>
      </c>
      <c r="J19" s="26"/>
      <c r="K19" s="3"/>
      <c r="L19" s="3" t="s">
        <v>17</v>
      </c>
      <c r="M19" s="3"/>
      <c r="N19" s="15">
        <f>D8*(I21+I23)</f>
        <v>546277.73326543428</v>
      </c>
      <c r="O19" s="3"/>
    </row>
    <row r="20" spans="1:15" ht="17" x14ac:dyDescent="0.25">
      <c r="A20" s="3"/>
      <c r="B20" s="22" t="s">
        <v>41</v>
      </c>
      <c r="C20" s="3"/>
      <c r="D20" s="3"/>
      <c r="E20" s="21">
        <f>YEARFRAC(D18,E18)</f>
        <v>0.5</v>
      </c>
      <c r="F20" s="21">
        <f>YEARFRAC(E18,F18)</f>
        <v>1</v>
      </c>
      <c r="G20" s="21">
        <f>YEARFRAC(F18,G18)</f>
        <v>1</v>
      </c>
      <c r="H20" s="21">
        <f>YEARFRAC(G18,H18)</f>
        <v>1</v>
      </c>
      <c r="I20" s="21">
        <f>YEARFRAC(H18,I18)</f>
        <v>1</v>
      </c>
      <c r="J20" s="3"/>
      <c r="K20" s="3"/>
      <c r="L20" s="3" t="s">
        <v>18</v>
      </c>
      <c r="M20" s="3"/>
      <c r="N20" s="13">
        <f>AVERAGE(N18:N19)</f>
        <v>542129.26019877102</v>
      </c>
      <c r="O20" s="3"/>
    </row>
    <row r="21" spans="1:15" ht="17" x14ac:dyDescent="0.25">
      <c r="A21" s="3"/>
      <c r="B21" s="3" t="s">
        <v>4</v>
      </c>
      <c r="C21" s="3"/>
      <c r="D21" s="3"/>
      <c r="E21" s="16">
        <v>47814.456000000006</v>
      </c>
      <c r="F21" s="16">
        <v>51094.853419999992</v>
      </c>
      <c r="G21" s="16">
        <v>55861.390037599995</v>
      </c>
      <c r="H21" s="16">
        <v>58692.857260915989</v>
      </c>
      <c r="I21" s="16">
        <v>63038.584948776319</v>
      </c>
      <c r="J21" s="3"/>
      <c r="K21" s="3"/>
      <c r="L21" s="3"/>
      <c r="M21" s="3"/>
      <c r="N21" s="3"/>
      <c r="O21" s="3"/>
    </row>
    <row r="22" spans="1:15" ht="17" x14ac:dyDescent="0.25">
      <c r="A22" s="3"/>
      <c r="B22" s="3" t="s">
        <v>5</v>
      </c>
      <c r="C22" s="3"/>
      <c r="D22" s="3"/>
      <c r="E22" s="15">
        <f>E21*$D$5</f>
        <v>11953.614000000001</v>
      </c>
      <c r="F22" s="15">
        <f>F21*$D$5</f>
        <v>12773.713354999998</v>
      </c>
      <c r="G22" s="15">
        <f>G21*$D$5</f>
        <v>13965.347509399999</v>
      </c>
      <c r="H22" s="15">
        <f>H21*$D$5</f>
        <v>14673.214315228997</v>
      </c>
      <c r="I22" s="15">
        <f>I21*$D$5</f>
        <v>15759.64623719408</v>
      </c>
      <c r="J22" s="3"/>
      <c r="K22" s="3"/>
      <c r="L22" s="3"/>
      <c r="M22" s="3"/>
      <c r="N22" s="3"/>
      <c r="O22" s="3"/>
    </row>
    <row r="23" spans="1:15" ht="17" x14ac:dyDescent="0.25">
      <c r="A23" s="3"/>
      <c r="B23" s="3" t="s">
        <v>8</v>
      </c>
      <c r="C23" s="3"/>
      <c r="D23" s="3"/>
      <c r="E23" s="17">
        <v>15008.420000000002</v>
      </c>
      <c r="F23" s="17">
        <v>15005.052000000003</v>
      </c>
      <c r="G23" s="17">
        <v>15003.031200000001</v>
      </c>
      <c r="H23" s="17">
        <v>15001.818719999999</v>
      </c>
      <c r="I23" s="17">
        <v>15001.091232000001</v>
      </c>
      <c r="J23" s="3"/>
      <c r="K23" s="3"/>
      <c r="L23" s="3"/>
      <c r="M23" s="3"/>
      <c r="N23" s="3"/>
      <c r="O23" s="3"/>
    </row>
    <row r="24" spans="1:15" ht="17" x14ac:dyDescent="0.25">
      <c r="A24" s="3"/>
      <c r="B24" s="3" t="s">
        <v>6</v>
      </c>
      <c r="C24" s="3"/>
      <c r="D24" s="3"/>
      <c r="E24" s="7">
        <f>$D$15</f>
        <v>15000</v>
      </c>
      <c r="F24" s="7">
        <f t="shared" ref="F24:I24" si="2">$D$15</f>
        <v>15000</v>
      </c>
      <c r="G24" s="7">
        <f t="shared" si="2"/>
        <v>15000</v>
      </c>
      <c r="H24" s="7">
        <f t="shared" si="2"/>
        <v>15000</v>
      </c>
      <c r="I24" s="7">
        <f t="shared" si="2"/>
        <v>15000</v>
      </c>
      <c r="J24" s="3"/>
      <c r="K24" s="3"/>
      <c r="L24" s="3"/>
      <c r="M24" s="3"/>
      <c r="N24" s="3"/>
      <c r="O24" s="3"/>
    </row>
    <row r="25" spans="1:15" ht="17" x14ac:dyDescent="0.25">
      <c r="A25" s="3"/>
      <c r="B25" s="3" t="s">
        <v>7</v>
      </c>
      <c r="C25" s="3"/>
      <c r="D25" s="3"/>
      <c r="E25" s="6">
        <v>375</v>
      </c>
      <c r="F25" s="6">
        <v>611</v>
      </c>
      <c r="G25" s="6">
        <v>398</v>
      </c>
      <c r="H25" s="6">
        <v>511</v>
      </c>
      <c r="I25" s="6">
        <v>272</v>
      </c>
      <c r="J25" s="3"/>
      <c r="K25" s="3"/>
      <c r="L25" s="3"/>
      <c r="M25" s="3"/>
      <c r="N25" s="3"/>
      <c r="O25" s="3"/>
    </row>
    <row r="26" spans="1:15" ht="17" x14ac:dyDescent="0.25">
      <c r="A26" s="3"/>
      <c r="B26" s="3" t="s">
        <v>15</v>
      </c>
      <c r="C26" s="3"/>
      <c r="D26" s="3"/>
      <c r="E26" s="13">
        <f>E21-E22+E23-E24-E25</f>
        <v>35494.262000000002</v>
      </c>
      <c r="F26" s="13">
        <f>F21-F22+F23-F24-F25</f>
        <v>37715.192064999996</v>
      </c>
      <c r="G26" s="13">
        <f>G21-G22+G23-G24-G25</f>
        <v>41501.07372819999</v>
      </c>
      <c r="H26" s="13">
        <f>H21-H22+H23-H24-H25</f>
        <v>43510.461665686991</v>
      </c>
      <c r="I26" s="13">
        <f>I21-I22+I23-I24-I25</f>
        <v>47008.029943582238</v>
      </c>
      <c r="J26" s="3"/>
      <c r="K26" s="3"/>
      <c r="L26" s="3"/>
      <c r="M26" s="3"/>
      <c r="N26" s="3"/>
      <c r="O26" s="3" t="s">
        <v>50</v>
      </c>
    </row>
    <row r="27" spans="1:15" ht="17" x14ac:dyDescent="0.25">
      <c r="A27" s="3"/>
      <c r="B27" s="3" t="s">
        <v>16</v>
      </c>
      <c r="C27" s="3"/>
      <c r="D27" s="18">
        <f>-I35</f>
        <v>-290450.47963481513</v>
      </c>
      <c r="E27" s="3"/>
      <c r="F27" s="3"/>
      <c r="G27" s="3"/>
      <c r="H27" s="3"/>
      <c r="I27" s="3"/>
      <c r="J27" s="18">
        <f>N20</f>
        <v>542129.26019877102</v>
      </c>
      <c r="K27" s="3"/>
      <c r="L27" s="3"/>
      <c r="M27" s="3"/>
      <c r="N27" s="3"/>
      <c r="O27" s="3"/>
    </row>
    <row r="28" spans="1:15" ht="17" x14ac:dyDescent="0.25">
      <c r="A28" s="3"/>
      <c r="B28" s="3" t="s">
        <v>40</v>
      </c>
      <c r="C28" s="3"/>
      <c r="D28" s="13">
        <v>0</v>
      </c>
      <c r="E28" s="13">
        <f>(E27+E26)*E20</f>
        <v>17747.131000000001</v>
      </c>
      <c r="F28" s="13">
        <f t="shared" ref="F28:I28" si="3">(F27+F26)*F20</f>
        <v>37715.192064999996</v>
      </c>
      <c r="G28" s="13">
        <f t="shared" si="3"/>
        <v>41501.07372819999</v>
      </c>
      <c r="H28" s="13">
        <f t="shared" si="3"/>
        <v>43510.461665686991</v>
      </c>
      <c r="I28" s="13">
        <f t="shared" si="3"/>
        <v>47008.029943582238</v>
      </c>
      <c r="J28" s="13">
        <f t="shared" ref="J28" si="4">J27+J26</f>
        <v>542129.26019877102</v>
      </c>
      <c r="K28" s="3"/>
      <c r="L28" s="3"/>
      <c r="M28" s="3"/>
      <c r="N28" s="3"/>
      <c r="O28" s="3"/>
    </row>
    <row r="29" spans="1:15" ht="17" x14ac:dyDescent="0.25">
      <c r="A29" s="3"/>
      <c r="B29" s="3" t="s">
        <v>40</v>
      </c>
      <c r="C29" s="3"/>
      <c r="D29" s="14">
        <f>D27+D26</f>
        <v>-290450.47963481513</v>
      </c>
      <c r="E29" s="14">
        <f>(E27+E26)*E20</f>
        <v>17747.131000000001</v>
      </c>
      <c r="F29" s="14">
        <f t="shared" ref="F29:I29" si="5">(F27+F26)*F20</f>
        <v>37715.192064999996</v>
      </c>
      <c r="G29" s="14">
        <f t="shared" si="5"/>
        <v>41501.07372819999</v>
      </c>
      <c r="H29" s="14">
        <f t="shared" si="5"/>
        <v>43510.461665686991</v>
      </c>
      <c r="I29" s="14">
        <f t="shared" si="5"/>
        <v>47008.029943582238</v>
      </c>
      <c r="J29" s="14">
        <f>J27</f>
        <v>542129.26019877102</v>
      </c>
      <c r="K29" s="3"/>
      <c r="L29" s="3"/>
      <c r="M29" s="3"/>
      <c r="N29" s="3"/>
      <c r="O29" s="3"/>
    </row>
    <row r="30" spans="1:15" ht="17" x14ac:dyDescent="0.25">
      <c r="A30" s="3"/>
      <c r="B30" s="3"/>
      <c r="C30" s="3"/>
      <c r="D30" s="5"/>
      <c r="E30" s="3"/>
      <c r="G30" s="3"/>
      <c r="H30" s="3"/>
      <c r="I30" s="3"/>
      <c r="J30" s="3"/>
      <c r="L30" s="3"/>
      <c r="M30" s="3"/>
      <c r="N30" s="3"/>
      <c r="O30" s="3"/>
    </row>
    <row r="31" spans="1:15" ht="17" x14ac:dyDescent="0.25">
      <c r="A31" s="3"/>
      <c r="B31" s="53" t="s">
        <v>34</v>
      </c>
      <c r="C31" s="54"/>
      <c r="D31" s="54"/>
      <c r="E31" s="3"/>
      <c r="G31" s="53" t="s">
        <v>35</v>
      </c>
      <c r="H31" s="54"/>
      <c r="I31" s="54"/>
      <c r="J31" s="3"/>
      <c r="L31" s="53" t="s">
        <v>36</v>
      </c>
      <c r="M31" s="54"/>
      <c r="N31" s="54"/>
      <c r="O31" s="3"/>
    </row>
    <row r="32" spans="1:15" ht="17" x14ac:dyDescent="0.25">
      <c r="A32" s="3"/>
      <c r="B32" s="14" t="s">
        <v>29</v>
      </c>
      <c r="C32" s="14"/>
      <c r="D32" s="14">
        <f>XNPV(D6,D28:J28,D18:J18)</f>
        <v>462982.97544626752</v>
      </c>
      <c r="E32" s="3"/>
      <c r="G32" s="14" t="s">
        <v>26</v>
      </c>
      <c r="H32" s="14"/>
      <c r="I32" s="14">
        <f>D12*D11</f>
        <v>500000</v>
      </c>
      <c r="J32" s="3"/>
      <c r="L32" s="14" t="s">
        <v>37</v>
      </c>
      <c r="M32" s="14"/>
      <c r="N32" s="32">
        <f>D37/I37-1</f>
        <v>0.34506499162290472</v>
      </c>
      <c r="O32" s="3"/>
    </row>
    <row r="33" spans="1:15" ht="17" x14ac:dyDescent="0.25">
      <c r="A33" s="3"/>
      <c r="B33" s="3" t="s">
        <v>30</v>
      </c>
      <c r="C33" s="3"/>
      <c r="D33" s="3">
        <f>+D14</f>
        <v>239549.5203651849</v>
      </c>
      <c r="E33" s="3"/>
      <c r="G33" s="3" t="s">
        <v>27</v>
      </c>
      <c r="H33" s="3"/>
      <c r="I33" s="3">
        <f>D13</f>
        <v>30000</v>
      </c>
      <c r="J33" s="3"/>
      <c r="L33" s="3" t="s">
        <v>47</v>
      </c>
      <c r="M33" s="3"/>
      <c r="N33" s="19">
        <f>XIRR(D29:J29,D18:J18)</f>
        <v>0.26347765326499939</v>
      </c>
      <c r="O33" s="3"/>
    </row>
    <row r="34" spans="1:15" ht="17" x14ac:dyDescent="0.25">
      <c r="A34" s="3"/>
      <c r="B34" s="3" t="s">
        <v>31</v>
      </c>
      <c r="C34" s="3"/>
      <c r="D34" s="3">
        <f>+D13</f>
        <v>30000</v>
      </c>
      <c r="E34" s="3"/>
      <c r="G34" s="3" t="s">
        <v>28</v>
      </c>
      <c r="H34" s="3"/>
      <c r="I34" s="3">
        <f>+D14</f>
        <v>239549.5203651849</v>
      </c>
      <c r="J34" s="3"/>
      <c r="L34" s="3"/>
      <c r="M34" s="3"/>
      <c r="N34" s="3"/>
      <c r="O34" s="3"/>
    </row>
    <row r="35" spans="1:15" ht="17" x14ac:dyDescent="0.25">
      <c r="A35" s="3"/>
      <c r="B35" s="3" t="s">
        <v>32</v>
      </c>
      <c r="C35" s="3"/>
      <c r="D35" s="13">
        <f>D32+D33-D34</f>
        <v>672532.49581145239</v>
      </c>
      <c r="E35" s="3"/>
      <c r="G35" s="3" t="s">
        <v>29</v>
      </c>
      <c r="H35" s="3"/>
      <c r="I35" s="13">
        <f>I32+I33-I34</f>
        <v>290450.47963481513</v>
      </c>
      <c r="J35" s="3"/>
      <c r="L35" s="53" t="s">
        <v>45</v>
      </c>
      <c r="M35" s="54"/>
      <c r="N35" s="54"/>
      <c r="O35" s="3"/>
    </row>
    <row r="36" spans="1:15" ht="17" x14ac:dyDescent="0.25">
      <c r="A36" s="3"/>
      <c r="B36" s="3"/>
      <c r="C36" s="3"/>
      <c r="D36" s="3"/>
      <c r="E36" s="3"/>
      <c r="G36" s="3"/>
      <c r="H36" s="3"/>
      <c r="I36" s="20"/>
      <c r="J36" s="3"/>
      <c r="L36" s="3" t="s">
        <v>35</v>
      </c>
      <c r="M36" s="3"/>
      <c r="N36" s="20">
        <f>I37</f>
        <v>25</v>
      </c>
      <c r="O36" s="3"/>
    </row>
    <row r="37" spans="1:15" ht="17" x14ac:dyDescent="0.25">
      <c r="A37" s="3"/>
      <c r="B37" s="3" t="s">
        <v>33</v>
      </c>
      <c r="C37" s="3"/>
      <c r="D37" s="20">
        <f>D35/D12</f>
        <v>33.62662479057262</v>
      </c>
      <c r="E37" s="3"/>
      <c r="G37" s="3" t="s">
        <v>33</v>
      </c>
      <c r="H37" s="3"/>
      <c r="I37" s="20">
        <f>D11</f>
        <v>25</v>
      </c>
      <c r="J37" s="3"/>
      <c r="L37" s="3" t="s">
        <v>46</v>
      </c>
      <c r="M37" s="3"/>
      <c r="N37" s="20">
        <f>D37-I37</f>
        <v>8.6266247905726203</v>
      </c>
      <c r="O37" s="3"/>
    </row>
    <row r="38" spans="1:15" ht="17" x14ac:dyDescent="0.25">
      <c r="A38" s="3"/>
      <c r="B38" s="3"/>
      <c r="C38" s="3"/>
      <c r="D38" s="3"/>
      <c r="E38" s="3"/>
      <c r="G38" s="3"/>
      <c r="H38" s="3"/>
      <c r="I38" s="3"/>
      <c r="J38" s="3"/>
      <c r="L38" s="3" t="s">
        <v>34</v>
      </c>
      <c r="M38" s="3"/>
      <c r="N38" s="20">
        <f>SUM(N36:N37)</f>
        <v>33.62662479057262</v>
      </c>
      <c r="O38" s="3"/>
    </row>
    <row r="39" spans="1:15" ht="17" x14ac:dyDescent="0.25">
      <c r="A39" s="3"/>
      <c r="C39" s="3"/>
      <c r="D39" s="5"/>
      <c r="E39" s="3"/>
      <c r="G39" s="3"/>
      <c r="H39" s="3"/>
      <c r="I39" s="4"/>
      <c r="J39" s="3"/>
      <c r="L39" s="3"/>
      <c r="M39" s="3"/>
      <c r="N39" s="3"/>
      <c r="O39" s="3"/>
    </row>
    <row r="40" spans="1:15" ht="17" x14ac:dyDescent="0.25">
      <c r="A40" s="3"/>
      <c r="C40" s="3"/>
      <c r="D40" s="5"/>
      <c r="E40" s="3"/>
      <c r="F40" s="3"/>
      <c r="G40" s="3"/>
      <c r="H40" s="46"/>
      <c r="I40" s="45"/>
      <c r="J40" s="48"/>
      <c r="K40" s="45"/>
      <c r="L40" s="45"/>
      <c r="M40" s="45"/>
      <c r="N40" s="45"/>
      <c r="O40" s="45"/>
    </row>
    <row r="41" spans="1:15" ht="17" x14ac:dyDescent="0.25">
      <c r="A41" s="3"/>
      <c r="B41" s="46"/>
      <c r="C41" s="45"/>
      <c r="D41" s="47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</row>
    <row r="42" spans="1:15" ht="17" x14ac:dyDescent="0.25">
      <c r="A42" s="3"/>
      <c r="B42" s="45"/>
      <c r="C42" s="45"/>
      <c r="D42" s="47"/>
      <c r="E42" s="45"/>
      <c r="F42" s="45"/>
      <c r="G42" s="45"/>
      <c r="H42" s="45"/>
      <c r="I42" s="48"/>
      <c r="J42" s="48"/>
      <c r="K42" s="48"/>
      <c r="L42" s="48"/>
    </row>
    <row r="43" spans="1:15" ht="17" x14ac:dyDescent="0.25">
      <c r="A43" s="3"/>
      <c r="B43" s="3"/>
      <c r="C43" s="3"/>
      <c r="D43" s="5"/>
      <c r="E43" s="3"/>
      <c r="F43" s="3"/>
      <c r="G43" s="3"/>
      <c r="H43" s="3"/>
    </row>
    <row r="44" spans="1:15" ht="17" x14ac:dyDescent="0.25">
      <c r="A44" s="3"/>
      <c r="B44" s="33" t="s">
        <v>48</v>
      </c>
      <c r="C44" s="3"/>
      <c r="D44" s="5"/>
      <c r="E44" s="3"/>
      <c r="F44" s="3"/>
      <c r="G44" s="3"/>
      <c r="H44" s="3"/>
    </row>
    <row r="45" spans="1:15" ht="17" x14ac:dyDescent="0.25">
      <c r="A45" s="3"/>
      <c r="B45" s="33" t="s">
        <v>43</v>
      </c>
      <c r="C45" s="3"/>
      <c r="D45" s="5"/>
      <c r="E45" s="3"/>
      <c r="F45" s="3"/>
      <c r="G45" s="3"/>
      <c r="H45" s="3"/>
    </row>
    <row r="46" spans="1:15" ht="17" x14ac:dyDescent="0.25">
      <c r="A46" s="3"/>
      <c r="B46" s="33" t="s">
        <v>44</v>
      </c>
      <c r="C46" s="3"/>
      <c r="D46" s="5"/>
      <c r="E46" s="3"/>
      <c r="F46" s="3"/>
      <c r="G46" s="3"/>
      <c r="H46" s="3"/>
    </row>
    <row r="47" spans="1:15" ht="17" x14ac:dyDescent="0.25">
      <c r="A47" s="3"/>
      <c r="B47" s="3"/>
      <c r="C47" s="3"/>
      <c r="D47" s="5"/>
      <c r="E47" s="3"/>
      <c r="F47" s="3"/>
      <c r="G47" s="3"/>
      <c r="H47" s="3"/>
    </row>
    <row r="48" spans="1:15" ht="17" x14ac:dyDescent="0.25">
      <c r="A48" s="3"/>
      <c r="B48" s="3"/>
      <c r="C48" s="3"/>
      <c r="D48" s="5"/>
      <c r="E48" s="3"/>
      <c r="F48" s="3"/>
      <c r="G48" s="3"/>
      <c r="H48" s="3"/>
      <c r="N48" s="34"/>
      <c r="O48" s="3"/>
    </row>
    <row r="49" spans="1:15" ht="17" x14ac:dyDescent="0.25">
      <c r="A49" s="3"/>
      <c r="B49" s="3"/>
      <c r="C49" s="3"/>
      <c r="D49" s="5"/>
      <c r="E49" s="3"/>
      <c r="F49" s="3"/>
      <c r="G49" s="3"/>
      <c r="H49" s="3"/>
      <c r="N49" s="35"/>
      <c r="O49" s="3"/>
    </row>
    <row r="50" spans="1:15" ht="17" x14ac:dyDescent="0.25">
      <c r="A50" s="3"/>
      <c r="B50" s="3"/>
      <c r="C50" s="3"/>
      <c r="D50" s="5"/>
      <c r="E50" s="3"/>
      <c r="F50" s="3"/>
      <c r="G50" s="3"/>
      <c r="H50" s="3"/>
      <c r="O50" s="3"/>
    </row>
    <row r="51" spans="1:15" ht="17" x14ac:dyDescent="0.25">
      <c r="A51" s="3"/>
      <c r="B51" s="3"/>
      <c r="C51" s="3"/>
      <c r="D51" s="5"/>
      <c r="E51" s="3"/>
      <c r="F51" s="3"/>
      <c r="G51" s="3"/>
      <c r="H51" s="3"/>
      <c r="M51" s="3"/>
      <c r="O51" s="3"/>
    </row>
    <row r="52" spans="1:15" ht="17" x14ac:dyDescent="0.25">
      <c r="A52" s="3"/>
      <c r="B52" s="3"/>
      <c r="C52" s="3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7" x14ac:dyDescent="0.25">
      <c r="A53" s="3"/>
      <c r="B53" s="3"/>
      <c r="C53" s="3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7" x14ac:dyDescent="0.25">
      <c r="A54" s="3"/>
      <c r="B54" s="3"/>
      <c r="C54" s="3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7" x14ac:dyDescent="0.25">
      <c r="A55" s="3"/>
      <c r="B55" s="3"/>
      <c r="C55" s="3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7" x14ac:dyDescent="0.25">
      <c r="A56" s="3"/>
      <c r="B56" s="3"/>
      <c r="C56" s="3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7" x14ac:dyDescent="0.25">
      <c r="A57" s="3"/>
      <c r="B57" s="3"/>
      <c r="C57" s="3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7" x14ac:dyDescent="0.25">
      <c r="A58" s="3"/>
      <c r="B58" s="3"/>
      <c r="C58" s="3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7" x14ac:dyDescent="0.25">
      <c r="A59" s="3"/>
      <c r="B59" s="3"/>
      <c r="C59" s="3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7" x14ac:dyDescent="0.25">
      <c r="A60" s="3"/>
      <c r="B60" s="3"/>
      <c r="C60" s="3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7" x14ac:dyDescent="0.25">
      <c r="B61" s="3"/>
      <c r="C61" s="3"/>
      <c r="D61" s="5"/>
      <c r="E61" s="3"/>
      <c r="F61" s="3"/>
      <c r="G61" s="3"/>
      <c r="H61" s="3"/>
      <c r="I61" s="3"/>
      <c r="J61" s="3"/>
      <c r="K61" s="3"/>
      <c r="L61" s="3"/>
    </row>
  </sheetData>
  <pageMargins left="0.70866141732283472" right="0.70866141732283472" top="0.74803149606299213" bottom="0.7480314960629921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791F-8F7F-264D-8D41-302622D5C0DC}">
  <dimension ref="A1:M39"/>
  <sheetViews>
    <sheetView topLeftCell="A5" workbookViewId="0">
      <selection activeCell="M31" sqref="M31"/>
    </sheetView>
  </sheetViews>
  <sheetFormatPr baseColWidth="10" defaultRowHeight="15" x14ac:dyDescent="0.2"/>
  <cols>
    <col min="13" max="13" width="13.5" customWidth="1"/>
  </cols>
  <sheetData>
    <row r="1" spans="1:13" ht="19" x14ac:dyDescent="0.25">
      <c r="A1" s="40" t="s">
        <v>3</v>
      </c>
      <c r="B1" s="41"/>
      <c r="C1" s="41"/>
      <c r="D1" s="41"/>
      <c r="E1" s="38"/>
      <c r="F1" s="38"/>
      <c r="G1" s="37"/>
      <c r="H1" s="40"/>
      <c r="I1" s="41"/>
      <c r="J1" s="41"/>
      <c r="K1" s="41"/>
      <c r="L1" s="38"/>
      <c r="M1" s="38"/>
    </row>
    <row r="2" spans="1:13" ht="16" x14ac:dyDescent="0.25">
      <c r="A2" s="4"/>
      <c r="B2" s="3"/>
      <c r="C2" s="5"/>
      <c r="D2" s="6"/>
      <c r="E2" s="6"/>
      <c r="F2" s="6"/>
      <c r="G2" s="6"/>
      <c r="H2" s="6"/>
      <c r="I2" s="3"/>
      <c r="J2" s="3"/>
      <c r="K2" s="3"/>
      <c r="L2" s="3"/>
      <c r="M2" s="3"/>
    </row>
    <row r="3" spans="1:13" ht="16" x14ac:dyDescent="0.25">
      <c r="A3" s="42" t="s">
        <v>2</v>
      </c>
      <c r="B3" s="43"/>
      <c r="C3" s="43"/>
      <c r="D3" s="44"/>
      <c r="E3" s="3"/>
      <c r="F3" s="3"/>
      <c r="G3" s="3"/>
      <c r="H3" s="3"/>
      <c r="I3" s="3"/>
      <c r="J3" s="3"/>
      <c r="K3" s="3"/>
      <c r="L3" s="3"/>
      <c r="M3" s="3"/>
    </row>
    <row r="4" spans="1:13" ht="16" x14ac:dyDescent="0.25">
      <c r="A4" s="23" t="s">
        <v>11</v>
      </c>
      <c r="B4" s="16"/>
      <c r="C4" s="24">
        <v>0.25</v>
      </c>
      <c r="D4" s="6"/>
      <c r="E4" s="3"/>
      <c r="F4" s="3"/>
      <c r="G4" s="3"/>
      <c r="H4" s="3"/>
      <c r="I4" s="3"/>
      <c r="J4" s="3"/>
      <c r="K4" s="3"/>
      <c r="L4" s="3"/>
      <c r="M4" s="3"/>
    </row>
    <row r="5" spans="1:13" ht="16" x14ac:dyDescent="0.25">
      <c r="A5" s="7" t="s">
        <v>12</v>
      </c>
      <c r="B5" s="3"/>
      <c r="C5" s="8">
        <v>0.12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6" x14ac:dyDescent="0.25">
      <c r="A6" s="3" t="s">
        <v>13</v>
      </c>
      <c r="B6" s="3"/>
      <c r="C6" s="8">
        <v>0.03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6" x14ac:dyDescent="0.25">
      <c r="A7" s="3" t="s">
        <v>14</v>
      </c>
      <c r="B7" s="3"/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6" x14ac:dyDescent="0.25">
      <c r="A8" s="3" t="s">
        <v>19</v>
      </c>
      <c r="B8" s="3"/>
      <c r="C8" s="10">
        <v>43100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6" x14ac:dyDescent="0.25">
      <c r="A9" s="3" t="s">
        <v>39</v>
      </c>
      <c r="B9" s="3"/>
      <c r="C9" s="25">
        <v>43281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6" x14ac:dyDescent="0.25">
      <c r="A10" s="3" t="s">
        <v>25</v>
      </c>
      <c r="B10" s="3"/>
      <c r="C10" s="11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6" x14ac:dyDescent="0.25">
      <c r="A11" s="3" t="s">
        <v>21</v>
      </c>
      <c r="B11" s="3"/>
      <c r="C11" s="12">
        <v>20000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6" x14ac:dyDescent="0.25">
      <c r="A12" s="3" t="s">
        <v>1</v>
      </c>
      <c r="B12" s="3"/>
      <c r="C12" s="12">
        <v>30000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" x14ac:dyDescent="0.25">
      <c r="A13" s="3" t="s">
        <v>0</v>
      </c>
      <c r="B13" s="3"/>
      <c r="C13" s="12">
        <v>239549.5203651849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6" x14ac:dyDescent="0.25">
      <c r="A14" s="3" t="s">
        <v>38</v>
      </c>
      <c r="B14" s="3"/>
      <c r="C14" s="6">
        <v>15000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7" x14ac:dyDescent="0.25">
      <c r="A15" s="3"/>
      <c r="B15" s="3"/>
      <c r="C15" s="10"/>
      <c r="D15" s="1"/>
      <c r="E15" s="1"/>
      <c r="F15" s="1"/>
      <c r="G15" s="1"/>
      <c r="H15" s="1"/>
      <c r="I15" s="3"/>
      <c r="J15" s="3"/>
      <c r="K15" s="3"/>
      <c r="L15" s="3"/>
      <c r="M15" s="3"/>
    </row>
    <row r="16" spans="1:13" ht="16" x14ac:dyDescent="0.25">
      <c r="A16" s="49" t="s">
        <v>20</v>
      </c>
      <c r="B16" s="50"/>
      <c r="C16" s="51" t="s">
        <v>22</v>
      </c>
      <c r="D16" s="52">
        <f>YEAR(D17)</f>
        <v>1900</v>
      </c>
      <c r="E16" s="52">
        <f t="shared" ref="E16:H16" si="0">YEAR(E17)</f>
        <v>1901</v>
      </c>
      <c r="F16" s="52">
        <f t="shared" si="0"/>
        <v>1902</v>
      </c>
      <c r="G16" s="52">
        <f t="shared" si="0"/>
        <v>1903</v>
      </c>
      <c r="H16" s="52">
        <f t="shared" si="0"/>
        <v>1904</v>
      </c>
      <c r="I16" s="51" t="s">
        <v>23</v>
      </c>
      <c r="J16" s="3"/>
      <c r="K16" s="53" t="s">
        <v>9</v>
      </c>
      <c r="L16" s="54"/>
      <c r="M16" s="54"/>
    </row>
    <row r="17" spans="1:13" ht="16" x14ac:dyDescent="0.25">
      <c r="A17" s="14" t="s">
        <v>24</v>
      </c>
      <c r="B17" s="14"/>
      <c r="C17" s="26">
        <f>C8</f>
        <v>43100</v>
      </c>
      <c r="D17" s="27">
        <f>DATE(YEAR($D$10)+D18,6,30)</f>
        <v>182</v>
      </c>
      <c r="E17" s="27">
        <f>DATE(YEAR($D$10)+E18,6,30)</f>
        <v>547</v>
      </c>
      <c r="F17" s="27">
        <f>DATE(YEAR($D$10)+F18,6,30)</f>
        <v>912</v>
      </c>
      <c r="G17" s="27">
        <f>DATE(YEAR($D$10)+G18,6,30)</f>
        <v>1277</v>
      </c>
      <c r="H17" s="27">
        <f>DATE(YEAR($D$10)+H18,6,30)</f>
        <v>1643</v>
      </c>
      <c r="I17" s="31">
        <f>H17</f>
        <v>1643</v>
      </c>
      <c r="J17" s="3"/>
      <c r="K17" s="14" t="s">
        <v>10</v>
      </c>
      <c r="L17" s="14"/>
      <c r="M17" s="14">
        <f>(H25*(1+C6))/(C5-C6)</f>
        <v>890007.84962444019</v>
      </c>
    </row>
    <row r="18" spans="1:13" ht="16" x14ac:dyDescent="0.25">
      <c r="A18" s="28" t="s">
        <v>42</v>
      </c>
      <c r="B18" s="28"/>
      <c r="C18" s="26"/>
      <c r="D18" s="30">
        <v>0</v>
      </c>
      <c r="E18" s="29">
        <f>D18+1</f>
        <v>1</v>
      </c>
      <c r="F18" s="29">
        <f>E18+1</f>
        <v>2</v>
      </c>
      <c r="G18" s="29">
        <f t="shared" ref="G18:H18" si="1">F18+1</f>
        <v>3</v>
      </c>
      <c r="H18" s="29">
        <f t="shared" si="1"/>
        <v>4</v>
      </c>
      <c r="I18" s="26"/>
      <c r="J18" s="3"/>
      <c r="K18" s="3" t="s">
        <v>17</v>
      </c>
      <c r="L18" s="3"/>
      <c r="M18" s="15">
        <f>C7*(H20+H22)</f>
        <v>546277.73326543428</v>
      </c>
    </row>
    <row r="19" spans="1:13" ht="16" x14ac:dyDescent="0.25">
      <c r="A19" s="22" t="s">
        <v>41</v>
      </c>
      <c r="B19" s="3"/>
      <c r="C19" s="3"/>
      <c r="D19" s="21">
        <f>YEARFRAC(C17,D17)</f>
        <v>117.5</v>
      </c>
      <c r="E19" s="21">
        <f>YEARFRAC(D17,E17)</f>
        <v>1</v>
      </c>
      <c r="F19" s="21">
        <f>YEARFRAC(E17,F17)</f>
        <v>1</v>
      </c>
      <c r="G19" s="21">
        <f>YEARFRAC(F17,G17)</f>
        <v>1</v>
      </c>
      <c r="H19" s="21">
        <f>YEARFRAC(G17,H17)</f>
        <v>1</v>
      </c>
      <c r="I19" s="3"/>
      <c r="J19" s="3"/>
      <c r="K19" s="3" t="s">
        <v>18</v>
      </c>
      <c r="L19" s="3"/>
      <c r="M19" s="13">
        <f>AVERAGE(M17:M18)</f>
        <v>718142.79144493723</v>
      </c>
    </row>
    <row r="20" spans="1:13" ht="16" x14ac:dyDescent="0.25">
      <c r="A20" s="3" t="s">
        <v>4</v>
      </c>
      <c r="B20" s="3"/>
      <c r="C20" s="3"/>
      <c r="D20" s="16">
        <v>47814.456000000006</v>
      </c>
      <c r="E20" s="16">
        <v>51094.853419999992</v>
      </c>
      <c r="F20" s="16">
        <v>55861.390037599995</v>
      </c>
      <c r="G20" s="16">
        <v>58692.857260915989</v>
      </c>
      <c r="H20" s="16">
        <v>63038.584948776319</v>
      </c>
      <c r="I20" s="3"/>
      <c r="J20" s="3"/>
      <c r="K20" s="3"/>
      <c r="L20" s="3"/>
      <c r="M20" s="3"/>
    </row>
    <row r="21" spans="1:13" ht="16" x14ac:dyDescent="0.25">
      <c r="A21" s="3" t="s">
        <v>5</v>
      </c>
      <c r="B21" s="3"/>
      <c r="C21" s="3"/>
      <c r="D21" s="15">
        <f>D20*$D$5</f>
        <v>0</v>
      </c>
      <c r="E21" s="15">
        <f>E20*$D$5</f>
        <v>0</v>
      </c>
      <c r="F21" s="15">
        <f>F20*$D$5</f>
        <v>0</v>
      </c>
      <c r="G21" s="15">
        <f>G20*$D$5</f>
        <v>0</v>
      </c>
      <c r="H21" s="15">
        <f>H20*$D$5</f>
        <v>0</v>
      </c>
      <c r="I21" s="3"/>
      <c r="J21" s="3"/>
      <c r="K21" s="3"/>
      <c r="L21" s="3"/>
      <c r="M21" s="3"/>
    </row>
    <row r="22" spans="1:13" ht="16" x14ac:dyDescent="0.25">
      <c r="A22" s="3" t="s">
        <v>8</v>
      </c>
      <c r="B22" s="3"/>
      <c r="C22" s="3"/>
      <c r="D22" s="17">
        <v>15008.420000000002</v>
      </c>
      <c r="E22" s="17">
        <v>15005.052000000003</v>
      </c>
      <c r="F22" s="17">
        <v>15003.031200000001</v>
      </c>
      <c r="G22" s="17">
        <v>15001.818719999999</v>
      </c>
      <c r="H22" s="17">
        <v>15001.091232000001</v>
      </c>
      <c r="I22" s="3"/>
      <c r="J22" s="3"/>
      <c r="K22" s="3"/>
      <c r="L22" s="3"/>
      <c r="M22" s="3"/>
    </row>
    <row r="23" spans="1:13" ht="16" x14ac:dyDescent="0.25">
      <c r="A23" s="3" t="s">
        <v>6</v>
      </c>
      <c r="B23" s="3"/>
      <c r="C23" s="3"/>
      <c r="D23" s="7">
        <f>$D$15</f>
        <v>0</v>
      </c>
      <c r="E23" s="7">
        <f t="shared" ref="E23:H23" si="2">$D$15</f>
        <v>0</v>
      </c>
      <c r="F23" s="7">
        <f t="shared" si="2"/>
        <v>0</v>
      </c>
      <c r="G23" s="7">
        <f t="shared" si="2"/>
        <v>0</v>
      </c>
      <c r="H23" s="7">
        <f t="shared" si="2"/>
        <v>0</v>
      </c>
      <c r="I23" s="3"/>
      <c r="J23" s="3"/>
      <c r="K23" s="3"/>
      <c r="L23" s="3"/>
      <c r="M23" s="3"/>
    </row>
    <row r="24" spans="1:13" ht="16" x14ac:dyDescent="0.25">
      <c r="A24" s="3" t="s">
        <v>7</v>
      </c>
      <c r="B24" s="3"/>
      <c r="C24" s="3"/>
      <c r="D24" s="6">
        <v>375</v>
      </c>
      <c r="E24" s="6">
        <v>611</v>
      </c>
      <c r="F24" s="6">
        <v>398</v>
      </c>
      <c r="G24" s="6">
        <v>511</v>
      </c>
      <c r="H24" s="6">
        <v>272</v>
      </c>
      <c r="I24" s="3"/>
      <c r="J24" s="3"/>
      <c r="K24" s="3"/>
      <c r="L24" s="3"/>
      <c r="M24" s="3"/>
    </row>
    <row r="25" spans="1:13" ht="16" x14ac:dyDescent="0.25">
      <c r="A25" s="3" t="s">
        <v>15</v>
      </c>
      <c r="B25" s="3"/>
      <c r="C25" s="3"/>
      <c r="D25" s="13">
        <f>D20-D21+D22-D23-D24</f>
        <v>62447.876000000004</v>
      </c>
      <c r="E25" s="13">
        <f>E20-E21+E22-E23-E24</f>
        <v>65488.905419999996</v>
      </c>
      <c r="F25" s="13">
        <f>F20-F21+F22-F23-F24</f>
        <v>70466.421237599992</v>
      </c>
      <c r="G25" s="13">
        <f>G20-G21+G22-G23-G24</f>
        <v>73183.675980915985</v>
      </c>
      <c r="H25" s="13">
        <f>H20-H21+H22-H23-H24</f>
        <v>77767.676180776325</v>
      </c>
      <c r="I25" s="3"/>
      <c r="J25" s="3"/>
      <c r="K25" s="3"/>
      <c r="L25" s="3"/>
      <c r="M25" s="3"/>
    </row>
    <row r="26" spans="1:13" ht="16" x14ac:dyDescent="0.25">
      <c r="A26" s="3" t="s">
        <v>16</v>
      </c>
      <c r="B26" s="3"/>
      <c r="C26" s="18">
        <f>-H34</f>
        <v>-290450.47963481513</v>
      </c>
      <c r="D26" s="3"/>
      <c r="E26" s="3"/>
      <c r="F26" s="3"/>
      <c r="G26" s="3"/>
      <c r="H26" s="3"/>
      <c r="I26" s="18">
        <f>M19</f>
        <v>718142.79144493723</v>
      </c>
      <c r="J26" s="3"/>
      <c r="K26" s="3"/>
      <c r="L26" s="3"/>
      <c r="M26" s="3"/>
    </row>
    <row r="27" spans="1:13" ht="16" x14ac:dyDescent="0.25">
      <c r="A27" s="3" t="s">
        <v>40</v>
      </c>
      <c r="B27" s="3"/>
      <c r="C27" s="13">
        <v>0</v>
      </c>
      <c r="D27" s="13">
        <f>(D26+D25)*D19</f>
        <v>7337625.4300000006</v>
      </c>
      <c r="E27" s="13">
        <f t="shared" ref="E27:H27" si="3">(E26+E25)*E19</f>
        <v>65488.905419999996</v>
      </c>
      <c r="F27" s="13">
        <f t="shared" si="3"/>
        <v>70466.421237599992</v>
      </c>
      <c r="G27" s="13">
        <f t="shared" si="3"/>
        <v>73183.675980915985</v>
      </c>
      <c r="H27" s="13">
        <f t="shared" si="3"/>
        <v>77767.676180776325</v>
      </c>
      <c r="I27" s="13">
        <f t="shared" ref="I27" si="4">I26+I25</f>
        <v>718142.79144493723</v>
      </c>
      <c r="J27" s="3"/>
      <c r="K27" s="3"/>
      <c r="L27" s="3"/>
      <c r="M27" s="3"/>
    </row>
    <row r="28" spans="1:13" ht="16" x14ac:dyDescent="0.25">
      <c r="A28" s="3" t="s">
        <v>40</v>
      </c>
      <c r="B28" s="3"/>
      <c r="C28" s="14">
        <f>C26+C25</f>
        <v>-290450.47963481513</v>
      </c>
      <c r="D28" s="14">
        <f>(D26+D25)*D19</f>
        <v>7337625.4300000006</v>
      </c>
      <c r="E28" s="14">
        <f t="shared" ref="E28:H28" si="5">(E26+E25)*E19</f>
        <v>65488.905419999996</v>
      </c>
      <c r="F28" s="14">
        <f t="shared" si="5"/>
        <v>70466.421237599992</v>
      </c>
      <c r="G28" s="14">
        <f t="shared" si="5"/>
        <v>73183.675980915985</v>
      </c>
      <c r="H28" s="14">
        <f t="shared" si="5"/>
        <v>77767.676180776325</v>
      </c>
      <c r="I28" s="14">
        <f>I26</f>
        <v>718142.79144493723</v>
      </c>
      <c r="J28" s="3"/>
      <c r="K28" s="3"/>
      <c r="L28" s="3"/>
      <c r="M28" s="3"/>
    </row>
    <row r="29" spans="1:13" ht="17" x14ac:dyDescent="0.25">
      <c r="A29" s="3"/>
      <c r="B29" s="3"/>
      <c r="C29" s="5"/>
      <c r="D29" s="3"/>
      <c r="E29" s="1"/>
      <c r="F29" s="3"/>
      <c r="G29" s="3"/>
      <c r="H29" s="3"/>
      <c r="I29" s="3"/>
      <c r="J29" s="1"/>
      <c r="K29" s="3"/>
      <c r="L29" s="3"/>
      <c r="M29" s="3"/>
    </row>
    <row r="30" spans="1:13" ht="17" x14ac:dyDescent="0.25">
      <c r="A30" s="53" t="s">
        <v>34</v>
      </c>
      <c r="B30" s="54"/>
      <c r="C30" s="54"/>
      <c r="D30" s="3"/>
      <c r="E30" s="1"/>
      <c r="F30" s="53" t="s">
        <v>35</v>
      </c>
      <c r="G30" s="54"/>
      <c r="H30" s="54"/>
      <c r="I30" s="3"/>
      <c r="J30" s="1"/>
      <c r="K30" s="53" t="s">
        <v>36</v>
      </c>
      <c r="L30" s="54"/>
      <c r="M30" s="54"/>
    </row>
    <row r="31" spans="1:13" ht="17" x14ac:dyDescent="0.25">
      <c r="A31" s="14" t="s">
        <v>29</v>
      </c>
      <c r="B31" s="14"/>
      <c r="C31" s="14" t="e">
        <f>XNPV(C5,D27:I27,C17:I17)</f>
        <v>#NUM!</v>
      </c>
      <c r="D31" s="3"/>
      <c r="E31" s="1"/>
      <c r="F31" s="14" t="s">
        <v>26</v>
      </c>
      <c r="G31" s="14"/>
      <c r="H31" s="14">
        <f>C11*C10</f>
        <v>500000</v>
      </c>
      <c r="I31" s="3"/>
      <c r="J31" s="1"/>
      <c r="K31" s="14" t="s">
        <v>37</v>
      </c>
      <c r="L31" s="14"/>
      <c r="M31" s="32" t="e">
        <f>C36/H36-1</f>
        <v>#NUM!</v>
      </c>
    </row>
    <row r="32" spans="1:13" ht="17" x14ac:dyDescent="0.25">
      <c r="A32" s="3" t="s">
        <v>30</v>
      </c>
      <c r="B32" s="3"/>
      <c r="C32" s="3">
        <f>+C13</f>
        <v>239549.5203651849</v>
      </c>
      <c r="D32" s="3"/>
      <c r="E32" s="1"/>
      <c r="F32" s="3" t="s">
        <v>27</v>
      </c>
      <c r="G32" s="3"/>
      <c r="H32" s="3">
        <f>C12</f>
        <v>30000</v>
      </c>
      <c r="I32" s="3"/>
      <c r="J32" s="1"/>
      <c r="K32" s="3" t="s">
        <v>47</v>
      </c>
      <c r="L32" s="3"/>
      <c r="M32" s="19" t="e">
        <f>XIRR(C28:I28,C17:I17)</f>
        <v>#NUM!</v>
      </c>
    </row>
    <row r="33" spans="1:13" ht="17" x14ac:dyDescent="0.25">
      <c r="A33" s="3" t="s">
        <v>31</v>
      </c>
      <c r="B33" s="3"/>
      <c r="C33" s="3">
        <f>+C12</f>
        <v>30000</v>
      </c>
      <c r="D33" s="3"/>
      <c r="E33" s="1"/>
      <c r="F33" s="3" t="s">
        <v>28</v>
      </c>
      <c r="G33" s="3"/>
      <c r="H33" s="3">
        <f>+C13</f>
        <v>239549.5203651849</v>
      </c>
      <c r="I33" s="3"/>
      <c r="J33" s="1"/>
      <c r="K33" s="3"/>
      <c r="L33" s="3"/>
      <c r="M33" s="3"/>
    </row>
    <row r="34" spans="1:13" ht="17" x14ac:dyDescent="0.25">
      <c r="A34" s="3" t="s">
        <v>32</v>
      </c>
      <c r="B34" s="3"/>
      <c r="C34" s="13" t="e">
        <f>C31+C32-C33</f>
        <v>#NUM!</v>
      </c>
      <c r="D34" s="3"/>
      <c r="E34" s="1"/>
      <c r="F34" s="3" t="s">
        <v>29</v>
      </c>
      <c r="G34" s="3"/>
      <c r="H34" s="13">
        <f>H31+H32-H33</f>
        <v>290450.47963481513</v>
      </c>
      <c r="I34" s="3"/>
      <c r="J34" s="1"/>
      <c r="K34" s="53" t="s">
        <v>45</v>
      </c>
      <c r="L34" s="54"/>
      <c r="M34" s="54"/>
    </row>
    <row r="35" spans="1:13" ht="17" x14ac:dyDescent="0.25">
      <c r="A35" s="3"/>
      <c r="B35" s="3"/>
      <c r="C35" s="3"/>
      <c r="D35" s="3"/>
      <c r="E35" s="1"/>
      <c r="F35" s="3"/>
      <c r="G35" s="3"/>
      <c r="H35" s="20"/>
      <c r="I35" s="3"/>
      <c r="J35" s="1"/>
      <c r="K35" s="3" t="s">
        <v>35</v>
      </c>
      <c r="L35" s="3"/>
      <c r="M35" s="20">
        <f>H36</f>
        <v>25</v>
      </c>
    </row>
    <row r="36" spans="1:13" ht="17" x14ac:dyDescent="0.25">
      <c r="A36" s="3" t="s">
        <v>33</v>
      </c>
      <c r="B36" s="3"/>
      <c r="C36" s="20" t="e">
        <f>C34/C11</f>
        <v>#NUM!</v>
      </c>
      <c r="D36" s="3"/>
      <c r="E36" s="1"/>
      <c r="F36" s="3" t="s">
        <v>33</v>
      </c>
      <c r="G36" s="3"/>
      <c r="H36" s="20">
        <f>C10</f>
        <v>25</v>
      </c>
      <c r="I36" s="3"/>
      <c r="J36" s="1"/>
      <c r="K36" s="3" t="s">
        <v>46</v>
      </c>
      <c r="L36" s="3"/>
      <c r="M36" s="20" t="e">
        <f>C36-H36</f>
        <v>#NUM!</v>
      </c>
    </row>
    <row r="37" spans="1:13" ht="17" x14ac:dyDescent="0.25">
      <c r="A37" s="3"/>
      <c r="B37" s="3"/>
      <c r="C37" s="3"/>
      <c r="D37" s="3"/>
      <c r="E37" s="1"/>
      <c r="F37" s="3"/>
      <c r="G37" s="3"/>
      <c r="H37" s="3"/>
      <c r="I37" s="3"/>
      <c r="J37" s="1"/>
      <c r="K37" s="3" t="s">
        <v>34</v>
      </c>
      <c r="L37" s="3"/>
      <c r="M37" s="20" t="e">
        <f>SUM(M35:M36)</f>
        <v>#NUM!</v>
      </c>
    </row>
    <row r="38" spans="1:13" ht="17" x14ac:dyDescent="0.25">
      <c r="A38" s="1"/>
      <c r="B38" s="3"/>
      <c r="C38" s="5"/>
      <c r="D38" s="3"/>
      <c r="E38" s="1"/>
      <c r="F38" s="3"/>
      <c r="G38" s="3"/>
      <c r="H38" s="4"/>
      <c r="I38" s="3"/>
      <c r="J38" s="1"/>
      <c r="K38" s="3"/>
      <c r="L38" s="3"/>
      <c r="M38" s="3"/>
    </row>
    <row r="39" spans="1:13" ht="17" x14ac:dyDescent="0.25">
      <c r="A39" s="1"/>
      <c r="B39" s="3"/>
      <c r="C39" s="5"/>
      <c r="D39" s="3"/>
      <c r="E39" s="3"/>
      <c r="F39" s="3"/>
      <c r="G39" s="4"/>
      <c r="H39" s="3"/>
      <c r="I39" s="1"/>
      <c r="J39" s="3"/>
      <c r="K39" s="3"/>
      <c r="L39" s="3"/>
      <c r="M3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Microsoft Office User</cp:lastModifiedBy>
  <cp:lastPrinted>2014-12-13T23:43:21Z</cp:lastPrinted>
  <dcterms:created xsi:type="dcterms:W3CDTF">2014-11-08T22:00:02Z</dcterms:created>
  <dcterms:modified xsi:type="dcterms:W3CDTF">2021-11-30T02:56:28Z</dcterms:modified>
</cp:coreProperties>
</file>