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ke\Documents\Git\EosControl\Hardware\bom\"/>
    </mc:Choice>
  </mc:AlternateContent>
  <xr:revisionPtr revIDLastSave="0" documentId="13_ncr:1_{B0D0EF43-06E0-4A90-9115-67701C88AA12}" xr6:coauthVersionLast="45" xr6:coauthVersionMax="45" xr10:uidLastSave="{00000000-0000-0000-0000-000000000000}"/>
  <bookViews>
    <workbookView xWindow="2295" yWindow="2295" windowWidth="35145" windowHeight="16545" xr2:uid="{00000000-000D-0000-FFFF-FFFF00000000}"/>
  </bookViews>
  <sheets>
    <sheet name="EncoderBoard. " sheetId="1" r:id="rId1"/>
  </sheets>
  <definedNames>
    <definedName name="arrow_part_data">'EncoderBoard. '!$I$5:$M$36</definedName>
    <definedName name="AUD_GBP">'EncoderBoard. '!$C$40</definedName>
    <definedName name="AUD_USD">'EncoderBoard. '!$C$39</definedName>
    <definedName name="BoardQty">'EncoderBoard. '!$H$1</definedName>
    <definedName name="digikey_part_data">'EncoderBoard. '!$N$5:$R$36</definedName>
    <definedName name="farnell_part_data">'EncoderBoard. '!$S$5:$W$36</definedName>
    <definedName name="global_part_data">'EncoderBoard. '!$A$5:$H$36</definedName>
    <definedName name="lcsc_part_data">'EncoderBoard. '!$X$5:$AB$36</definedName>
    <definedName name="mouser_part_data">'EncoderBoard. '!$AC$5:$AG$36</definedName>
    <definedName name="newark_part_data">'EncoderBoard. '!$AH$5:$AL$36</definedName>
    <definedName name="PURCHASE_DESCRIPTION">'EncoderBoard. '!$H$39</definedName>
    <definedName name="rs_part_data">'EncoderBoard. '!$AM$5:$AQ$36</definedName>
    <definedName name="tme_part_data">'EncoderBoard. '!$AR$5:$AV$36</definedName>
    <definedName name="TotalCost">'EncoderBoard. '!$H$3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" l="1"/>
  <c r="L32" i="1"/>
  <c r="L36" i="1"/>
  <c r="L38" i="1" s="1"/>
  <c r="Q35" i="1"/>
  <c r="Q30" i="1"/>
  <c r="Q31" i="1"/>
  <c r="Y69" i="1" a="1"/>
  <c r="Y69" i="1" s="1"/>
  <c r="AS68" i="1" a="1"/>
  <c r="AS68" i="1" s="1"/>
  <c r="AN68" i="1" a="1"/>
  <c r="AN68" i="1" s="1"/>
  <c r="AI68" i="1" a="1"/>
  <c r="AI68" i="1" s="1"/>
  <c r="AD68" i="1" a="1"/>
  <c r="AD68" i="1" s="1"/>
  <c r="Y68" i="1" a="1"/>
  <c r="Y68" i="1" s="1"/>
  <c r="T68" i="1" a="1"/>
  <c r="T68" i="1" s="1"/>
  <c r="O68" i="1" a="1"/>
  <c r="O68" i="1" s="1"/>
  <c r="J68" i="1" a="1"/>
  <c r="J68" i="1" s="1"/>
  <c r="AS67" i="1" a="1"/>
  <c r="AS67" i="1" s="1"/>
  <c r="AN67" i="1" a="1"/>
  <c r="AN67" i="1" s="1"/>
  <c r="AI67" i="1" a="1"/>
  <c r="AI67" i="1" s="1"/>
  <c r="AD67" i="1" a="1"/>
  <c r="AD67" i="1" s="1"/>
  <c r="Y67" i="1" a="1"/>
  <c r="Y67" i="1" s="1"/>
  <c r="T67" i="1" a="1"/>
  <c r="T67" i="1" s="1"/>
  <c r="O67" i="1" a="1"/>
  <c r="O67" i="1" s="1"/>
  <c r="J67" i="1" a="1"/>
  <c r="J67" i="1" s="1"/>
  <c r="AS66" i="1" a="1"/>
  <c r="AS66" i="1" s="1"/>
  <c r="AN66" i="1" a="1"/>
  <c r="AN66" i="1" s="1"/>
  <c r="AI66" i="1" a="1"/>
  <c r="AI66" i="1" s="1"/>
  <c r="AD66" i="1" a="1"/>
  <c r="AD66" i="1" s="1"/>
  <c r="Y66" i="1" a="1"/>
  <c r="Y66" i="1" s="1"/>
  <c r="T66" i="1" a="1"/>
  <c r="T66" i="1" s="1"/>
  <c r="O66" i="1" a="1"/>
  <c r="O66" i="1" s="1"/>
  <c r="J66" i="1" a="1"/>
  <c r="J66" i="1" s="1"/>
  <c r="AS65" i="1" a="1"/>
  <c r="AS65" i="1" s="1"/>
  <c r="AN65" i="1" a="1"/>
  <c r="AN65" i="1" s="1"/>
  <c r="AI65" i="1" a="1"/>
  <c r="AI65" i="1" s="1"/>
  <c r="AD65" i="1" a="1"/>
  <c r="AD65" i="1" s="1"/>
  <c r="Y65" i="1" a="1"/>
  <c r="Y65" i="1" s="1"/>
  <c r="T65" i="1" a="1"/>
  <c r="T65" i="1" s="1"/>
  <c r="O65" i="1" a="1"/>
  <c r="O65" i="1" s="1"/>
  <c r="J65" i="1" a="1"/>
  <c r="J65" i="1" s="1"/>
  <c r="AS64" i="1" a="1"/>
  <c r="AS64" i="1" s="1"/>
  <c r="AN64" i="1" a="1"/>
  <c r="AN64" i="1" s="1"/>
  <c r="AI64" i="1" a="1"/>
  <c r="AI64" i="1" s="1"/>
  <c r="AD64" i="1" a="1"/>
  <c r="AD64" i="1" s="1"/>
  <c r="Y64" i="1" a="1"/>
  <c r="Y64" i="1" s="1"/>
  <c r="T64" i="1" a="1"/>
  <c r="T64" i="1" s="1"/>
  <c r="O64" i="1" a="1"/>
  <c r="O64" i="1" s="1"/>
  <c r="J64" i="1" a="1"/>
  <c r="J64" i="1" s="1"/>
  <c r="AS63" i="1" a="1"/>
  <c r="AS63" i="1" s="1"/>
  <c r="AN63" i="1" a="1"/>
  <c r="AN63" i="1" s="1"/>
  <c r="AI63" i="1" a="1"/>
  <c r="AI63" i="1" s="1"/>
  <c r="AD63" i="1" a="1"/>
  <c r="AD63" i="1" s="1"/>
  <c r="Y63" i="1" a="1"/>
  <c r="Y63" i="1" s="1"/>
  <c r="T63" i="1" a="1"/>
  <c r="T63" i="1" s="1"/>
  <c r="O63" i="1" a="1"/>
  <c r="O63" i="1" s="1"/>
  <c r="J63" i="1" a="1"/>
  <c r="J63" i="1" s="1"/>
  <c r="AS62" i="1" a="1"/>
  <c r="AS62" i="1" s="1"/>
  <c r="AN62" i="1" a="1"/>
  <c r="AN62" i="1" s="1"/>
  <c r="AI62" i="1" a="1"/>
  <c r="AI62" i="1" s="1"/>
  <c r="AD62" i="1" a="1"/>
  <c r="AD62" i="1" s="1"/>
  <c r="Y62" i="1" a="1"/>
  <c r="Y62" i="1" s="1"/>
  <c r="T62" i="1" a="1"/>
  <c r="T62" i="1" s="1"/>
  <c r="O62" i="1" a="1"/>
  <c r="O62" i="1" s="1"/>
  <c r="J62" i="1" a="1"/>
  <c r="J62" i="1" s="1"/>
  <c r="AS61" i="1" a="1"/>
  <c r="AS61" i="1" s="1"/>
  <c r="AN61" i="1" a="1"/>
  <c r="AN61" i="1" s="1"/>
  <c r="AI61" i="1" a="1"/>
  <c r="AI61" i="1" s="1"/>
  <c r="AD61" i="1" a="1"/>
  <c r="AD61" i="1" s="1"/>
  <c r="Y61" i="1" a="1"/>
  <c r="Y61" i="1" s="1"/>
  <c r="T61" i="1" a="1"/>
  <c r="T61" i="1" s="1"/>
  <c r="O61" i="1" a="1"/>
  <c r="O61" i="1" s="1"/>
  <c r="J61" i="1" a="1"/>
  <c r="J61" i="1" s="1"/>
  <c r="AS60" i="1" a="1"/>
  <c r="AS60" i="1" s="1"/>
  <c r="AN60" i="1" a="1"/>
  <c r="AN60" i="1" s="1"/>
  <c r="AI60" i="1" a="1"/>
  <c r="AI60" i="1" s="1"/>
  <c r="AD60" i="1" a="1"/>
  <c r="AD60" i="1" s="1"/>
  <c r="Y60" i="1" a="1"/>
  <c r="Y60" i="1" s="1"/>
  <c r="T60" i="1" a="1"/>
  <c r="T60" i="1" s="1"/>
  <c r="O60" i="1" a="1"/>
  <c r="O60" i="1" s="1"/>
  <c r="J60" i="1" a="1"/>
  <c r="J60" i="1" s="1"/>
  <c r="AS59" i="1" a="1"/>
  <c r="AS59" i="1" s="1"/>
  <c r="AN59" i="1" a="1"/>
  <c r="AN59" i="1" s="1"/>
  <c r="AI59" i="1" a="1"/>
  <c r="AI59" i="1" s="1"/>
  <c r="AD59" i="1" a="1"/>
  <c r="AD59" i="1" s="1"/>
  <c r="Y59" i="1" a="1"/>
  <c r="Y59" i="1" s="1"/>
  <c r="T59" i="1" a="1"/>
  <c r="T59" i="1" s="1"/>
  <c r="O59" i="1" a="1"/>
  <c r="O59" i="1" s="1"/>
  <c r="J59" i="1" a="1"/>
  <c r="J59" i="1" s="1"/>
  <c r="AS58" i="1" a="1"/>
  <c r="AS58" i="1" s="1"/>
  <c r="AN58" i="1" a="1"/>
  <c r="AN58" i="1" s="1"/>
  <c r="AI58" i="1" a="1"/>
  <c r="AI58" i="1" s="1"/>
  <c r="AD58" i="1" a="1"/>
  <c r="AD58" i="1" s="1"/>
  <c r="Y58" i="1" a="1"/>
  <c r="Y58" i="1" s="1"/>
  <c r="T58" i="1" a="1"/>
  <c r="T58" i="1" s="1"/>
  <c r="O58" i="1" a="1"/>
  <c r="O58" i="1" s="1"/>
  <c r="J58" i="1" a="1"/>
  <c r="J58" i="1" s="1"/>
  <c r="AS57" i="1" a="1"/>
  <c r="AS57" i="1" s="1"/>
  <c r="AN57" i="1" a="1"/>
  <c r="AN57" i="1" s="1"/>
  <c r="AI57" i="1" a="1"/>
  <c r="AI57" i="1" s="1"/>
  <c r="AD57" i="1" a="1"/>
  <c r="AD57" i="1" s="1"/>
  <c r="Y57" i="1" a="1"/>
  <c r="Y57" i="1" s="1"/>
  <c r="T57" i="1" a="1"/>
  <c r="T57" i="1" s="1"/>
  <c r="O57" i="1" a="1"/>
  <c r="O57" i="1" s="1"/>
  <c r="J57" i="1" a="1"/>
  <c r="J57" i="1" s="1"/>
  <c r="AS56" i="1" a="1"/>
  <c r="AS56" i="1" s="1"/>
  <c r="AN56" i="1" a="1"/>
  <c r="AN56" i="1" s="1"/>
  <c r="AI56" i="1" a="1"/>
  <c r="AI56" i="1" s="1"/>
  <c r="AD56" i="1" a="1"/>
  <c r="AD56" i="1" s="1"/>
  <c r="Y56" i="1" a="1"/>
  <c r="Y56" i="1" s="1"/>
  <c r="T56" i="1" a="1"/>
  <c r="T56" i="1" s="1"/>
  <c r="O56" i="1" a="1"/>
  <c r="O56" i="1" s="1"/>
  <c r="J56" i="1" a="1"/>
  <c r="J56" i="1" s="1"/>
  <c r="AS55" i="1" a="1"/>
  <c r="AS55" i="1" s="1"/>
  <c r="AN55" i="1" a="1"/>
  <c r="AN55" i="1" s="1"/>
  <c r="AI55" i="1" a="1"/>
  <c r="AI55" i="1" s="1"/>
  <c r="AD55" i="1" a="1"/>
  <c r="AD55" i="1" s="1"/>
  <c r="Y55" i="1" a="1"/>
  <c r="Y55" i="1" s="1"/>
  <c r="T55" i="1" a="1"/>
  <c r="T55" i="1" s="1"/>
  <c r="O55" i="1" a="1"/>
  <c r="O55" i="1" s="1"/>
  <c r="J55" i="1" a="1"/>
  <c r="J55" i="1" s="1"/>
  <c r="AS54" i="1" a="1"/>
  <c r="AS54" i="1" s="1"/>
  <c r="AN54" i="1" a="1"/>
  <c r="AN54" i="1" s="1"/>
  <c r="AI54" i="1" a="1"/>
  <c r="AI54" i="1" s="1"/>
  <c r="AD54" i="1" a="1"/>
  <c r="AD54" i="1" s="1"/>
  <c r="Y54" i="1" a="1"/>
  <c r="Y54" i="1" s="1"/>
  <c r="T54" i="1" a="1"/>
  <c r="T54" i="1" s="1"/>
  <c r="O54" i="1" a="1"/>
  <c r="O54" i="1" s="1"/>
  <c r="J54" i="1" a="1"/>
  <c r="J54" i="1" s="1"/>
  <c r="AS53" i="1" a="1"/>
  <c r="AS53" i="1" s="1"/>
  <c r="AN53" i="1" a="1"/>
  <c r="AN53" i="1" s="1"/>
  <c r="AI53" i="1" a="1"/>
  <c r="AI53" i="1" s="1"/>
  <c r="AD53" i="1" a="1"/>
  <c r="AD53" i="1" s="1"/>
  <c r="Y53" i="1" a="1"/>
  <c r="Y53" i="1" s="1"/>
  <c r="T53" i="1" a="1"/>
  <c r="T53" i="1" s="1"/>
  <c r="O53" i="1" a="1"/>
  <c r="O53" i="1" s="1"/>
  <c r="J53" i="1" a="1"/>
  <c r="J53" i="1" s="1"/>
  <c r="AS52" i="1" a="1"/>
  <c r="AS52" i="1" s="1"/>
  <c r="AN52" i="1" a="1"/>
  <c r="AN52" i="1" s="1"/>
  <c r="AI52" i="1" a="1"/>
  <c r="AI52" i="1" s="1"/>
  <c r="AD52" i="1" a="1"/>
  <c r="AD52" i="1" s="1"/>
  <c r="Y52" i="1" a="1"/>
  <c r="Y52" i="1" s="1"/>
  <c r="T52" i="1" a="1"/>
  <c r="T52" i="1" s="1"/>
  <c r="O52" i="1" a="1"/>
  <c r="O52" i="1" s="1"/>
  <c r="J52" i="1" a="1"/>
  <c r="J52" i="1" s="1"/>
  <c r="AS51" i="1" a="1"/>
  <c r="AS51" i="1" s="1"/>
  <c r="AN51" i="1" a="1"/>
  <c r="AN51" i="1" s="1"/>
  <c r="AI51" i="1" a="1"/>
  <c r="AI51" i="1" s="1"/>
  <c r="AD51" i="1" a="1"/>
  <c r="AD51" i="1" s="1"/>
  <c r="Y51" i="1" a="1"/>
  <c r="Y51" i="1" s="1"/>
  <c r="T51" i="1" a="1"/>
  <c r="T51" i="1" s="1"/>
  <c r="O51" i="1" a="1"/>
  <c r="O51" i="1" s="1"/>
  <c r="J51" i="1" a="1"/>
  <c r="J51" i="1" s="1"/>
  <c r="AS50" i="1" a="1"/>
  <c r="AS50" i="1" s="1"/>
  <c r="AN50" i="1" a="1"/>
  <c r="AN50" i="1" s="1"/>
  <c r="AI50" i="1" a="1"/>
  <c r="AI50" i="1" s="1"/>
  <c r="AD50" i="1" a="1"/>
  <c r="AD50" i="1" s="1"/>
  <c r="Y50" i="1" a="1"/>
  <c r="Y50" i="1" s="1"/>
  <c r="T50" i="1" a="1"/>
  <c r="T50" i="1" s="1"/>
  <c r="O50" i="1" a="1"/>
  <c r="O50" i="1" s="1"/>
  <c r="J50" i="1" a="1"/>
  <c r="J50" i="1" s="1"/>
  <c r="AS49" i="1" a="1"/>
  <c r="AS49" i="1" s="1"/>
  <c r="AN49" i="1" a="1"/>
  <c r="AN49" i="1" s="1"/>
  <c r="AI49" i="1" a="1"/>
  <c r="AI49" i="1" s="1"/>
  <c r="AD49" i="1" a="1"/>
  <c r="AD49" i="1" s="1"/>
  <c r="Y49" i="1" a="1"/>
  <c r="Y49" i="1" s="1"/>
  <c r="T49" i="1" a="1"/>
  <c r="T49" i="1" s="1"/>
  <c r="O49" i="1" a="1"/>
  <c r="O49" i="1" s="1"/>
  <c r="J49" i="1" a="1"/>
  <c r="J49" i="1" s="1"/>
  <c r="AS48" i="1" a="1"/>
  <c r="AS48" i="1" s="1"/>
  <c r="AN48" i="1" a="1"/>
  <c r="AN48" i="1" s="1"/>
  <c r="AI48" i="1" a="1"/>
  <c r="AI48" i="1" s="1"/>
  <c r="AD48" i="1" a="1"/>
  <c r="AD48" i="1" s="1"/>
  <c r="Y48" i="1" a="1"/>
  <c r="Y48" i="1" s="1"/>
  <c r="T48" i="1" a="1"/>
  <c r="T48" i="1" s="1"/>
  <c r="O48" i="1" a="1"/>
  <c r="O48" i="1" s="1"/>
  <c r="J48" i="1" a="1"/>
  <c r="J48" i="1" s="1"/>
  <c r="AS47" i="1" a="1"/>
  <c r="AS47" i="1" s="1"/>
  <c r="AN47" i="1" a="1"/>
  <c r="AN47" i="1" s="1"/>
  <c r="AI47" i="1" a="1"/>
  <c r="AI47" i="1" s="1"/>
  <c r="AD47" i="1" a="1"/>
  <c r="AD47" i="1" s="1"/>
  <c r="Y47" i="1" a="1"/>
  <c r="Y47" i="1" s="1"/>
  <c r="T47" i="1" a="1"/>
  <c r="T47" i="1" s="1"/>
  <c r="O47" i="1" a="1"/>
  <c r="O47" i="1" s="1"/>
  <c r="J47" i="1" a="1"/>
  <c r="J47" i="1" s="1"/>
  <c r="AS46" i="1" a="1"/>
  <c r="AS46" i="1" s="1"/>
  <c r="AN46" i="1" a="1"/>
  <c r="AN46" i="1" s="1"/>
  <c r="AI46" i="1" a="1"/>
  <c r="AI46" i="1" s="1"/>
  <c r="AD46" i="1" a="1"/>
  <c r="AD46" i="1" s="1"/>
  <c r="Y46" i="1" a="1"/>
  <c r="Y46" i="1" s="1"/>
  <c r="T46" i="1" a="1"/>
  <c r="T46" i="1" s="1"/>
  <c r="O46" i="1" a="1"/>
  <c r="O46" i="1" s="1"/>
  <c r="J46" i="1" a="1"/>
  <c r="J46" i="1" s="1"/>
  <c r="AS45" i="1" a="1"/>
  <c r="AS45" i="1" s="1"/>
  <c r="AN45" i="1" a="1"/>
  <c r="AN45" i="1" s="1"/>
  <c r="AI45" i="1" a="1"/>
  <c r="AI45" i="1" s="1"/>
  <c r="AD45" i="1" a="1"/>
  <c r="AD45" i="1" s="1"/>
  <c r="Y45" i="1" a="1"/>
  <c r="Y45" i="1" s="1"/>
  <c r="T45" i="1" a="1"/>
  <c r="T45" i="1" s="1"/>
  <c r="O45" i="1" a="1"/>
  <c r="O45" i="1" s="1"/>
  <c r="J45" i="1" a="1"/>
  <c r="J45" i="1" s="1"/>
  <c r="AS44" i="1" a="1"/>
  <c r="AS44" i="1" s="1"/>
  <c r="AN44" i="1" a="1"/>
  <c r="AN44" i="1" s="1"/>
  <c r="AI44" i="1" a="1"/>
  <c r="AI44" i="1" s="1"/>
  <c r="AD44" i="1" a="1"/>
  <c r="AD44" i="1" s="1"/>
  <c r="Y44" i="1" a="1"/>
  <c r="Y44" i="1" s="1"/>
  <c r="T44" i="1" a="1"/>
  <c r="T44" i="1" s="1"/>
  <c r="O44" i="1" a="1"/>
  <c r="O44" i="1" s="1"/>
  <c r="J44" i="1" a="1"/>
  <c r="J44" i="1" s="1"/>
  <c r="AS43" i="1" a="1"/>
  <c r="AS43" i="1" s="1"/>
  <c r="AN43" i="1" a="1"/>
  <c r="AN43" i="1" s="1"/>
  <c r="AI43" i="1" a="1"/>
  <c r="AI43" i="1" s="1"/>
  <c r="AD43" i="1" a="1"/>
  <c r="AD43" i="1" s="1"/>
  <c r="Y43" i="1" a="1"/>
  <c r="Y43" i="1" s="1"/>
  <c r="T43" i="1" a="1"/>
  <c r="T43" i="1" s="1"/>
  <c r="O43" i="1" a="1"/>
  <c r="O43" i="1" s="1"/>
  <c r="J43" i="1" a="1"/>
  <c r="J43" i="1" s="1"/>
  <c r="AS42" i="1" a="1"/>
  <c r="AS42" i="1" s="1"/>
  <c r="AN42" i="1" a="1"/>
  <c r="AN42" i="1" s="1"/>
  <c r="AI42" i="1" a="1"/>
  <c r="AI42" i="1" s="1"/>
  <c r="AD42" i="1" a="1"/>
  <c r="AD42" i="1" s="1"/>
  <c r="Y42" i="1" a="1"/>
  <c r="Y42" i="1" s="1"/>
  <c r="T42" i="1" a="1"/>
  <c r="T42" i="1" s="1"/>
  <c r="O42" i="1" a="1"/>
  <c r="O42" i="1" s="1"/>
  <c r="J42" i="1" a="1"/>
  <c r="J42" i="1" s="1"/>
  <c r="AS41" i="1" a="1"/>
  <c r="AS41" i="1" s="1"/>
  <c r="AN41" i="1" a="1"/>
  <c r="AN41" i="1" s="1"/>
  <c r="AI41" i="1" a="1"/>
  <c r="AI41" i="1" s="1"/>
  <c r="AD41" i="1" a="1"/>
  <c r="AD41" i="1" s="1"/>
  <c r="Y41" i="1" a="1"/>
  <c r="Y41" i="1" s="1"/>
  <c r="T41" i="1" a="1"/>
  <c r="T41" i="1" s="1"/>
  <c r="O41" i="1" a="1"/>
  <c r="O41" i="1" s="1"/>
  <c r="J41" i="1" a="1"/>
  <c r="J41" i="1" s="1"/>
  <c r="AS40" i="1" a="1"/>
  <c r="AS40" i="1" s="1"/>
  <c r="AN40" i="1" a="1"/>
  <c r="AN40" i="1" s="1"/>
  <c r="AI40" i="1" a="1"/>
  <c r="AI40" i="1" s="1"/>
  <c r="AD40" i="1" a="1"/>
  <c r="AD40" i="1" s="1"/>
  <c r="Y40" i="1" a="1"/>
  <c r="Y40" i="1" s="1"/>
  <c r="T40" i="1" a="1"/>
  <c r="T40" i="1" s="1"/>
  <c r="O40" i="1" a="1"/>
  <c r="O40" i="1" s="1"/>
  <c r="J40" i="1" a="1"/>
  <c r="J40" i="1" s="1"/>
  <c r="AS39" i="1" a="1"/>
  <c r="AS39" i="1" s="1"/>
  <c r="AN39" i="1" a="1"/>
  <c r="AN39" i="1" s="1"/>
  <c r="AI39" i="1" a="1"/>
  <c r="AI39" i="1" s="1"/>
  <c r="AD39" i="1" a="1"/>
  <c r="AD39" i="1" s="1"/>
  <c r="Y39" i="1"/>
  <c r="T39" i="1" a="1"/>
  <c r="T39" i="1"/>
  <c r="O39" i="1" a="1"/>
  <c r="O39" i="1" s="1"/>
  <c r="J39" i="1" a="1"/>
  <c r="J39" i="1" s="1"/>
  <c r="AU38" i="1"/>
  <c r="AS38" i="1"/>
  <c r="AP38" i="1"/>
  <c r="AN38" i="1"/>
  <c r="AK38" i="1"/>
  <c r="AI38" i="1"/>
  <c r="AF38" i="1"/>
  <c r="AD38" i="1"/>
  <c r="AA38" i="1"/>
  <c r="Y38" i="1"/>
  <c r="V38" i="1"/>
  <c r="T38" i="1"/>
  <c r="J38" i="1"/>
  <c r="F36" i="1"/>
  <c r="F35" i="1"/>
  <c r="U34" i="1"/>
  <c r="V34" i="1" s="1"/>
  <c r="F34" i="1"/>
  <c r="AE34" i="1" s="1"/>
  <c r="AF34" i="1" s="1"/>
  <c r="Z33" i="1"/>
  <c r="AA33" i="1" s="1"/>
  <c r="U33" i="1"/>
  <c r="P33" i="1"/>
  <c r="Q33" i="1" s="1"/>
  <c r="F33" i="1"/>
  <c r="AO33" i="1" s="1"/>
  <c r="AP33" i="1" s="1"/>
  <c r="F32" i="1"/>
  <c r="F31" i="1"/>
  <c r="F30" i="1"/>
  <c r="F29" i="1"/>
  <c r="P29" i="1" s="1"/>
  <c r="Q29" i="1" s="1"/>
  <c r="F28" i="1"/>
  <c r="AE28" i="1" s="1"/>
  <c r="AF28" i="1" s="1"/>
  <c r="F27" i="1"/>
  <c r="AE27" i="1" s="1"/>
  <c r="AF27" i="1" s="1"/>
  <c r="F26" i="1"/>
  <c r="P26" i="1" s="1"/>
  <c r="Q26" i="1" s="1"/>
  <c r="F25" i="1"/>
  <c r="F24" i="1"/>
  <c r="U24" i="1" s="1"/>
  <c r="F23" i="1"/>
  <c r="F22" i="1"/>
  <c r="U22" i="1" s="1"/>
  <c r="V22" i="1" s="1"/>
  <c r="F21" i="1"/>
  <c r="P21" i="1" s="1"/>
  <c r="F20" i="1"/>
  <c r="U20" i="1" s="1"/>
  <c r="F19" i="1"/>
  <c r="AE19" i="1" s="1"/>
  <c r="AF19" i="1" s="1"/>
  <c r="F18" i="1"/>
  <c r="AJ18" i="1" s="1"/>
  <c r="AK18" i="1" s="1"/>
  <c r="P17" i="1"/>
  <c r="Q17" i="1" s="1"/>
  <c r="F17" i="1"/>
  <c r="F16" i="1"/>
  <c r="AE16" i="1" s="1"/>
  <c r="AF16" i="1" s="1"/>
  <c r="F15" i="1"/>
  <c r="AE15" i="1" s="1"/>
  <c r="AF15" i="1" s="1"/>
  <c r="F14" i="1"/>
  <c r="U14" i="1" s="1"/>
  <c r="F13" i="1"/>
  <c r="AO13" i="1" s="1"/>
  <c r="AP13" i="1" s="1"/>
  <c r="F12" i="1"/>
  <c r="AE12" i="1" s="1"/>
  <c r="AF12" i="1" s="1"/>
  <c r="F11" i="1"/>
  <c r="AE11" i="1" s="1"/>
  <c r="AF11" i="1" s="1"/>
  <c r="F10" i="1"/>
  <c r="F9" i="1"/>
  <c r="Z9" i="1" s="1"/>
  <c r="AA9" i="1" s="1"/>
  <c r="F8" i="1"/>
  <c r="AO8" i="1" s="1"/>
  <c r="AP8" i="1" s="1"/>
  <c r="F7" i="1"/>
  <c r="P7" i="1" s="1"/>
  <c r="Q7" i="1" s="1"/>
  <c r="AU3" i="1"/>
  <c r="G30" i="1"/>
  <c r="G35" i="1"/>
  <c r="G29" i="1"/>
  <c r="G21" i="1"/>
  <c r="G17" i="1"/>
  <c r="G7" i="1"/>
  <c r="G10" i="1"/>
  <c r="G36" i="1"/>
  <c r="G31" i="1"/>
  <c r="G32" i="1"/>
  <c r="L3" i="1" l="1"/>
  <c r="AJ15" i="1"/>
  <c r="AK15" i="1" s="1"/>
  <c r="U19" i="1"/>
  <c r="V19" i="1" s="1"/>
  <c r="AA3" i="1"/>
  <c r="U27" i="1"/>
  <c r="V27" i="1" s="1"/>
  <c r="P27" i="1"/>
  <c r="P28" i="1"/>
  <c r="Q28" i="1" s="1"/>
  <c r="V14" i="1"/>
  <c r="P8" i="1"/>
  <c r="Q8" i="1" s="1"/>
  <c r="AE14" i="1"/>
  <c r="AF14" i="1" s="1"/>
  <c r="P19" i="1"/>
  <c r="V24" i="1"/>
  <c r="U8" i="1"/>
  <c r="V8" i="1" s="1"/>
  <c r="AO14" i="1"/>
  <c r="AP14" i="1" s="1"/>
  <c r="AO15" i="1"/>
  <c r="AP15" i="1" s="1"/>
  <c r="P18" i="1"/>
  <c r="Q21" i="1"/>
  <c r="AJ28" i="1"/>
  <c r="AK28" i="1" s="1"/>
  <c r="V33" i="1"/>
  <c r="P12" i="1"/>
  <c r="Q12" i="1" s="1"/>
  <c r="U12" i="1"/>
  <c r="V12" i="1" s="1"/>
  <c r="U16" i="1"/>
  <c r="P20" i="1"/>
  <c r="Q20" i="1" s="1"/>
  <c r="P22" i="1"/>
  <c r="Q22" i="1" s="1"/>
  <c r="AE33" i="1"/>
  <c r="AF33" i="1" s="1"/>
  <c r="P15" i="1"/>
  <c r="P9" i="1"/>
  <c r="P13" i="1"/>
  <c r="Q13" i="1" s="1"/>
  <c r="U15" i="1"/>
  <c r="V15" i="1" s="1"/>
  <c r="V16" i="1"/>
  <c r="AE18" i="1"/>
  <c r="AF18" i="1" s="1"/>
  <c r="U18" i="1"/>
  <c r="V18" i="1" s="1"/>
  <c r="V20" i="1"/>
  <c r="AE20" i="1"/>
  <c r="AF20" i="1" s="1"/>
  <c r="H7" i="1"/>
  <c r="H10" i="1"/>
  <c r="H17" i="1"/>
  <c r="H35" i="1"/>
  <c r="H30" i="1"/>
  <c r="H36" i="1"/>
  <c r="H31" i="1"/>
  <c r="H29" i="1"/>
  <c r="H32" i="1"/>
  <c r="U11" i="1"/>
  <c r="V11" i="1" s="1"/>
  <c r="AJ13" i="1"/>
  <c r="AK13" i="1" s="1"/>
  <c r="AE22" i="1"/>
  <c r="AJ24" i="1"/>
  <c r="AK24" i="1" s="1"/>
  <c r="AJ26" i="1"/>
  <c r="AK26" i="1" s="1"/>
  <c r="AJ22" i="1"/>
  <c r="AK22" i="1" s="1"/>
  <c r="AJ8" i="1"/>
  <c r="AO11" i="1"/>
  <c r="AP11" i="1" s="1"/>
  <c r="AJ14" i="1"/>
  <c r="AK14" i="1" s="1"/>
  <c r="AO16" i="1"/>
  <c r="AP16" i="1" s="1"/>
  <c r="P16" i="1"/>
  <c r="AJ16" i="1"/>
  <c r="AK16" i="1" s="1"/>
  <c r="P24" i="1"/>
  <c r="AO34" i="1"/>
  <c r="AP34" i="1" s="1"/>
  <c r="P34" i="1"/>
  <c r="AJ34" i="1"/>
  <c r="AK34" i="1" s="1"/>
  <c r="AJ11" i="1"/>
  <c r="AK11" i="1" s="1"/>
  <c r="P11" i="1"/>
  <c r="AJ12" i="1"/>
  <c r="U13" i="1"/>
  <c r="AJ20" i="1"/>
  <c r="P25" i="1"/>
  <c r="U26" i="1"/>
  <c r="AO12" i="1"/>
  <c r="AP12" i="1" s="1"/>
  <c r="AE13" i="1"/>
  <c r="AF13" i="1" s="1"/>
  <c r="P14" i="1"/>
  <c r="H21" i="1"/>
  <c r="P23" i="1"/>
  <c r="AE24" i="1"/>
  <c r="AF24" i="1" s="1"/>
  <c r="AE25" i="1"/>
  <c r="AF25" i="1" s="1"/>
  <c r="AE26" i="1"/>
  <c r="AF26" i="1" s="1"/>
  <c r="U28" i="1"/>
  <c r="G15" i="1"/>
  <c r="G8" i="1"/>
  <c r="G14" i="1"/>
  <c r="G16" i="1"/>
  <c r="G34" i="1"/>
  <c r="G28" i="1"/>
  <c r="G11" i="1"/>
  <c r="G27" i="1"/>
  <c r="G12" i="1"/>
  <c r="G25" i="1"/>
  <c r="G19" i="1"/>
  <c r="G13" i="1"/>
  <c r="G22" i="1"/>
  <c r="G9" i="1"/>
  <c r="G24" i="1"/>
  <c r="G26" i="1"/>
  <c r="G18" i="1"/>
  <c r="G20" i="1"/>
  <c r="G23" i="1"/>
  <c r="G33" i="1"/>
  <c r="H19" i="1" l="1"/>
  <c r="H27" i="1"/>
  <c r="Q27" i="1"/>
  <c r="Q19" i="1"/>
  <c r="H15" i="1"/>
  <c r="H33" i="1"/>
  <c r="H18" i="1"/>
  <c r="H9" i="1"/>
  <c r="Q15" i="1"/>
  <c r="Q18" i="1"/>
  <c r="AP3" i="1"/>
  <c r="Q9" i="1"/>
  <c r="H23" i="1"/>
  <c r="H26" i="1"/>
  <c r="H22" i="1"/>
  <c r="H25" i="1"/>
  <c r="H34" i="1"/>
  <c r="H14" i="1"/>
  <c r="H8" i="1"/>
  <c r="H28" i="1"/>
  <c r="H20" i="1"/>
  <c r="H24" i="1"/>
  <c r="H13" i="1"/>
  <c r="H12" i="1"/>
  <c r="H16" i="1"/>
  <c r="H11" i="1"/>
  <c r="Q23" i="1"/>
  <c r="V26" i="1"/>
  <c r="AF22" i="1"/>
  <c r="AF3" i="1" s="1"/>
  <c r="Q25" i="1"/>
  <c r="Q34" i="1"/>
  <c r="Q14" i="1"/>
  <c r="AK8" i="1"/>
  <c r="V28" i="1"/>
  <c r="AK20" i="1"/>
  <c r="Q24" i="1"/>
  <c r="V13" i="1"/>
  <c r="AK12" i="1"/>
  <c r="Q16" i="1"/>
  <c r="Q11" i="1"/>
  <c r="Q38" i="1" l="1"/>
  <c r="O38" i="1"/>
  <c r="V3" i="1"/>
  <c r="AK3" i="1"/>
  <c r="Q3" i="1"/>
  <c r="H3" i="1"/>
  <c r="H2" i="1" s="1"/>
  <c r="H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 shapeId="0" xr:uid="{00000000-0006-0000-0000-000005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 shapeId="0" xr:uid="{00000000-0006-0000-0000-000006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 shapeId="0" xr:uid="{00000000-0006-0000-0000-000007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 shapeId="0" xr:uid="{00000000-0006-0000-0000-000008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 shapeId="0" xr:uid="{00000000-0006-0000-0000-000009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A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B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C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D000000}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 shapeId="0" xr:uid="{00000000-0006-0000-0000-00000E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 shapeId="0" xr:uid="{00000000-0006-0000-0000-00000F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 shapeId="0" xr:uid="{00000000-0006-0000-0000-000010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 shapeId="0" xr:uid="{00000000-0006-0000-0000-000011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 shapeId="0" xr:uid="{00000000-0006-0000-0000-000012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 shapeId="0" xr:uid="{00000000-0006-0000-0000-000013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 shapeId="0" xr:uid="{00000000-0006-0000-0000-000014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 shapeId="0" xr:uid="{00000000-0006-0000-0000-000015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 shapeId="0" xr:uid="{00000000-0006-0000-0000-000016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 shapeId="0" xr:uid="{00000000-0006-0000-0000-000017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 shapeId="0" xr:uid="{00000000-0006-0000-0000-000018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 shapeId="0" xr:uid="{00000000-0006-0000-0000-000019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 shapeId="0" xr:uid="{00000000-0006-0000-0000-00001A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 shapeId="0" xr:uid="{00000000-0006-0000-0000-00001B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6" authorId="0" shapeId="0" xr:uid="{00000000-0006-0000-0000-00001C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 shapeId="0" xr:uid="{00000000-0006-0000-0000-00001D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U6" authorId="0" shapeId="0" xr:uid="{00000000-0006-0000-0000-00001E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V6" authorId="0" shapeId="0" xr:uid="{00000000-0006-0000-0000-00001F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 shapeId="0" xr:uid="{00000000-0006-0000-0000-000020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X6" authorId="0" shapeId="0" xr:uid="{00000000-0006-0000-0000-000021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Y6" authorId="0" shapeId="0" xr:uid="{00000000-0006-0000-0000-000022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Z6" authorId="0" shapeId="0" xr:uid="{00000000-0006-0000-0000-000023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A6" authorId="0" shapeId="0" xr:uid="{00000000-0006-0000-0000-000024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 shapeId="0" xr:uid="{00000000-0006-0000-0000-000025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C6" authorId="0" shapeId="0" xr:uid="{00000000-0006-0000-0000-000026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D6" authorId="0" shapeId="0" xr:uid="{00000000-0006-0000-0000-000027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E6" authorId="0" shapeId="0" xr:uid="{00000000-0006-0000-0000-000028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F6" authorId="0" shapeId="0" xr:uid="{00000000-0006-0000-0000-000029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6" authorId="0" shapeId="0" xr:uid="{00000000-0006-0000-0000-00002A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6" authorId="0" shapeId="0" xr:uid="{00000000-0006-0000-0000-00002B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6" authorId="0" shapeId="0" xr:uid="{00000000-0006-0000-0000-00002C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J6" authorId="0" shapeId="0" xr:uid="{00000000-0006-0000-0000-00002D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K6" authorId="0" shapeId="0" xr:uid="{00000000-0006-0000-0000-00002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L6" authorId="0" shapeId="0" xr:uid="{00000000-0006-0000-0000-00002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M6" authorId="0" shapeId="0" xr:uid="{00000000-0006-0000-0000-000030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N6" authorId="0" shapeId="0" xr:uid="{00000000-0006-0000-0000-000031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O6" authorId="0" shapeId="0" xr:uid="{00000000-0006-0000-0000-000032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P6" authorId="0" shapeId="0" xr:uid="{00000000-0006-0000-0000-000033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6" authorId="0" shapeId="0" xr:uid="{00000000-0006-0000-0000-000034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6" authorId="0" shapeId="0" xr:uid="{00000000-0006-0000-0000-000035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 shapeId="0" xr:uid="{00000000-0006-0000-0000-000036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 shapeId="0" xr:uid="{00000000-0006-0000-0000-000037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 shapeId="0" xr:uid="{00000000-0006-0000-0000-000038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 shapeId="0" xr:uid="{00000000-0006-0000-0000-000039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 shapeId="0" xr:uid="{00000000-0006-0000-0000-00003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100   $0.03      $2.53
   500   $0.02      $9.05
  1000   $0.01     $14.22
  4000   $0.01     $41.40
  8000   $0.01     $75.60
 12000   $0.01    $108.00</t>
        </r>
      </text>
    </comment>
    <comment ref="P8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$0.47
   100   $0.02      $2.10
   500   $0.02      $7.51
  1000   $0.01     $11.80
  4000   $0.01     $39.48
  8000   $0.01     $72.08
 12000   $0.01    $102.96</t>
        </r>
      </text>
    </comment>
    <comment ref="U8" authorId="0" shapeId="0" xr:uid="{00000000-0006-0000-0000-00003C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£0.52
   100   £0.02      £2.27
   150   £0.02      £3.41
   500   £0.01      £7.25
  1000   £0.01     £11.00
  2000   £0.01     £21.60
  4000   £0.01     £30.00</t>
        </r>
      </text>
    </comment>
    <comment ref="AJ8" authorId="0" shapeId="0" xr:uid="{00000000-0006-0000-0000-00003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$0.01      $0.15
    50   $0.01      $0.30
   100   $0.01      $0.60
   250   $0.01      $1.50
   500   $0.01      $3.00
  1000   $0.01      $6.00</t>
        </r>
      </text>
    </comment>
    <comment ref="AO8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£28.00
 12000   £0.01     £84.00
 20000   £0.01    £140.00
 40000   £0.01    £240.00
100000   £0.01    £600.00</t>
        </r>
      </text>
    </comment>
    <comment ref="P9" authorId="0" shapeId="0" xr:uid="{00000000-0006-0000-0000-00003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$2.70
   100   $0.16     $16.18
   500   $0.12     $60.66
  1000   $0.09     $89.10
  2000   $0.08    $168.82
  5000   $0.08    $398.60</t>
        </r>
      </text>
    </comment>
    <comment ref="Z9" authorId="0" shapeId="0" xr:uid="{00000000-0006-0000-0000-00004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$0.11      $1.14
    30   $0.11      $3.20
   100   $0.10      $9.93
   500   $0.10     $48.00
  1000   $0.09     $94.37</t>
        </r>
      </text>
    </comment>
    <comment ref="P11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$0.02      $1.63
  1000   $0.01      $7.31
  2500   $0.01     $15.88
  5000   $0.00     $23.85
 10000   $0.00     $41.40</t>
        </r>
      </text>
    </comment>
    <comment ref="U11" authorId="0" shapeId="0" xr:uid="{00000000-0006-0000-0000-000042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£0.35
   100   £0.02      £2.34
   150   £0.02      £3.51
   500   £0.02      £8.15
  1000   £0.01     £12.30
  2500   £0.01     £23.25
  5000   £0.01     £35.50
 25000   £0.00    £120.00</t>
        </r>
      </text>
    </comment>
    <comment ref="AE11" authorId="0" shapeId="0" xr:uid="{00000000-0006-0000-0000-00004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$0.03      $0.31
   100   $0.01      $1.10
  1000   $0.01      $8.00
  5000   $0.00     $25.00
 10000   $0.00     $50.00</t>
        </r>
      </text>
    </comment>
    <comment ref="AJ11" authorId="0" shapeId="0" xr:uid="{00000000-0006-0000-0000-000044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$0.33
    25   $0.03      $0.65
    50   $0.02      $0.95
   100   $0.01      $1.20
   250   $0.01      $2.75
   500   $0.01      $4.50
  1000   $0.01      $8.00
  5000   $0.01     $55.00
 10000   $0.01     $80.00</t>
        </r>
      </text>
    </comment>
    <comment ref="AO11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£20.00</t>
        </r>
      </text>
    </comment>
    <comment ref="P12" authorId="0" shapeId="0" xr:uid="{00000000-0006-0000-0000-00004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$0.02      $1.63
  1000   $0.01      $7.31
  2500   $0.01     $15.88
  5000   $0.00     $23.85
 10000   $0.00     $41.40</t>
        </r>
      </text>
    </comment>
    <comment ref="U12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£0.34
   100   £0.02      £2.13
   150   £0.02      £3.20
   500   £0.01      £7.45
  1000   £0.01     £11.30
  2500   £0.01     £21.25
  5000   £0.01     £32.50
 25000   £0.00    £110.00</t>
        </r>
      </text>
    </comment>
    <comment ref="AE12" authorId="0" shapeId="0" xr:uid="{00000000-0006-0000-0000-00004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$0.03      $0.31
   100   $0.01      $1.10
  1000   $0.01      $8.00
  5000   $0.00     $25.00
 10000   $0.00     $50.00</t>
        </r>
      </text>
    </comment>
    <comment ref="AJ12" authorId="0" shapeId="0" xr:uid="{00000000-0006-0000-0000-000049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$0.33
    25   $0.03      $0.65
    50   $0.02      $0.95
   100   $0.01      $1.20
   250   $0.01      $2.75
   500   $0.01      $4.50
  1000   $0.01      $8.00
  5000   $0.01     $55.00
 10000   $0.01     $80.00</t>
        </r>
      </text>
    </comment>
    <comment ref="AO12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£0.01     £50.00</t>
        </r>
      </text>
    </comment>
    <comment ref="P13" authorId="0" shapeId="0" xr:uid="{00000000-0006-0000-0000-00004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$0.02      $1.63
  1000   $0.01      $7.31
  2500   $0.01     $15.88
  5000   $0.00     $23.85
 10000   $0.00     $41.40</t>
        </r>
      </text>
    </comment>
    <comment ref="U13" authorId="0" shapeId="0" xr:uid="{00000000-0006-0000-0000-00004C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£0.34
   100   £0.02      £2.13
   150   £0.02      £3.20
   500   £0.01      £7.45
  1000   £0.01     £11.30
  2500   £0.01     £21.25
  5000   £0.01     £32.50
 25000   £0.00    £110.00</t>
        </r>
      </text>
    </comment>
    <comment ref="AC13" authorId="0" shapeId="0" xr:uid="{00000000-0006-0000-0000-00004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3" authorId="0" shapeId="0" xr:uid="{00000000-0006-0000-0000-00004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$0.03      $0.31
   100   $0.01      $1.10
  1000   $0.01      $8.00
  5000   $0.00     $25.00
 10000   $0.00     $50.00</t>
        </r>
      </text>
    </comment>
    <comment ref="AJ13" authorId="0" shapeId="0" xr:uid="{00000000-0006-0000-0000-00004F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$0.33
    25   $0.03      $0.65
    50   $0.02      $0.95
   100   $0.01      $1.20
   250   $0.01      $2.75
   500   $0.01      $4.50
  1000   $0.01      $8.00
  5000   $0.01     $55.00
 10000   $0.01     $80.00</t>
        </r>
      </text>
    </comment>
    <comment ref="AO13" authorId="0" shapeId="0" xr:uid="{00000000-0006-0000-0000-000050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£25.00
 10000   £0.00     £40.00</t>
        </r>
      </text>
    </comment>
    <comment ref="P14" authorId="0" shapeId="0" xr:uid="{00000000-0006-0000-0000-00005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$0.02      $1.63
  1000   $0.01      $7.31
  2500   $0.01     $15.88
  5000   $0.00     $23.85
 10000   $0.00     $41.40</t>
        </r>
      </text>
    </comment>
    <comment ref="S14" authorId="0" shapeId="0" xr:uid="{00000000-0006-0000-0000-00005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4" authorId="0" shapeId="0" xr:uid="{00000000-0006-0000-0000-000053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£0.34
   100   £0.02      £2.13
   150   £0.02      £3.20
   500   £0.01      £7.45
  1000   £0.01     £11.30
  2500   £0.01     £21.25
  5000   £0.01     £32.50
 25000   £0.00    £110.00</t>
        </r>
      </text>
    </comment>
    <comment ref="AE14" authorId="0" shapeId="0" xr:uid="{00000000-0006-0000-0000-00005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$0.03      $0.31
   100   $0.01      $1.10
  1000   $0.01      $8.00
  5000   $0.00     $25.00
 10000   $0.00     $50.00</t>
        </r>
      </text>
    </comment>
    <comment ref="AH14" authorId="0" shapeId="0" xr:uid="{00000000-0006-0000-0000-00005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4" authorId="0" shapeId="0" xr:uid="{00000000-0006-0000-0000-000056000000}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$0.33
    25   $0.03      $0.65
    50   $0.02      $0.95
   100   $0.01      $1.20
   250   $0.01      $2.75
   500   $0.01      $4.50
  1000   $0.01      $8.00
  5000   $0.01     $55.00
 10000   $0.01     $80.00</t>
        </r>
      </text>
    </comment>
    <comment ref="AO14" authorId="0" shapeId="0" xr:uid="{00000000-0006-0000-0000-000057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£0.01     £50.00</t>
        </r>
      </text>
    </comment>
    <comment ref="P15" authorId="0" shapeId="0" xr:uid="{00000000-0006-0000-0000-00005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$0.02      $1.63
  1000   $0.01      $7.31
  2500   $0.01     $15.88
  5000   $0.00     $23.85
 10000   $0.00     $41.40</t>
        </r>
      </text>
    </comment>
    <comment ref="U15" authorId="0" shapeId="0" xr:uid="{00000000-0006-0000-0000-000059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£0.11      £0.11
    10   £0.03      £0.34
    25   £0.03      £0.77
    50   £0.03      £1.32
   100   £0.02      £2.25
   150   £0.02      £3.33
   250   £0.02      £4.65
   500   £0.01      £7.05
  1000   £0.01     £11.80
  2500   £0.01     £22.25
  5000   £0.01     £33.50</t>
        </r>
      </text>
    </comment>
    <comment ref="AC15" authorId="0" shapeId="0" xr:uid="{00000000-0006-0000-0000-00005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5" authorId="0" shapeId="0" xr:uid="{00000000-0006-0000-0000-00005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$0.03      $0.31
   100   $0.01      $1.10
  1000   $0.01      $8.00
  5000   $0.00     $25.00
 10000   $0.00     $50.00</t>
        </r>
      </text>
    </comment>
    <comment ref="AJ15" authorId="0" shapeId="0" xr:uid="{00000000-0006-0000-0000-00005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$0.14      $1.37
    25   $0.03      $0.83
    50   $0.02      $1.10
   100   $0.01      $1.20
   250   $0.01      $2.75
   500   $0.01      $4.50
  1000   $0.01      $8.00</t>
        </r>
      </text>
    </comment>
    <comment ref="AO15" authorId="0" shapeId="0" xr:uid="{00000000-0006-0000-0000-00005D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£0.01     £50.00</t>
        </r>
      </text>
    </comment>
    <comment ref="P16" authorId="0" shapeId="0" xr:uid="{00000000-0006-0000-0000-00005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$0.02      $1.63
  1000   $0.01      $7.31
  2500   $0.01     $15.88
  5000   $0.00     $23.85
 10000   $0.00     $41.40</t>
        </r>
      </text>
    </comment>
    <comment ref="U16" authorId="0" shapeId="0" xr:uid="{00000000-0006-0000-0000-00005F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£0.11      £0.11
    10   £0.03      £0.33
    25   £0.03      £0.76
    50   £0.03      £1.32
   100   £0.02      £2.23
   150   £0.03      £4.30
   250   £0.02      £4.60
   500   £0.01      £6.95
  1000   £0.01     £11.40
  2500   £0.01     £22.50
  5000   £0.01     £33.50</t>
        </r>
      </text>
    </comment>
    <comment ref="AC16" authorId="0" shapeId="0" xr:uid="{00000000-0006-0000-0000-00006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16" authorId="0" shapeId="0" xr:uid="{00000000-0006-0000-0000-00006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$0.03      $0.31
   100   $0.01      $1.10
  1000   $0.01      $8.00
  5000   $0.00     $25.00
 10000   $0.00     $50.00</t>
        </r>
      </text>
    </comment>
    <comment ref="AJ16" authorId="0" shapeId="0" xr:uid="{00000000-0006-0000-0000-00006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$0.03      $0.31
    25   $0.02      $0.60
    50   $0.02      $0.90
   100   $0.01      $1.10
   250   $0.01      $2.50
   500   $0.01      $4.50
  1000   $0.01      $8.00</t>
        </r>
      </text>
    </comment>
    <comment ref="AO16" authorId="0" shapeId="0" xr:uid="{00000000-0006-0000-0000-000063000000}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£20.00</t>
        </r>
      </text>
    </comment>
    <comment ref="AR16" authorId="0" shapeId="0" xr:uid="{00000000-0006-0000-0000-00006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7" authorId="0" shapeId="0" xr:uid="{00000000-0006-0000-0000-00006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$2.00     $20.05
    25   $1.82     $45.58
   450   $1.30    $587.25
   900   $1.22  $1,093.50
  1350   $1.12  $1,518.75
  3150   $1.02  $3,213.00
 11250   $0.90 $10,125.00</t>
        </r>
      </text>
    </comment>
    <comment ref="S17" authorId="0" shapeId="0" xr:uid="{00000000-0006-0000-0000-00006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17" authorId="0" shapeId="0" xr:uid="{00000000-0006-0000-0000-000067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18" authorId="0" shapeId="0" xr:uid="{00000000-0006-0000-0000-00006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$0.62      $6.18
    25   $0.59     $14.68
    50   $0.57     $28.58
   100   $0.56     $56.39
   250   $0.56    $139.05
   500   $0.55    $274.24
  1000   $0.46    $463.50
  5000   $0.46  $2,278.90</t>
        </r>
      </text>
    </comment>
    <comment ref="S18" authorId="0" shapeId="0" xr:uid="{00000000-0006-0000-0000-000069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8" authorId="0" shapeId="0" xr:uid="{00000000-0006-0000-0000-00006A000000}">
      <text>
        <r>
          <rPr>
            <sz val="8"/>
            <color indexed="81"/>
            <rFont val="Tahoma"/>
            <family val="2"/>
          </rPr>
          <t>Qty/Price Breaks (GBP):
  Qty  -  Unit£  -  Ext£
================
  1000   £0.51    £507.00</t>
        </r>
      </text>
    </comment>
    <comment ref="AE18" authorId="0" shapeId="0" xr:uid="{00000000-0006-0000-0000-00006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$0.76      $0.76
    10   $0.69      $6.88
    25   $0.65     $16.32
    50   $0.64     $31.80
   100   $0.63     $62.70
   250   $0.62    $154.75</t>
        </r>
      </text>
    </comment>
    <comment ref="AH18" authorId="0" shapeId="0" xr:uid="{00000000-0006-0000-0000-00006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J18" authorId="0" shapeId="0" xr:uid="{00000000-0006-0000-0000-00006D000000}">
      <text>
        <r>
          <rPr>
            <sz val="8"/>
            <color indexed="81"/>
            <rFont val="Tahoma"/>
            <family val="2"/>
          </rPr>
          <t>Qty/Price Breaks (USD):
  Qty  -  Unit$  -  Ext$
================
  1000   $0.54    $545.00</t>
        </r>
      </text>
    </comment>
    <comment ref="P19" authorId="0" shapeId="0" xr:uid="{00000000-0006-0000-0000-00006E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$2.00     $20.05
    25   $1.82     $45.58
   100   $1.58    $158.40
   450   $1.40    $632.08
   900   $1.31  $1,176.97
  1350   $1.21  $1,634.67
  3150   $1.10  $3,458.26
 11250   $0.97 $10,897.88</t>
        </r>
      </text>
    </comment>
    <comment ref="U19" authorId="0" shapeId="0" xr:uid="{00000000-0006-0000-0000-00006F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£2.75      £2.75
    10   £2.64     £26.40
    25   £2.43     £60.75
    50   £2.11    £105.50</t>
        </r>
      </text>
    </comment>
    <comment ref="AE19" authorId="0" shapeId="0" xr:uid="{00000000-0006-0000-0000-00007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$2.80      $2.80
    10   $2.69     $26.90
    25   $2.47     $61.75
    50   $2.15    $107.50
   100   $2.04    $204.00
   250   $1.81    $452.50</t>
        </r>
      </text>
    </comment>
    <comment ref="P20" authorId="0" shapeId="0" xr:uid="{00000000-0006-0000-0000-00007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$0.62      $6.18
    25   $0.59     $14.68
    50   $0.57     $28.58
   100   $0.56     $56.39
   250   $0.56    $139.05
   500   $0.55    $274.24
  1000   $0.46    $463.50
  5000   $0.46  $2,278.90</t>
        </r>
      </text>
    </comment>
    <comment ref="U20" authorId="0" shapeId="0" xr:uid="{00000000-0006-0000-0000-000072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£0.75      £0.75
    10   £0.68      £6.75
    25   £0.64     £16.05
    50   £0.62     £31.25
   100   £0.62     £61.60
   250   £0.61    £152.00
   500   £0.60    £300.00</t>
        </r>
      </text>
    </comment>
    <comment ref="AE20" authorId="0" shapeId="0" xr:uid="{00000000-0006-0000-0000-00007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$0.54      $5.44
    25   $0.52     $12.92
    50   $0.50     $25.20
   100   $0.50     $49.70
   250   $0.49    $122.50</t>
        </r>
      </text>
    </comment>
    <comment ref="AJ20" authorId="0" shapeId="0" xr:uid="{00000000-0006-0000-0000-00007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$0.20      $1.98
    25   $0.20      $4.95
    50   $0.20      $9.90
   100   $0.20     $19.80
   250   $0.20     $49.50
   500   $0.20     $99.00
  1000   $0.20    $198.00</t>
        </r>
      </text>
    </comment>
    <comment ref="P21" authorId="0" shapeId="0" xr:uid="{00000000-0006-0000-0000-00007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$2.00     $20.05
    25   $1.82     $45.58
   450   $1.30    $587.25
   900   $1.22  $1,093.50
  1350   $1.12  $1,518.75
  3150   $1.02  $3,213.00
 11250   $0.90 $10,125.00</t>
        </r>
      </text>
    </comment>
    <comment ref="S21" authorId="0" shapeId="0" xr:uid="{00000000-0006-0000-0000-00007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21" authorId="0" shapeId="0" xr:uid="{00000000-0006-0000-0000-000077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2" authorId="0" shapeId="0" xr:uid="{00000000-0006-0000-0000-00007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$0.62      $6.18
    25   $0.59     $14.68
    50   $0.57     $28.58
   100   $0.56     $56.39
   250   $0.56    $139.05
   500   $0.55    $274.24
  1000   $0.46    $463.50
  5000   $0.46  $2,278.90</t>
        </r>
      </text>
    </comment>
    <comment ref="U22" authorId="0" shapeId="0" xr:uid="{00000000-0006-0000-0000-000079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£0.75      £0.75
    10   £0.68      £6.75
    25   £0.64     £16.05
    50   £0.62     £31.25
   100   £0.62     £61.60
   250   £0.61    £152.00
   500   £0.60    £300.00</t>
        </r>
      </text>
    </comment>
    <comment ref="AE22" authorId="0" shapeId="0" xr:uid="{00000000-0006-0000-0000-00007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$0.54      $5.44
    25   $0.52     $12.92
    50   $0.50     $25.20
   100   $0.50     $49.70
   250   $0.49    $122.50</t>
        </r>
      </text>
    </comment>
    <comment ref="AJ22" authorId="0" shapeId="0" xr:uid="{00000000-0006-0000-0000-00007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$0.44      $4.40
    25   $0.44     $11.00
    50   $0.44     $22.00
   100   $0.44     $44.00
   250   $0.44    $110.00
   500   $0.44    $220.00
  1000   $0.44    $440.00</t>
        </r>
      </text>
    </comment>
    <comment ref="P23" authorId="0" shapeId="0" xr:uid="{00000000-0006-0000-0000-00007C000000}">
      <text>
        <r>
          <rPr>
            <sz val="8"/>
            <color indexed="81"/>
            <rFont val="Tahoma"/>
            <family val="2"/>
          </rPr>
          <t>Qty/Price Breaks (USD):
  Qty  -  Unit$  -  Ext$
================
   450   $1.30    $587.25
   900   $1.22  $1,093.50
  1350   $1.12  $1,518.75
  3150   $1.02  $3,213.00
 11250   $0.90 $10,125.00</t>
        </r>
      </text>
    </comment>
    <comment ref="S23" authorId="0" shapeId="0" xr:uid="{00000000-0006-0000-0000-00007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23" authorId="0" shapeId="0" xr:uid="{00000000-0006-0000-0000-00007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4" authorId="0" shapeId="0" xr:uid="{00000000-0006-0000-0000-00007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$0.62      $6.18
    25   $0.59     $14.68
    50   $0.57     $28.58
   100   $0.56     $56.39
   250   $0.56    $139.05
   500   $0.55    $274.24
  1000   $0.46    $463.50
  5000   $0.46  $2,278.90</t>
        </r>
      </text>
    </comment>
    <comment ref="U24" authorId="0" shapeId="0" xr:uid="{00000000-0006-0000-0000-000080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£0.75      £0.75
    10   £0.68      £6.75
    25   £0.64     £16.05
    50   £0.62     £31.25
   100   £0.62     £61.60
   250   £0.61    £152.00
   500   £0.60    £300.00</t>
        </r>
      </text>
    </comment>
    <comment ref="AE24" authorId="0" shapeId="0" xr:uid="{00000000-0006-0000-0000-00008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$0.54      $5.44
    25   $0.52     $12.92
    50   $0.50     $25.20
   100   $0.50     $49.70
   250   $0.49    $122.50</t>
        </r>
      </text>
    </comment>
    <comment ref="AJ24" authorId="0" shapeId="0" xr:uid="{00000000-0006-0000-0000-000082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$0.44      $4.40
    25   $0.44     $11.00
    50   $0.44     $22.00
   100   $0.44     $44.00
   250   $0.44    $110.00
   500   $0.44    $220.00
  1000   $0.44    $440.00</t>
        </r>
      </text>
    </comment>
    <comment ref="P25" authorId="0" shapeId="0" xr:uid="{00000000-0006-0000-0000-00008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$2.00     $20.05
    25   $1.82     $45.58
   100   $1.58    $158.40
   450   $1.30    $587.25
   900   $1.22  $1,093.50
  1350   $1.12  $1,518.75
  3150   $1.02  $3,213.00
 11250   $0.90 $10,125.00</t>
        </r>
      </text>
    </comment>
    <comment ref="AE25" authorId="0" shapeId="0" xr:uid="{00000000-0006-0000-0000-00008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$1.71      $1.71
    10   $1.64     $16.40
    25   $1.51     $37.75
    50   $1.31     $65.50
   100   $1.24    $124.00
   250   $1.17    $292.50</t>
        </r>
      </text>
    </comment>
    <comment ref="AH25" authorId="0" shapeId="0" xr:uid="{00000000-0006-0000-0000-00008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6" authorId="0" shapeId="0" xr:uid="{00000000-0006-0000-0000-00008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$0.62      $6.18
    25   $0.59     $14.68
    50   $0.57     $28.58
   100   $0.56     $56.39
   250   $0.56    $139.05
   500   $0.55    $274.24
  1000   $0.46    $463.50
  5000   $0.46  $2,278.90</t>
        </r>
      </text>
    </comment>
    <comment ref="U26" authorId="0" shapeId="0" xr:uid="{00000000-0006-0000-0000-000087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£0.75      £0.75
    10   £0.68      £6.75
    25   £0.64     £16.05
    50   £0.62     £31.25
   100   £0.62     £61.60
   250   £0.61    £152.00
   500   £0.60    £300.00</t>
        </r>
      </text>
    </comment>
    <comment ref="AE26" authorId="0" shapeId="0" xr:uid="{00000000-0006-0000-0000-000088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$0.54      $5.44
    25   $0.52     $12.92
    50   $0.50     $25.20
   100   $0.50     $49.70
   250   $0.49    $122.50</t>
        </r>
      </text>
    </comment>
    <comment ref="AJ26" authorId="0" shapeId="0" xr:uid="{00000000-0006-0000-0000-00008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$0.44      $4.40
    25   $0.44     $11.00
    50   $0.44     $22.00
   100   $0.44     $44.00
   250   $0.44    $110.00
   500   $0.44    $220.00
  1000   $0.44    $440.00</t>
        </r>
      </text>
    </comment>
    <comment ref="P27" authorId="0" shapeId="0" xr:uid="{00000000-0006-0000-0000-00008A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$2.06      $2.06
    10   $2.00     $20.05
    25   $1.82     $45.58
   100   $1.58    $158.40
   450   $1.40    $632.08
   900   $1.31  $1,176.97
  1350   $1.21  $1,634.67
  3150   $1.10  $3,458.26
 11250   $0.97 $10,897.88</t>
        </r>
      </text>
    </comment>
    <comment ref="U27" authorId="0" shapeId="0" xr:uid="{00000000-0006-0000-0000-00008B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£2.75      £2.75
    10   £2.64     £26.40
    25   £2.43     £60.75
    50   £2.11    £105.50</t>
        </r>
      </text>
    </comment>
    <comment ref="AE27" authorId="0" shapeId="0" xr:uid="{00000000-0006-0000-0000-00008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$2.80      $2.80
    10   $2.69     $26.90
    25   $2.47     $61.75
    50   $2.15    $107.50
   100   $2.04    $204.00
   250   $1.81    $452.50</t>
        </r>
      </text>
    </comment>
    <comment ref="P28" authorId="0" shapeId="0" xr:uid="{00000000-0006-0000-0000-00008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$0.62      $6.18
    25   $0.59     $14.68
    50   $0.57     $28.58
   100   $0.56     $56.39
   250   $0.56    $139.05
   500   $0.55    $274.24
  1000   $0.46    $463.50
  5000   $0.46  $2,278.90</t>
        </r>
      </text>
    </comment>
    <comment ref="U28" authorId="0" shapeId="0" xr:uid="{00000000-0006-0000-0000-00008E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£0.75      £0.75
    10   £0.68      £6.75
    25   £0.64     £16.05
    50   £0.62     £31.25
   100   £0.62     £61.60
   250   £0.61    £152.00
   500   £0.60    £300.00</t>
        </r>
      </text>
    </comment>
    <comment ref="AE28" authorId="0" shapeId="0" xr:uid="{00000000-0006-0000-0000-00008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$0.54      $5.44
    25   $0.52     $12.92
    50   $0.50     $25.20
   100   $0.50     $49.70
   250   $0.49    $122.50</t>
        </r>
      </text>
    </comment>
    <comment ref="AJ28" authorId="0" shapeId="0" xr:uid="{00000000-0006-0000-0000-000090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$0.44      $4.40
    25   $0.44     $11.00
    50   $0.44     $22.00
   100   $0.44     $44.00
   250   $0.44    $110.00
   500   $0.44    $220.00
  1000   $0.44    $440.00</t>
        </r>
      </text>
    </comment>
    <comment ref="P33" authorId="0" shapeId="0" xr:uid="{00000000-0006-0000-0000-00009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$0.96      $0.96
    10   $0.88      $8.75
    25   $0.86     $21.60
    50   $0.86     $42.96
   100   $0.77     $76.82
   250   $0.76    $190.37
   500   $0.75    $375.20
  1000   $0.72    $723.33
  3000   $0.65  $1,946.19
  6000   $0.63  $3,765.60
 15000   $0.61  $9,103.35
 30000   $0.57 $17,116.20</t>
        </r>
      </text>
    </comment>
    <comment ref="S33" authorId="0" shapeId="0" xr:uid="{00000000-0006-0000-0000-00009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33" authorId="0" shapeId="0" xr:uid="{00000000-0006-0000-0000-000093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£1.09      £1.09
    25   £0.96     £23.95
    50   £0.85     £42.45
   100   £0.74     £74.00
   250   £0.70    £174.25
   500   £0.65    £327.00
  1000   £0.52    £515.00
  2500   £0.45  £1,117.50</t>
        </r>
      </text>
    </comment>
    <comment ref="Z33" authorId="0" shapeId="0" xr:uid="{00000000-0006-0000-0000-000094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$0.83      $0.83
    10   $0.62      $6.17
    30   $0.58     $17.37
   100   $0.54     $53.93
   500   $0.52    $261.71
  1000   $0.51    $513.86</t>
        </r>
      </text>
    </comment>
    <comment ref="AC33" authorId="0" shapeId="0" xr:uid="{00000000-0006-0000-0000-00009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E33" authorId="0" shapeId="0" xr:uid="{00000000-0006-0000-0000-00009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$0.95      $0.95
    10   $0.84      $8.45
   100   $0.76     $75.50
   500   $0.73    $366.00
  1000   $0.71    $710.00
  3000   $0.63  $1,881.00</t>
        </r>
      </text>
    </comment>
    <comment ref="AO33" authorId="0" shapeId="0" xr:uid="{00000000-0006-0000-0000-000097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£1.02      £1.02
    30   £0.63     £18.90
   150   £0.61     £91.50
   750   £0.60    £450.00
  1500   £0.58    £870.00
  3000   £0.42  £1,251.00
  6000   £0.41  £2,442.00
 15000   £0.40  £5,940.00
 30000   £0.41 £12,300.00
 75000   £0.40 £30,000.00</t>
        </r>
      </text>
    </comment>
    <comment ref="N34" authorId="0" shapeId="0" xr:uid="{00000000-0006-0000-0000-000098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34" authorId="0" shapeId="0" xr:uid="{00000000-0006-0000-0000-00009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$1.26      $1.26
    25   $1.05     $26.25
   100   $0.95     $95.00
  1600   $0.95  $1,520.02</t>
        </r>
      </text>
    </comment>
    <comment ref="U34" authorId="0" shapeId="0" xr:uid="{00000000-0006-0000-0000-00009A000000}">
      <text>
        <r>
          <rPr>
            <sz val="8"/>
            <color indexed="81"/>
            <rFont val="Tahoma"/>
            <family val="2"/>
          </rPr>
          <t>Qty/Price Breaks (GBP):
  Qty  -  Unit£  -  Ext£
================
     1   £1.03      £1.03
    10   £0.95      £9.48
    25   £0.86     £21.62
    50   £0.82     £41.20
   100   £0.78     £78.20
   150   £0.78    £117.30</t>
        </r>
      </text>
    </comment>
    <comment ref="AE34" authorId="0" shapeId="0" xr:uid="{00000000-0006-0000-0000-00009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$1.26      $1.26
    10   $1.26     $12.60
    25   $1.05     $26.25
   100   $0.95     $95.00
   250   $0.95    $237.50
   500   $0.95    $475.00</t>
        </r>
      </text>
    </comment>
    <comment ref="AJ34" authorId="0" shapeId="0" xr:uid="{00000000-0006-0000-0000-00009C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$1.39      $1.39
    10   $1.27     $12.70
    25   $1.16     $29.00
    50   $1.10     $55.00
   100   $1.05    $105.00</t>
        </r>
      </text>
    </comment>
    <comment ref="AO34" authorId="0" shapeId="0" xr:uid="{00000000-0006-0000-0000-00009D000000}">
      <text>
        <r>
          <rPr>
            <sz val="8"/>
            <color indexed="81"/>
            <rFont val="Tahoma"/>
            <family val="2"/>
          </rPr>
          <t>Qty/Price Breaks (GBP):
  Qty  -  Unit£  -  Ext£
================
    10   £0.98      £9.84
    30   £0.96     £28.77
  1600   £0.74  £1,190.40</t>
        </r>
      </text>
    </comment>
    <comment ref="G38" authorId="0" shapeId="0" xr:uid="{00000000-0006-0000-0000-00009E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38" authorId="0" shapeId="0" xr:uid="{00000000-0006-0000-0000-00009F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 shapeId="0" xr:uid="{00000000-0006-0000-0000-0000A0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38" authorId="0" shapeId="0" xr:uid="{00000000-0006-0000-0000-0000A1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Y38" authorId="0" shapeId="0" xr:uid="{00000000-0006-0000-0000-0000A2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D38" authorId="0" shapeId="0" xr:uid="{00000000-0006-0000-0000-0000A3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38" authorId="0" shapeId="0" xr:uid="{00000000-0006-0000-0000-0000A4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N38" authorId="0" shapeId="0" xr:uid="{00000000-0006-0000-0000-0000A5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 shapeId="0" xr:uid="{00000000-0006-0000-0000-0000A6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39" authorId="0" shapeId="0" xr:uid="{00000000-0006-0000-0000-0000A7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Y39" authorId="0" shapeId="0" xr:uid="{00000000-0006-0000-0000-0000A8000000}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<sst xmlns="http://schemas.openxmlformats.org/spreadsheetml/2006/main" count="340" uniqueCount="220">
  <si>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</si>
  <si>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</si>
  <si>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</si>
  <si>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</si>
  <si>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</si>
  <si>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</si>
  <si>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</si>
  <si>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</si>
  <si>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</si>
  <si>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C1,C3,C5,C7,C9,C10,C14,C15,C18-C20,C25-C28,C30-C41,C45-C47,C52-C54,C57-C75</t>
  </si>
  <si>
    <t>0.1uF</t>
  </si>
  <si>
    <t>C_0805_2012Metric</t>
  </si>
  <si>
    <t>Samsung</t>
  </si>
  <si>
    <t>CL21B104KBCNFNC</t>
  </si>
  <si>
    <t>C12,C13,C16,C17,C21-C24,C29,C42-C44,C48-C51,C55,C56</t>
  </si>
  <si>
    <t>0.01uF</t>
  </si>
  <si>
    <t>CL21B103KCANNNC</t>
  </si>
  <si>
    <t>C2,C4,C6,C8,C11</t>
  </si>
  <si>
    <t>10uF</t>
  </si>
  <si>
    <t>C_1210_3225Metric</t>
  </si>
  <si>
    <t>CL32B106KOJNNNE</t>
  </si>
  <si>
    <t>D1-D12</t>
  </si>
  <si>
    <t>WS2812B</t>
  </si>
  <si>
    <t>LED_WS2812B_PLCC4_5.0x5.0mm_P3.2mm</t>
  </si>
  <si>
    <t>WorldSemi</t>
  </si>
  <si>
    <t>R17</t>
  </si>
  <si>
    <t>330R</t>
  </si>
  <si>
    <t>R_0805_2012Metric</t>
  </si>
  <si>
    <t>Yageo</t>
  </si>
  <si>
    <t>RC0805FR-07330RL</t>
  </si>
  <si>
    <t>R26,R38</t>
  </si>
  <si>
    <t>150</t>
  </si>
  <si>
    <t>RC0805FR-07150RL</t>
  </si>
  <si>
    <t>R31,R51</t>
  </si>
  <si>
    <t>33</t>
  </si>
  <si>
    <t>RC0805FR-0733RL</t>
  </si>
  <si>
    <t>R41,R48</t>
  </si>
  <si>
    <t>120</t>
  </si>
  <si>
    <t>RC0805FR-07120RL</t>
  </si>
  <si>
    <t>R1-R16,R18-R21,R88,R89</t>
  </si>
  <si>
    <t>4.7k</t>
  </si>
  <si>
    <t>RC0805FR-074K7L</t>
  </si>
  <si>
    <t>R22-R25,R27-R30,R32-R37,R39,R40,R42-R47,R49,R50,R52-R87,R90-R95</t>
  </si>
  <si>
    <t>10k</t>
  </si>
  <si>
    <t>RC0805FR-0710KL</t>
  </si>
  <si>
    <t>SW10#1</t>
  </si>
  <si>
    <t>SW_Push_LED_Red - p1/2</t>
  </si>
  <si>
    <t>E-Switch_SPST_Red_LED_RoundCap_TL3240F160R</t>
  </si>
  <si>
    <t>E-Switch</t>
  </si>
  <si>
    <t>TL3240F160R</t>
  </si>
  <si>
    <t>SW10#2</t>
  </si>
  <si>
    <t>SW_Push_LED_Red - p2/2</t>
  </si>
  <si>
    <t>TL3240R1CAPBLK</t>
  </si>
  <si>
    <t>SW11#1</t>
  </si>
  <si>
    <t>SW_Push_LED_Blue - p1/2</t>
  </si>
  <si>
    <t>E-Switch_SPST_LED_RoundCap_TL3240F160x</t>
  </si>
  <si>
    <t>TL3240F160B</t>
  </si>
  <si>
    <t>SW11#2</t>
  </si>
  <si>
    <t>SW_Push_LED_Blue - p2/2</t>
  </si>
  <si>
    <t>TL3240R1CAPBLU</t>
  </si>
  <si>
    <t>SW12#1</t>
  </si>
  <si>
    <t>E-Switch_SPST_Red_LED_SquareCap_TL3240F160R</t>
  </si>
  <si>
    <t>SW12#2</t>
  </si>
  <si>
    <t>TL3240S1CAPIVR</t>
  </si>
  <si>
    <t>SW13#1</t>
  </si>
  <si>
    <t>SW_Push_LED_Yellow - p1/2</t>
  </si>
  <si>
    <t>E-Switch_SPST_LED_SquareCap_TL3240F160x</t>
  </si>
  <si>
    <t>TL3240F160Y</t>
  </si>
  <si>
    <t>SW13#2</t>
  </si>
  <si>
    <t>SW_Push_LED_Yellow - p2/2</t>
  </si>
  <si>
    <t>SW14#1</t>
  </si>
  <si>
    <t>SW_Push_LED_Green - p1/2</t>
  </si>
  <si>
    <t>TL3240F160G</t>
  </si>
  <si>
    <t>SW14#2</t>
  </si>
  <si>
    <t>SW_Push_LED_Green - p2/2</t>
  </si>
  <si>
    <t>SW15#1</t>
  </si>
  <si>
    <t>SW15#2</t>
  </si>
  <si>
    <t>SW1-SW9</t>
  </si>
  <si>
    <t>Encoder_SW_D12.0xH25.0mm</t>
  </si>
  <si>
    <t>RotaryEncoder_Bourns_PEC12R-4x20k-Sxxxx-Switch_Vertical_H20mm</t>
  </si>
  <si>
    <t>Bourns</t>
  </si>
  <si>
    <t>PEC12R-4222F-S0024-ND</t>
  </si>
  <si>
    <t>U4,U6</t>
  </si>
  <si>
    <t>TCA9548APWR</t>
  </si>
  <si>
    <t>TSSOP-24_4.4x7.8mm_P0.65mm</t>
  </si>
  <si>
    <t>Texas Instruments</t>
  </si>
  <si>
    <t>U5</t>
  </si>
  <si>
    <t>74HCT245</t>
  </si>
  <si>
    <t>TSSOP-20_4.4x6.5mm_P0.65mm</t>
  </si>
  <si>
    <t>SN74HCT245DWR</t>
  </si>
  <si>
    <t>U7</t>
  </si>
  <si>
    <t>Teensy3.2</t>
  </si>
  <si>
    <t>Teensy30_31_32_LC</t>
  </si>
  <si>
    <t>PJRC</t>
  </si>
  <si>
    <t>TEENSY32</t>
  </si>
  <si>
    <t>U8,U24-U26</t>
  </si>
  <si>
    <t>CAT24M01W</t>
  </si>
  <si>
    <t>SOIC-8_3.9x4.9mm_P1.27mm</t>
  </si>
  <si>
    <t>ON Semiconductor</t>
  </si>
  <si>
    <t>CAT24M01WI-GT3</t>
  </si>
  <si>
    <t>U1-U3</t>
  </si>
  <si>
    <t>MCP23S17_SO</t>
  </si>
  <si>
    <t>SOIC-28W_7.5x17.9mm_P1.27mm</t>
  </si>
  <si>
    <t>Microchip</t>
  </si>
  <si>
    <t>MCP23S17T-E/SO</t>
  </si>
  <si>
    <t>U18-U23</t>
  </si>
  <si>
    <t>74LVC14</t>
  </si>
  <si>
    <t>SOIC-14_3.9x8.7mm_P1.27mm</t>
  </si>
  <si>
    <t>SN74LVC14ADR</t>
  </si>
  <si>
    <t>U9-U17</t>
  </si>
  <si>
    <t>Display_OLED_128x32_I2C</t>
  </si>
  <si>
    <t>Unbranded</t>
  </si>
  <si>
    <t>SSD1306_I2C_128x32_OLED</t>
  </si>
  <si>
    <t>Total Purchase:</t>
  </si>
  <si>
    <t>Purchase description:</t>
  </si>
  <si>
    <t>Used currency rates:</t>
  </si>
  <si>
    <t>AUD(A$)/USD($):</t>
  </si>
  <si>
    <t>AUD(A$)/GBP(£):</t>
  </si>
  <si>
    <t>Prj:</t>
  </si>
  <si>
    <t>EncoderBoard.csv</t>
  </si>
  <si>
    <t>Co.:</t>
  </si>
  <si>
    <t>Prj date:</t>
  </si>
  <si>
    <t>2020-06-03 10:18:07 (file)</t>
  </si>
  <si>
    <t>Board Qty:</t>
  </si>
  <si>
    <t>Total Cost:</t>
  </si>
  <si>
    <t>Unit Cost:</t>
  </si>
  <si>
    <t>$ date:</t>
  </si>
  <si>
    <t>2020-06-03 10:18:41</t>
  </si>
  <si>
    <t>Arrow</t>
  </si>
  <si>
    <t>Avail</t>
  </si>
  <si>
    <t>Purch</t>
  </si>
  <si>
    <t>Cat#</t>
  </si>
  <si>
    <t>Digi-Key</t>
  </si>
  <si>
    <t>1276-2444-1-ND</t>
  </si>
  <si>
    <t>1276-1249-1-ND</t>
  </si>
  <si>
    <t>1276-1150-1-ND</t>
  </si>
  <si>
    <t>311-330CRCT-ND</t>
  </si>
  <si>
    <t>311-150CRCT-ND</t>
  </si>
  <si>
    <t>311-33.0CRCT-ND</t>
  </si>
  <si>
    <t>311-120CRCT-ND</t>
  </si>
  <si>
    <t>311-4.70KCRCT-ND</t>
  </si>
  <si>
    <t>311-10.0KCRCT-ND</t>
  </si>
  <si>
    <t>EG5007CT-ND</t>
  </si>
  <si>
    <t>EG5050-ND</t>
  </si>
  <si>
    <t>EG5005CT-ND</t>
  </si>
  <si>
    <t>EG5054-ND</t>
  </si>
  <si>
    <t>EG5057-ND</t>
  </si>
  <si>
    <t>EG4998TR-ND</t>
  </si>
  <si>
    <t>EG5006CT-ND</t>
  </si>
  <si>
    <t>CAT24M01WI-GT3OSCT-ND</t>
  </si>
  <si>
    <t>MCP23S17T-E/SOCT-ND</t>
  </si>
  <si>
    <t>NonStk</t>
  </si>
  <si>
    <t>Farnell</t>
  </si>
  <si>
    <t>3013472</t>
  </si>
  <si>
    <t>9237429</t>
  </si>
  <si>
    <t>9237380</t>
  </si>
  <si>
    <t>9237305</t>
  </si>
  <si>
    <t>9237372</t>
  </si>
  <si>
    <t>2459319</t>
  </si>
  <si>
    <t>2148862</t>
  </si>
  <si>
    <t>2115630</t>
  </si>
  <si>
    <t>2844563</t>
  </si>
  <si>
    <t>2115628</t>
  </si>
  <si>
    <t>2844564</t>
  </si>
  <si>
    <t>2844566</t>
  </si>
  <si>
    <t>2115631</t>
  </si>
  <si>
    <t>1908131</t>
  </si>
  <si>
    <t>2101293</t>
  </si>
  <si>
    <t>LCSC</t>
  </si>
  <si>
    <t>C318782</t>
  </si>
  <si>
    <t>C62273</t>
  </si>
  <si>
    <t>Mouser</t>
  </si>
  <si>
    <t>603RC0805FR07330RL</t>
  </si>
  <si>
    <t>603RC0805FR07150RL</t>
  </si>
  <si>
    <t>603RC0805FR0733RL</t>
  </si>
  <si>
    <t>603RC0805FR07120RL</t>
  </si>
  <si>
    <t>603RC0805FR074K7L</t>
  </si>
  <si>
    <t>603RC0805FR0710KL</t>
  </si>
  <si>
    <t>612TL3240R1CAPBLK</t>
  </si>
  <si>
    <t>612TL3240F160B</t>
  </si>
  <si>
    <t>612TL3240R1CAPBLU</t>
  </si>
  <si>
    <t>612TL3240S1CAPIVR</t>
  </si>
  <si>
    <t>612TL3240F160G</t>
  </si>
  <si>
    <t>863CAT24M01WIGT3</t>
  </si>
  <si>
    <t>579MCP23S17TE/SO</t>
  </si>
  <si>
    <t>Newark</t>
  </si>
  <si>
    <t>82AC9419</t>
  </si>
  <si>
    <t>98K7825</t>
  </si>
  <si>
    <t>98K7791</t>
  </si>
  <si>
    <t>98K7836</t>
  </si>
  <si>
    <t>26M6831</t>
  </si>
  <si>
    <t>98K7845</t>
  </si>
  <si>
    <t>05M4535</t>
  </si>
  <si>
    <t>92T1743</t>
  </si>
  <si>
    <t>62W0978</t>
  </si>
  <si>
    <t>92T1741</t>
  </si>
  <si>
    <t>62W0979</t>
  </si>
  <si>
    <t>62W0987</t>
  </si>
  <si>
    <t>92T1744</t>
  </si>
  <si>
    <t>92T1742</t>
  </si>
  <si>
    <t>25AC6537</t>
  </si>
  <si>
    <t>31K2954</t>
  </si>
  <si>
    <t>RS Components</t>
  </si>
  <si>
    <t>7666329</t>
  </si>
  <si>
    <t>6183195</t>
  </si>
  <si>
    <t>6183432</t>
  </si>
  <si>
    <t>6183246</t>
  </si>
  <si>
    <t>6185258</t>
  </si>
  <si>
    <t>6181408</t>
  </si>
  <si>
    <t>6185163</t>
  </si>
  <si>
    <t>7559861</t>
  </si>
  <si>
    <t>1773101</t>
  </si>
  <si>
    <t>TME</t>
  </si>
  <si>
    <t>RC0805FR07330R</t>
  </si>
  <si>
    <t>RC0805FR07150R</t>
  </si>
  <si>
    <t>RC0805FR0733R</t>
  </si>
  <si>
    <t>RC0805FR07120R</t>
  </si>
  <si>
    <t>RC0805FR074K7</t>
  </si>
  <si>
    <t>RC0805FR0710K</t>
  </si>
  <si>
    <t>KiCost® v.1.1.4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</si>
</sst>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A\$#,##0.00"/>
  </numFmts>
  <fonts count="11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550"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.com/click/track?ai=8078&amp;sig=0a6d26b&amp;sid=1532&amp;ppid=39817765&amp;vpid=114810356&amp;ct=offers" TargetMode="External"/><Relationship Id="rId117" Type="http://schemas.openxmlformats.org/officeDocument/2006/relationships/hyperlink" Target="https://learn.adafruit.com/monochrome-oled-breakouts/downloads" TargetMode="External"/><Relationship Id="rId21" Type="http://schemas.openxmlformats.org/officeDocument/2006/relationships/hyperlink" Target="https://octopart.com/click/track?ai=8078&amp;sig=0307aec&amp;sid=459&amp;ppid=39817765&amp;vpid=114983220&amp;ct=offers" TargetMode="External"/><Relationship Id="rId42" Type="http://schemas.openxmlformats.org/officeDocument/2006/relationships/hyperlink" Target="https://octopart.com/click/track?ai=8078&amp;sig=0196087&amp;sid=459&amp;ppid=39846148&amp;vpid=114983328&amp;ct=offers" TargetMode="External"/><Relationship Id="rId47" Type="http://schemas.openxmlformats.org/officeDocument/2006/relationships/hyperlink" Target="https://octopart.com/click/track?ai=8078&amp;sig=00b451e&amp;sid=1532&amp;ppid=39846148&amp;vpid=114810367&amp;ct=offers" TargetMode="External"/><Relationship Id="rId63" Type="http://schemas.openxmlformats.org/officeDocument/2006/relationships/hyperlink" Target="https://octopart.com/click/track?ai=8078&amp;sig=002e678&amp;sid=819&amp;ppid=22529003&amp;vpid=138854287&amp;ct=offers" TargetMode="External"/><Relationship Id="rId68" Type="http://schemas.openxmlformats.org/officeDocument/2006/relationships/hyperlink" Target="https://octopart.com/click/track?ai=8078&amp;sig=0290d19&amp;sid=2401&amp;ppid=26631876&amp;vpid=457977911&amp;ct=offers" TargetMode="External"/><Relationship Id="rId84" Type="http://schemas.openxmlformats.org/officeDocument/2006/relationships/hyperlink" Target="https://octopart.com/click/track?ai=8078&amp;sig=0c3b838&amp;sid=459&amp;ppid=22529004&amp;vpid=48486612&amp;ct=offers" TargetMode="External"/><Relationship Id="rId89" Type="http://schemas.openxmlformats.org/officeDocument/2006/relationships/hyperlink" Target="https://octopart.com/click/track?ai=8078&amp;sig=0a79e10&amp;sid=2401&amp;ppid=26631884&amp;vpid=270741649&amp;ct=offers" TargetMode="External"/><Relationship Id="rId112" Type="http://schemas.openxmlformats.org/officeDocument/2006/relationships/hyperlink" Target="https://octopart.com/click/track?ai=8078&amp;sig=0cd2e86&amp;sid=819&amp;ppid=470573&amp;vpid=139007235&amp;ct=offers" TargetMode="External"/><Relationship Id="rId16" Type="http://schemas.openxmlformats.org/officeDocument/2006/relationships/hyperlink" Target="https://octopart.com/click/track?ai=8078&amp;sig=01c6e87&amp;sid=2401&amp;ppid=41204914&amp;vpid=119941840&amp;ct=offers" TargetMode="External"/><Relationship Id="rId107" Type="http://schemas.openxmlformats.org/officeDocument/2006/relationships/hyperlink" Target="https://octopart.com/click/track?c=1&amp;ai=8078&amp;sig=0485385&amp;sid=2401&amp;ppid=20318404&amp;vpid=458431813&amp;ct=offers" TargetMode="External"/><Relationship Id="rId11" Type="http://schemas.openxmlformats.org/officeDocument/2006/relationships/hyperlink" Target="https://octopart.com/click/track?ai=8078&amp;sig=04d241e&amp;sid=27971&amp;ppid=15494030&amp;vpid=509995157&amp;ct=offers" TargetMode="External"/><Relationship Id="rId32" Type="http://schemas.openxmlformats.org/officeDocument/2006/relationships/hyperlink" Target="https://octopart.com/click/track?ai=8078&amp;sig=05b7073&amp;sid=10022&amp;ppid=41204926&amp;vpid=199200493&amp;ct=offers" TargetMode="External"/><Relationship Id="rId37" Type="http://schemas.openxmlformats.org/officeDocument/2006/relationships/hyperlink" Target="https://octopart.com/click/track?ai=8078&amp;sig=04e6903&amp;sid=2401&amp;ppid=40953229&amp;vpid=115540577&amp;ct=offers" TargetMode="External"/><Relationship Id="rId53" Type="http://schemas.openxmlformats.org/officeDocument/2006/relationships/hyperlink" Target="https://octopart.com/click/track?ai=8078&amp;sig=02b544e&amp;sid=10022&amp;ppid=40301103&amp;vpid=199200437&amp;ct=offers" TargetMode="External"/><Relationship Id="rId58" Type="http://schemas.openxmlformats.org/officeDocument/2006/relationships/hyperlink" Target="https://octopart.com/click/track?ai=8078&amp;sig=0d67b52&amp;sid=459&amp;ppid=26631875&amp;vpid=81905251&amp;ct=offers" TargetMode="External"/><Relationship Id="rId74" Type="http://schemas.openxmlformats.org/officeDocument/2006/relationships/hyperlink" Target="https://octopart.com/click/track?ai=8078&amp;sig=0c61f74&amp;sid=819&amp;ppid=26631884&amp;vpid=478813331&amp;ct=offers" TargetMode="External"/><Relationship Id="rId79" Type="http://schemas.openxmlformats.org/officeDocument/2006/relationships/hyperlink" Target="https://octopart.com/click/track?c=1&amp;ai=8078&amp;sig=0d283ca&amp;sid=2402&amp;ppid=22529006&amp;vpid=48283954&amp;ct=offers" TargetMode="External"/><Relationship Id="rId102" Type="http://schemas.openxmlformats.org/officeDocument/2006/relationships/hyperlink" Target="https://www.pjrc.com/store/teensy32.html" TargetMode="External"/><Relationship Id="rId5" Type="http://schemas.openxmlformats.org/officeDocument/2006/relationships/hyperlink" Target="https://octopart.com/click/track?ai=8078&amp;sig=036dc7e&amp;sid=819&amp;ppid=9301814&amp;vpid=541437399&amp;ct=offers" TargetMode="External"/><Relationship Id="rId90" Type="http://schemas.openxmlformats.org/officeDocument/2006/relationships/hyperlink" Target="https://octopart.com/click/track?ai=8078&amp;sig=09bee31&amp;sid=2402&amp;ppid=26631884&amp;vpid=96119148&amp;ct=offers" TargetMode="External"/><Relationship Id="rId95" Type="http://schemas.openxmlformats.org/officeDocument/2006/relationships/hyperlink" Target="https://octopart.com/click/track?ai=8078&amp;sig=0365999&amp;sid=459&amp;ppid=26631884&amp;vpid=81905260&amp;ct=offers" TargetMode="External"/><Relationship Id="rId22" Type="http://schemas.openxmlformats.org/officeDocument/2006/relationships/hyperlink" Target="https://octopart.com/click/track?ai=8078&amp;sig=00ace7d&amp;sid=819&amp;ppid=39817765&amp;vpid=478818948&amp;ct=offers" TargetMode="External"/><Relationship Id="rId27" Type="http://schemas.openxmlformats.org/officeDocument/2006/relationships/hyperlink" Target="https://www.yageo.com/upload/media/product/productsearch/datasheet/rchip/PYu-RC_Group_51_RoHS_L_10.pdf" TargetMode="External"/><Relationship Id="rId43" Type="http://schemas.openxmlformats.org/officeDocument/2006/relationships/hyperlink" Target="https://octopart.com/click/track?ai=8078&amp;sig=0af3ccb&amp;sid=11744&amp;ppid=39846148&amp;vpid=179126727&amp;ct=offers" TargetMode="External"/><Relationship Id="rId48" Type="http://schemas.openxmlformats.org/officeDocument/2006/relationships/hyperlink" Target="https://www.yageo.com/upload/media/product/productsearch/datasheet/rchip/PYu-RC_Group_51_RoHS_L_10.pdf" TargetMode="External"/><Relationship Id="rId64" Type="http://schemas.openxmlformats.org/officeDocument/2006/relationships/hyperlink" Target="https://octopart.com/click/track?ai=8078&amp;sig=0104a6d&amp;sid=2401&amp;ppid=22529003&amp;vpid=462648335&amp;ct=offers" TargetMode="External"/><Relationship Id="rId69" Type="http://schemas.openxmlformats.org/officeDocument/2006/relationships/hyperlink" Target="https://octopart.com/click/track?ai=8078&amp;sig=0ff8bb6&amp;sid=2402&amp;ppid=26631876&amp;vpid=96119140&amp;ct=offers" TargetMode="External"/><Relationship Id="rId113" Type="http://schemas.openxmlformats.org/officeDocument/2006/relationships/hyperlink" Target="https://octopart.com/click/track?ai=8078&amp;sig=0e54d41&amp;sid=2401&amp;ppid=470573&amp;vpid=99328364&amp;ct=offers" TargetMode="External"/><Relationship Id="rId118" Type="http://schemas.openxmlformats.org/officeDocument/2006/relationships/vmlDrawing" Target="../drawings/vmlDrawing1.vml"/><Relationship Id="rId80" Type="http://schemas.openxmlformats.org/officeDocument/2006/relationships/hyperlink" Target="https://octopart.com/click/track?ai=8078&amp;sig=0365999&amp;sid=459&amp;ppid=26631884&amp;vpid=81905260&amp;ct=offers" TargetMode="External"/><Relationship Id="rId85" Type="http://schemas.openxmlformats.org/officeDocument/2006/relationships/hyperlink" Target="https://octopart.com/click/track?ai=8078&amp;sig=0e24a40&amp;sid=2401&amp;ppid=22529004&amp;vpid=429770967&amp;ct=offers" TargetMode="External"/><Relationship Id="rId12" Type="http://schemas.openxmlformats.org/officeDocument/2006/relationships/hyperlink" Target="https://octopart.com/click/track?ai=8078&amp;sig=050d0d2&amp;sid=1532&amp;ppid=15494030&amp;vpid=88731362&amp;ct=offers" TargetMode="External"/><Relationship Id="rId17" Type="http://schemas.openxmlformats.org/officeDocument/2006/relationships/hyperlink" Target="https://octopart.com/click/track?ai=8078&amp;sig=0d60e55&amp;sid=2402&amp;ppid=41204914&amp;vpid=480450625&amp;ct=offers" TargetMode="External"/><Relationship Id="rId33" Type="http://schemas.openxmlformats.org/officeDocument/2006/relationships/hyperlink" Target="https://octopart.com/click/track?ai=8078&amp;sig=06a5e15&amp;sid=1532&amp;ppid=41204926&amp;vpid=117591094&amp;ct=offers" TargetMode="External"/><Relationship Id="rId38" Type="http://schemas.openxmlformats.org/officeDocument/2006/relationships/hyperlink" Target="https://octopart.com/click/track?c=1&amp;ai=8078&amp;sig=074d57a&amp;sid=2402&amp;ppid=40953229&amp;vpid=115424330&amp;ct=offers" TargetMode="External"/><Relationship Id="rId59" Type="http://schemas.openxmlformats.org/officeDocument/2006/relationships/hyperlink" Target="https://octopart.com/click/track?c=1&amp;ai=8078&amp;sig=0433ed8&amp;sid=819&amp;ppid=26631875&amp;vpid=477256351&amp;ct=offers" TargetMode="External"/><Relationship Id="rId103" Type="http://schemas.openxmlformats.org/officeDocument/2006/relationships/hyperlink" Target="https://www.onsemi.com/pub/Collateral/CAT24M01-D.PDF" TargetMode="External"/><Relationship Id="rId108" Type="http://schemas.openxmlformats.org/officeDocument/2006/relationships/hyperlink" Target="https://octopart.com/click/track?ai=8078&amp;sig=0a3799d&amp;sid=2402&amp;ppid=20318404&amp;vpid=477468244&amp;ct=offers" TargetMode="External"/><Relationship Id="rId54" Type="http://schemas.openxmlformats.org/officeDocument/2006/relationships/hyperlink" Target="https://octopart.com/click/track?ai=8078&amp;sig=0c33893&amp;sid=1532&amp;ppid=40301103&amp;vpid=116114178&amp;ct=offers" TargetMode="External"/><Relationship Id="rId70" Type="http://schemas.openxmlformats.org/officeDocument/2006/relationships/hyperlink" Target="https://octopart.com/click/track?ai=8078&amp;sig=0b8747f&amp;sid=459&amp;ppid=22529005&amp;vpid=48486615&amp;ct=offers" TargetMode="External"/><Relationship Id="rId75" Type="http://schemas.openxmlformats.org/officeDocument/2006/relationships/hyperlink" Target="https://octopart.com/click/track?ai=8078&amp;sig=0a79e10&amp;sid=2401&amp;ppid=26631884&amp;vpid=270741649&amp;ct=offers" TargetMode="External"/><Relationship Id="rId91" Type="http://schemas.openxmlformats.org/officeDocument/2006/relationships/hyperlink" Target="https://octopart.com/click/track?ai=8078&amp;sig=035c0d3&amp;sid=459&amp;ppid=22529003&amp;vpid=48486609&amp;ct=offers" TargetMode="External"/><Relationship Id="rId96" Type="http://schemas.openxmlformats.org/officeDocument/2006/relationships/hyperlink" Target="https://octopart.com/click/track?ai=8078&amp;sig=0c61f74&amp;sid=819&amp;ppid=26631884&amp;vpid=478813331&amp;ct=offers" TargetMode="External"/><Relationship Id="rId1" Type="http://schemas.openxmlformats.org/officeDocument/2006/relationships/hyperlink" Target="https://media.digikey.com/pdf/Data%20Sheets/Samsung%20PDFs/CL_Series_MLCC_ds.pdf" TargetMode="External"/><Relationship Id="rId6" Type="http://schemas.openxmlformats.org/officeDocument/2006/relationships/hyperlink" Target="https://octopart.com/click/track?ai=8078&amp;sig=0cb0e4b&amp;sid=2402&amp;ppid=9301814&amp;vpid=511545743&amp;ct=offers" TargetMode="External"/><Relationship Id="rId23" Type="http://schemas.openxmlformats.org/officeDocument/2006/relationships/hyperlink" Target="https://octopart.com/click/track?ai=8078&amp;sig=0d02744&amp;sid=2401&amp;ppid=39817765&amp;vpid=114830365&amp;ct=offers" TargetMode="External"/><Relationship Id="rId28" Type="http://schemas.openxmlformats.org/officeDocument/2006/relationships/hyperlink" Target="https://octopart.com/click/track?ai=8078&amp;sig=07e2650&amp;sid=459&amp;ppid=41204926&amp;vpid=114983308&amp;ct=offers" TargetMode="External"/><Relationship Id="rId49" Type="http://schemas.openxmlformats.org/officeDocument/2006/relationships/hyperlink" Target="https://octopart.com/click/track?ai=8078&amp;sig=02e3450&amp;sid=459&amp;ppid=40301103&amp;vpid=114983200&amp;ct=offers" TargetMode="External"/><Relationship Id="rId114" Type="http://schemas.openxmlformats.org/officeDocument/2006/relationships/hyperlink" Target="https://octopart.com/click/track?ai=8078&amp;sig=0e1604e&amp;sid=2402&amp;ppid=470573&amp;vpid=2952700&amp;ct=offers" TargetMode="External"/><Relationship Id="rId119" Type="http://schemas.openxmlformats.org/officeDocument/2006/relationships/comments" Target="../comments1.xml"/><Relationship Id="rId10" Type="http://schemas.openxmlformats.org/officeDocument/2006/relationships/hyperlink" Target="https://octopart.com/click/track?ai=8078&amp;sig=01ec89e&amp;sid=459&amp;ppid=15494030&amp;vpid=72529498&amp;ct=offers" TargetMode="External"/><Relationship Id="rId31" Type="http://schemas.openxmlformats.org/officeDocument/2006/relationships/hyperlink" Target="https://octopart.com/click/track?ai=8078&amp;sig=035bb46&amp;sid=2402&amp;ppid=41204926&amp;vpid=115424373&amp;ct=offers" TargetMode="External"/><Relationship Id="rId44" Type="http://schemas.openxmlformats.org/officeDocument/2006/relationships/hyperlink" Target="https://octopart.com/click/track?c=1&amp;ai=8078&amp;sig=0987e9d&amp;sid=2401&amp;ppid=39846148&amp;vpid=114830370&amp;ct=offers" TargetMode="External"/><Relationship Id="rId52" Type="http://schemas.openxmlformats.org/officeDocument/2006/relationships/hyperlink" Target="https://octopart.com/click/track?ai=8078&amp;sig=0add978&amp;sid=2402&amp;ppid=40301103&amp;vpid=20052559&amp;ct=offers" TargetMode="External"/><Relationship Id="rId60" Type="http://schemas.openxmlformats.org/officeDocument/2006/relationships/hyperlink" Target="https://octopart.com/click/track?ai=8078&amp;sig=0c12b2b&amp;sid=2401&amp;ppid=26631875&amp;vpid=88232996&amp;ct=offers" TargetMode="External"/><Relationship Id="rId65" Type="http://schemas.openxmlformats.org/officeDocument/2006/relationships/hyperlink" Target="https://octopart.com/click/track?ai=8078&amp;sig=0322364&amp;sid=2402&amp;ppid=22529003&amp;vpid=48283951&amp;ct=offers" TargetMode="External"/><Relationship Id="rId73" Type="http://schemas.openxmlformats.org/officeDocument/2006/relationships/hyperlink" Target="https://octopart.com/click/track?ai=8078&amp;sig=0365999&amp;sid=459&amp;ppid=26631884&amp;vpid=81905260&amp;ct=offers" TargetMode="External"/><Relationship Id="rId78" Type="http://schemas.openxmlformats.org/officeDocument/2006/relationships/hyperlink" Target="https://octopart.com/click/track?c=1&amp;ai=8078&amp;sig=03ee175&amp;sid=11744&amp;ppid=22529006&amp;vpid=132241139&amp;ct=offers" TargetMode="External"/><Relationship Id="rId81" Type="http://schemas.openxmlformats.org/officeDocument/2006/relationships/hyperlink" Target="https://octopart.com/click/track?ai=8078&amp;sig=0c61f74&amp;sid=819&amp;ppid=26631884&amp;vpid=478813331&amp;ct=offers" TargetMode="External"/><Relationship Id="rId86" Type="http://schemas.openxmlformats.org/officeDocument/2006/relationships/hyperlink" Target="https://octopart.com/click/track?c=1&amp;ai=8078&amp;sig=09e48f4&amp;sid=2402&amp;ppid=22529004&amp;vpid=48283952&amp;ct=offers" TargetMode="External"/><Relationship Id="rId94" Type="http://schemas.openxmlformats.org/officeDocument/2006/relationships/hyperlink" Target="https://octopart.com/click/track?ai=8078&amp;sig=0322364&amp;sid=2402&amp;ppid=22529003&amp;vpid=48283951&amp;ct=offers" TargetMode="External"/><Relationship Id="rId99" Type="http://schemas.openxmlformats.org/officeDocument/2006/relationships/hyperlink" Target="https://www.bourns.com/docs/Product-Datasheets/PEC12R.pdf" TargetMode="External"/><Relationship Id="rId101" Type="http://schemas.openxmlformats.org/officeDocument/2006/relationships/hyperlink" Target="http://www.ti.com/lit/gpn/sn74HC245" TargetMode="External"/><Relationship Id="rId4" Type="http://schemas.openxmlformats.org/officeDocument/2006/relationships/hyperlink" Target="https://octopart.com/click/track?ai=8078&amp;sig=02b1e3b&amp;sid=459&amp;ppid=9301814&amp;vpid=72526035&amp;ct=offers" TargetMode="External"/><Relationship Id="rId9" Type="http://schemas.openxmlformats.org/officeDocument/2006/relationships/hyperlink" Target="https://media.digikey.com/pdf/Data%20Sheets/Samsung%20PDFs/CL_Series_MLCC_ds.pdf" TargetMode="External"/><Relationship Id="rId13" Type="http://schemas.openxmlformats.org/officeDocument/2006/relationships/hyperlink" Target="https://www.yageo.com/upload/media/product/productsearch/datasheet/rchip/PYu-RC_Group_51_RoHS_L_10.pdf" TargetMode="External"/><Relationship Id="rId18" Type="http://schemas.openxmlformats.org/officeDocument/2006/relationships/hyperlink" Target="https://octopart.com/click/track?ai=8078&amp;sig=0b2d434&amp;sid=10022&amp;ppid=41204914&amp;vpid=199200491&amp;ct=offers" TargetMode="External"/><Relationship Id="rId39" Type="http://schemas.openxmlformats.org/officeDocument/2006/relationships/hyperlink" Target="https://octopart.com/click/track?ai=8078&amp;sig=016591e&amp;sid=10022&amp;ppid=40953229&amp;vpid=199200444&amp;ct=offers" TargetMode="External"/><Relationship Id="rId109" Type="http://schemas.openxmlformats.org/officeDocument/2006/relationships/hyperlink" Target="https://octopart.com/click/track?ai=8078&amp;sig=0cda25b&amp;sid=10022&amp;ppid=20318404&amp;vpid=199083856&amp;ct=offers" TargetMode="External"/><Relationship Id="rId34" Type="http://schemas.openxmlformats.org/officeDocument/2006/relationships/hyperlink" Target="https://www.yageo.com/upload/media/product/productsearch/datasheet/rchip/PYu-RC_Group_51_RoHS_L_10.pdf" TargetMode="External"/><Relationship Id="rId50" Type="http://schemas.openxmlformats.org/officeDocument/2006/relationships/hyperlink" Target="https://octopart.com/click/track?ai=8078&amp;sig=0de5260&amp;sid=819&amp;ppid=40301103&amp;vpid=209561686&amp;ct=offers" TargetMode="External"/><Relationship Id="rId55" Type="http://schemas.openxmlformats.org/officeDocument/2006/relationships/hyperlink" Target="https://octopart.com/click/track?ai=8078&amp;sig=0b8747f&amp;sid=459&amp;ppid=22529005&amp;vpid=48486615&amp;ct=offers" TargetMode="External"/><Relationship Id="rId76" Type="http://schemas.openxmlformats.org/officeDocument/2006/relationships/hyperlink" Target="https://octopart.com/click/track?ai=8078&amp;sig=09bee31&amp;sid=2402&amp;ppid=26631884&amp;vpid=96119148&amp;ct=offers" TargetMode="External"/><Relationship Id="rId97" Type="http://schemas.openxmlformats.org/officeDocument/2006/relationships/hyperlink" Target="https://octopart.com/click/track?ai=8078&amp;sig=0a79e10&amp;sid=2401&amp;ppid=26631884&amp;vpid=270741649&amp;ct=offers" TargetMode="External"/><Relationship Id="rId104" Type="http://schemas.openxmlformats.org/officeDocument/2006/relationships/hyperlink" Target="https://octopart.com/click/track?ai=8078&amp;sig=09442d1&amp;sid=459&amp;ppid=20318404&amp;vpid=39332804&amp;ct=offers" TargetMode="External"/><Relationship Id="rId7" Type="http://schemas.openxmlformats.org/officeDocument/2006/relationships/hyperlink" Target="https://octopart.com/click/track?ai=8078&amp;sig=07eeed3&amp;sid=10022&amp;ppid=9301814&amp;vpid=562866271&amp;ct=offers" TargetMode="External"/><Relationship Id="rId71" Type="http://schemas.openxmlformats.org/officeDocument/2006/relationships/hyperlink" Target="https://octopart.com/click/track?c=1&amp;ai=8078&amp;sig=0e23c27&amp;sid=11744&amp;ppid=22529005&amp;vpid=132241138&amp;ct=offers" TargetMode="External"/><Relationship Id="rId92" Type="http://schemas.openxmlformats.org/officeDocument/2006/relationships/hyperlink" Target="https://octopart.com/click/track?ai=8078&amp;sig=002e678&amp;sid=819&amp;ppid=22529003&amp;vpid=138854287&amp;ct=offers" TargetMode="External"/><Relationship Id="rId2" Type="http://schemas.openxmlformats.org/officeDocument/2006/relationships/hyperlink" Target="https://octopart.com/click/track?ai=8078&amp;sig=0a9c5eb&amp;sid=459&amp;ppid=19832267&amp;vpid=72526065&amp;ct=offers" TargetMode="External"/><Relationship Id="rId29" Type="http://schemas.openxmlformats.org/officeDocument/2006/relationships/hyperlink" Target="https://octopart.com/click/track?ai=8078&amp;sig=0b92f63&amp;sid=819&amp;ppid=41204926&amp;vpid=478818997&amp;ct=offers" TargetMode="External"/><Relationship Id="rId24" Type="http://schemas.openxmlformats.org/officeDocument/2006/relationships/hyperlink" Target="https://octopart.com/click/track?ai=8078&amp;sig=0bc3a45&amp;sid=2402&amp;ppid=39817765&amp;vpid=115424333&amp;ct=offers" TargetMode="External"/><Relationship Id="rId40" Type="http://schemas.openxmlformats.org/officeDocument/2006/relationships/hyperlink" Target="https://octopart.com/click/track?ai=8078&amp;sig=0c57a9c&amp;sid=1532&amp;ppid=40953229&amp;vpid=116114179&amp;ct=offers" TargetMode="External"/><Relationship Id="rId45" Type="http://schemas.openxmlformats.org/officeDocument/2006/relationships/hyperlink" Target="https://octopart.com/click/track?c=1&amp;ai=8078&amp;sig=05d3a42&amp;sid=2402&amp;ppid=39846148&amp;vpid=115424390&amp;ct=offers" TargetMode="External"/><Relationship Id="rId66" Type="http://schemas.openxmlformats.org/officeDocument/2006/relationships/hyperlink" Target="https://octopart.com/click/track?ai=8078&amp;sig=0f1741a&amp;sid=459&amp;ppid=26631876&amp;vpid=81905252&amp;ct=offers" TargetMode="External"/><Relationship Id="rId87" Type="http://schemas.openxmlformats.org/officeDocument/2006/relationships/hyperlink" Target="https://octopart.com/click/track?ai=8078&amp;sig=0365999&amp;sid=459&amp;ppid=26631884&amp;vpid=81905260&amp;ct=offers" TargetMode="External"/><Relationship Id="rId110" Type="http://schemas.openxmlformats.org/officeDocument/2006/relationships/hyperlink" Target="http://ww1.microchip.com/downloads/en/DeviceDoc/20001952C.pdf" TargetMode="External"/><Relationship Id="rId115" Type="http://schemas.openxmlformats.org/officeDocument/2006/relationships/hyperlink" Target="https://octopart.com/click/track?ai=8078&amp;sig=00b8c82&amp;sid=10022&amp;ppid=470573&amp;vpid=501147658&amp;ct=offers" TargetMode="External"/><Relationship Id="rId61" Type="http://schemas.openxmlformats.org/officeDocument/2006/relationships/hyperlink" Target="https://octopart.com/click/track?c=1&amp;ai=8078&amp;sig=0b18813&amp;sid=2402&amp;ppid=26631875&amp;vpid=96119139&amp;ct=offers" TargetMode="External"/><Relationship Id="rId82" Type="http://schemas.openxmlformats.org/officeDocument/2006/relationships/hyperlink" Target="https://octopart.com/click/track?ai=8078&amp;sig=0a79e10&amp;sid=2401&amp;ppid=26631884&amp;vpid=270741649&amp;ct=offers" TargetMode="External"/><Relationship Id="rId19" Type="http://schemas.openxmlformats.org/officeDocument/2006/relationships/hyperlink" Target="https://octopart.com/click/track?ai=8078&amp;sig=0abaccc&amp;sid=1532&amp;ppid=41204914&amp;vpid=114989221&amp;ct=offers" TargetMode="External"/><Relationship Id="rId14" Type="http://schemas.openxmlformats.org/officeDocument/2006/relationships/hyperlink" Target="https://octopart.com/click/track?ai=8078&amp;sig=0acc0f0&amp;sid=459&amp;ppid=41204914&amp;vpid=114983303&amp;ct=offers" TargetMode="External"/><Relationship Id="rId30" Type="http://schemas.openxmlformats.org/officeDocument/2006/relationships/hyperlink" Target="https://octopart.com/click/track?c=1&amp;ai=8078&amp;sig=0485db0&amp;sid=2401&amp;ppid=41204926&amp;vpid=165627826&amp;ct=offers" TargetMode="External"/><Relationship Id="rId35" Type="http://schemas.openxmlformats.org/officeDocument/2006/relationships/hyperlink" Target="https://octopart.com/click/track?ai=8078&amp;sig=0bb72ef&amp;sid=459&amp;ppid=40953229&amp;vpid=114983211&amp;ct=offers" TargetMode="External"/><Relationship Id="rId56" Type="http://schemas.openxmlformats.org/officeDocument/2006/relationships/hyperlink" Target="https://octopart.com/click/track?c=1&amp;ai=8078&amp;sig=0e23c27&amp;sid=11744&amp;ppid=22529005&amp;vpid=132241138&amp;ct=offers" TargetMode="External"/><Relationship Id="rId77" Type="http://schemas.openxmlformats.org/officeDocument/2006/relationships/hyperlink" Target="https://octopart.com/click/track?ai=8078&amp;sig=06a212a&amp;sid=459&amp;ppid=22529006&amp;vpid=48486620&amp;ct=offers" TargetMode="External"/><Relationship Id="rId100" Type="http://schemas.openxmlformats.org/officeDocument/2006/relationships/hyperlink" Target="http://www.ti.com/lit/ds/symlink/tca9548a.pdf" TargetMode="External"/><Relationship Id="rId105" Type="http://schemas.openxmlformats.org/officeDocument/2006/relationships/hyperlink" Target="https://octopart.com/click/track?c=1&amp;ai=8078&amp;sig=0866b98&amp;sid=819&amp;ppid=20318404&amp;vpid=270813127&amp;ct=offers" TargetMode="External"/><Relationship Id="rId8" Type="http://schemas.openxmlformats.org/officeDocument/2006/relationships/hyperlink" Target="https://octopart.com/click/track?ai=8078&amp;sig=0a486f5&amp;sid=1532&amp;ppid=9301814&amp;vpid=88731119&amp;ct=offers" TargetMode="External"/><Relationship Id="rId51" Type="http://schemas.openxmlformats.org/officeDocument/2006/relationships/hyperlink" Target="https://octopart.com/click/track?c=1&amp;ai=8078&amp;sig=0a1f393&amp;sid=2401&amp;ppid=40301103&amp;vpid=114830364&amp;ct=offers" TargetMode="External"/><Relationship Id="rId72" Type="http://schemas.openxmlformats.org/officeDocument/2006/relationships/hyperlink" Target="https://octopart.com/click/track?c=1&amp;ai=8078&amp;sig=057a85c&amp;sid=2402&amp;ppid=22529005&amp;vpid=48283953&amp;ct=offers" TargetMode="External"/><Relationship Id="rId93" Type="http://schemas.openxmlformats.org/officeDocument/2006/relationships/hyperlink" Target="https://octopart.com/click/track?ai=8078&amp;sig=0104a6d&amp;sid=2401&amp;ppid=22529003&amp;vpid=462648335&amp;ct=offers" TargetMode="External"/><Relationship Id="rId98" Type="http://schemas.openxmlformats.org/officeDocument/2006/relationships/hyperlink" Target="https://octopart.com/click/track?ai=8078&amp;sig=09bee31&amp;sid=2402&amp;ppid=26631884&amp;vpid=96119148&amp;ct=offers" TargetMode="External"/><Relationship Id="rId3" Type="http://schemas.openxmlformats.org/officeDocument/2006/relationships/hyperlink" Target="https://media.digikey.com/pdf/Data%20Sheets/Samsung%20PDFs/CL_Series_MLCC_ds.pdf" TargetMode="External"/><Relationship Id="rId25" Type="http://schemas.openxmlformats.org/officeDocument/2006/relationships/hyperlink" Target="https://octopart.com/click/track?ai=8078&amp;sig=0137bbf&amp;sid=10022&amp;ppid=39817765&amp;vpid=199200447&amp;ct=offers" TargetMode="External"/><Relationship Id="rId46" Type="http://schemas.openxmlformats.org/officeDocument/2006/relationships/hyperlink" Target="https://octopart.com/click/track?ai=8078&amp;sig=067a55b&amp;sid=10022&amp;ppid=39846148&amp;vpid=199200509&amp;ct=offers" TargetMode="External"/><Relationship Id="rId67" Type="http://schemas.openxmlformats.org/officeDocument/2006/relationships/hyperlink" Target="https://octopart.com/click/track?ai=8078&amp;sig=0d97d13&amp;sid=819&amp;ppid=26631876&amp;vpid=477256352&amp;ct=offers" TargetMode="External"/><Relationship Id="rId116" Type="http://schemas.openxmlformats.org/officeDocument/2006/relationships/hyperlink" Target="http://www.ti.com/lit/gpn/sn74LV14" TargetMode="External"/><Relationship Id="rId20" Type="http://schemas.openxmlformats.org/officeDocument/2006/relationships/hyperlink" Target="https://www.yageo.com/upload/media/product/productsearch/datasheet/rchip/PYu-RC_Group_51_RoHS_L_10.pdf" TargetMode="External"/><Relationship Id="rId41" Type="http://schemas.openxmlformats.org/officeDocument/2006/relationships/hyperlink" Target="https://www.yageo.com/upload/media/product/productsearch/datasheet/rchip/PYu-RC_Group_51_RoHS_L_10.pdf" TargetMode="External"/><Relationship Id="rId62" Type="http://schemas.openxmlformats.org/officeDocument/2006/relationships/hyperlink" Target="https://octopart.com/click/track?ai=8078&amp;sig=035c0d3&amp;sid=459&amp;ppid=22529003&amp;vpid=48486609&amp;ct=offers" TargetMode="External"/><Relationship Id="rId83" Type="http://schemas.openxmlformats.org/officeDocument/2006/relationships/hyperlink" Target="https://octopart.com/click/track?ai=8078&amp;sig=09bee31&amp;sid=2402&amp;ppid=26631884&amp;vpid=96119148&amp;ct=offers" TargetMode="External"/><Relationship Id="rId88" Type="http://schemas.openxmlformats.org/officeDocument/2006/relationships/hyperlink" Target="https://octopart.com/click/track?ai=8078&amp;sig=0c61f74&amp;sid=819&amp;ppid=26631884&amp;vpid=478813331&amp;ct=offers" TargetMode="External"/><Relationship Id="rId111" Type="http://schemas.openxmlformats.org/officeDocument/2006/relationships/hyperlink" Target="https://octopart.com/click/track?c=1&amp;ai=8078&amp;sig=074e1b5&amp;sid=459&amp;ppid=470573&amp;vpid=163309417&amp;ct=offers" TargetMode="External"/><Relationship Id="rId15" Type="http://schemas.openxmlformats.org/officeDocument/2006/relationships/hyperlink" Target="https://octopart.com/click/track?ai=8078&amp;sig=0d9e67d&amp;sid=819&amp;ppid=41204914&amp;vpid=478818994&amp;ct=offers" TargetMode="External"/><Relationship Id="rId36" Type="http://schemas.openxmlformats.org/officeDocument/2006/relationships/hyperlink" Target="https://octopart.com/click/track?c=1&amp;ai=8078&amp;sig=06ccd5e&amp;sid=819&amp;ppid=40953229&amp;vpid=478818941&amp;ct=offers" TargetMode="External"/><Relationship Id="rId57" Type="http://schemas.openxmlformats.org/officeDocument/2006/relationships/hyperlink" Target="https://octopart.com/click/track?c=1&amp;ai=8078&amp;sig=057a85c&amp;sid=2402&amp;ppid=22529005&amp;vpid=48283953&amp;ct=offers" TargetMode="External"/><Relationship Id="rId106" Type="http://schemas.openxmlformats.org/officeDocument/2006/relationships/hyperlink" Target="https://octopart.com/click/track?ai=8078&amp;sig=074af55&amp;sid=27971&amp;ppid=20318404&amp;vpid=481523923&amp;ct=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9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F7" sqref="F7:F36"/>
    </sheetView>
  </sheetViews>
  <sheetFormatPr defaultRowHeight="15" outlineLevelCol="2" x14ac:dyDescent="0.25"/>
  <cols>
    <col min="3" max="3" width="9.140625" outlineLevel="2"/>
    <col min="4" max="6" width="9.140625" outlineLevel="1"/>
    <col min="8" max="8" width="15.7109375" customWidth="1"/>
    <col min="9" max="9" width="9.140625" outlineLevel="1"/>
    <col min="10" max="11" width="9.140625" outlineLevel="2"/>
    <col min="12" max="12" width="15.7109375" customWidth="1"/>
    <col min="13" max="13" width="15.7109375" customWidth="1" outlineLevel="2"/>
    <col min="14" max="14" width="9.140625" outlineLevel="1"/>
    <col min="15" max="16" width="9.140625" outlineLevel="2"/>
    <col min="17" max="17" width="15.7109375" customWidth="1"/>
    <col min="18" max="18" width="15.7109375" hidden="1" customWidth="1" outlineLevel="2"/>
    <col min="19" max="19" width="9.140625" hidden="1" customWidth="1" outlineLevel="1" collapsed="1"/>
    <col min="20" max="21" width="9.140625" hidden="1" customWidth="1" outlineLevel="2"/>
    <col min="22" max="22" width="15.7109375" customWidth="1" collapsed="1"/>
    <col min="23" max="23" width="15.7109375" hidden="1" customWidth="1" outlineLevel="2"/>
    <col min="24" max="24" width="0" hidden="1" customWidth="1" outlineLevel="1" collapsed="1"/>
    <col min="25" max="26" width="0" hidden="1" customWidth="1" outlineLevel="2"/>
    <col min="27" max="27" width="15.7109375" customWidth="1" collapsed="1"/>
    <col min="28" max="28" width="15.7109375" hidden="1" customWidth="1" outlineLevel="2"/>
    <col min="29" max="29" width="9.140625" outlineLevel="1" collapsed="1"/>
    <col min="30" max="31" width="9.140625" outlineLevel="2"/>
    <col min="32" max="32" width="15.7109375" customWidth="1"/>
    <col min="33" max="33" width="15.7109375" hidden="1" customWidth="1" outlineLevel="2"/>
    <col min="34" max="34" width="0" hidden="1" customWidth="1" outlineLevel="1" collapsed="1"/>
    <col min="35" max="36" width="0" hidden="1" customWidth="1" outlineLevel="2"/>
    <col min="37" max="37" width="15.7109375" customWidth="1" collapsed="1"/>
    <col min="38" max="38" width="15.7109375" hidden="1" customWidth="1" outlineLevel="2"/>
    <col min="39" max="39" width="9.140625" outlineLevel="1" collapsed="1"/>
    <col min="40" max="41" width="9.140625" outlineLevel="2"/>
    <col min="42" max="42" width="15.7109375" customWidth="1"/>
    <col min="43" max="43" width="15.7109375" customWidth="1" outlineLevel="2"/>
    <col min="44" max="44" width="9.140625" outlineLevel="1"/>
    <col min="45" max="46" width="9.140625" outlineLevel="2"/>
    <col min="47" max="47" width="15.7109375" customWidth="1"/>
    <col min="48" max="48" width="15.7109375" customWidth="1" outlineLevel="2"/>
  </cols>
  <sheetData>
    <row r="1" spans="1:48" ht="17.25" x14ac:dyDescent="0.3">
      <c r="A1" s="1" t="s">
        <v>118</v>
      </c>
      <c r="B1" s="2" t="s">
        <v>119</v>
      </c>
      <c r="G1" s="3" t="s">
        <v>123</v>
      </c>
      <c r="H1" s="3">
        <v>26</v>
      </c>
    </row>
    <row r="2" spans="1:48" ht="17.25" x14ac:dyDescent="0.25">
      <c r="A2" s="1" t="s">
        <v>120</v>
      </c>
      <c r="B2" s="2"/>
      <c r="G2" s="1" t="s">
        <v>125</v>
      </c>
      <c r="H2" s="4">
        <f ca="1">TotalCost/BoardQty</f>
        <v>121.61401968250047</v>
      </c>
    </row>
    <row r="3" spans="1:48" ht="17.25" x14ac:dyDescent="0.25">
      <c r="A3" s="1" t="s">
        <v>121</v>
      </c>
      <c r="B3" s="2" t="s">
        <v>122</v>
      </c>
      <c r="G3" s="1" t="s">
        <v>124</v>
      </c>
      <c r="H3" s="5">
        <f ca="1">SUM(H7:H36)</f>
        <v>3161.9645117450123</v>
      </c>
      <c r="L3" s="5">
        <f>SUM(L7:L36)</f>
        <v>2280</v>
      </c>
      <c r="M3" s="6">
        <v>0</v>
      </c>
      <c r="Q3" s="5">
        <f>SUM(Q7:Q36)</f>
        <v>1878.2143362651605</v>
      </c>
      <c r="R3" s="6">
        <v>0</v>
      </c>
      <c r="V3" s="5">
        <f>SUM(V7:V36)</f>
        <v>800.68542191354356</v>
      </c>
      <c r="W3" s="6">
        <v>0</v>
      </c>
      <c r="AA3" s="5">
        <f>SUM(AA7:AA36)</f>
        <v>104.53107374687528</v>
      </c>
      <c r="AB3" s="6">
        <v>0</v>
      </c>
      <c r="AF3" s="5">
        <f>SUM(AF7:AF36)</f>
        <v>663.50366725303229</v>
      </c>
      <c r="AG3" s="6">
        <v>0</v>
      </c>
      <c r="AK3" s="5">
        <f>SUM(AK7:AK36)</f>
        <v>266.93762855291175</v>
      </c>
      <c r="AL3" s="6">
        <v>0</v>
      </c>
      <c r="AP3" s="5">
        <f>SUM(AP7:AP36)</f>
        <v>308.77496323793571</v>
      </c>
      <c r="AQ3" s="6">
        <v>0</v>
      </c>
      <c r="AU3" s="5">
        <f>SUM(AU7:AU36)</f>
        <v>0</v>
      </c>
      <c r="AV3" s="6">
        <v>0</v>
      </c>
    </row>
    <row r="4" spans="1:48" ht="17.25" x14ac:dyDescent="0.25">
      <c r="A4" s="1" t="s">
        <v>126</v>
      </c>
      <c r="B4" s="2" t="s">
        <v>127</v>
      </c>
    </row>
    <row r="5" spans="1:48" ht="18.75" x14ac:dyDescent="0.25">
      <c r="A5" s="17" t="s">
        <v>0</v>
      </c>
      <c r="B5" s="17"/>
      <c r="C5" s="17"/>
      <c r="D5" s="17"/>
      <c r="E5" s="17"/>
      <c r="F5" s="17"/>
      <c r="G5" s="17"/>
      <c r="H5" s="17"/>
      <c r="I5" s="18" t="s">
        <v>128</v>
      </c>
      <c r="J5" s="18"/>
      <c r="K5" s="18"/>
      <c r="L5" s="18"/>
      <c r="M5" s="18"/>
      <c r="N5" s="19" t="s">
        <v>132</v>
      </c>
      <c r="O5" s="19"/>
      <c r="P5" s="19"/>
      <c r="Q5" s="19"/>
      <c r="R5" s="19"/>
      <c r="S5" s="20" t="s">
        <v>152</v>
      </c>
      <c r="T5" s="20"/>
      <c r="U5" s="20"/>
      <c r="V5" s="20"/>
      <c r="W5" s="20"/>
      <c r="X5" s="21" t="s">
        <v>168</v>
      </c>
      <c r="Y5" s="21"/>
      <c r="Z5" s="21"/>
      <c r="AA5" s="21"/>
      <c r="AB5" s="21"/>
      <c r="AC5" s="13" t="s">
        <v>171</v>
      </c>
      <c r="AD5" s="13"/>
      <c r="AE5" s="13"/>
      <c r="AF5" s="13"/>
      <c r="AG5" s="13"/>
      <c r="AH5" s="14" t="s">
        <v>185</v>
      </c>
      <c r="AI5" s="14"/>
      <c r="AJ5" s="14"/>
      <c r="AK5" s="14"/>
      <c r="AL5" s="14"/>
      <c r="AM5" s="15" t="s">
        <v>202</v>
      </c>
      <c r="AN5" s="15"/>
      <c r="AO5" s="15"/>
      <c r="AP5" s="15"/>
      <c r="AQ5" s="15"/>
      <c r="AR5" s="16" t="s">
        <v>212</v>
      </c>
      <c r="AS5" s="16"/>
      <c r="AT5" s="16"/>
      <c r="AU5" s="16"/>
      <c r="AV5" s="16"/>
    </row>
    <row r="6" spans="1:48" ht="31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129</v>
      </c>
      <c r="J6" s="7" t="s">
        <v>130</v>
      </c>
      <c r="K6" s="7" t="s">
        <v>7</v>
      </c>
      <c r="L6" s="7" t="s">
        <v>8</v>
      </c>
      <c r="M6" s="7" t="s">
        <v>131</v>
      </c>
      <c r="N6" s="7" t="s">
        <v>129</v>
      </c>
      <c r="O6" s="7" t="s">
        <v>130</v>
      </c>
      <c r="P6" s="7" t="s">
        <v>7</v>
      </c>
      <c r="Q6" s="7" t="s">
        <v>8</v>
      </c>
      <c r="R6" s="7" t="s">
        <v>131</v>
      </c>
      <c r="S6" s="7" t="s">
        <v>129</v>
      </c>
      <c r="T6" s="7" t="s">
        <v>130</v>
      </c>
      <c r="U6" s="7" t="s">
        <v>7</v>
      </c>
      <c r="V6" s="7" t="s">
        <v>8</v>
      </c>
      <c r="W6" s="7" t="s">
        <v>131</v>
      </c>
      <c r="X6" s="7" t="s">
        <v>129</v>
      </c>
      <c r="Y6" s="7" t="s">
        <v>130</v>
      </c>
      <c r="Z6" s="7" t="s">
        <v>7</v>
      </c>
      <c r="AA6" s="7" t="s">
        <v>8</v>
      </c>
      <c r="AB6" s="7" t="s">
        <v>131</v>
      </c>
      <c r="AC6" s="7" t="s">
        <v>129</v>
      </c>
      <c r="AD6" s="7" t="s">
        <v>130</v>
      </c>
      <c r="AE6" s="7" t="s">
        <v>7</v>
      </c>
      <c r="AF6" s="7" t="s">
        <v>8</v>
      </c>
      <c r="AG6" s="7" t="s">
        <v>131</v>
      </c>
      <c r="AH6" s="7" t="s">
        <v>129</v>
      </c>
      <c r="AI6" s="7" t="s">
        <v>130</v>
      </c>
      <c r="AJ6" s="7" t="s">
        <v>7</v>
      </c>
      <c r="AK6" s="7" t="s">
        <v>8</v>
      </c>
      <c r="AL6" s="7" t="s">
        <v>131</v>
      </c>
      <c r="AM6" s="7" t="s">
        <v>129</v>
      </c>
      <c r="AN6" s="7" t="s">
        <v>130</v>
      </c>
      <c r="AO6" s="7" t="s">
        <v>7</v>
      </c>
      <c r="AP6" s="7" t="s">
        <v>8</v>
      </c>
      <c r="AQ6" s="7" t="s">
        <v>131</v>
      </c>
      <c r="AR6" s="7" t="s">
        <v>129</v>
      </c>
      <c r="AS6" s="7" t="s">
        <v>130</v>
      </c>
      <c r="AT6" s="7" t="s">
        <v>7</v>
      </c>
      <c r="AU6" s="7" t="s">
        <v>8</v>
      </c>
      <c r="AV6" s="7" t="s">
        <v>131</v>
      </c>
    </row>
    <row r="7" spans="1:48" x14ac:dyDescent="0.25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>
        <f>BoardQty*52</f>
        <v>1352</v>
      </c>
      <c r="G7" s="9">
        <f t="shared" ref="G7:G36" ca="1" si="0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2.1542621979446348E-2</v>
      </c>
      <c r="H7" s="9">
        <f t="shared" ref="H7:H36" ca="1" si="1">IFERROR(F7*G7,"")</f>
        <v>29.125624916211464</v>
      </c>
      <c r="N7" s="8">
        <v>642595</v>
      </c>
      <c r="O7">
        <v>2000</v>
      </c>
      <c r="P7" s="9">
        <f>IFERROR(AUD_USD*LOOKUP(IF(O7="",F7,O7),{0,1,10,100,500,1000,4000,8000,12000},{0,0.1,0.057,0.0253,0.0181,0.01422,0.01035,0.00945,0.009}),"")</f>
        <v>2.1542621979446348E-2</v>
      </c>
      <c r="Q7" s="9">
        <f>IFERROR(IF(O7="",F7,O7)*P7,"")</f>
        <v>43.085243958892697</v>
      </c>
      <c r="R7" s="10" t="s">
        <v>133</v>
      </c>
    </row>
    <row r="8" spans="1:48" x14ac:dyDescent="0.25">
      <c r="A8" s="8" t="s">
        <v>14</v>
      </c>
      <c r="B8" s="8" t="s">
        <v>15</v>
      </c>
      <c r="C8" s="8" t="s">
        <v>11</v>
      </c>
      <c r="D8" s="8" t="s">
        <v>12</v>
      </c>
      <c r="E8" s="8" t="s">
        <v>16</v>
      </c>
      <c r="F8" s="8">
        <f>BoardQty*18</f>
        <v>468</v>
      </c>
      <c r="G8" s="9">
        <f t="shared" ca="1" si="0"/>
        <v>9.0897139153782065E-3</v>
      </c>
      <c r="H8" s="9">
        <f t="shared" ca="1" si="1"/>
        <v>4.2539861123970004</v>
      </c>
      <c r="N8" s="8">
        <v>125306</v>
      </c>
      <c r="O8">
        <v>500</v>
      </c>
      <c r="P8" s="9">
        <f>IFERROR(AUD_USD*LOOKUP(IF(O8="",F8,O8),{0,1,10,100,500,1000,4000,8000,12000},{0,0.1,0.047,0.021,0.01502,0.0118,0.00987,0.00901,0.00858}),"")</f>
        <v>2.275458383483011E-2</v>
      </c>
      <c r="Q8" s="9">
        <f>IFERROR(IF(O8="",F8,O8)*P8,"")</f>
        <v>11.377291917415056</v>
      </c>
      <c r="R8" s="10" t="s">
        <v>134</v>
      </c>
      <c r="S8" s="8">
        <v>29240</v>
      </c>
      <c r="U8" s="9">
        <f>IFERROR(AUD_GBP*LOOKUP(IF(T8="",F8,T8),{0,1,10,100,150,500,1000,2000,4000},{0,0.0524,0.0524,0.0227,0.0227,0.0145,0.011,0.0108,0.0075}),"")</f>
        <v>4.4478517542809265E-2</v>
      </c>
      <c r="V8" s="9">
        <f>IFERROR(IF(T8="",F8,T8)*U8,"")</f>
        <v>20.815946210034735</v>
      </c>
      <c r="W8" s="10" t="s">
        <v>153</v>
      </c>
      <c r="AH8" s="8">
        <v>90624</v>
      </c>
      <c r="AJ8" s="9">
        <f>IFERROR(AUD_USD*LOOKUP(IF(AI8="",F8,AI8),{0,1,25,50,100,250,500,1000},{0,0.006,0.006,0.006,0.006,0.006,0.006,0.006}),"")</f>
        <v>9.0897139153782065E-3</v>
      </c>
      <c r="AK8" s="9">
        <f>IFERROR(IF(AI8="",F8,AI8)*AJ8,"")</f>
        <v>4.2539861123970004</v>
      </c>
      <c r="AL8" s="10" t="s">
        <v>186</v>
      </c>
      <c r="AM8" s="8">
        <v>40000</v>
      </c>
      <c r="AO8" s="9">
        <f>IFERROR(AUD_GBP*LOOKUP(IF(AN8="",F8,AN8),{0,1,4000,12000,20000,40000,100000},{0,0.007,0.007,0.007,0.007,0.006,0.006}),"")</f>
        <v>1.3715842414082151E-2</v>
      </c>
      <c r="AP8" s="9">
        <f>IFERROR(IF(AN8="",F8,AN8)*AO8,"")</f>
        <v>6.4190142497904468</v>
      </c>
      <c r="AQ8" s="10" t="s">
        <v>203</v>
      </c>
      <c r="AR8" s="8">
        <v>205300</v>
      </c>
      <c r="AV8" s="10" t="s">
        <v>16</v>
      </c>
    </row>
    <row r="9" spans="1:48" x14ac:dyDescent="0.25">
      <c r="A9" s="8" t="s">
        <v>17</v>
      </c>
      <c r="B9" s="8" t="s">
        <v>18</v>
      </c>
      <c r="C9" s="8" t="s">
        <v>19</v>
      </c>
      <c r="D9" s="8" t="s">
        <v>12</v>
      </c>
      <c r="E9" s="8" t="s">
        <v>20</v>
      </c>
      <c r="F9" s="8">
        <f>BoardQty*5</f>
        <v>130</v>
      </c>
      <c r="G9" s="9">
        <f t="shared" ca="1" si="0"/>
        <v>0.15044991482270159</v>
      </c>
      <c r="H9" s="9">
        <f t="shared" ca="1" si="1"/>
        <v>19.558488926951206</v>
      </c>
      <c r="N9" s="8">
        <v>48295</v>
      </c>
      <c r="O9">
        <v>150</v>
      </c>
      <c r="P9" s="9">
        <f>IFERROR(AUD_USD*LOOKUP(IF(O9="",F9,O9),{0,1,10,100,500,1000,2000,5000},{0,0.39,0.27,0.1618,0.12132,0.0891,0.08441,0.07972}),"")</f>
        <v>0.24511928525136562</v>
      </c>
      <c r="Q9" s="9">
        <f>IFERROR(IF(O9="",F9,O9)*P9,"")</f>
        <v>36.767892787704845</v>
      </c>
      <c r="R9" s="10" t="s">
        <v>135</v>
      </c>
      <c r="X9" s="8">
        <v>19955</v>
      </c>
      <c r="Z9" s="9">
        <f>IFERROR(AUD_USD*LOOKUP(IF(Y9="",F9,Y9),{0,1,10,30,100,500,1000},{0,0.15457,0.11415,0.10672,0.09931,0.096,0.09437}),"")</f>
        <v>0.15044991482270159</v>
      </c>
      <c r="AA9" s="9">
        <f>IFERROR(IF(Y9="",F9,Y9)*Z9,"")</f>
        <v>19.558488926951206</v>
      </c>
      <c r="AB9" s="10" t="s">
        <v>169</v>
      </c>
      <c r="AR9" s="8">
        <v>13900</v>
      </c>
      <c r="AV9" s="10" t="s">
        <v>20</v>
      </c>
    </row>
    <row r="10" spans="1:48" x14ac:dyDescent="0.25">
      <c r="A10" s="8" t="s">
        <v>21</v>
      </c>
      <c r="B10" s="8" t="s">
        <v>22</v>
      </c>
      <c r="C10" s="8" t="s">
        <v>23</v>
      </c>
      <c r="D10" s="8" t="s">
        <v>24</v>
      </c>
      <c r="E10" s="8" t="s">
        <v>22</v>
      </c>
      <c r="F10" s="8">
        <f>BoardQty*12</f>
        <v>312</v>
      </c>
      <c r="G10" s="9">
        <f t="shared" ca="1" si="0"/>
        <v>0.9</v>
      </c>
      <c r="H10" s="9">
        <f t="shared" ca="1" si="1"/>
        <v>280.8</v>
      </c>
      <c r="I10">
        <v>1000</v>
      </c>
      <c r="J10">
        <v>500</v>
      </c>
      <c r="K10">
        <v>0.9</v>
      </c>
      <c r="L10">
        <f>J10*K10</f>
        <v>450</v>
      </c>
    </row>
    <row r="11" spans="1:48" x14ac:dyDescent="0.25">
      <c r="A11" s="8" t="s">
        <v>25</v>
      </c>
      <c r="B11" s="8" t="s">
        <v>26</v>
      </c>
      <c r="C11" s="8" t="s">
        <v>27</v>
      </c>
      <c r="D11" s="8" t="s">
        <v>28</v>
      </c>
      <c r="E11" s="8" t="s">
        <v>29</v>
      </c>
      <c r="F11" s="8">
        <f>BoardQty*1</f>
        <v>26</v>
      </c>
      <c r="G11" s="9">
        <f t="shared" ca="1" si="0"/>
        <v>7.8376242366183721E-3</v>
      </c>
      <c r="H11" s="9">
        <f t="shared" ca="1" si="1"/>
        <v>0.20377823015207769</v>
      </c>
      <c r="N11" s="8">
        <v>1955979</v>
      </c>
      <c r="O11">
        <v>50</v>
      </c>
      <c r="P11" s="9">
        <f>IFERROR(AUD_USD*LOOKUP(IF(O11="",F11,O11),{0,1,10,100,1000,2500,5000,10000},{0,0.1,0.04,0.0163,0.00731,0.00635,0.00477,0.00414}),"")</f>
        <v>6.0598092769188039E-2</v>
      </c>
      <c r="Q11" s="9">
        <f t="shared" ref="Q11:Q31" si="2">IFERROR(IF(O11="",F11,O11)*P11,"")</f>
        <v>3.0299046384594019</v>
      </c>
      <c r="R11" s="10" t="s">
        <v>136</v>
      </c>
      <c r="S11" s="8">
        <v>54946</v>
      </c>
      <c r="U11" s="9">
        <f>IFERROR(AUD_GBP*LOOKUP(IF(T11="",F11,T11),{0,1,10,100,150,500,1000,2500,5000,25000},{0,0.035,0.035,0.0234,0.0234,0.0163,0.0123,0.0093,0.0071,0.0048}),"")</f>
        <v>6.8579212070410761E-2</v>
      </c>
      <c r="V11" s="9">
        <f t="shared" ref="V11:V16" si="3">IFERROR(IF(T11="",F11,T11)*U11,"")</f>
        <v>1.7830595138306797</v>
      </c>
      <c r="W11" s="10" t="s">
        <v>154</v>
      </c>
      <c r="AC11" s="8">
        <v>89706</v>
      </c>
      <c r="AE11" s="9">
        <f>IFERROR(AUD_USD*LOOKUP(IF(AD11="",F11,AD11),{0,1,10,100,1000,5000,10000},{0,0.13,0.031,0.011,0.008,0.005,0.005}),"")</f>
        <v>4.6963521896120727E-2</v>
      </c>
      <c r="AF11" s="9">
        <f t="shared" ref="AF11:AF16" si="4">IFERROR(IF(AD11="",F11,AD11)*AE11,"")</f>
        <v>1.2210515692991388</v>
      </c>
      <c r="AG11" s="10" t="s">
        <v>172</v>
      </c>
      <c r="AH11" s="8">
        <v>45996</v>
      </c>
      <c r="AJ11" s="9">
        <f>IFERROR(AUD_USD*LOOKUP(IF(AI11="",F11,AI11),{0,1,10,25,50,100,250,500,1000,5000,10000},{0,0.033,0.033,0.026,0.019,0.012,0.011,0.009,0.008,0.011,0.008}),"")</f>
        <v>3.9388760299972223E-2</v>
      </c>
      <c r="AK11" s="9">
        <f t="shared" ref="AK11:AK16" si="5">IFERROR(IF(AI11="",F11,AI11)*AJ11,"")</f>
        <v>1.0241077677992778</v>
      </c>
      <c r="AL11" s="10" t="s">
        <v>187</v>
      </c>
      <c r="AM11" s="8">
        <v>115000</v>
      </c>
      <c r="AO11" s="9">
        <f>IFERROR(AUD_GBP*LOOKUP(IF(AN11="",F11,AN11),{0,1,5000},{0,0.004,0.004}),"")</f>
        <v>7.8376242366183721E-3</v>
      </c>
      <c r="AP11" s="9">
        <f t="shared" ref="AP11:AP16" si="6">IFERROR(IF(AN11="",F11,AN11)*AO11,"")</f>
        <v>0.20377823015207769</v>
      </c>
      <c r="AQ11" s="10" t="s">
        <v>204</v>
      </c>
      <c r="AR11" s="8">
        <v>48300</v>
      </c>
      <c r="AV11" s="10" t="s">
        <v>213</v>
      </c>
    </row>
    <row r="12" spans="1:48" x14ac:dyDescent="0.25">
      <c r="A12" s="8" t="s">
        <v>30</v>
      </c>
      <c r="B12" s="8" t="s">
        <v>31</v>
      </c>
      <c r="C12" s="8" t="s">
        <v>27</v>
      </c>
      <c r="D12" s="8" t="s">
        <v>28</v>
      </c>
      <c r="E12" s="8" t="s">
        <v>32</v>
      </c>
      <c r="F12" s="8">
        <f>BoardQty*2</f>
        <v>52</v>
      </c>
      <c r="G12" s="9">
        <f t="shared" ca="1" si="0"/>
        <v>1.959406059154593E-2</v>
      </c>
      <c r="H12" s="9">
        <f t="shared" ca="1" si="1"/>
        <v>1.0188911507603884</v>
      </c>
      <c r="N12" s="8">
        <v>429128</v>
      </c>
      <c r="O12">
        <v>100</v>
      </c>
      <c r="P12" s="9">
        <f>IFERROR(AUD_USD*LOOKUP(IF(O12="",F12,O12),{0,1,10,100,1000,2500,5000,10000},{0,0.1,0.04,0.0163,0.00731,0.00635,0.00477,0.00414}),"")</f>
        <v>2.4693722803444125E-2</v>
      </c>
      <c r="Q12" s="9">
        <f t="shared" si="2"/>
        <v>2.4693722803444125</v>
      </c>
      <c r="R12" s="10" t="s">
        <v>137</v>
      </c>
      <c r="S12" s="8">
        <v>1886</v>
      </c>
      <c r="U12" s="9">
        <f>IFERROR(AUD_GBP*LOOKUP(IF(T12="",F12,T12),{0,1,10,100,150,500,1000,2500,5000,25000},{0,0.0336,0.0336,0.0213,0.0213,0.0149,0.0113,0.0085,0.0065,0.0044}),"")</f>
        <v>6.5836043587594317E-2</v>
      </c>
      <c r="V12" s="9">
        <f t="shared" si="3"/>
        <v>3.4234742665549045</v>
      </c>
      <c r="W12" s="10" t="s">
        <v>155</v>
      </c>
      <c r="AC12" s="8">
        <v>98950</v>
      </c>
      <c r="AE12" s="9">
        <f>IFERROR(AUD_USD*LOOKUP(IF(AD12="",F12,AD12),{0,1,10,100,1000,5000,10000},{0,0.13,0.031,0.011,0.008,0.005,0.005}),"")</f>
        <v>4.6963521896120727E-2</v>
      </c>
      <c r="AF12" s="9">
        <f t="shared" si="4"/>
        <v>2.4421031385982777</v>
      </c>
      <c r="AG12" s="10" t="s">
        <v>173</v>
      </c>
      <c r="AH12" s="8">
        <v>667</v>
      </c>
      <c r="AJ12" s="9">
        <f>IFERROR(AUD_USD*LOOKUP(IF(AI12="",F12,AI12),{0,1,10,25,50,100,250,500,1000,5000,10000},{0,0.033,0.033,0.026,0.019,0.012,0.011,0.009,0.008,0.011,0.008}),"")</f>
        <v>2.8784094065364318E-2</v>
      </c>
      <c r="AK12" s="9">
        <f t="shared" si="5"/>
        <v>1.4967728913989444</v>
      </c>
      <c r="AL12" s="10" t="s">
        <v>188</v>
      </c>
      <c r="AM12" s="8">
        <v>75000</v>
      </c>
      <c r="AO12" s="9">
        <f>IFERROR(AUD_GBP*LOOKUP(IF(AN12="",F12,AN12),{0,1,5000},{0,0.01,0.01}),"")</f>
        <v>1.959406059154593E-2</v>
      </c>
      <c r="AP12" s="9">
        <f t="shared" si="6"/>
        <v>1.0188911507603884</v>
      </c>
      <c r="AQ12" s="10" t="s">
        <v>205</v>
      </c>
      <c r="AR12" s="8">
        <v>98400</v>
      </c>
      <c r="AV12" s="10" t="s">
        <v>214</v>
      </c>
    </row>
    <row r="13" spans="1:48" x14ac:dyDescent="0.25">
      <c r="A13" s="8" t="s">
        <v>33</v>
      </c>
      <c r="B13" s="8" t="s">
        <v>34</v>
      </c>
      <c r="C13" s="8" t="s">
        <v>27</v>
      </c>
      <c r="D13" s="8" t="s">
        <v>28</v>
      </c>
      <c r="E13" s="8" t="s">
        <v>35</v>
      </c>
      <c r="F13" s="8">
        <f>BoardQty*2</f>
        <v>52</v>
      </c>
      <c r="G13" s="9">
        <f t="shared" ca="1" si="0"/>
        <v>9.7970302957729651E-3</v>
      </c>
      <c r="H13" s="9">
        <f t="shared" ca="1" si="1"/>
        <v>0.50944557538019419</v>
      </c>
      <c r="N13" s="8">
        <v>81873</v>
      </c>
      <c r="O13">
        <v>100</v>
      </c>
      <c r="P13" s="9">
        <f>IFERROR(AUD_USD*LOOKUP(IF(O13="",F13,O13),{0,1,10,100,1000,2500,5000,10000},{0,0.1,0.04,0.0163,0.00731,0.00635,0.00477,0.00414}),"")</f>
        <v>2.4693722803444125E-2</v>
      </c>
      <c r="Q13" s="9">
        <f t="shared" si="2"/>
        <v>2.4693722803444125</v>
      </c>
      <c r="R13" s="10" t="s">
        <v>138</v>
      </c>
      <c r="S13" s="8">
        <v>3127</v>
      </c>
      <c r="U13" s="9">
        <f>IFERROR(AUD_GBP*LOOKUP(IF(T13="",F13,T13),{0,1,10,100,150,500,1000,2500,5000,25000},{0,0.0336,0.0336,0.0213,0.0213,0.0149,0.0113,0.0085,0.0065,0.0044}),"")</f>
        <v>6.5836043587594317E-2</v>
      </c>
      <c r="V13" s="9">
        <f t="shared" si="3"/>
        <v>3.4234742665549045</v>
      </c>
      <c r="W13" s="10" t="s">
        <v>156</v>
      </c>
      <c r="AC13" s="11" t="s">
        <v>151</v>
      </c>
      <c r="AE13" s="9">
        <f>IFERROR(AUD_USD*LOOKUP(IF(AD13="",F13,AD13),{0,1,10,100,1000,5000,10000},{0,0.13,0.031,0.011,0.008,0.005,0.005}),"")</f>
        <v>4.6963521896120727E-2</v>
      </c>
      <c r="AF13" s="9">
        <f t="shared" si="4"/>
        <v>2.4421031385982777</v>
      </c>
      <c r="AG13" s="10" t="s">
        <v>174</v>
      </c>
      <c r="AH13" s="8">
        <v>2937</v>
      </c>
      <c r="AJ13" s="9">
        <f>IFERROR(AUD_USD*LOOKUP(IF(AI13="",F13,AI13),{0,1,10,25,50,100,250,500,1000,5000,10000},{0,0.033,0.033,0.026,0.019,0.012,0.011,0.009,0.008,0.011,0.008}),"")</f>
        <v>2.8784094065364318E-2</v>
      </c>
      <c r="AK13" s="9">
        <f t="shared" si="5"/>
        <v>1.4967728913989444</v>
      </c>
      <c r="AL13" s="10" t="s">
        <v>189</v>
      </c>
      <c r="AM13" s="8">
        <v>10000</v>
      </c>
      <c r="AO13" s="9">
        <f>IFERROR(AUD_GBP*LOOKUP(IF(AN13="",F13,AN13),{0,1,5000,10000},{0,0.005,0.005,0.004}),"")</f>
        <v>9.7970302957729651E-3</v>
      </c>
      <c r="AP13" s="9">
        <f t="shared" si="6"/>
        <v>0.50944557538019419</v>
      </c>
      <c r="AQ13" s="10" t="s">
        <v>206</v>
      </c>
      <c r="AR13" s="8">
        <v>26995</v>
      </c>
      <c r="AV13" s="10" t="s">
        <v>215</v>
      </c>
    </row>
    <row r="14" spans="1:48" x14ac:dyDescent="0.25">
      <c r="A14" s="8" t="s">
        <v>36</v>
      </c>
      <c r="B14" s="8" t="s">
        <v>37</v>
      </c>
      <c r="C14" s="8" t="s">
        <v>27</v>
      </c>
      <c r="D14" s="8" t="s">
        <v>28</v>
      </c>
      <c r="E14" s="8" t="s">
        <v>38</v>
      </c>
      <c r="F14" s="8">
        <f>BoardQty*2</f>
        <v>52</v>
      </c>
      <c r="G14" s="9">
        <f t="shared" ca="1" si="0"/>
        <v>1.959406059154593E-2</v>
      </c>
      <c r="H14" s="9">
        <f t="shared" ca="1" si="1"/>
        <v>1.0188911507603884</v>
      </c>
      <c r="N14" s="8">
        <v>381977</v>
      </c>
      <c r="O14">
        <v>100</v>
      </c>
      <c r="P14" s="9">
        <f>IFERROR(AUD_USD*LOOKUP(IF(O14="",F14,O14),{0,1,10,100,1000,2500,5000,10000},{0,0.1,0.04,0.0163,0.00731,0.00635,0.00477,0.00414}),"")</f>
        <v>2.4693722803444125E-2</v>
      </c>
      <c r="Q14" s="9">
        <f t="shared" si="2"/>
        <v>2.4693722803444125</v>
      </c>
      <c r="R14" s="10" t="s">
        <v>139</v>
      </c>
      <c r="S14" s="11" t="s">
        <v>151</v>
      </c>
      <c r="U14" s="9">
        <f>IFERROR(AUD_GBP*LOOKUP(IF(T14="",F14,T14),{0,1,10,100,150,500,1000,2500,5000,25000},{0,0.0336,0.0336,0.0213,0.0213,0.0149,0.0113,0.0085,0.0065,0.0044}),"")</f>
        <v>6.5836043587594317E-2</v>
      </c>
      <c r="V14" s="9">
        <f t="shared" si="3"/>
        <v>3.4234742665549045</v>
      </c>
      <c r="W14" s="10" t="s">
        <v>157</v>
      </c>
      <c r="AC14" s="8">
        <v>3189</v>
      </c>
      <c r="AE14" s="9">
        <f>IFERROR(AUD_USD*LOOKUP(IF(AD14="",F14,AD14),{0,1,10,100,1000,5000,10000},{0,0.13,0.031,0.011,0.008,0.005,0.005}),"")</f>
        <v>4.6963521896120727E-2</v>
      </c>
      <c r="AF14" s="9">
        <f t="shared" si="4"/>
        <v>2.4421031385982777</v>
      </c>
      <c r="AG14" s="10" t="s">
        <v>175</v>
      </c>
      <c r="AH14" s="11" t="s">
        <v>151</v>
      </c>
      <c r="AJ14" s="9">
        <f>IFERROR(AUD_USD*LOOKUP(IF(AI14="",F14,AI14),{0,1,10,25,50,100,250,500,1000,5000,10000},{0,0.033,0.033,0.026,0.019,0.012,0.011,0.009,0.008,0.011,0.008}),"")</f>
        <v>2.8784094065364318E-2</v>
      </c>
      <c r="AK14" s="9">
        <f t="shared" si="5"/>
        <v>1.4967728913989444</v>
      </c>
      <c r="AL14" s="10" t="s">
        <v>190</v>
      </c>
      <c r="AM14" s="8">
        <v>70000</v>
      </c>
      <c r="AO14" s="9">
        <f>IFERROR(AUD_GBP*LOOKUP(IF(AN14="",F14,AN14),{0,1,5000},{0,0.01,0.01}),"")</f>
        <v>1.959406059154593E-2</v>
      </c>
      <c r="AP14" s="9">
        <f t="shared" si="6"/>
        <v>1.0188911507603884</v>
      </c>
      <c r="AQ14" s="10" t="s">
        <v>207</v>
      </c>
      <c r="AR14" s="8">
        <v>9800</v>
      </c>
      <c r="AV14" s="10" t="s">
        <v>216</v>
      </c>
    </row>
    <row r="15" spans="1:48" x14ac:dyDescent="0.25">
      <c r="A15" s="8" t="s">
        <v>39</v>
      </c>
      <c r="B15" s="8" t="s">
        <v>40</v>
      </c>
      <c r="C15" s="8" t="s">
        <v>27</v>
      </c>
      <c r="D15" s="8" t="s">
        <v>28</v>
      </c>
      <c r="E15" s="8" t="s">
        <v>41</v>
      </c>
      <c r="F15" s="8">
        <f>BoardQty*22</f>
        <v>572</v>
      </c>
      <c r="G15" s="9">
        <f t="shared" ca="1" si="0"/>
        <v>1.1074301453569113E-2</v>
      </c>
      <c r="H15" s="9">
        <f t="shared" ca="1" si="1"/>
        <v>6.3345004314415325</v>
      </c>
      <c r="N15" s="8">
        <v>2526868</v>
      </c>
      <c r="O15">
        <v>1000</v>
      </c>
      <c r="P15" s="9">
        <f>IFERROR(AUD_USD*LOOKUP(IF(O15="",F15,O15),{0,1,10,100,1000,2500,5000,10000},{0,0.1,0.04,0.0163,0.00731,0.00635,0.00477,0.00414}),"")</f>
        <v>1.1074301453569113E-2</v>
      </c>
      <c r="Q15" s="9">
        <f t="shared" si="2"/>
        <v>11.074301453569113</v>
      </c>
      <c r="R15" s="10" t="s">
        <v>140</v>
      </c>
      <c r="S15" s="8">
        <v>25000</v>
      </c>
      <c r="U15" s="9">
        <f>IFERROR(AUD_GBP*LOOKUP(IF(T15="",F15,T15),{0,1,10,25,50,100,150,250,500,1000,2500,5000},{0,0.106,0.0336,0.0309,0.0264,0.0225,0.0222,0.0186,0.0141,0.0118,0.0089,0.0067}),"")</f>
        <v>2.7627625434079761E-2</v>
      </c>
      <c r="V15" s="9">
        <f t="shared" si="3"/>
        <v>15.803001748293623</v>
      </c>
      <c r="W15" s="10" t="s">
        <v>158</v>
      </c>
      <c r="AC15" s="11" t="s">
        <v>151</v>
      </c>
      <c r="AE15" s="9">
        <f>IFERROR(AUD_USD*LOOKUP(IF(AD15="",F15,AD15),{0,1,10,100,1000,5000,10000},{0,0.13,0.031,0.011,0.008,0.005,0.005}),"")</f>
        <v>1.6664475511526711E-2</v>
      </c>
      <c r="AF15" s="9">
        <f t="shared" si="4"/>
        <v>9.5320799925932782</v>
      </c>
      <c r="AG15" s="10" t="s">
        <v>176</v>
      </c>
      <c r="AH15" s="8">
        <v>25000</v>
      </c>
      <c r="AJ15" s="9">
        <f>IFERROR(AUD_USD*LOOKUP(IF(AI15="",F15,AI15),{0,1,10,25,50,100,250,500,1000},{0,0.137,0.137,0.033,0.022,0.012,0.011,0.009,0.008}),"")</f>
        <v>1.3634570873067308E-2</v>
      </c>
      <c r="AK15" s="9">
        <f t="shared" si="5"/>
        <v>7.7989745393945</v>
      </c>
      <c r="AL15" s="10" t="s">
        <v>191</v>
      </c>
      <c r="AM15" s="8">
        <v>330000</v>
      </c>
      <c r="AO15" s="9">
        <f>IFERROR(AUD_GBP*LOOKUP(IF(AN15="",F15,AN15),{0,1,5000},{0,0.01,0.01}),"")</f>
        <v>1.959406059154593E-2</v>
      </c>
      <c r="AP15" s="9">
        <f t="shared" si="6"/>
        <v>11.207802658364272</v>
      </c>
      <c r="AQ15" s="10" t="s">
        <v>208</v>
      </c>
      <c r="AR15" s="8">
        <v>19200</v>
      </c>
      <c r="AV15" s="10" t="s">
        <v>217</v>
      </c>
    </row>
    <row r="16" spans="1:48" x14ac:dyDescent="0.25">
      <c r="A16" s="8" t="s">
        <v>42</v>
      </c>
      <c r="B16" s="8" t="s">
        <v>43</v>
      </c>
      <c r="C16" s="8" t="s">
        <v>27</v>
      </c>
      <c r="D16" s="8" t="s">
        <v>28</v>
      </c>
      <c r="E16" s="8" t="s">
        <v>44</v>
      </c>
      <c r="F16" s="8">
        <f>BoardQty*66</f>
        <v>1716</v>
      </c>
      <c r="G16" s="9">
        <f t="shared" ca="1" si="0"/>
        <v>7.8376242366183721E-3</v>
      </c>
      <c r="H16" s="9">
        <f t="shared" ca="1" si="1"/>
        <v>13.449363190037127</v>
      </c>
      <c r="N16" s="8">
        <v>22063873</v>
      </c>
      <c r="O16">
        <v>2000</v>
      </c>
      <c r="P16" s="9">
        <f>IFERROR(AUD_USD*LOOKUP(IF(O16="",F16,O16),{0,1,10,100,1000,2500,5000,10000},{0,0.1,0.04,0.0163,0.00731,0.00635,0.00477,0.00414}),"")</f>
        <v>1.1074301453569113E-2</v>
      </c>
      <c r="Q16" s="9">
        <f t="shared" si="2"/>
        <v>22.148602907138226</v>
      </c>
      <c r="R16" s="10" t="s">
        <v>141</v>
      </c>
      <c r="S16" s="8">
        <v>2465000</v>
      </c>
      <c r="U16" s="9">
        <f>IFERROR(AUD_GBP*LOOKUP(IF(T16="",F16,T16),{0,1,10,25,50,100,150,250,500,1000,2500,5000},{0,0.106,0.0334,0.0306,0.0263,0.0223,0.0287,0.0184,0.0139,0.0114,0.009,0.0067}),"")</f>
        <v>2.233722907436236E-2</v>
      </c>
      <c r="V16" s="9">
        <f t="shared" si="3"/>
        <v>38.330685091605808</v>
      </c>
      <c r="W16" s="10" t="s">
        <v>159</v>
      </c>
      <c r="AC16" s="11" t="s">
        <v>151</v>
      </c>
      <c r="AE16" s="9">
        <f>IFERROR(AUD_USD*LOOKUP(IF(AD16="",F16,AD16),{0,1,10,100,1000,5000,10000},{0,0.13,0.031,0.011,0.008,0.005,0.005}),"")</f>
        <v>1.2119618553837608E-2</v>
      </c>
      <c r="AF16" s="9">
        <f t="shared" si="4"/>
        <v>20.797265438385335</v>
      </c>
      <c r="AG16" s="10" t="s">
        <v>177</v>
      </c>
      <c r="AH16" s="8">
        <v>3260000</v>
      </c>
      <c r="AJ16" s="9">
        <f>IFERROR(AUD_USD*LOOKUP(IF(AI16="",F16,AI16),{0,1,10,25,50,100,250,500,1000},{0,0.137,0.031,0.024,0.018,0.011,0.01,0.009,0.008}),"")</f>
        <v>1.2119618553837608E-2</v>
      </c>
      <c r="AK16" s="9">
        <f t="shared" si="5"/>
        <v>20.797265438385335</v>
      </c>
      <c r="AL16" s="10" t="s">
        <v>192</v>
      </c>
      <c r="AM16" s="8">
        <v>1190000</v>
      </c>
      <c r="AO16" s="9">
        <f>IFERROR(AUD_GBP*LOOKUP(IF(AN16="",F16,AN16),{0,1,5000},{0,0.004,0.004}),"")</f>
        <v>7.8376242366183721E-3</v>
      </c>
      <c r="AP16" s="9">
        <f t="shared" si="6"/>
        <v>13.449363190037127</v>
      </c>
      <c r="AQ16" s="10" t="s">
        <v>209</v>
      </c>
      <c r="AR16" s="11" t="s">
        <v>151</v>
      </c>
      <c r="AV16" s="10" t="s">
        <v>218</v>
      </c>
    </row>
    <row r="17" spans="1:38" x14ac:dyDescent="0.25">
      <c r="A17" s="8" t="s">
        <v>45</v>
      </c>
      <c r="B17" s="8" t="s">
        <v>46</v>
      </c>
      <c r="C17" s="8" t="s">
        <v>47</v>
      </c>
      <c r="D17" s="8" t="s">
        <v>48</v>
      </c>
      <c r="E17" s="8" t="s">
        <v>49</v>
      </c>
      <c r="F17" s="8">
        <f t="shared" ref="F17:F28" si="7">BoardQty*1</f>
        <v>26</v>
      </c>
      <c r="G17" s="9">
        <f t="shared" ca="1" si="0"/>
        <v>2.7620610684195905</v>
      </c>
      <c r="H17" s="9">
        <f t="shared" ca="1" si="1"/>
        <v>71.813587778909351</v>
      </c>
      <c r="N17" s="8">
        <v>450</v>
      </c>
      <c r="O17">
        <v>30</v>
      </c>
      <c r="P17" s="9">
        <f>IFERROR(AUD_USD*LOOKUP(IF(O17="",F17,O17),{0,1,10,25,450,900,1350,3150,11250},{0,2.06,2.005,1.8232,1.305,1.215,1.125,1.02,0.9}),"")</f>
        <v>2.7620610684195905</v>
      </c>
      <c r="Q17" s="9">
        <f t="shared" si="2"/>
        <v>82.861832052587715</v>
      </c>
      <c r="R17" s="10" t="s">
        <v>142</v>
      </c>
      <c r="S17" s="11" t="s">
        <v>151</v>
      </c>
      <c r="W17" s="10" t="s">
        <v>160</v>
      </c>
      <c r="AH17" s="11" t="s">
        <v>151</v>
      </c>
      <c r="AL17" s="10" t="s">
        <v>193</v>
      </c>
    </row>
    <row r="18" spans="1:38" x14ac:dyDescent="0.25">
      <c r="A18" s="8" t="s">
        <v>50</v>
      </c>
      <c r="B18" s="8" t="s">
        <v>51</v>
      </c>
      <c r="C18" s="8" t="s">
        <v>47</v>
      </c>
      <c r="D18" s="8" t="s">
        <v>48</v>
      </c>
      <c r="E18" s="8" t="s">
        <v>52</v>
      </c>
      <c r="F18" s="8">
        <f t="shared" si="7"/>
        <v>26</v>
      </c>
      <c r="G18" s="9">
        <f t="shared" ca="1" si="0"/>
        <v>0.82564901398018709</v>
      </c>
      <c r="H18" s="9">
        <f t="shared" ca="1" si="1"/>
        <v>21.466874363484862</v>
      </c>
      <c r="N18" s="8">
        <v>1194</v>
      </c>
      <c r="O18">
        <v>30</v>
      </c>
      <c r="P18" s="9">
        <f>IFERROR(AUD_USD*LOOKUP(IF(O18="",F18,O18),{0,1,10,25,50,100,250,500,1000,5000},{0,0.68,0.618,0.5872,0.5716,0.5639,0.5562,0.54848,0.4635,0.45578}),"")</f>
        <v>0.88958000185168051</v>
      </c>
      <c r="Q18" s="9">
        <f t="shared" si="2"/>
        <v>26.687400055550416</v>
      </c>
      <c r="R18" s="10" t="s">
        <v>143</v>
      </c>
      <c r="S18" s="11" t="s">
        <v>151</v>
      </c>
      <c r="U18" s="9">
        <f>IFERROR(AUD_GBP*LOOKUP(IF(T18="",F18,T18),{0,1,1000},{0,0.507,0.507}),"")</f>
        <v>0.99341887199137868</v>
      </c>
      <c r="V18" s="9">
        <f>IFERROR(IF(T18="",F18,T18)*U18,"")</f>
        <v>25.828890671775845</v>
      </c>
      <c r="W18" s="10" t="s">
        <v>161</v>
      </c>
      <c r="AC18" s="8">
        <v>682</v>
      </c>
      <c r="AE18" s="9">
        <f>IFERROR(AUD_USD*LOOKUP(IF(AD18="",F18,AD18),{0,1,10,25,50,100,250},{0,0.76,0.688,0.653,0.636,0.627,0.619}),"")</f>
        <v>0.98926386445699477</v>
      </c>
      <c r="AF18" s="9">
        <f>IFERROR(IF(AD18="",F18,AD18)*AE18,"")</f>
        <v>25.720860475881864</v>
      </c>
      <c r="AG18" s="10" t="s">
        <v>178</v>
      </c>
      <c r="AH18" s="11" t="s">
        <v>151</v>
      </c>
      <c r="AJ18" s="9">
        <f>IFERROR(AUD_USD*LOOKUP(IF(AI18="",F18,AI18),{0,1,1000},{0,0.545,0.545}),"")</f>
        <v>0.82564901398018709</v>
      </c>
      <c r="AK18" s="9">
        <f>IFERROR(IF(AI18="",F18,AI18)*AJ18,"")</f>
        <v>21.466874363484862</v>
      </c>
      <c r="AL18" s="10" t="s">
        <v>194</v>
      </c>
    </row>
    <row r="19" spans="1:38" x14ac:dyDescent="0.25">
      <c r="A19" s="8" t="s">
        <v>53</v>
      </c>
      <c r="B19" s="8" t="s">
        <v>54</v>
      </c>
      <c r="C19" s="8" t="s">
        <v>55</v>
      </c>
      <c r="D19" s="8" t="s">
        <v>48</v>
      </c>
      <c r="E19" s="8" t="s">
        <v>56</v>
      </c>
      <c r="F19" s="8">
        <f t="shared" si="7"/>
        <v>26</v>
      </c>
      <c r="G19" s="9">
        <f t="shared" ca="1" si="0"/>
        <v>2.7620610684195905</v>
      </c>
      <c r="H19" s="9">
        <f t="shared" ca="1" si="1"/>
        <v>71.813587778909351</v>
      </c>
      <c r="N19" s="8">
        <v>450</v>
      </c>
      <c r="O19">
        <v>30</v>
      </c>
      <c r="P19" s="9">
        <f>IFERROR(AUD_USD*LOOKUP(IF(O19="",F19,O19),{0,1,10,25,100,450,900,1350,3150,11250},{0,2.06,2.005,1.8232,1.584,1.40462,1.30774,1.21087,1.09786,0.9687}),"")</f>
        <v>2.7620610684195905</v>
      </c>
      <c r="Q19" s="9">
        <f t="shared" si="2"/>
        <v>82.861832052587715</v>
      </c>
      <c r="R19" s="10" t="s">
        <v>144</v>
      </c>
      <c r="S19" s="8">
        <v>522</v>
      </c>
      <c r="U19" s="9">
        <f>IFERROR(AUD_GBP*LOOKUP(IF(T19="",F19,T19),{0,1,10,25,50},{0,2.75,2.64,2.43,2.11}),"")</f>
        <v>4.7613567237456609</v>
      </c>
      <c r="V19" s="9">
        <f>IFERROR(IF(T19="",F19,T19)*U19,"")</f>
        <v>123.79527481738718</v>
      </c>
      <c r="W19" s="10" t="s">
        <v>162</v>
      </c>
      <c r="AC19" s="8">
        <v>1072</v>
      </c>
      <c r="AE19" s="9">
        <f>IFERROR(AUD_USD*LOOKUP(IF(AD19="",F19,AD19),{0,1,10,25,50,100,250},{0,2.8,2.69,2.47,2.15,2.04,1.81}),"")</f>
        <v>3.7419322284973617</v>
      </c>
      <c r="AF19" s="9">
        <f>IFERROR(IF(AD19="",F19,AD19)*AE19,"")</f>
        <v>97.290237940931405</v>
      </c>
      <c r="AG19" s="10" t="s">
        <v>179</v>
      </c>
      <c r="AH19" s="8">
        <v>522</v>
      </c>
      <c r="AL19" s="10" t="s">
        <v>195</v>
      </c>
    </row>
    <row r="20" spans="1:38" x14ac:dyDescent="0.25">
      <c r="A20" s="8" t="s">
        <v>57</v>
      </c>
      <c r="B20" s="8" t="s">
        <v>58</v>
      </c>
      <c r="C20" s="8" t="s">
        <v>55</v>
      </c>
      <c r="D20" s="8" t="s">
        <v>48</v>
      </c>
      <c r="E20" s="8" t="s">
        <v>59</v>
      </c>
      <c r="F20" s="8">
        <f t="shared" si="7"/>
        <v>26</v>
      </c>
      <c r="G20" s="9">
        <f t="shared" ca="1" si="0"/>
        <v>0.29996055920748083</v>
      </c>
      <c r="H20" s="9">
        <f t="shared" ca="1" si="1"/>
        <v>7.7989745393945018</v>
      </c>
      <c r="N20" s="8">
        <v>703</v>
      </c>
      <c r="O20">
        <v>30</v>
      </c>
      <c r="P20" s="9">
        <f>IFERROR(AUD_USD*LOOKUP(IF(O20="",F20,O20),{0,1,10,25,50,100,250,500,1000,5000},{0,0.68,0.618,0.5872,0.5716,0.5639,0.5562,0.54848,0.4635,0.45578}),"")</f>
        <v>0.88958000185168051</v>
      </c>
      <c r="Q20" s="9">
        <f t="shared" si="2"/>
        <v>26.687400055550416</v>
      </c>
      <c r="R20" s="10" t="s">
        <v>145</v>
      </c>
      <c r="S20" s="8">
        <v>1001</v>
      </c>
      <c r="U20" s="9">
        <f>IFERROR(AUD_GBP*LOOKUP(IF(T20="",F20,T20),{0,1,10,25,50,100,250,500},{0,0.747,0.675,0.642,0.625,0.616,0.608,0.6}),"")</f>
        <v>1.2579386899772487</v>
      </c>
      <c r="V20" s="9">
        <f>IFERROR(IF(T20="",F20,T20)*U20,"")</f>
        <v>32.706405939408462</v>
      </c>
      <c r="W20" s="10" t="s">
        <v>163</v>
      </c>
      <c r="AC20" s="8">
        <v>990</v>
      </c>
      <c r="AE20" s="9">
        <f>IFERROR(AUD_USD*LOOKUP(IF(AD20="",F20,AD20),{0,1,10,25,50,100,250},{0,0.6,0.544,0.517,0.504,0.497,0.49}),"")</f>
        <v>0.78323034904175548</v>
      </c>
      <c r="AF20" s="9">
        <f>IFERROR(IF(AD20="",F20,AD20)*AE20,"")</f>
        <v>20.363989075085641</v>
      </c>
      <c r="AG20" s="10" t="s">
        <v>180</v>
      </c>
      <c r="AH20" s="8">
        <v>1001</v>
      </c>
      <c r="AJ20" s="9">
        <f>IFERROR(AUD_USD*LOOKUP(IF(AI20="",F20,AI20),{0,1,10,25,50,100,250,500,1000},{0,0.198,0.198,0.198,0.198,0.198,0.198,0.198,0.198}),"")</f>
        <v>0.29996055920748083</v>
      </c>
      <c r="AK20" s="9">
        <f>IFERROR(IF(AI20="",F20,AI20)*AJ20,"")</f>
        <v>7.7989745393945018</v>
      </c>
      <c r="AL20" s="10" t="s">
        <v>196</v>
      </c>
    </row>
    <row r="21" spans="1:38" x14ac:dyDescent="0.25">
      <c r="A21" s="8" t="s">
        <v>60</v>
      </c>
      <c r="B21" s="8" t="s">
        <v>46</v>
      </c>
      <c r="C21" s="8" t="s">
        <v>61</v>
      </c>
      <c r="D21" s="8" t="s">
        <v>48</v>
      </c>
      <c r="E21" s="8" t="s">
        <v>49</v>
      </c>
      <c r="F21" s="8">
        <f t="shared" si="7"/>
        <v>26</v>
      </c>
      <c r="G21" s="9">
        <f t="shared" ca="1" si="0"/>
        <v>2.7620610684195905</v>
      </c>
      <c r="H21" s="9">
        <f t="shared" ca="1" si="1"/>
        <v>71.813587778909351</v>
      </c>
      <c r="N21" s="8">
        <v>450</v>
      </c>
      <c r="O21">
        <v>30</v>
      </c>
      <c r="P21" s="9">
        <f>IFERROR(AUD_USD*LOOKUP(IF(O21="",F21,O21),{0,1,10,25,450,900,1350,3150,11250},{0,2.06,2.005,1.8232,1.305,1.215,1.125,1.02,0.9}),"")</f>
        <v>2.7620610684195905</v>
      </c>
      <c r="Q21" s="9">
        <f t="shared" si="2"/>
        <v>82.861832052587715</v>
      </c>
      <c r="R21" s="10" t="s">
        <v>142</v>
      </c>
      <c r="S21" s="11" t="s">
        <v>151</v>
      </c>
      <c r="W21" s="10" t="s">
        <v>160</v>
      </c>
      <c r="AH21" s="11" t="s">
        <v>151</v>
      </c>
      <c r="AL21" s="10" t="s">
        <v>193</v>
      </c>
    </row>
    <row r="22" spans="1:38" x14ac:dyDescent="0.25">
      <c r="A22" s="8" t="s">
        <v>62</v>
      </c>
      <c r="B22" s="8" t="s">
        <v>51</v>
      </c>
      <c r="C22" s="8" t="s">
        <v>61</v>
      </c>
      <c r="D22" s="8" t="s">
        <v>48</v>
      </c>
      <c r="E22" s="8" t="s">
        <v>63</v>
      </c>
      <c r="F22" s="8">
        <f t="shared" si="7"/>
        <v>26</v>
      </c>
      <c r="G22" s="9">
        <f t="shared" ca="1" si="0"/>
        <v>0.66657902046106843</v>
      </c>
      <c r="H22" s="9">
        <f t="shared" ca="1" si="1"/>
        <v>17.331054531987778</v>
      </c>
      <c r="N22" s="8">
        <v>515</v>
      </c>
      <c r="O22">
        <v>30</v>
      </c>
      <c r="P22" s="9">
        <f>IFERROR(AUD_USD*LOOKUP(IF(O22="",F22,O22),{0,1,10,25,50,100,250,500,1000,5000},{0,0.68,0.618,0.5872,0.5716,0.5639,0.5562,0.54848,0.4635,0.45578}),"")</f>
        <v>0.88958000185168051</v>
      </c>
      <c r="Q22" s="9">
        <f t="shared" si="2"/>
        <v>26.687400055550416</v>
      </c>
      <c r="R22" s="10" t="s">
        <v>146</v>
      </c>
      <c r="S22" s="8">
        <v>980</v>
      </c>
      <c r="U22" s="9">
        <f>IFERROR(AUD_GBP*LOOKUP(IF(T22="",F22,T22),{0,1,10,25,50,100,250,500},{0,0.747,0.675,0.642,0.625,0.616,0.608,0.6}),"")</f>
        <v>1.2579386899772487</v>
      </c>
      <c r="V22" s="9">
        <f>IFERROR(IF(T22="",F22,T22)*U22,"")</f>
        <v>32.706405939408462</v>
      </c>
      <c r="W22" s="10" t="s">
        <v>164</v>
      </c>
      <c r="AC22" s="8">
        <v>960</v>
      </c>
      <c r="AE22" s="9">
        <f>IFERROR(AUD_USD*LOOKUP(IF(AD22="",F22,AD22),{0,1,10,25,50,100,250},{0,0.6,0.544,0.517,0.504,0.497,0.49}),"")</f>
        <v>0.78323034904175548</v>
      </c>
      <c r="AF22" s="9">
        <f>IFERROR(IF(AD22="",F22,AD22)*AE22,"")</f>
        <v>20.363989075085641</v>
      </c>
      <c r="AG22" s="10" t="s">
        <v>181</v>
      </c>
      <c r="AH22" s="8">
        <v>980</v>
      </c>
      <c r="AJ22" s="9">
        <f>IFERROR(AUD_USD*LOOKUP(IF(AI22="",F22,AI22),{0,1,10,25,50,100,250,500,1000},{0,0.44,0.44,0.44,0.44,0.44,0.44,0.44,0.44}),"")</f>
        <v>0.66657902046106843</v>
      </c>
      <c r="AK22" s="9">
        <f>IFERROR(IF(AI22="",F22,AI22)*AJ22,"")</f>
        <v>17.331054531987778</v>
      </c>
      <c r="AL22" s="10" t="s">
        <v>197</v>
      </c>
    </row>
    <row r="23" spans="1:38" x14ac:dyDescent="0.25">
      <c r="A23" s="8" t="s">
        <v>64</v>
      </c>
      <c r="B23" s="8" t="s">
        <v>65</v>
      </c>
      <c r="C23" s="8" t="s">
        <v>66</v>
      </c>
      <c r="D23" s="8" t="s">
        <v>48</v>
      </c>
      <c r="E23" s="8" t="s">
        <v>67</v>
      </c>
      <c r="F23" s="8">
        <f t="shared" si="7"/>
        <v>26</v>
      </c>
      <c r="G23" s="9">
        <f t="shared" ca="1" si="0"/>
        <v>1.9770127765947596</v>
      </c>
      <c r="H23" s="9">
        <f t="shared" ca="1" si="1"/>
        <v>51.402332191463749</v>
      </c>
      <c r="N23" s="8">
        <v>2250</v>
      </c>
      <c r="O23">
        <v>30</v>
      </c>
      <c r="P23" s="9">
        <f>IFERROR(AUD_USD*LOOKUP(IF(O23="",F23,O23),{0,1,450,900,1350,3150,11250},{0,1.305,1.305,1.215,1.125,1.02,0.9}),"")</f>
        <v>1.9770127765947596</v>
      </c>
      <c r="Q23" s="9">
        <f t="shared" si="2"/>
        <v>59.31038329784279</v>
      </c>
      <c r="R23" s="10" t="s">
        <v>147</v>
      </c>
      <c r="S23" s="11" t="s">
        <v>151</v>
      </c>
      <c r="W23" s="10" t="s">
        <v>165</v>
      </c>
      <c r="AH23" s="11" t="s">
        <v>151</v>
      </c>
      <c r="AL23" s="10" t="s">
        <v>198</v>
      </c>
    </row>
    <row r="24" spans="1:38" x14ac:dyDescent="0.25">
      <c r="A24" s="8" t="s">
        <v>68</v>
      </c>
      <c r="B24" s="8" t="s">
        <v>69</v>
      </c>
      <c r="C24" s="8" t="s">
        <v>66</v>
      </c>
      <c r="D24" s="8" t="s">
        <v>48</v>
      </c>
      <c r="E24" s="8" t="s">
        <v>63</v>
      </c>
      <c r="F24" s="8">
        <f t="shared" si="7"/>
        <v>26</v>
      </c>
      <c r="G24" s="9">
        <f t="shared" ca="1" si="0"/>
        <v>0.66657902046106843</v>
      </c>
      <c r="H24" s="9">
        <f t="shared" ca="1" si="1"/>
        <v>17.331054531987778</v>
      </c>
      <c r="N24" s="8">
        <v>515</v>
      </c>
      <c r="O24">
        <v>30</v>
      </c>
      <c r="P24" s="9">
        <f>IFERROR(AUD_USD*LOOKUP(IF(O24="",F24,O24),{0,1,10,25,50,100,250,500,1000,5000},{0,0.68,0.618,0.5872,0.5716,0.5639,0.5562,0.54848,0.4635,0.45578}),"")</f>
        <v>0.88958000185168051</v>
      </c>
      <c r="Q24" s="9">
        <f t="shared" si="2"/>
        <v>26.687400055550416</v>
      </c>
      <c r="R24" s="10" t="s">
        <v>146</v>
      </c>
      <c r="S24" s="8">
        <v>980</v>
      </c>
      <c r="U24" s="9">
        <f>IFERROR(AUD_GBP*LOOKUP(IF(T24="",F24,T24),{0,1,10,25,50,100,250,500},{0,0.747,0.675,0.642,0.625,0.616,0.608,0.6}),"")</f>
        <v>1.2579386899772487</v>
      </c>
      <c r="V24" s="9">
        <f>IFERROR(IF(T24="",F24,T24)*U24,"")</f>
        <v>32.706405939408462</v>
      </c>
      <c r="W24" s="10" t="s">
        <v>164</v>
      </c>
      <c r="AC24" s="8">
        <v>960</v>
      </c>
      <c r="AE24" s="9">
        <f>IFERROR(AUD_USD*LOOKUP(IF(AD24="",F24,AD24),{0,1,10,25,50,100,250},{0,0.6,0.544,0.517,0.504,0.497,0.49}),"")</f>
        <v>0.78323034904175548</v>
      </c>
      <c r="AF24" s="9">
        <f>IFERROR(IF(AD24="",F24,AD24)*AE24,"")</f>
        <v>20.363989075085641</v>
      </c>
      <c r="AG24" s="10" t="s">
        <v>181</v>
      </c>
      <c r="AH24" s="8">
        <v>980</v>
      </c>
      <c r="AJ24" s="9">
        <f>IFERROR(AUD_USD*LOOKUP(IF(AI24="",F24,AI24),{0,1,10,25,50,100,250,500,1000},{0,0.44,0.44,0.44,0.44,0.44,0.44,0.44,0.44}),"")</f>
        <v>0.66657902046106843</v>
      </c>
      <c r="AK24" s="9">
        <f>IFERROR(IF(AI24="",F24,AI24)*AJ24,"")</f>
        <v>17.331054531987778</v>
      </c>
      <c r="AL24" s="10" t="s">
        <v>197</v>
      </c>
    </row>
    <row r="25" spans="1:38" x14ac:dyDescent="0.25">
      <c r="A25" s="8" t="s">
        <v>70</v>
      </c>
      <c r="B25" s="8" t="s">
        <v>71</v>
      </c>
      <c r="C25" s="8" t="s">
        <v>66</v>
      </c>
      <c r="D25" s="8" t="s">
        <v>48</v>
      </c>
      <c r="E25" s="8" t="s">
        <v>72</v>
      </c>
      <c r="F25" s="8">
        <f t="shared" si="7"/>
        <v>26</v>
      </c>
      <c r="G25" s="9">
        <f t="shared" ca="1" si="0"/>
        <v>2.2875780020368484</v>
      </c>
      <c r="H25" s="9">
        <f t="shared" ca="1" si="1"/>
        <v>59.477028052958055</v>
      </c>
      <c r="N25" s="8">
        <v>1800</v>
      </c>
      <c r="O25">
        <v>30</v>
      </c>
      <c r="P25" s="9">
        <f>IFERROR(AUD_USD*LOOKUP(IF(O25="",F25,O25),{0,1,10,25,100,450,900,1350,3150,11250},{0,2.06,2.005,1.8232,1.584,1.305,1.215,1.125,1.02,0.9}),"")</f>
        <v>2.7620610684195905</v>
      </c>
      <c r="Q25" s="9">
        <f t="shared" si="2"/>
        <v>82.861832052587715</v>
      </c>
      <c r="R25" s="10" t="s">
        <v>148</v>
      </c>
      <c r="AC25" s="8">
        <v>154</v>
      </c>
      <c r="AE25" s="9">
        <f>IFERROR(AUD_USD*LOOKUP(IF(AD25="",F25,AD25),{0,1,10,25,50,100,250},{0,1.71,1.64,1.51,1.31,1.24,1.17}),"")</f>
        <v>2.2875780020368484</v>
      </c>
      <c r="AF25" s="9">
        <f>IFERROR(IF(AD25="",F25,AD25)*AE25,"")</f>
        <v>59.477028052958055</v>
      </c>
      <c r="AG25" s="10" t="s">
        <v>182</v>
      </c>
      <c r="AH25" s="11" t="s">
        <v>151</v>
      </c>
      <c r="AL25" s="10" t="s">
        <v>199</v>
      </c>
    </row>
    <row r="26" spans="1:38" x14ac:dyDescent="0.25">
      <c r="A26" s="8" t="s">
        <v>73</v>
      </c>
      <c r="B26" s="8" t="s">
        <v>74</v>
      </c>
      <c r="C26" s="8" t="s">
        <v>66</v>
      </c>
      <c r="D26" s="8" t="s">
        <v>48</v>
      </c>
      <c r="E26" s="8" t="s">
        <v>63</v>
      </c>
      <c r="F26" s="8">
        <f t="shared" si="7"/>
        <v>26</v>
      </c>
      <c r="G26" s="9">
        <f t="shared" ca="1" si="0"/>
        <v>0.66657902046106843</v>
      </c>
      <c r="H26" s="9">
        <f t="shared" ca="1" si="1"/>
        <v>17.331054531987778</v>
      </c>
      <c r="N26" s="8">
        <v>515</v>
      </c>
      <c r="O26">
        <v>30</v>
      </c>
      <c r="P26" s="9">
        <f>IFERROR(AUD_USD*LOOKUP(IF(O26="",F26,O26),{0,1,10,25,50,100,250,500,1000,5000},{0,0.68,0.618,0.5872,0.5716,0.5639,0.5562,0.54848,0.4635,0.45578}),"")</f>
        <v>0.88958000185168051</v>
      </c>
      <c r="Q26" s="9">
        <f t="shared" si="2"/>
        <v>26.687400055550416</v>
      </c>
      <c r="R26" s="10" t="s">
        <v>146</v>
      </c>
      <c r="S26" s="8">
        <v>980</v>
      </c>
      <c r="U26" s="9">
        <f>IFERROR(AUD_GBP*LOOKUP(IF(T26="",F26,T26),{0,1,10,25,50,100,250,500},{0,0.747,0.675,0.642,0.625,0.616,0.608,0.6}),"")</f>
        <v>1.2579386899772487</v>
      </c>
      <c r="V26" s="9">
        <f>IFERROR(IF(T26="",F26,T26)*U26,"")</f>
        <v>32.706405939408462</v>
      </c>
      <c r="W26" s="10" t="s">
        <v>164</v>
      </c>
      <c r="AC26" s="8">
        <v>960</v>
      </c>
      <c r="AE26" s="9">
        <f>IFERROR(AUD_USD*LOOKUP(IF(AD26="",F26,AD26),{0,1,10,25,50,100,250},{0,0.6,0.544,0.517,0.504,0.497,0.49}),"")</f>
        <v>0.78323034904175548</v>
      </c>
      <c r="AF26" s="9">
        <f>IFERROR(IF(AD26="",F26,AD26)*AE26,"")</f>
        <v>20.363989075085641</v>
      </c>
      <c r="AG26" s="10" t="s">
        <v>181</v>
      </c>
      <c r="AH26" s="8">
        <v>980</v>
      </c>
      <c r="AJ26" s="9">
        <f>IFERROR(AUD_USD*LOOKUP(IF(AI26="",F26,AI26),{0,1,10,25,50,100,250,500,1000},{0,0.44,0.44,0.44,0.44,0.44,0.44,0.44,0.44}),"")</f>
        <v>0.66657902046106843</v>
      </c>
      <c r="AK26" s="9">
        <f>IFERROR(IF(AI26="",F26,AI26)*AJ26,"")</f>
        <v>17.331054531987778</v>
      </c>
      <c r="AL26" s="10" t="s">
        <v>197</v>
      </c>
    </row>
    <row r="27" spans="1:38" x14ac:dyDescent="0.25">
      <c r="A27" s="8" t="s">
        <v>75</v>
      </c>
      <c r="B27" s="8" t="s">
        <v>54</v>
      </c>
      <c r="C27" s="8" t="s">
        <v>66</v>
      </c>
      <c r="D27" s="8" t="s">
        <v>48</v>
      </c>
      <c r="E27" s="8" t="s">
        <v>56</v>
      </c>
      <c r="F27" s="8">
        <f t="shared" si="7"/>
        <v>26</v>
      </c>
      <c r="G27" s="9">
        <f t="shared" ca="1" si="0"/>
        <v>2.7620610684195905</v>
      </c>
      <c r="H27" s="9">
        <f t="shared" ca="1" si="1"/>
        <v>71.813587778909351</v>
      </c>
      <c r="N27" s="8">
        <v>450</v>
      </c>
      <c r="O27">
        <v>30</v>
      </c>
      <c r="P27" s="9">
        <f>IFERROR(AUD_USD*LOOKUP(IF(O27="",F27,O27),{0,1,10,25,100,450,900,1350,3150,11250},{0,2.06,2.005,1.8232,1.584,1.40462,1.30774,1.21087,1.09786,0.9687}),"")</f>
        <v>2.7620610684195905</v>
      </c>
      <c r="Q27" s="9">
        <f t="shared" si="2"/>
        <v>82.861832052587715</v>
      </c>
      <c r="R27" s="10" t="s">
        <v>144</v>
      </c>
      <c r="S27" s="8">
        <v>522</v>
      </c>
      <c r="U27" s="9">
        <f>IFERROR(AUD_GBP*LOOKUP(IF(T27="",F27,T27),{0,1,10,25,50},{0,2.75,2.64,2.43,2.11}),"")</f>
        <v>4.7613567237456609</v>
      </c>
      <c r="V27" s="9">
        <f>IFERROR(IF(T27="",F27,T27)*U27,"")</f>
        <v>123.79527481738718</v>
      </c>
      <c r="W27" s="10" t="s">
        <v>162</v>
      </c>
      <c r="AC27" s="8">
        <v>1072</v>
      </c>
      <c r="AE27" s="9">
        <f>IFERROR(AUD_USD*LOOKUP(IF(AD27="",F27,AD27),{0,1,10,25,50,100,250},{0,2.8,2.69,2.47,2.15,2.04,1.81}),"")</f>
        <v>3.7419322284973617</v>
      </c>
      <c r="AF27" s="9">
        <f>IFERROR(IF(AD27="",F27,AD27)*AE27,"")</f>
        <v>97.290237940931405</v>
      </c>
      <c r="AG27" s="10" t="s">
        <v>179</v>
      </c>
      <c r="AH27" s="8">
        <v>522</v>
      </c>
      <c r="AL27" s="10" t="s">
        <v>195</v>
      </c>
    </row>
    <row r="28" spans="1:38" x14ac:dyDescent="0.25">
      <c r="A28" s="8" t="s">
        <v>76</v>
      </c>
      <c r="B28" s="8" t="s">
        <v>58</v>
      </c>
      <c r="C28" s="8" t="s">
        <v>66</v>
      </c>
      <c r="D28" s="8" t="s">
        <v>48</v>
      </c>
      <c r="E28" s="8" t="s">
        <v>63</v>
      </c>
      <c r="F28" s="8">
        <f t="shared" si="7"/>
        <v>26</v>
      </c>
      <c r="G28" s="9">
        <f t="shared" ca="1" si="0"/>
        <v>0.66657902046106843</v>
      </c>
      <c r="H28" s="9">
        <f t="shared" ca="1" si="1"/>
        <v>17.331054531987778</v>
      </c>
      <c r="N28" s="8">
        <v>515</v>
      </c>
      <c r="O28">
        <v>30</v>
      </c>
      <c r="P28" s="9">
        <f>IFERROR(AUD_USD*LOOKUP(IF(O28="",F28,O28),{0,1,10,25,50,100,250,500,1000,5000},{0,0.68,0.618,0.5872,0.5716,0.5639,0.5562,0.54848,0.4635,0.45578}),"")</f>
        <v>0.88958000185168051</v>
      </c>
      <c r="Q28" s="9">
        <f t="shared" si="2"/>
        <v>26.687400055550416</v>
      </c>
      <c r="R28" s="10" t="s">
        <v>146</v>
      </c>
      <c r="S28" s="8">
        <v>980</v>
      </c>
      <c r="U28" s="9">
        <f>IFERROR(AUD_GBP*LOOKUP(IF(T28="",F28,T28),{0,1,10,25,50,100,250,500},{0,0.747,0.675,0.642,0.625,0.616,0.608,0.6}),"")</f>
        <v>1.2579386899772487</v>
      </c>
      <c r="V28" s="9">
        <f>IFERROR(IF(T28="",F28,T28)*U28,"")</f>
        <v>32.706405939408462</v>
      </c>
      <c r="W28" s="10" t="s">
        <v>164</v>
      </c>
      <c r="AC28" s="8">
        <v>960</v>
      </c>
      <c r="AE28" s="9">
        <f>IFERROR(AUD_USD*LOOKUP(IF(AD28="",F28,AD28),{0,1,10,25,50,100,250},{0,0.6,0.544,0.517,0.504,0.497,0.49}),"")</f>
        <v>0.78323034904175548</v>
      </c>
      <c r="AF28" s="9">
        <f>IFERROR(IF(AD28="",F28,AD28)*AE28,"")</f>
        <v>20.363989075085641</v>
      </c>
      <c r="AG28" s="10" t="s">
        <v>181</v>
      </c>
      <c r="AH28" s="8">
        <v>980</v>
      </c>
      <c r="AJ28" s="9">
        <f>IFERROR(AUD_USD*LOOKUP(IF(AI28="",F28,AI28),{0,1,10,25,50,100,250,500,1000},{0,0.44,0.44,0.44,0.44,0.44,0.44,0.44,0.44}),"")</f>
        <v>0.66657902046106843</v>
      </c>
      <c r="AK28" s="9">
        <f>IFERROR(IF(AI28="",F28,AI28)*AJ28,"")</f>
        <v>17.331054531987778</v>
      </c>
      <c r="AL28" s="10" t="s">
        <v>197</v>
      </c>
    </row>
    <row r="29" spans="1:38" x14ac:dyDescent="0.25">
      <c r="A29" s="8" t="s">
        <v>77</v>
      </c>
      <c r="B29" s="8" t="s">
        <v>78</v>
      </c>
      <c r="C29" s="8" t="s">
        <v>79</v>
      </c>
      <c r="D29" s="8" t="s">
        <v>80</v>
      </c>
      <c r="E29" s="8" t="s">
        <v>81</v>
      </c>
      <c r="F29" s="8">
        <f>BoardQty*9</f>
        <v>234</v>
      </c>
      <c r="G29" s="9">
        <f t="shared" ca="1" si="0"/>
        <v>1.6991402222016481</v>
      </c>
      <c r="H29" s="9">
        <f t="shared" ca="1" si="1"/>
        <v>397.59881199518566</v>
      </c>
      <c r="N29">
        <v>3374</v>
      </c>
      <c r="O29">
        <v>300</v>
      </c>
      <c r="P29" s="9">
        <f>IFERROR(AUD_USD*LOOKUP(IF(O29="",F29,O29),{0,1,5,10,25,50,100,250,500,1000},{0,1.83,1.768,1.69915972,1.4616,1.2575,1.1896,1.12158,1.08759}),"")</f>
        <v>1.6991402222016481</v>
      </c>
      <c r="Q29" s="9">
        <f t="shared" si="2"/>
        <v>509.7420666604944</v>
      </c>
    </row>
    <row r="30" spans="1:38" x14ac:dyDescent="0.25">
      <c r="A30" s="8" t="s">
        <v>82</v>
      </c>
      <c r="B30" s="8" t="s">
        <v>83</v>
      </c>
      <c r="C30" s="8" t="s">
        <v>84</v>
      </c>
      <c r="D30" s="8" t="s">
        <v>85</v>
      </c>
      <c r="E30" s="8" t="s">
        <v>83</v>
      </c>
      <c r="F30" s="8">
        <f>BoardQty*2</f>
        <v>52</v>
      </c>
      <c r="G30" s="9">
        <f t="shared" ca="1" si="0"/>
        <v>1.992</v>
      </c>
      <c r="H30" s="9">
        <f t="shared" ca="1" si="1"/>
        <v>103.584</v>
      </c>
      <c r="N30">
        <v>6876</v>
      </c>
      <c r="O30">
        <v>100</v>
      </c>
      <c r="P30">
        <v>1.992</v>
      </c>
      <c r="Q30" s="9">
        <f t="shared" si="2"/>
        <v>199.2</v>
      </c>
    </row>
    <row r="31" spans="1:38" x14ac:dyDescent="0.25">
      <c r="A31" s="8" t="s">
        <v>86</v>
      </c>
      <c r="B31" s="8" t="s">
        <v>87</v>
      </c>
      <c r="C31" s="8" t="s">
        <v>88</v>
      </c>
      <c r="D31" s="8" t="s">
        <v>85</v>
      </c>
      <c r="E31" s="8" t="s">
        <v>89</v>
      </c>
      <c r="F31" s="8">
        <f>BoardQty*1</f>
        <v>26</v>
      </c>
      <c r="G31" s="9">
        <f t="shared" ca="1" si="0"/>
        <v>0.83320000000000005</v>
      </c>
      <c r="H31" s="9">
        <f t="shared" ca="1" si="1"/>
        <v>21.6632</v>
      </c>
      <c r="N31">
        <v>500</v>
      </c>
      <c r="O31">
        <v>50</v>
      </c>
      <c r="P31">
        <v>0.83320000000000005</v>
      </c>
      <c r="Q31" s="9">
        <f t="shared" si="2"/>
        <v>41.660000000000004</v>
      </c>
    </row>
    <row r="32" spans="1:38" x14ac:dyDescent="0.25">
      <c r="A32" s="8" t="s">
        <v>90</v>
      </c>
      <c r="B32" s="8" t="s">
        <v>91</v>
      </c>
      <c r="C32" s="8" t="s">
        <v>92</v>
      </c>
      <c r="D32" s="8" t="s">
        <v>93</v>
      </c>
      <c r="E32" s="8" t="s">
        <v>94</v>
      </c>
      <c r="F32" s="8">
        <f>BoardQty*1</f>
        <v>26</v>
      </c>
      <c r="G32" s="9">
        <f t="shared" ca="1" si="0"/>
        <v>36</v>
      </c>
      <c r="H32" s="9">
        <f t="shared" ca="1" si="1"/>
        <v>936</v>
      </c>
      <c r="I32">
        <v>1000</v>
      </c>
      <c r="J32">
        <v>30</v>
      </c>
      <c r="K32">
        <v>36</v>
      </c>
      <c r="L32">
        <f>J32*K32</f>
        <v>1080</v>
      </c>
      <c r="Q32" s="9"/>
    </row>
    <row r="33" spans="1:47" x14ac:dyDescent="0.25">
      <c r="A33" s="8" t="s">
        <v>95</v>
      </c>
      <c r="B33" s="8" t="s">
        <v>96</v>
      </c>
      <c r="C33" s="8" t="s">
        <v>97</v>
      </c>
      <c r="D33" s="8" t="s">
        <v>98</v>
      </c>
      <c r="E33" s="8" t="s">
        <v>99</v>
      </c>
      <c r="F33" s="8">
        <f>BoardQty*4</f>
        <v>104</v>
      </c>
      <c r="G33" s="9">
        <f t="shared" ca="1" si="0"/>
        <v>0.81704408480696233</v>
      </c>
      <c r="H33" s="9">
        <f t="shared" ca="1" si="1"/>
        <v>84.97258481992408</v>
      </c>
      <c r="N33" s="8">
        <v>4441</v>
      </c>
      <c r="O33">
        <v>110</v>
      </c>
      <c r="P33" s="9">
        <f>IFERROR(AUD_USD*LOOKUP(IF(O33="",F33,O33),{0,1,10,25,50,100,250,500,1000,3000,6000,15000,30000},{0,0.96,0.875,0.864,0.8592,0.7682,0.76148,0.7504,0.72333,0.64873,0.6276,0.60689,0.57054}),"")</f>
        <v>1.1637863716322563</v>
      </c>
      <c r="Q33" s="9">
        <f>IFERROR(IF(O33="",F33,O33)*P33,"")</f>
        <v>128.0165008795482</v>
      </c>
      <c r="R33" s="10" t="s">
        <v>149</v>
      </c>
      <c r="S33" s="11" t="s">
        <v>151</v>
      </c>
      <c r="U33" s="9">
        <f>IFERROR(AUD_GBP*LOOKUP(IF(T33="",F33,T33),{0,1,25,50,100,250,500,1000,2500},{0,1.09,0.958,0.849,0.74,0.697,0.654,0.515,0.447}),"")</f>
        <v>1.4499604837743989</v>
      </c>
      <c r="V33" s="9">
        <f>IFERROR(IF(T33="",F33,T33)*U33,"")</f>
        <v>150.79589031253749</v>
      </c>
      <c r="W33" s="10" t="s">
        <v>166</v>
      </c>
      <c r="X33" s="8">
        <v>12349</v>
      </c>
      <c r="Z33" s="9">
        <f>IFERROR(AUD_USD*LOOKUP(IF(Y33="",F33,Y33),{0,1,10,30,100,500,1000},{0,0.82886,0.61727,0.57909,0.53932,0.52341,0.51386}),"")</f>
        <v>0.81704408480696233</v>
      </c>
      <c r="AA33" s="9">
        <f>IFERROR(IF(Y33="",F33,Y33)*Z33,"")</f>
        <v>84.97258481992408</v>
      </c>
      <c r="AB33" s="10" t="s">
        <v>170</v>
      </c>
      <c r="AC33" s="11" t="s">
        <v>151</v>
      </c>
      <c r="AE33" s="9">
        <f>IFERROR(AUD_USD*LOOKUP(IF(AD33="",F33,AD33),{0,1,10,100,500,1000,3000},{0,0.95,0.845,0.755,0.732,0.71,0.627}),"")</f>
        <v>1.1437890010184242</v>
      </c>
      <c r="AF33" s="9">
        <f>IFERROR(IF(AD33="",F33,AD33)*AE33,"")</f>
        <v>118.95405610591611</v>
      </c>
      <c r="AG33" s="10" t="s">
        <v>183</v>
      </c>
      <c r="AH33" s="8">
        <v>54000</v>
      </c>
      <c r="AL33" s="10" t="s">
        <v>200</v>
      </c>
      <c r="AM33" s="8">
        <v>186</v>
      </c>
      <c r="AO33" s="9">
        <f>IFERROR(AUD_GBP*LOOKUP(IF(AN33="",F33,AN33),{0,1,30,150,750,1500,3000,6000,15000,30000,75000},{0,1.02,0.63,0.61,0.6,0.58,0.417,0.407,0.396,0.41,0.4}),"")</f>
        <v>1.2344258172673936</v>
      </c>
      <c r="AP33" s="9">
        <f>IFERROR(IF(AN33="",F33,AN33)*AO33,"")</f>
        <v>128.38028499580895</v>
      </c>
      <c r="AQ33" s="10" t="s">
        <v>210</v>
      </c>
    </row>
    <row r="34" spans="1:47" x14ac:dyDescent="0.25">
      <c r="A34" s="8" t="s">
        <v>100</v>
      </c>
      <c r="B34" s="8" t="s">
        <v>101</v>
      </c>
      <c r="C34" s="8" t="s">
        <v>102</v>
      </c>
      <c r="D34" s="8" t="s">
        <v>103</v>
      </c>
      <c r="E34" s="8" t="s">
        <v>104</v>
      </c>
      <c r="F34" s="8">
        <f>BoardQty*3</f>
        <v>78</v>
      </c>
      <c r="G34" s="9">
        <f t="shared" ca="1" si="0"/>
        <v>1.4392047032682158</v>
      </c>
      <c r="H34" s="9">
        <f t="shared" ca="1" si="1"/>
        <v>112.25796685492084</v>
      </c>
      <c r="N34" s="11">
        <v>2742</v>
      </c>
      <c r="O34">
        <v>100</v>
      </c>
      <c r="P34" s="9">
        <f>IFERROR(AUD_USD*LOOKUP(IF(O34="",F34,O34),{0,1,25,100,1600},{0,1.26,1.05,0.95,0.95001}),"")</f>
        <v>1.4392047032682158</v>
      </c>
      <c r="Q34" s="9">
        <f>IFERROR(IF(O34="",F34,O34)*P34,"")</f>
        <v>143.92047032682157</v>
      </c>
      <c r="R34" s="10" t="s">
        <v>150</v>
      </c>
      <c r="S34" s="8">
        <v>1365</v>
      </c>
      <c r="U34" s="9">
        <f>IFERROR(AUD_GBP*LOOKUP(IF(T34="",F34,T34),{0,1,10,25,50,100,150},{0,1.03,0.948,0.865,0.824,0.782,0.782}),"")</f>
        <v>1.6145505927433845</v>
      </c>
      <c r="V34" s="9">
        <f>IFERROR(IF(T34="",F34,T34)*U34,"")</f>
        <v>125.93494623398399</v>
      </c>
      <c r="W34" s="10" t="s">
        <v>167</v>
      </c>
      <c r="AC34" s="8">
        <v>7233</v>
      </c>
      <c r="AE34" s="9">
        <f>IFERROR(AUD_USD*LOOKUP(IF(AD34="",F34,AD34),{0,1,10,25,100,250,500},{0,1.26,1.26,1.05,0.95,0.95,0.95}),"")</f>
        <v>1.5906999351911861</v>
      </c>
      <c r="AF34" s="9">
        <f>IFERROR(IF(AD34="",F34,AD34)*AE34,"")</f>
        <v>124.07459494491252</v>
      </c>
      <c r="AG34" s="10" t="s">
        <v>184</v>
      </c>
      <c r="AH34" s="8">
        <v>1662</v>
      </c>
      <c r="AJ34" s="9">
        <f>IFERROR(AUD_USD*LOOKUP(IF(AI34="",F34,AI34),{0,1,10,25,50,100},{0,1.39,1.27,1.16,1.1,1.05}),"")</f>
        <v>1.6664475511526713</v>
      </c>
      <c r="AK34" s="9">
        <f>IFERROR(IF(AI34="",F34,AI34)*AJ34,"")</f>
        <v>129.98290898990837</v>
      </c>
      <c r="AL34" s="10" t="s">
        <v>201</v>
      </c>
      <c r="AM34" s="8">
        <v>30</v>
      </c>
      <c r="AO34" s="9">
        <f>IFERROR(AUD_GBP*LOOKUP(IF(AN34="",F34,AN34),{0,1,10,30,1600},{0,0.984,0.984,0.959,0.744}),"")</f>
        <v>1.8790704107292546</v>
      </c>
      <c r="AP34" s="9">
        <f>IFERROR(IF(AN34="",F34,AN34)*AO34,"")</f>
        <v>146.56749203688187</v>
      </c>
      <c r="AQ34" s="10" t="s">
        <v>211</v>
      </c>
    </row>
    <row r="35" spans="1:47" x14ac:dyDescent="0.25">
      <c r="A35" s="8" t="s">
        <v>105</v>
      </c>
      <c r="B35" s="8" t="s">
        <v>106</v>
      </c>
      <c r="C35" s="8" t="s">
        <v>107</v>
      </c>
      <c r="D35" s="8" t="s">
        <v>85</v>
      </c>
      <c r="E35" s="8" t="s">
        <v>108</v>
      </c>
      <c r="F35" s="8">
        <f>BoardQty*6</f>
        <v>156</v>
      </c>
      <c r="G35" s="9">
        <f t="shared" ca="1" si="0"/>
        <v>0.43519999999999998</v>
      </c>
      <c r="H35" s="9">
        <f t="shared" ca="1" si="1"/>
        <v>67.891199999999998</v>
      </c>
      <c r="N35">
        <v>18595</v>
      </c>
      <c r="O35">
        <v>200</v>
      </c>
      <c r="P35">
        <v>0.43519999999999998</v>
      </c>
      <c r="Q35" s="9">
        <f>IFERROR(IF(O35="",F35,O35)*P35,"")</f>
        <v>87.039999999999992</v>
      </c>
    </row>
    <row r="36" spans="1:47" x14ac:dyDescent="0.25">
      <c r="A36" s="8" t="s">
        <v>109</v>
      </c>
      <c r="B36" s="8" t="s">
        <v>110</v>
      </c>
      <c r="C36" s="8" t="s">
        <v>110</v>
      </c>
      <c r="D36" s="8" t="s">
        <v>111</v>
      </c>
      <c r="E36" s="8" t="s">
        <v>112</v>
      </c>
      <c r="F36" s="8">
        <f>BoardQty*9</f>
        <v>234</v>
      </c>
      <c r="G36" s="9">
        <f t="shared" ca="1" si="0"/>
        <v>2.5</v>
      </c>
      <c r="H36" s="9">
        <f t="shared" ca="1" si="1"/>
        <v>585</v>
      </c>
      <c r="I36">
        <v>4500</v>
      </c>
      <c r="J36">
        <v>300</v>
      </c>
      <c r="K36">
        <v>2.5</v>
      </c>
      <c r="L36">
        <f>K36*J36</f>
        <v>750</v>
      </c>
    </row>
    <row r="38" spans="1:47" ht="17.25" x14ac:dyDescent="0.25">
      <c r="B38" s="12" t="s">
        <v>115</v>
      </c>
      <c r="G38" s="1" t="s">
        <v>113</v>
      </c>
      <c r="H38" s="5">
        <f ca="1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4158.2143362651605</v>
      </c>
      <c r="J38" s="6" t="str">
        <f>IFERROR(IF(OR(J7:J36),COUNTIFS(J7:J36,"&gt;0",L7:L36,"&lt;&gt;")&amp;" of "&amp;(ROWS(L7:L36)-COUNTBLANK(L7:L36))&amp;" parts purchased",""),"")</f>
        <v>3 of 3 parts purchased</v>
      </c>
      <c r="L38" s="5">
        <f>SUMIF(J7:J36,"&gt;0",L7:L36)</f>
        <v>2280</v>
      </c>
      <c r="O38" s="6" t="str">
        <f>IFERROR(IF(OR(O7:O36),COUNTIFS(O7:O36,"&gt;0",Q7:Q36,"&lt;&gt;")&amp;" of "&amp;(ROWS(Q7:Q36)-COUNTBLANK(Q7:Q36))&amp;" parts purchased",""),"")</f>
        <v>27 of 27 parts purchased</v>
      </c>
      <c r="Q38" s="5">
        <f>SUMIF(O7:O36,"&gt;0",Q7:Q36)</f>
        <v>1878.2143362651605</v>
      </c>
      <c r="T38" s="6" t="str">
        <f>IFERROR(IF(OR(T7:T36),COUNTIFS(T7:T36,"&gt;0",V7:V36,"&lt;&gt;")&amp;" of "&amp;(ROWS(V7:V36)-COUNTBLANK(V7:V36))&amp;" parts purchased",""),"")</f>
        <v/>
      </c>
      <c r="V38" s="5">
        <f>SUMIF(T7:T36,"&gt;0",V7:V36)</f>
        <v>0</v>
      </c>
      <c r="Y38" s="6" t="str">
        <f>IFERROR(IF(OR(Y7:Y36),COUNTIFS(Y7:Y36,"&gt;0",AA7:AA36,"&lt;&gt;")&amp;" of "&amp;(ROWS(AA7:AA36)-COUNTBLANK(AA7:AA36))&amp;" parts purchased",""),"")</f>
        <v/>
      </c>
      <c r="AA38" s="5">
        <f>SUMIF(Y7:Y36,"&gt;0",AA7:AA36)</f>
        <v>0</v>
      </c>
      <c r="AD38" s="6" t="str">
        <f>IFERROR(IF(OR(AD7:AD36),COUNTIFS(AD7:AD36,"&gt;0",AF7:AF36,"&lt;&gt;")&amp;" of "&amp;(ROWS(AF7:AF36)-COUNTBLANK(AF7:AF36))&amp;" parts purchased",""),"")</f>
        <v/>
      </c>
      <c r="AF38" s="5">
        <f>SUMIF(AD7:AD36,"&gt;0",AF7:AF36)</f>
        <v>0</v>
      </c>
      <c r="AI38" s="6" t="str">
        <f>IFERROR(IF(OR(AI7:AI36),COUNTIFS(AI7:AI36,"&gt;0",AK7:AK36,"&lt;&gt;")&amp;" of "&amp;(ROWS(AK7:AK36)-COUNTBLANK(AK7:AK36))&amp;" parts purchased",""),"")</f>
        <v/>
      </c>
      <c r="AK38" s="5">
        <f>SUMIF(AI7:AI36,"&gt;0",AK7:AK36)</f>
        <v>0</v>
      </c>
      <c r="AN38" s="6" t="str">
        <f>IFERROR(IF(OR(AN7:AN36),COUNTIFS(AN7:AN36,"&gt;0",AP7:AP36,"&lt;&gt;")&amp;" of "&amp;(ROWS(AP7:AP36)-COUNTBLANK(AP7:AP36))&amp;" parts purchased",""),"")</f>
        <v/>
      </c>
      <c r="AP38" s="5">
        <f>SUMIF(AN7:AN36,"&gt;0",AP7:AP36)</f>
        <v>0</v>
      </c>
      <c r="AS38" s="6" t="str">
        <f>IFERROR(IF(OR(AS7:AS36),COUNTIFS(AS7:AS36,"&gt;0",AU7:AU36,"&lt;&gt;")&amp;" of "&amp;(ROWS(AU7:AU36)-COUNTBLANK(AU7:AU36))&amp;" parts purchased",""),"")</f>
        <v/>
      </c>
      <c r="AU38" s="5">
        <f>SUMIF(AS7:AS36,"&gt;0",AU7:AU36)</f>
        <v>0</v>
      </c>
    </row>
    <row r="39" spans="1:47" x14ac:dyDescent="0.25">
      <c r="B39" s="12" t="s">
        <v>116</v>
      </c>
      <c r="C39">
        <v>1.514952319229701</v>
      </c>
      <c r="G39" s="12" t="s">
        <v>114</v>
      </c>
      <c r="J39" t="str">
        <f t="array" ref="J39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39" t="str">
        <f t="array" ref="O39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2000,1276-2444-1-ND,C1;C3;C5;C7;C9;C10;C14;C15;C18-C20;C25-C28;C30-C41;C45-C47;C52-C54;C57-C75</v>
      </c>
      <c r="T39" t="str">
        <f t="array" ref="T39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39" s="6" t="str">
        <f>IFERROR(IF(COUNTIFS(Y7:Y36,"&gt;0",AA7:AA36,"&lt;&gt;")&gt;0,"Quantity,Comment,Designator,Footprint,LCSC Part #(optional)",""),"")</f>
        <v/>
      </c>
      <c r="AD39" t="str">
        <f t="array" ref="AD39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39" t="str">
        <f t="array" ref="AI39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39" t="str">
        <f t="array" ref="AN39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39" t="str">
        <f t="array" ref="AS39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40" spans="1:47" x14ac:dyDescent="0.25">
      <c r="B40" s="12" t="s">
        <v>117</v>
      </c>
      <c r="C40">
        <v>1.959406059154593</v>
      </c>
      <c r="J40" t="str">
        <f t="array" ref="J40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40" t="str">
        <f t="array" ref="O40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500,1276-1249-1-ND,C12;C13;C16;C17;C21-C24;C29;C42-C44;C48-C51;C55;C56</v>
      </c>
      <c r="T40" t="str">
        <f t="array" ref="T40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40" t="str">
        <f t="array" ref="Y40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40" t="str">
        <f t="array" ref="AD40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40" t="str">
        <f t="array" ref="AI40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40" t="str">
        <f t="array" ref="AN40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40" t="str">
        <f t="array" ref="AS40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41" spans="1:47" x14ac:dyDescent="0.25">
      <c r="J41" t="str">
        <f t="array" ref="J41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41" t="str">
        <f t="array" ref="O41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150,1276-1150-1-ND,C2;C4;C6;C8;C11</v>
      </c>
      <c r="T41" t="str">
        <f t="array" ref="T41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41" t="str">
        <f t="array" ref="Y41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41" t="str">
        <f t="array" ref="AD41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41" t="str">
        <f t="array" ref="AI41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41" t="str">
        <f t="array" ref="AN41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41" t="str">
        <f t="array" ref="AS41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42" spans="1:47" ht="15.75" x14ac:dyDescent="0.25">
      <c r="A42" s="2" t="s">
        <v>219</v>
      </c>
      <c r="J42" t="str">
        <f t="array" ref="J42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42" t="str">
        <f t="array" ref="O42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50,311-330CRCT-ND,R17</v>
      </c>
      <c r="T42" t="str">
        <f t="array" ref="T42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42" t="str">
        <f t="array" ref="Y42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42" t="str">
        <f t="array" ref="AD42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42" t="str">
        <f t="array" ref="AI42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42" t="str">
        <f t="array" ref="AN42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42" t="str">
        <f t="array" ref="AS42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43" spans="1:47" x14ac:dyDescent="0.25">
      <c r="J43" t="str">
        <f t="array" ref="J43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43" t="str">
        <f t="array" ref="O43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100,311-150CRCT-ND,R26;R38</v>
      </c>
      <c r="T43" t="str">
        <f t="array" ref="T43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43" t="str">
        <f t="array" ref="Y43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43" t="str">
        <f t="array" ref="AD43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43" t="str">
        <f t="array" ref="AI43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43" t="str">
        <f t="array" ref="AN43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43" t="str">
        <f t="array" ref="AS43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44" spans="1:47" x14ac:dyDescent="0.25">
      <c r="J44" t="str">
        <f t="array" ref="J44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44" t="str">
        <f t="array" ref="O44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100,311-33.0CRCT-ND,R31;R51</v>
      </c>
      <c r="T44" t="str">
        <f t="array" ref="T44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44" t="str">
        <f t="array" ref="Y44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44" t="str">
        <f t="array" ref="AD44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44" t="str">
        <f t="array" ref="AI44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44" t="str">
        <f t="array" ref="AN44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44" t="str">
        <f t="array" ref="AS44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45" spans="1:47" x14ac:dyDescent="0.25">
      <c r="J45" t="str">
        <f t="array" ref="J45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45" t="str">
        <f t="array" ref="O45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100,311-120CRCT-ND,R41;R48</v>
      </c>
      <c r="T45" t="str">
        <f t="array" ref="T45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45" t="str">
        <f t="array" ref="Y45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45" t="str">
        <f t="array" ref="AD45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45" t="str">
        <f t="array" ref="AI45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45" t="str">
        <f t="array" ref="AN45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45" t="str">
        <f t="array" ref="AS45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46" spans="1:47" x14ac:dyDescent="0.25">
      <c r="J46" t="str">
        <f t="array" ref="J46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46" t="str">
        <f t="array" ref="O46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1000,311-4.70KCRCT-ND,R1-R16;R18-R21;R88;R89</v>
      </c>
      <c r="T46" t="str">
        <f t="array" ref="T46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46" t="str">
        <f t="array" ref="Y46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46" t="str">
        <f t="array" ref="AD46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46" t="str">
        <f t="array" ref="AI46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46" t="str">
        <f t="array" ref="AN46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46" t="str">
        <f t="array" ref="AS46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47" spans="1:47" x14ac:dyDescent="0.25">
      <c r="J47" t="str">
        <f t="array" ref="J47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47" t="str">
        <f t="array" ref="O47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2000,311-10.0KCRCT-ND,R22-R25;R27-R30;R32-R37;R39;R40;R42-R47;R49;R50;R52-R87;R90-R95</v>
      </c>
      <c r="T47" t="str">
        <f t="array" ref="T47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47" t="str">
        <f t="array" ref="Y47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47" t="str">
        <f t="array" ref="AD47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47" t="str">
        <f t="array" ref="AI47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47" t="str">
        <f t="array" ref="AN47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47" t="str">
        <f t="array" ref="AS47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48" spans="1:47" x14ac:dyDescent="0.25">
      <c r="J48" t="str">
        <f t="array" ref="J48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48" t="str">
        <f t="array" ref="O48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30,EG5007CT-ND,SW10#1</v>
      </c>
      <c r="T48" t="str">
        <f t="array" ref="T48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48" t="str">
        <f t="array" ref="Y48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48" t="str">
        <f t="array" ref="AD48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48" t="str">
        <f t="array" ref="AI48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48" t="str">
        <f t="array" ref="AN48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48" t="str">
        <f t="array" ref="AS48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49" spans="10:45" x14ac:dyDescent="0.25">
      <c r="J49" t="str">
        <f t="array" ref="J49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49" t="str">
        <f t="array" ref="O49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30,EG5050-ND,SW10#2</v>
      </c>
      <c r="T49" t="str">
        <f t="array" ref="T49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49" t="str">
        <f t="array" ref="Y49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49" t="str">
        <f t="array" ref="AD49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49" t="str">
        <f t="array" ref="AI49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49" t="str">
        <f t="array" ref="AN49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49" t="str">
        <f t="array" ref="AS49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50" spans="10:45" x14ac:dyDescent="0.25">
      <c r="J50" t="str">
        <f t="array" ref="J50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50" t="str">
        <f t="array" ref="O50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30,EG5005CT-ND,SW11#1</v>
      </c>
      <c r="T50" t="str">
        <f t="array" ref="T50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50" t="str">
        <f t="array" ref="Y50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50" t="str">
        <f t="array" ref="AD50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50" t="str">
        <f t="array" ref="AI50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50" t="str">
        <f t="array" ref="AN50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50" t="str">
        <f t="array" ref="AS50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51" spans="10:45" x14ac:dyDescent="0.25">
      <c r="J51" t="str">
        <f t="array" ref="J51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51" t="str">
        <f t="array" ref="O51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30,EG5054-ND,SW11#2</v>
      </c>
      <c r="T51" t="str">
        <f t="array" ref="T51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51" t="str">
        <f t="array" ref="Y51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51" t="str">
        <f t="array" ref="AD51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51" t="str">
        <f t="array" ref="AI51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51" t="str">
        <f t="array" ref="AN51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51" t="str">
        <f t="array" ref="AS51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52" spans="10:45" x14ac:dyDescent="0.25">
      <c r="J52" t="str">
        <f t="array" ref="J52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52" t="str">
        <f t="array" ref="O52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30,EG5007CT-ND,SW12#1</v>
      </c>
      <c r="T52" t="str">
        <f t="array" ref="T52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52" t="str">
        <f t="array" ref="Y52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52" t="str">
        <f t="array" ref="AD52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52" t="str">
        <f t="array" ref="AI52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52" t="str">
        <f t="array" ref="AN52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52" t="str">
        <f t="array" ref="AS52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53" spans="10:45" x14ac:dyDescent="0.25">
      <c r="J53" t="str">
        <f t="array" ref="J53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53" t="str">
        <f t="array" ref="O53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30,EG5057-ND,SW12#2</v>
      </c>
      <c r="T53" t="str">
        <f t="array" ref="T53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53" t="str">
        <f t="array" ref="Y53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53" t="str">
        <f t="array" ref="AD53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53" t="str">
        <f t="array" ref="AI53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53" t="str">
        <f t="array" ref="AN53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53" t="str">
        <f t="array" ref="AS53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54" spans="10:45" x14ac:dyDescent="0.25">
      <c r="J54" t="str">
        <f t="array" ref="J54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54" t="str">
        <f t="array" ref="O54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30,EG4998TR-ND,SW13#1</v>
      </c>
      <c r="T54" t="str">
        <f t="array" ref="T54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54" t="str">
        <f t="array" ref="Y54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54" t="str">
        <f t="array" ref="AD54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54" t="str">
        <f t="array" ref="AI54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54" t="str">
        <f t="array" ref="AN54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54" t="str">
        <f t="array" ref="AS54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55" spans="10:45" x14ac:dyDescent="0.25">
      <c r="J55" t="str">
        <f t="array" ref="J55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55" t="str">
        <f t="array" ref="O55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30,EG5057-ND,SW13#2</v>
      </c>
      <c r="T55" t="str">
        <f t="array" ref="T55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55" t="str">
        <f t="array" ref="Y55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55" t="str">
        <f t="array" ref="AD55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55" t="str">
        <f t="array" ref="AI55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55" t="str">
        <f t="array" ref="AN55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55" t="str">
        <f t="array" ref="AS55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56" spans="10:45" x14ac:dyDescent="0.25">
      <c r="J56" t="str">
        <f t="array" ref="J56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56" t="str">
        <f t="array" ref="O56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30,EG5006CT-ND,SW14#1</v>
      </c>
      <c r="T56" t="str">
        <f t="array" ref="T56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56" t="str">
        <f t="array" ref="Y56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56" t="str">
        <f t="array" ref="AD56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56" t="str">
        <f t="array" ref="AI56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56" t="str">
        <f t="array" ref="AN56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56" t="str">
        <f t="array" ref="AS56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57" spans="10:45" x14ac:dyDescent="0.25">
      <c r="J57" t="str">
        <f t="array" ref="J57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57" t="str">
        <f t="array" ref="O57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30,EG5057-ND,SW14#2</v>
      </c>
      <c r="T57" t="str">
        <f t="array" ref="T57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57" t="str">
        <f t="array" ref="Y57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57" t="str">
        <f t="array" ref="AD57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57" t="str">
        <f t="array" ref="AI57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57" t="str">
        <f t="array" ref="AN57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57" t="str">
        <f t="array" ref="AS57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58" spans="10:45" x14ac:dyDescent="0.25">
      <c r="J58" t="str">
        <f t="array" ref="J58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58" t="str">
        <f t="array" ref="O58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30,EG5005CT-ND,SW15#1</v>
      </c>
      <c r="T58" t="str">
        <f t="array" ref="T58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58" t="str">
        <f t="array" ref="Y58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58" t="str">
        <f t="array" ref="AD58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58" t="str">
        <f t="array" ref="AI58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58" t="str">
        <f t="array" ref="AN58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58" t="str">
        <f t="array" ref="AS58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59" spans="10:45" x14ac:dyDescent="0.25">
      <c r="J59" t="str">
        <f t="array" ref="J59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59" t="str">
        <f t="array" ref="O59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30,EG5057-ND,SW15#2</v>
      </c>
      <c r="T59" t="str">
        <f t="array" ref="T59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59" t="str">
        <f t="array" ref="Y59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59" t="str">
        <f t="array" ref="AD59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59" t="str">
        <f t="array" ref="AI59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59" t="str">
        <f t="array" ref="AN59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59" t="str">
        <f t="array" ref="AS59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60" spans="10:45" x14ac:dyDescent="0.25">
      <c r="J60" t="str">
        <f t="array" ref="J60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60" t="str">
        <f t="array" ref="O60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110,CAT24M01WI-GT3OSCT-ND,U8;U24-U26</v>
      </c>
      <c r="T60" t="str">
        <f t="array" ref="T60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60" t="str">
        <f t="array" ref="Y60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60" t="str">
        <f t="array" ref="AD60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60" t="str">
        <f t="array" ref="AI60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60" t="str">
        <f t="array" ref="AN60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60" t="str">
        <f t="array" ref="AS60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61" spans="10:45" x14ac:dyDescent="0.25">
      <c r="J61" t="str">
        <f t="array" ref="J61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61" t="str">
        <f t="array" ref="O61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>100,MCP23S17T-E/SOCT-ND,U1-U3</v>
      </c>
      <c r="T61" t="str">
        <f t="array" ref="T61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61" t="str">
        <f t="array" ref="Y61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61" t="str">
        <f t="array" ref="AD61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61" t="str">
        <f t="array" ref="AI61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61" t="str">
        <f t="array" ref="AN61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61" t="str">
        <f t="array" ref="AS61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62" spans="10:45" x14ac:dyDescent="0.25">
      <c r="J62" t="str">
        <f t="array" ref="J62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62" t="str">
        <f t="array" ref="O62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/>
      </c>
      <c r="T62" t="str">
        <f t="array" ref="T62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62" t="str">
        <f t="array" ref="Y62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62" t="str">
        <f t="array" ref="AD62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62" t="str">
        <f t="array" ref="AI62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62" t="str">
        <f t="array" ref="AN62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62" t="str">
        <f t="array" ref="AS62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63" spans="10:45" x14ac:dyDescent="0.25">
      <c r="J63" t="str">
        <f t="array" ref="J63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63" t="str">
        <f t="array" ref="O63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/>
      </c>
      <c r="T63" t="str">
        <f t="array" ref="T63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63" t="str">
        <f t="array" ref="Y63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63" t="str">
        <f t="array" ref="AD63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63" t="str">
        <f t="array" ref="AI63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63" t="str">
        <f t="array" ref="AN63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63" t="str">
        <f t="array" ref="AS63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64" spans="10:45" x14ac:dyDescent="0.25">
      <c r="J64" t="str">
        <f t="array" ref="J64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64" t="str">
        <f t="array" ref="O64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/>
      </c>
      <c r="T64" t="str">
        <f t="array" ref="T64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64" t="str">
        <f t="array" ref="Y64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64" t="str">
        <f t="array" ref="AD64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64" t="str">
        <f t="array" ref="AI64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64" t="str">
        <f t="array" ref="AN64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64" t="str">
        <f t="array" ref="AS64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65" spans="10:45" x14ac:dyDescent="0.25">
      <c r="J65" t="str">
        <f t="array" ref="J65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65" t="str">
        <f t="array" ref="O65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/>
      </c>
      <c r="T65" t="str">
        <f t="array" ref="T65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65" t="str">
        <f t="array" ref="Y65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65" t="str">
        <f t="array" ref="AD65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65" t="str">
        <f t="array" ref="AI65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65" t="str">
        <f t="array" ref="AN65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65" t="str">
        <f t="array" ref="AS65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66" spans="10:45" x14ac:dyDescent="0.25">
      <c r="J66" t="str">
        <f t="array" ref="J66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66" t="str">
        <f t="array" ref="O66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/>
      </c>
      <c r="T66" t="str">
        <f t="array" ref="T66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66" t="str">
        <f t="array" ref="Y66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66" t="str">
        <f t="array" ref="AD66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66" t="str">
        <f t="array" ref="AI66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66" t="str">
        <f t="array" ref="AN66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66" t="str">
        <f t="array" ref="AS66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67" spans="10:45" x14ac:dyDescent="0.25">
      <c r="J67" t="str">
        <f t="array" ref="J67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67" t="str">
        <f t="array" ref="O67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/>
      </c>
      <c r="T67" t="str">
        <f t="array" ref="T67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67" t="str">
        <f t="array" ref="Y67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67" t="str">
        <f t="array" ref="AD67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67" t="str">
        <f t="array" ref="AI67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67" t="str">
        <f t="array" ref="AN67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67" t="str">
        <f t="array" ref="AS67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68" spans="10:45" x14ac:dyDescent="0.25">
      <c r="J68" t="str">
        <f t="array" ref="J68">IFERROR(CONCATENATE(INDEX(M7:M36,SMALL(IF(ISNUMBER(J7:J36),IF(J7:J36&gt;0,IF(M7:M36&lt;&gt;"",ROW(J7:J36)-MIN(ROW(J7:J36))+1))),ROW()-ROW(A$39)+1)),",",TEXT(INDEX(J7:J36,SMALL(IF(ISNUMBER(J7:J36),IF(J7:J36&gt;0,IF(M7:M36&lt;&gt;"",ROW(J7:J36)-MIN(ROW(J7:J36))+1))),ROW()-ROW(A$39)+1)),"##0"),",",SUBSTITUTE(INDEX(IF(PURCHASE_DESCRIPTION&lt;&gt;"",PURCHASE_DESCRIPTION&amp;":","")&amp;A7:A36,SMALL(IF(ISNUMBER(J7:J36),IF(J7:J36&gt;0,IF(M7:M36&lt;&gt;"",ROW(J7:J36)-MIN(ROW(J7:J36))+1))),ROW()-ROW(A$39)+1)),",",";")),"")</f>
        <v/>
      </c>
      <c r="O68" t="str">
        <f t="array" ref="O68">IFERROR(CONCATENATE(TEXT(INDEX(O7:O36,SMALL(IF(ISNUMBER(O7:O36),IF(O7:O36&gt;0,IF(R7:R36&lt;&gt;"",ROW(O7:O36)-MIN(ROW(O7:O36))+1))),ROW()-ROW(A$39)+1)),"##0"),",",INDEX(R7:R36,SMALL(IF(ISNUMBER(O7:O36),IF(O7:O36&gt;0,IF(R7:R36&lt;&gt;"",ROW(O7:O36)-MIN(ROW(O7:O36))+1))),ROW()-ROW(A$39)+1)),",",SUBSTITUTE(INDEX(IF(PURCHASE_DESCRIPTION&lt;&gt;"",PURCHASE_DESCRIPTION&amp;":","")&amp;A7:A36,SMALL(IF(ISNUMBER(O7:O36),IF(O7:O36&gt;0,IF(R7:R36&lt;&gt;"",ROW(O7:O36)-MIN(ROW(O7:O36))+1))),ROW()-ROW(A$39)+1)),",",";")),"")</f>
        <v/>
      </c>
      <c r="T68" t="str">
        <f t="array" ref="T68">IFERROR(CONCATENATE(INDEX(W7:W36,SMALL(IF(ISNUMBER(T7:T36),IF(T7:T36&gt;0,IF(W7:W36&lt;&gt;"",ROW(T7:T36)-MIN(ROW(T7:T36))+1))),ROW()-ROW(A$39)+1))," ",TEXT(INDEX(T7:T36,SMALL(IF(ISNUMBER(T7:T36),IF(T7:T36&gt;0,IF(W7:W36&lt;&gt;"",ROW(T7:T36)-MIN(ROW(T7:T36))+1))),ROW()-ROW(A$39)+1)),"##0")," ",SUBSTITUTE(INDEX(IF(PURCHASE_DESCRIPTION&lt;&gt;"",PURCHASE_DESCRIPTION&amp;":","")&amp;A7:A36,SMALL(IF(ISNUMBER(T7:T36),IF(T7:T36&gt;0,IF(W7:W36&lt;&gt;"",ROW(T7:T36)-MIN(ROW(T7:T36))+1))),ROW()-ROW(A$39)+1))," ",";")),"")</f>
        <v/>
      </c>
      <c r="Y68" t="str">
        <f t="array" ref="Y68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  <c r="AD68" t="str">
        <f t="array" ref="AD68">IFERROR(CONCATENATE(INDEX(AG7:AG36,SMALL(IF(ISNUMBER(AD7:AD36),IF(AD7:AD36&gt;0,IF(AG7:AG36&lt;&gt;"",ROW(AD7:AD36)-MIN(ROW(AD7:AD36))+1))),ROW()-ROW(A$39)+1)),"|",TEXT(INDEX(AD7:AD36,SMALL(IF(ISNUMBER(AD7:AD36),IF(AD7:AD36&gt;0,IF(AG7:AG36&lt;&gt;"",ROW(AD7:AD36)-MIN(ROW(AD7:AD36))+1))),ROW()-ROW(A$39)+1)),"##0"),"|",SUBSTITUTE(SUBSTITUTE(INDEX(IF(PURCHASE_DESCRIPTION&lt;&gt;"",PURCHASE_DESCRIPTION&amp;":","")&amp;A7:A36,SMALL(IF(ISNUMBER(AD7:AD36),IF(AD7:AD36&gt;0,IF(AG7:AG36&lt;&gt;"",ROW(AD7:AD36)-MIN(ROW(AD7:AD36))+1))),ROW()-ROW(A$39)+1)),"|",";")," ","_")),"")</f>
        <v/>
      </c>
      <c r="AI68" t="str">
        <f t="array" ref="AI68">IFERROR(CONCATENATE(INDEX(AL7:AL36,SMALL(IF(ISNUMBER(AI7:AI36),IF(AI7:AI36&gt;0,IF(AL7:AL36&lt;&gt;"",ROW(AI7:AI36)-MIN(ROW(AI7:AI36))+1))),ROW()-ROW(A$39)+1)),",",TEXT(INDEX(AI7:AI36,SMALL(IF(ISNUMBER(AI7:AI36),IF(AI7:AI36&gt;0,IF(AL7:AL36&lt;&gt;"",ROW(AI7:AI36)-MIN(ROW(AI7:AI36))+1))),ROW()-ROW(A$39)+1)),"##0"),",",SUBSTITUTE(INDEX(IF(PURCHASE_DESCRIPTION&lt;&gt;"",PURCHASE_DESCRIPTION&amp;":","")&amp;A7:A36,SMALL(IF(ISNUMBER(AI7:AI36),IF(AI7:AI36&gt;0,IF(AL7:AL36&lt;&gt;"",ROW(AI7:AI36)-MIN(ROW(AI7:AI36))+1))),ROW()-ROW(A$39)+1)),",",";")),"")</f>
        <v/>
      </c>
      <c r="AN68" t="str">
        <f t="array" ref="AN68">IFERROR(CONCATENATE(INDEX(AQ7:AQ36,SMALL(IF(ISNUMBER(AN7:AN36),IF(AN7:AN36&gt;0,IF(AQ7:AQ36&lt;&gt;"",ROW(AN7:AN36)-MIN(ROW(AN7:AN36))+1))),ROW()-ROW(A$39)+1))," ",TEXT(INDEX(AN7:AN36,SMALL(IF(ISNUMBER(AN7:AN36),IF(AN7:AN36&gt;0,IF(AQ7:AQ36&lt;&gt;"",ROW(AN7:AN36)-MIN(ROW(AN7:AN36))+1))),ROW()-ROW(A$39)+1)),"##0")," ",SUBSTITUTE(INDEX(IF(PURCHASE_DESCRIPTION&lt;&gt;"",PURCHASE_DESCRIPTION&amp;":","")&amp;A7:A36,SMALL(IF(ISNUMBER(AN7:AN36),IF(AN7:AN36&gt;0,IF(AQ7:AQ36&lt;&gt;"",ROW(AN7:AN36)-MIN(ROW(AN7:AN36))+1))),ROW()-ROW(A$39)+1))," ",";")),"")</f>
        <v/>
      </c>
      <c r="AS68" t="str">
        <f t="array" ref="AS68">IFERROR(CONCATENATE(INDEX(AV7:AV36,SMALL(IF(ISNUMBER(AS7:AS36),IF(AS7:AS36&gt;0,IF(AV7:AV36&lt;&gt;"",ROW(AS7:AS36)-MIN(ROW(AS7:AS36))+1))),ROW()-ROW(A$39)+1))," ",TEXT(INDEX(AS7:AS36,SMALL(IF(ISNUMBER(AS7:AS36),IF(AS7:AS36&gt;0,IF(AV7:AV36&lt;&gt;"",ROW(AS7:AS36)-MIN(ROW(AS7:AS36))+1))),ROW()-ROW(A$39)+1)),"##0")," ",SUBSTITUTE(INDEX(IF(PURCHASE_DESCRIPTION&lt;&gt;"",PURCHASE_DESCRIPTION&amp;":","")&amp;A7:A36,SMALL(IF(ISNUMBER(AS7:AS36),IF(AS7:AS36&gt;0,IF(AV7:AV36&lt;&gt;"",ROW(AS7:AS36)-MIN(ROW(AS7:AS36))+1))),ROW()-ROW(A$39)+1))," ",";")),"")</f>
        <v/>
      </c>
    </row>
    <row r="69" spans="10:45" x14ac:dyDescent="0.25">
      <c r="Y69" t="str">
        <f t="array" ref="Y69">IFERROR(CONCATENATE(TEXT(INDEX(Y7:Y36,SMALL(IF(ISNUMBER(Y7:Y36),IF(Y7:Y36&gt;0,IF(AB7:AB36&lt;&gt;"",ROW(Y7:Y36)-MIN(ROW(Y7:Y36))+1))),ROW()-ROW(A$40)+1)),"##0"),",",SUBSTITUTE(INDEX(IF(PURCHASE_DESCRIPTION&lt;&gt;"",PURCHASE_DESCRIPTION&amp;":","")&amp;A7:A36,SMALL(IF(ISNUMBER(Y7:Y36),IF(Y7:Y36&gt;0,IF(AB7:AB36&lt;&gt;"",ROW(Y7:Y36)-MIN(ROW(Y7:Y36))+1))),ROW()-ROW(A$40)+1)),",",";"),",",SUBSTITUTE(INDEX(IF(PURCHASE_DESCRIPTION&lt;&gt;"",PURCHASE_DESCRIPTION&amp;":","")&amp;C7:C36,SMALL(IF(ISNUMBER(Y7:Y36),IF(Y7:Y36&gt;0,IF(AB7:AB36&lt;&gt;"",ROW(Y7:Y36)-MIN(ROW(Y7:Y36))+1))),ROW()-ROW(A$40)+1)),",",";"),",",INDEX(AB7:AB36,SMALL(IF(ISNUMBER(Y7:Y36),IF(Y7:Y36&gt;0,IF(AB7:AB36&lt;&gt;"",ROW(Y7:Y36)-MIN(ROW(Y7:Y36))+1))),ROW()-ROW(A$40)+1))),"")</f>
        <v/>
      </c>
    </row>
  </sheetData>
  <mergeCells count="9">
    <mergeCell ref="AC5:AG5"/>
    <mergeCell ref="AH5:AL5"/>
    <mergeCell ref="AM5:AQ5"/>
    <mergeCell ref="AR5:AV5"/>
    <mergeCell ref="A5:H5"/>
    <mergeCell ref="I5:M5"/>
    <mergeCell ref="N5:R5"/>
    <mergeCell ref="S5:W5"/>
    <mergeCell ref="X5:AB5"/>
  </mergeCells>
  <conditionalFormatting sqref="AA33">
    <cfRule type="cellIs" dxfId="549" priority="336" operator="lessThanOrEqual">
      <formula>H33</formula>
    </cfRule>
  </conditionalFormatting>
  <conditionalFormatting sqref="AA9">
    <cfRule type="cellIs" dxfId="548" priority="331" operator="lessThanOrEqual">
      <formula>H9</formula>
    </cfRule>
  </conditionalFormatting>
  <conditionalFormatting sqref="AC11">
    <cfRule type="cellIs" dxfId="547" priority="338" operator="equal">
      <formula>0</formula>
    </cfRule>
    <cfRule type="cellIs" dxfId="546" priority="339" operator="lessThan">
      <formula>F11</formula>
    </cfRule>
  </conditionalFormatting>
  <conditionalFormatting sqref="AC12">
    <cfRule type="cellIs" dxfId="545" priority="343" operator="equal">
      <formula>0</formula>
    </cfRule>
    <cfRule type="cellIs" dxfId="544" priority="344" operator="lessThan">
      <formula>F12</formula>
    </cfRule>
  </conditionalFormatting>
  <conditionalFormatting sqref="AC13">
    <cfRule type="cellIs" dxfId="543" priority="348" operator="equal">
      <formula>0</formula>
    </cfRule>
    <cfRule type="cellIs" dxfId="542" priority="349" operator="lessThan">
      <formula>F13</formula>
    </cfRule>
  </conditionalFormatting>
  <conditionalFormatting sqref="AC14">
    <cfRule type="cellIs" dxfId="541" priority="353" operator="equal">
      <formula>0</formula>
    </cfRule>
    <cfRule type="cellIs" dxfId="540" priority="354" operator="lessThan">
      <formula>F14</formula>
    </cfRule>
  </conditionalFormatting>
  <conditionalFormatting sqref="AC15">
    <cfRule type="cellIs" dxfId="539" priority="358" operator="equal">
      <formula>0</formula>
    </cfRule>
    <cfRule type="cellIs" dxfId="538" priority="359" operator="lessThan">
      <formula>F15</formula>
    </cfRule>
  </conditionalFormatting>
  <conditionalFormatting sqref="AC16">
    <cfRule type="cellIs" dxfId="537" priority="363" operator="equal">
      <formula>0</formula>
    </cfRule>
    <cfRule type="cellIs" dxfId="536" priority="364" operator="lessThan">
      <formula>F16</formula>
    </cfRule>
  </conditionalFormatting>
  <conditionalFormatting sqref="AC18">
    <cfRule type="cellIs" dxfId="535" priority="368" operator="equal">
      <formula>0</formula>
    </cfRule>
    <cfRule type="cellIs" dxfId="534" priority="369" operator="lessThan">
      <formula>F18</formula>
    </cfRule>
  </conditionalFormatting>
  <conditionalFormatting sqref="AC19">
    <cfRule type="cellIs" dxfId="533" priority="373" operator="equal">
      <formula>0</formula>
    </cfRule>
    <cfRule type="cellIs" dxfId="532" priority="374" operator="lessThan">
      <formula>F19</formula>
    </cfRule>
  </conditionalFormatting>
  <conditionalFormatting sqref="AC20">
    <cfRule type="cellIs" dxfId="531" priority="378" operator="equal">
      <formula>0</formula>
    </cfRule>
    <cfRule type="cellIs" dxfId="530" priority="379" operator="lessThan">
      <formula>F20</formula>
    </cfRule>
  </conditionalFormatting>
  <conditionalFormatting sqref="AC22">
    <cfRule type="cellIs" dxfId="529" priority="383" operator="equal">
      <formula>0</formula>
    </cfRule>
    <cfRule type="cellIs" dxfId="528" priority="384" operator="lessThan">
      <formula>F22</formula>
    </cfRule>
  </conditionalFormatting>
  <conditionalFormatting sqref="AC24">
    <cfRule type="cellIs" dxfId="527" priority="388" operator="equal">
      <formula>0</formula>
    </cfRule>
    <cfRule type="cellIs" dxfId="526" priority="389" operator="lessThan">
      <formula>F24</formula>
    </cfRule>
  </conditionalFormatting>
  <conditionalFormatting sqref="AC25">
    <cfRule type="cellIs" dxfId="525" priority="393" operator="equal">
      <formula>0</formula>
    </cfRule>
    <cfRule type="cellIs" dxfId="524" priority="394" operator="lessThan">
      <formula>F25</formula>
    </cfRule>
  </conditionalFormatting>
  <conditionalFormatting sqref="AC26">
    <cfRule type="cellIs" dxfId="523" priority="398" operator="equal">
      <formula>0</formula>
    </cfRule>
    <cfRule type="cellIs" dxfId="522" priority="399" operator="lessThan">
      <formula>F26</formula>
    </cfRule>
  </conditionalFormatting>
  <conditionalFormatting sqref="AC27">
    <cfRule type="cellIs" dxfId="521" priority="403" operator="equal">
      <formula>0</formula>
    </cfRule>
    <cfRule type="cellIs" dxfId="520" priority="404" operator="lessThan">
      <formula>F27</formula>
    </cfRule>
  </conditionalFormatting>
  <conditionalFormatting sqref="AC28">
    <cfRule type="cellIs" dxfId="519" priority="408" operator="equal">
      <formula>0</formula>
    </cfRule>
    <cfRule type="cellIs" dxfId="518" priority="409" operator="lessThan">
      <formula>F28</formula>
    </cfRule>
  </conditionalFormatting>
  <conditionalFormatting sqref="AC33">
    <cfRule type="cellIs" dxfId="517" priority="413" operator="equal">
      <formula>0</formula>
    </cfRule>
    <cfRule type="cellIs" dxfId="516" priority="414" operator="lessThan">
      <formula>F33</formula>
    </cfRule>
  </conditionalFormatting>
  <conditionalFormatting sqref="AC34">
    <cfRule type="cellIs" dxfId="515" priority="418" operator="equal">
      <formula>0</formula>
    </cfRule>
    <cfRule type="cellIs" dxfId="514" priority="419" operator="lessThan">
      <formula>F34</formula>
    </cfRule>
  </conditionalFormatting>
  <conditionalFormatting sqref="AD11">
    <cfRule type="cellIs" dxfId="513" priority="340" operator="greaterThan">
      <formula>AC11</formula>
    </cfRule>
  </conditionalFormatting>
  <conditionalFormatting sqref="AD12">
    <cfRule type="cellIs" dxfId="512" priority="345" operator="greaterThan">
      <formula>AC12</formula>
    </cfRule>
  </conditionalFormatting>
  <conditionalFormatting sqref="AD13">
    <cfRule type="cellIs" dxfId="511" priority="350" operator="greaterThan">
      <formula>AC13</formula>
    </cfRule>
  </conditionalFormatting>
  <conditionalFormatting sqref="AD14">
    <cfRule type="cellIs" dxfId="510" priority="355" operator="greaterThan">
      <formula>AC14</formula>
    </cfRule>
  </conditionalFormatting>
  <conditionalFormatting sqref="AD15">
    <cfRule type="cellIs" dxfId="509" priority="360" operator="greaterThan">
      <formula>AC15</formula>
    </cfRule>
  </conditionalFormatting>
  <conditionalFormatting sqref="AD16">
    <cfRule type="cellIs" dxfId="508" priority="365" operator="greaterThan">
      <formula>AC16</formula>
    </cfRule>
  </conditionalFormatting>
  <conditionalFormatting sqref="AD18">
    <cfRule type="cellIs" dxfId="507" priority="370" operator="greaterThan">
      <formula>AC18</formula>
    </cfRule>
  </conditionalFormatting>
  <conditionalFormatting sqref="AD19">
    <cfRule type="cellIs" dxfId="506" priority="375" operator="greaterThan">
      <formula>AC19</formula>
    </cfRule>
  </conditionalFormatting>
  <conditionalFormatting sqref="AD20">
    <cfRule type="cellIs" dxfId="505" priority="380" operator="greaterThan">
      <formula>AC20</formula>
    </cfRule>
  </conditionalFormatting>
  <conditionalFormatting sqref="AD22">
    <cfRule type="cellIs" dxfId="504" priority="385" operator="greaterThan">
      <formula>AC22</formula>
    </cfRule>
  </conditionalFormatting>
  <conditionalFormatting sqref="AD24">
    <cfRule type="cellIs" dxfId="503" priority="390" operator="greaterThan">
      <formula>AC24</formula>
    </cfRule>
  </conditionalFormatting>
  <conditionalFormatting sqref="AD25">
    <cfRule type="cellIs" dxfId="502" priority="395" operator="greaterThan">
      <formula>AC25</formula>
    </cfRule>
  </conditionalFormatting>
  <conditionalFormatting sqref="AD26">
    <cfRule type="cellIs" dxfId="501" priority="400" operator="greaterThan">
      <formula>AC26</formula>
    </cfRule>
  </conditionalFormatting>
  <conditionalFormatting sqref="AD27">
    <cfRule type="cellIs" dxfId="500" priority="405" operator="greaterThan">
      <formula>AC27</formula>
    </cfRule>
  </conditionalFormatting>
  <conditionalFormatting sqref="AD28">
    <cfRule type="cellIs" dxfId="499" priority="410" operator="greaterThan">
      <formula>AC28</formula>
    </cfRule>
  </conditionalFormatting>
  <conditionalFormatting sqref="AD33">
    <cfRule type="cellIs" dxfId="498" priority="415" operator="greaterThan">
      <formula>AC33</formula>
    </cfRule>
  </conditionalFormatting>
  <conditionalFormatting sqref="AD34">
    <cfRule type="cellIs" dxfId="497" priority="420" operator="greaterThan">
      <formula>AC34</formula>
    </cfRule>
  </conditionalFormatting>
  <conditionalFormatting sqref="AE11">
    <cfRule type="cellIs" dxfId="496" priority="342" operator="lessThanOrEqual">
      <formula>G11</formula>
    </cfRule>
  </conditionalFormatting>
  <conditionalFormatting sqref="AE12">
    <cfRule type="cellIs" dxfId="495" priority="347" operator="lessThanOrEqual">
      <formula>G12</formula>
    </cfRule>
  </conditionalFormatting>
  <conditionalFormatting sqref="AE13">
    <cfRule type="cellIs" dxfId="494" priority="352" operator="lessThanOrEqual">
      <formula>G13</formula>
    </cfRule>
  </conditionalFormatting>
  <conditionalFormatting sqref="AE14">
    <cfRule type="cellIs" dxfId="493" priority="357" operator="lessThanOrEqual">
      <formula>G14</formula>
    </cfRule>
  </conditionalFormatting>
  <conditionalFormatting sqref="AE15">
    <cfRule type="cellIs" dxfId="492" priority="362" operator="lessThanOrEqual">
      <formula>G15</formula>
    </cfRule>
  </conditionalFormatting>
  <conditionalFormatting sqref="AE16">
    <cfRule type="cellIs" dxfId="491" priority="367" operator="lessThanOrEqual">
      <formula>G16</formula>
    </cfRule>
  </conditionalFormatting>
  <conditionalFormatting sqref="AE18">
    <cfRule type="cellIs" dxfId="490" priority="372" operator="lessThanOrEqual">
      <formula>G18</formula>
    </cfRule>
  </conditionalFormatting>
  <conditionalFormatting sqref="AE19">
    <cfRule type="cellIs" dxfId="489" priority="377" operator="lessThanOrEqual">
      <formula>G19</formula>
    </cfRule>
  </conditionalFormatting>
  <conditionalFormatting sqref="AE20">
    <cfRule type="cellIs" dxfId="488" priority="382" operator="lessThanOrEqual">
      <formula>G20</formula>
    </cfRule>
  </conditionalFormatting>
  <conditionalFormatting sqref="AE22">
    <cfRule type="cellIs" dxfId="487" priority="387" operator="lessThanOrEqual">
      <formula>G22</formula>
    </cfRule>
  </conditionalFormatting>
  <conditionalFormatting sqref="AE24">
    <cfRule type="cellIs" dxfId="486" priority="392" operator="lessThanOrEqual">
      <formula>G24</formula>
    </cfRule>
  </conditionalFormatting>
  <conditionalFormatting sqref="AE25">
    <cfRule type="cellIs" dxfId="485" priority="397" operator="lessThanOrEqual">
      <formula>G25</formula>
    </cfRule>
  </conditionalFormatting>
  <conditionalFormatting sqref="AE26">
    <cfRule type="cellIs" dxfId="484" priority="402" operator="lessThanOrEqual">
      <formula>G26</formula>
    </cfRule>
  </conditionalFormatting>
  <conditionalFormatting sqref="AE27">
    <cfRule type="cellIs" dxfId="483" priority="407" operator="lessThanOrEqual">
      <formula>G27</formula>
    </cfRule>
  </conditionalFormatting>
  <conditionalFormatting sqref="AE28">
    <cfRule type="cellIs" dxfId="482" priority="412" operator="lessThanOrEqual">
      <formula>G28</formula>
    </cfRule>
  </conditionalFormatting>
  <conditionalFormatting sqref="AE33">
    <cfRule type="cellIs" dxfId="481" priority="417" operator="lessThanOrEqual">
      <formula>G33</formula>
    </cfRule>
  </conditionalFormatting>
  <conditionalFormatting sqref="AE34">
    <cfRule type="cellIs" dxfId="480" priority="422" operator="lessThanOrEqual">
      <formula>G34</formula>
    </cfRule>
  </conditionalFormatting>
  <conditionalFormatting sqref="AF11">
    <cfRule type="cellIs" dxfId="479" priority="341" operator="lessThanOrEqual">
      <formula>H11</formula>
    </cfRule>
  </conditionalFormatting>
  <conditionalFormatting sqref="AF12">
    <cfRule type="cellIs" dxfId="478" priority="346" operator="lessThanOrEqual">
      <formula>H12</formula>
    </cfRule>
  </conditionalFormatting>
  <conditionalFormatting sqref="AF13">
    <cfRule type="cellIs" dxfId="477" priority="351" operator="lessThanOrEqual">
      <formula>H13</formula>
    </cfRule>
  </conditionalFormatting>
  <conditionalFormatting sqref="AF14">
    <cfRule type="cellIs" dxfId="476" priority="356" operator="lessThanOrEqual">
      <formula>H14</formula>
    </cfRule>
  </conditionalFormatting>
  <conditionalFormatting sqref="AF15">
    <cfRule type="cellIs" dxfId="475" priority="361" operator="lessThanOrEqual">
      <formula>H15</formula>
    </cfRule>
  </conditionalFormatting>
  <conditionalFormatting sqref="AF16">
    <cfRule type="cellIs" dxfId="474" priority="366" operator="lessThanOrEqual">
      <formula>H16</formula>
    </cfRule>
  </conditionalFormatting>
  <conditionalFormatting sqref="AF18">
    <cfRule type="cellIs" dxfId="473" priority="371" operator="lessThanOrEqual">
      <formula>H18</formula>
    </cfRule>
  </conditionalFormatting>
  <conditionalFormatting sqref="AF19">
    <cfRule type="cellIs" dxfId="472" priority="376" operator="lessThanOrEqual">
      <formula>H19</formula>
    </cfRule>
  </conditionalFormatting>
  <conditionalFormatting sqref="AF20">
    <cfRule type="cellIs" dxfId="471" priority="381" operator="lessThanOrEqual">
      <formula>H20</formula>
    </cfRule>
  </conditionalFormatting>
  <conditionalFormatting sqref="AF22">
    <cfRule type="cellIs" dxfId="470" priority="386" operator="lessThanOrEqual">
      <formula>H22</formula>
    </cfRule>
  </conditionalFormatting>
  <conditionalFormatting sqref="AF24">
    <cfRule type="cellIs" dxfId="469" priority="391" operator="lessThanOrEqual">
      <formula>H24</formula>
    </cfRule>
  </conditionalFormatting>
  <conditionalFormatting sqref="AF25">
    <cfRule type="cellIs" dxfId="468" priority="396" operator="lessThanOrEqual">
      <formula>H25</formula>
    </cfRule>
  </conditionalFormatting>
  <conditionalFormatting sqref="AF26">
    <cfRule type="cellIs" dxfId="467" priority="401" operator="lessThanOrEqual">
      <formula>H26</formula>
    </cfRule>
  </conditionalFormatting>
  <conditionalFormatting sqref="AF27">
    <cfRule type="cellIs" dxfId="466" priority="406" operator="lessThanOrEqual">
      <formula>H27</formula>
    </cfRule>
  </conditionalFormatting>
  <conditionalFormatting sqref="AF28">
    <cfRule type="cellIs" dxfId="465" priority="411" operator="lessThanOrEqual">
      <formula>H28</formula>
    </cfRule>
  </conditionalFormatting>
  <conditionalFormatting sqref="AF33">
    <cfRule type="cellIs" dxfId="464" priority="416" operator="lessThanOrEqual">
      <formula>H33</formula>
    </cfRule>
  </conditionalFormatting>
  <conditionalFormatting sqref="AF34">
    <cfRule type="cellIs" dxfId="463" priority="421" operator="lessThanOrEqual">
      <formula>H34</formula>
    </cfRule>
  </conditionalFormatting>
  <conditionalFormatting sqref="AH11">
    <cfRule type="cellIs" dxfId="462" priority="428" operator="equal">
      <formula>0</formula>
    </cfRule>
    <cfRule type="cellIs" dxfId="461" priority="429" operator="lessThan">
      <formula>F11</formula>
    </cfRule>
  </conditionalFormatting>
  <conditionalFormatting sqref="AH12">
    <cfRule type="cellIs" dxfId="460" priority="434" operator="equal">
      <formula>0</formula>
    </cfRule>
    <cfRule type="cellIs" dxfId="459" priority="435" operator="lessThan">
      <formula>F12</formula>
    </cfRule>
  </conditionalFormatting>
  <conditionalFormatting sqref="AH13">
    <cfRule type="cellIs" dxfId="458" priority="440" operator="equal">
      <formula>0</formula>
    </cfRule>
    <cfRule type="cellIs" dxfId="457" priority="441" operator="lessThan">
      <formula>F13</formula>
    </cfRule>
  </conditionalFormatting>
  <conditionalFormatting sqref="AH14">
    <cfRule type="cellIs" dxfId="456" priority="446" operator="equal">
      <formula>0</formula>
    </cfRule>
    <cfRule type="cellIs" dxfId="455" priority="447" operator="lessThan">
      <formula>F14</formula>
    </cfRule>
  </conditionalFormatting>
  <conditionalFormatting sqref="AH15">
    <cfRule type="cellIs" dxfId="454" priority="452" operator="equal">
      <formula>0</formula>
    </cfRule>
    <cfRule type="cellIs" dxfId="453" priority="453" operator="lessThan">
      <formula>F15</formula>
    </cfRule>
  </conditionalFormatting>
  <conditionalFormatting sqref="AH16">
    <cfRule type="cellIs" dxfId="452" priority="457" operator="equal">
      <formula>0</formula>
    </cfRule>
    <cfRule type="cellIs" dxfId="451" priority="458" operator="lessThan">
      <formula>F16</formula>
    </cfRule>
  </conditionalFormatting>
  <conditionalFormatting sqref="AH18">
    <cfRule type="cellIs" dxfId="450" priority="462" operator="equal">
      <formula>0</formula>
    </cfRule>
    <cfRule type="cellIs" dxfId="449" priority="463" operator="lessThan">
      <formula>F18</formula>
    </cfRule>
  </conditionalFormatting>
  <conditionalFormatting sqref="AH20">
    <cfRule type="cellIs" dxfId="448" priority="468" operator="equal">
      <formula>0</formula>
    </cfRule>
    <cfRule type="cellIs" dxfId="447" priority="469" operator="lessThan">
      <formula>F20</formula>
    </cfRule>
  </conditionalFormatting>
  <conditionalFormatting sqref="AH22">
    <cfRule type="cellIs" dxfId="446" priority="473" operator="equal">
      <formula>0</formula>
    </cfRule>
    <cfRule type="cellIs" dxfId="445" priority="474" operator="lessThan">
      <formula>F22</formula>
    </cfRule>
  </conditionalFormatting>
  <conditionalFormatting sqref="AH24">
    <cfRule type="cellIs" dxfId="444" priority="478" operator="equal">
      <formula>0</formula>
    </cfRule>
    <cfRule type="cellIs" dxfId="443" priority="479" operator="lessThan">
      <formula>F24</formula>
    </cfRule>
  </conditionalFormatting>
  <conditionalFormatting sqref="AH26">
    <cfRule type="cellIs" dxfId="442" priority="483" operator="equal">
      <formula>0</formula>
    </cfRule>
    <cfRule type="cellIs" dxfId="441" priority="484" operator="lessThan">
      <formula>F26</formula>
    </cfRule>
  </conditionalFormatting>
  <conditionalFormatting sqref="AH28">
    <cfRule type="cellIs" dxfId="440" priority="488" operator="equal">
      <formula>0</formula>
    </cfRule>
    <cfRule type="cellIs" dxfId="439" priority="489" operator="lessThan">
      <formula>F28</formula>
    </cfRule>
  </conditionalFormatting>
  <conditionalFormatting sqref="AH34">
    <cfRule type="cellIs" dxfId="438" priority="493" operator="equal">
      <formula>0</formula>
    </cfRule>
    <cfRule type="cellIs" dxfId="437" priority="494" operator="lessThan">
      <formula>F34</formula>
    </cfRule>
  </conditionalFormatting>
  <conditionalFormatting sqref="AH8">
    <cfRule type="cellIs" dxfId="436" priority="423" operator="equal">
      <formula>0</formula>
    </cfRule>
    <cfRule type="cellIs" dxfId="435" priority="424" operator="lessThan">
      <formula>F8</formula>
    </cfRule>
  </conditionalFormatting>
  <conditionalFormatting sqref="AI11">
    <cfRule type="expression" dxfId="434" priority="430">
      <formula>AND(AI11&gt;0,AI11&lt;10)</formula>
    </cfRule>
    <cfRule type="cellIs" dxfId="433" priority="431" operator="greaterThan">
      <formula>AH11</formula>
    </cfRule>
  </conditionalFormatting>
  <conditionalFormatting sqref="AI12">
    <cfRule type="expression" dxfId="432" priority="436">
      <formula>AND(AI12&gt;0,AI12&lt;10)</formula>
    </cfRule>
    <cfRule type="cellIs" dxfId="431" priority="437" operator="greaterThan">
      <formula>AH12</formula>
    </cfRule>
  </conditionalFormatting>
  <conditionalFormatting sqref="AI13">
    <cfRule type="expression" dxfId="430" priority="442">
      <formula>AND(AI13&gt;0,AI13&lt;10)</formula>
    </cfRule>
    <cfRule type="cellIs" dxfId="429" priority="443" operator="greaterThan">
      <formula>AH13</formula>
    </cfRule>
  </conditionalFormatting>
  <conditionalFormatting sqref="AI14">
    <cfRule type="expression" dxfId="428" priority="448">
      <formula>AND(AI14&gt;0,AI14&lt;10)</formula>
    </cfRule>
    <cfRule type="cellIs" dxfId="427" priority="449" operator="greaterThan">
      <formula>AH14</formula>
    </cfRule>
  </conditionalFormatting>
  <conditionalFormatting sqref="AI15">
    <cfRule type="cellIs" dxfId="426" priority="454" operator="greaterThan">
      <formula>AH15</formula>
    </cfRule>
  </conditionalFormatting>
  <conditionalFormatting sqref="AI16">
    <cfRule type="cellIs" dxfId="425" priority="459" operator="greaterThan">
      <formula>AH16</formula>
    </cfRule>
  </conditionalFormatting>
  <conditionalFormatting sqref="AI18">
    <cfRule type="expression" dxfId="424" priority="464">
      <formula>AND(AI18&gt;0,AI18&lt;1000)</formula>
    </cfRule>
    <cfRule type="cellIs" dxfId="423" priority="465" operator="greaterThan">
      <formula>AH18</formula>
    </cfRule>
  </conditionalFormatting>
  <conditionalFormatting sqref="AI20">
    <cfRule type="cellIs" dxfId="422" priority="470" operator="greaterThan">
      <formula>AH20</formula>
    </cfRule>
  </conditionalFormatting>
  <conditionalFormatting sqref="AI22">
    <cfRule type="cellIs" dxfId="421" priority="475" operator="greaterThan">
      <formula>AH22</formula>
    </cfRule>
  </conditionalFormatting>
  <conditionalFormatting sqref="AI24">
    <cfRule type="cellIs" dxfId="420" priority="480" operator="greaterThan">
      <formula>AH24</formula>
    </cfRule>
  </conditionalFormatting>
  <conditionalFormatting sqref="AI26">
    <cfRule type="cellIs" dxfId="419" priority="485" operator="greaterThan">
      <formula>AH26</formula>
    </cfRule>
  </conditionalFormatting>
  <conditionalFormatting sqref="AI28">
    <cfRule type="cellIs" dxfId="418" priority="490" operator="greaterThan">
      <formula>AH28</formula>
    </cfRule>
  </conditionalFormatting>
  <conditionalFormatting sqref="AI34">
    <cfRule type="cellIs" dxfId="417" priority="495" operator="greaterThan">
      <formula>AH34</formula>
    </cfRule>
  </conditionalFormatting>
  <conditionalFormatting sqref="AI8">
    <cfRule type="cellIs" dxfId="416" priority="425" operator="greaterThan">
      <formula>AH8</formula>
    </cfRule>
  </conditionalFormatting>
  <conditionalFormatting sqref="AJ11">
    <cfRule type="cellIs" dxfId="415" priority="433" operator="lessThanOrEqual">
      <formula>G11</formula>
    </cfRule>
  </conditionalFormatting>
  <conditionalFormatting sqref="AJ12">
    <cfRule type="cellIs" dxfId="414" priority="439" operator="lessThanOrEqual">
      <formula>G12</formula>
    </cfRule>
  </conditionalFormatting>
  <conditionalFormatting sqref="AJ13">
    <cfRule type="cellIs" dxfId="413" priority="445" operator="lessThanOrEqual">
      <formula>G13</formula>
    </cfRule>
  </conditionalFormatting>
  <conditionalFormatting sqref="AJ14">
    <cfRule type="cellIs" dxfId="412" priority="451" operator="lessThanOrEqual">
      <formula>G14</formula>
    </cfRule>
  </conditionalFormatting>
  <conditionalFormatting sqref="AJ15">
    <cfRule type="cellIs" dxfId="411" priority="456" operator="lessThanOrEqual">
      <formula>G15</formula>
    </cfRule>
  </conditionalFormatting>
  <conditionalFormatting sqref="AJ16">
    <cfRule type="cellIs" dxfId="410" priority="461" operator="lessThanOrEqual">
      <formula>G16</formula>
    </cfRule>
  </conditionalFormatting>
  <conditionalFormatting sqref="AJ18">
    <cfRule type="cellIs" dxfId="409" priority="467" operator="lessThanOrEqual">
      <formula>G18</formula>
    </cfRule>
  </conditionalFormatting>
  <conditionalFormatting sqref="AJ20">
    <cfRule type="cellIs" dxfId="408" priority="472" operator="lessThanOrEqual">
      <formula>G20</formula>
    </cfRule>
  </conditionalFormatting>
  <conditionalFormatting sqref="AJ22">
    <cfRule type="cellIs" dxfId="407" priority="477" operator="lessThanOrEqual">
      <formula>G22</formula>
    </cfRule>
  </conditionalFormatting>
  <conditionalFormatting sqref="AJ24">
    <cfRule type="cellIs" dxfId="406" priority="482" operator="lessThanOrEqual">
      <formula>G24</formula>
    </cfRule>
  </conditionalFormatting>
  <conditionalFormatting sqref="AJ26">
    <cfRule type="cellIs" dxfId="405" priority="487" operator="lessThanOrEqual">
      <formula>G26</formula>
    </cfRule>
  </conditionalFormatting>
  <conditionalFormatting sqref="AJ28">
    <cfRule type="cellIs" dxfId="404" priority="492" operator="lessThanOrEqual">
      <formula>G28</formula>
    </cfRule>
  </conditionalFormatting>
  <conditionalFormatting sqref="AJ34">
    <cfRule type="cellIs" dxfId="403" priority="497" operator="lessThanOrEqual">
      <formula>G34</formula>
    </cfRule>
  </conditionalFormatting>
  <conditionalFormatting sqref="AJ8">
    <cfRule type="cellIs" dxfId="402" priority="427" operator="lessThanOrEqual">
      <formula>G8</formula>
    </cfRule>
  </conditionalFormatting>
  <conditionalFormatting sqref="AK11">
    <cfRule type="cellIs" dxfId="401" priority="432" operator="lessThanOrEqual">
      <formula>H11</formula>
    </cfRule>
  </conditionalFormatting>
  <conditionalFormatting sqref="AK12">
    <cfRule type="cellIs" dxfId="400" priority="438" operator="lessThanOrEqual">
      <formula>H12</formula>
    </cfRule>
  </conditionalFormatting>
  <conditionalFormatting sqref="AK13">
    <cfRule type="cellIs" dxfId="399" priority="444" operator="lessThanOrEqual">
      <formula>H13</formula>
    </cfRule>
  </conditionalFormatting>
  <conditionalFormatting sqref="AK14">
    <cfRule type="cellIs" dxfId="398" priority="450" operator="lessThanOrEqual">
      <formula>H14</formula>
    </cfRule>
  </conditionalFormatting>
  <conditionalFormatting sqref="AK15">
    <cfRule type="cellIs" dxfId="397" priority="455" operator="lessThanOrEqual">
      <formula>H15</formula>
    </cfRule>
  </conditionalFormatting>
  <conditionalFormatting sqref="AK16">
    <cfRule type="cellIs" dxfId="396" priority="460" operator="lessThanOrEqual">
      <formula>H16</formula>
    </cfRule>
  </conditionalFormatting>
  <conditionalFormatting sqref="AK18">
    <cfRule type="cellIs" dxfId="395" priority="466" operator="lessThanOrEqual">
      <formula>H18</formula>
    </cfRule>
  </conditionalFormatting>
  <conditionalFormatting sqref="AK20">
    <cfRule type="cellIs" dxfId="394" priority="471" operator="lessThanOrEqual">
      <formula>H20</formula>
    </cfRule>
  </conditionalFormatting>
  <conditionalFormatting sqref="AK22">
    <cfRule type="cellIs" dxfId="393" priority="476" operator="lessThanOrEqual">
      <formula>H22</formula>
    </cfRule>
  </conditionalFormatting>
  <conditionalFormatting sqref="AK24">
    <cfRule type="cellIs" dxfId="392" priority="481" operator="lessThanOrEqual">
      <formula>H24</formula>
    </cfRule>
  </conditionalFormatting>
  <conditionalFormatting sqref="AK26">
    <cfRule type="cellIs" dxfId="391" priority="486" operator="lessThanOrEqual">
      <formula>H26</formula>
    </cfRule>
  </conditionalFormatting>
  <conditionalFormatting sqref="AK28">
    <cfRule type="cellIs" dxfId="390" priority="491" operator="lessThanOrEqual">
      <formula>H28</formula>
    </cfRule>
  </conditionalFormatting>
  <conditionalFormatting sqref="AK34">
    <cfRule type="cellIs" dxfId="389" priority="496" operator="lessThanOrEqual">
      <formula>H34</formula>
    </cfRule>
  </conditionalFormatting>
  <conditionalFormatting sqref="AK8">
    <cfRule type="cellIs" dxfId="388" priority="426" operator="lessThanOrEqual">
      <formula>H8</formula>
    </cfRule>
  </conditionalFormatting>
  <conditionalFormatting sqref="AM11">
    <cfRule type="cellIs" dxfId="387" priority="504" operator="equal">
      <formula>0</formula>
    </cfRule>
    <cfRule type="cellIs" dxfId="386" priority="505" operator="lessThan">
      <formula>F11</formula>
    </cfRule>
  </conditionalFormatting>
  <conditionalFormatting sqref="AM12">
    <cfRule type="cellIs" dxfId="385" priority="510" operator="equal">
      <formula>0</formula>
    </cfRule>
    <cfRule type="cellIs" dxfId="384" priority="511" operator="lessThan">
      <formula>F12</formula>
    </cfRule>
  </conditionalFormatting>
  <conditionalFormatting sqref="AM13">
    <cfRule type="cellIs" dxfId="383" priority="516" operator="equal">
      <formula>0</formula>
    </cfRule>
    <cfRule type="cellIs" dxfId="382" priority="517" operator="lessThan">
      <formula>F13</formula>
    </cfRule>
  </conditionalFormatting>
  <conditionalFormatting sqref="AM14">
    <cfRule type="cellIs" dxfId="381" priority="522" operator="equal">
      <formula>0</formula>
    </cfRule>
    <cfRule type="cellIs" dxfId="380" priority="523" operator="lessThan">
      <formula>F14</formula>
    </cfRule>
  </conditionalFormatting>
  <conditionalFormatting sqref="AM15">
    <cfRule type="cellIs" dxfId="379" priority="528" operator="equal">
      <formula>0</formula>
    </cfRule>
    <cfRule type="cellIs" dxfId="378" priority="529" operator="lessThan">
      <formula>F15</formula>
    </cfRule>
  </conditionalFormatting>
  <conditionalFormatting sqref="AM16">
    <cfRule type="cellIs" dxfId="377" priority="534" operator="equal">
      <formula>0</formula>
    </cfRule>
    <cfRule type="cellIs" dxfId="376" priority="535" operator="lessThan">
      <formula>F16</formula>
    </cfRule>
  </conditionalFormatting>
  <conditionalFormatting sqref="AM33">
    <cfRule type="cellIs" dxfId="375" priority="540" operator="equal">
      <formula>0</formula>
    </cfRule>
    <cfRule type="cellIs" dxfId="374" priority="541" operator="lessThan">
      <formula>F33</formula>
    </cfRule>
  </conditionalFormatting>
  <conditionalFormatting sqref="AM34">
    <cfRule type="cellIs" dxfId="373" priority="545" operator="equal">
      <formula>0</formula>
    </cfRule>
    <cfRule type="cellIs" dxfId="372" priority="546" operator="lessThan">
      <formula>F34</formula>
    </cfRule>
  </conditionalFormatting>
  <conditionalFormatting sqref="AM8">
    <cfRule type="cellIs" dxfId="371" priority="498" operator="equal">
      <formula>0</formula>
    </cfRule>
    <cfRule type="cellIs" dxfId="370" priority="499" operator="lessThan">
      <formula>F8</formula>
    </cfRule>
  </conditionalFormatting>
  <conditionalFormatting sqref="AN11">
    <cfRule type="expression" dxfId="369" priority="506">
      <formula>AND(AN11&gt;0,AN11&lt;5000)</formula>
    </cfRule>
    <cfRule type="cellIs" dxfId="368" priority="507" operator="greaterThan">
      <formula>AM11</formula>
    </cfRule>
  </conditionalFormatting>
  <conditionalFormatting sqref="AN12">
    <cfRule type="expression" dxfId="367" priority="512">
      <formula>AND(AN12&gt;0,AN12&lt;5000)</formula>
    </cfRule>
    <cfRule type="cellIs" dxfId="366" priority="513" operator="greaterThan">
      <formula>AM12</formula>
    </cfRule>
  </conditionalFormatting>
  <conditionalFormatting sqref="AN13">
    <cfRule type="expression" dxfId="365" priority="518">
      <formula>AND(AN13&gt;0,AN13&lt;5000)</formula>
    </cfRule>
    <cfRule type="cellIs" dxfId="364" priority="519" operator="greaterThan">
      <formula>AM13</formula>
    </cfRule>
  </conditionalFormatting>
  <conditionalFormatting sqref="AN14">
    <cfRule type="expression" dxfId="363" priority="524">
      <formula>AND(AN14&gt;0,AN14&lt;5000)</formula>
    </cfRule>
    <cfRule type="cellIs" dxfId="362" priority="525" operator="greaterThan">
      <formula>AM14</formula>
    </cfRule>
  </conditionalFormatting>
  <conditionalFormatting sqref="AN15">
    <cfRule type="expression" dxfId="361" priority="530">
      <formula>AND(AN15&gt;0,AN15&lt;5000)</formula>
    </cfRule>
    <cfRule type="cellIs" dxfId="360" priority="531" operator="greaterThan">
      <formula>AM15</formula>
    </cfRule>
  </conditionalFormatting>
  <conditionalFormatting sqref="AN16">
    <cfRule type="expression" dxfId="359" priority="536">
      <formula>AND(AN16&gt;0,AN16&lt;5000)</formula>
    </cfRule>
    <cfRule type="cellIs" dxfId="358" priority="537" operator="greaterThan">
      <formula>AM16</formula>
    </cfRule>
  </conditionalFormatting>
  <conditionalFormatting sqref="AN33">
    <cfRule type="cellIs" dxfId="357" priority="542" operator="greaterThan">
      <formula>AM33</formula>
    </cfRule>
  </conditionalFormatting>
  <conditionalFormatting sqref="AN34">
    <cfRule type="expression" dxfId="356" priority="547">
      <formula>AND(AN34&gt;0,AN34&lt;10)</formula>
    </cfRule>
    <cfRule type="cellIs" dxfId="355" priority="548" operator="greaterThan">
      <formula>AM34</formula>
    </cfRule>
  </conditionalFormatting>
  <conditionalFormatting sqref="AN8">
    <cfRule type="expression" dxfId="354" priority="500">
      <formula>AND(AN8&gt;0,AN8&lt;4000)</formula>
    </cfRule>
    <cfRule type="cellIs" dxfId="353" priority="501" operator="greaterThan">
      <formula>AM8</formula>
    </cfRule>
  </conditionalFormatting>
  <conditionalFormatting sqref="AO11">
    <cfRule type="cellIs" dxfId="352" priority="509" operator="lessThanOrEqual">
      <formula>G11</formula>
    </cfRule>
  </conditionalFormatting>
  <conditionalFormatting sqref="AO12">
    <cfRule type="cellIs" dxfId="351" priority="515" operator="lessThanOrEqual">
      <formula>G12</formula>
    </cfRule>
  </conditionalFormatting>
  <conditionalFormatting sqref="AO13">
    <cfRule type="cellIs" dxfId="350" priority="521" operator="lessThanOrEqual">
      <formula>G13</formula>
    </cfRule>
  </conditionalFormatting>
  <conditionalFormatting sqref="AO14">
    <cfRule type="cellIs" dxfId="349" priority="527" operator="lessThanOrEqual">
      <formula>G14</formula>
    </cfRule>
  </conditionalFormatting>
  <conditionalFormatting sqref="AO15">
    <cfRule type="cellIs" dxfId="348" priority="533" operator="lessThanOrEqual">
      <formula>G15</formula>
    </cfRule>
  </conditionalFormatting>
  <conditionalFormatting sqref="AO16">
    <cfRule type="cellIs" dxfId="347" priority="539" operator="lessThanOrEqual">
      <formula>G16</formula>
    </cfRule>
  </conditionalFormatting>
  <conditionalFormatting sqref="AO33">
    <cfRule type="cellIs" dxfId="346" priority="544" operator="lessThanOrEqual">
      <formula>G33</formula>
    </cfRule>
  </conditionalFormatting>
  <conditionalFormatting sqref="AO34">
    <cfRule type="cellIs" dxfId="345" priority="550" operator="lessThanOrEqual">
      <formula>G34</formula>
    </cfRule>
  </conditionalFormatting>
  <conditionalFormatting sqref="AO8">
    <cfRule type="cellIs" dxfId="344" priority="503" operator="lessThanOrEqual">
      <formula>G8</formula>
    </cfRule>
  </conditionalFormatting>
  <conditionalFormatting sqref="AP11">
    <cfRule type="cellIs" dxfId="343" priority="508" operator="lessThanOrEqual">
      <formula>H11</formula>
    </cfRule>
  </conditionalFormatting>
  <conditionalFormatting sqref="AP12">
    <cfRule type="cellIs" dxfId="342" priority="514" operator="lessThanOrEqual">
      <formula>H12</formula>
    </cfRule>
  </conditionalFormatting>
  <conditionalFormatting sqref="AP13">
    <cfRule type="cellIs" dxfId="341" priority="520" operator="lessThanOrEqual">
      <formula>H13</formula>
    </cfRule>
  </conditionalFormatting>
  <conditionalFormatting sqref="AP14">
    <cfRule type="cellIs" dxfId="340" priority="526" operator="lessThanOrEqual">
      <formula>H14</formula>
    </cfRule>
  </conditionalFormatting>
  <conditionalFormatting sqref="AP15">
    <cfRule type="cellIs" dxfId="339" priority="532" operator="lessThanOrEqual">
      <formula>H15</formula>
    </cfRule>
  </conditionalFormatting>
  <conditionalFormatting sqref="AP16">
    <cfRule type="cellIs" dxfId="338" priority="538" operator="lessThanOrEqual">
      <formula>H16</formula>
    </cfRule>
  </conditionalFormatting>
  <conditionalFormatting sqref="AP33">
    <cfRule type="cellIs" dxfId="337" priority="543" operator="lessThanOrEqual">
      <formula>H33</formula>
    </cfRule>
  </conditionalFormatting>
  <conditionalFormatting sqref="AP34">
    <cfRule type="cellIs" dxfId="336" priority="549" operator="lessThanOrEqual">
      <formula>H34</formula>
    </cfRule>
  </conditionalFormatting>
  <conditionalFormatting sqref="AP8">
    <cfRule type="cellIs" dxfId="335" priority="502" operator="lessThanOrEqual">
      <formula>H8</formula>
    </cfRule>
  </conditionalFormatting>
  <conditionalFormatting sqref="F10">
    <cfRule type="expression" dxfId="334" priority="13">
      <formula>AND(ISBLANK(E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33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3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31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1">
    <cfRule type="expression" dxfId="330" priority="17">
      <formula>AND(ISBLANK(E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29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28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27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2">
    <cfRule type="expression" dxfId="326" priority="21">
      <formula>AND(ISBLANK(E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25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24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2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3">
    <cfRule type="expression" dxfId="322" priority="25">
      <formula>AND(ISBLANK(E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2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20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19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4">
    <cfRule type="expression" dxfId="318" priority="29">
      <formula>AND(ISBLANK(E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17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16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15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5">
    <cfRule type="expression" dxfId="314" priority="33">
      <formula>AND(ISBLANK(E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13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1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11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6">
    <cfRule type="expression" dxfId="310" priority="37">
      <formula>AND(ISBLANK(E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09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08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07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7">
    <cfRule type="expression" dxfId="306" priority="41">
      <formula>AND(ISBLANK(E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05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04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0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8">
    <cfRule type="expression" dxfId="302" priority="45">
      <formula>AND(ISBLANK(E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30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300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99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19">
    <cfRule type="expression" dxfId="298" priority="49">
      <formula>AND(ISBLANK(E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97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96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95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0">
    <cfRule type="expression" dxfId="294" priority="53">
      <formula>AND(ISBLANK(E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93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9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91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1">
    <cfRule type="expression" dxfId="290" priority="57">
      <formula>AND(ISBLANK(E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89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88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87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2">
    <cfRule type="expression" dxfId="286" priority="61">
      <formula>AND(ISBLANK(E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85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84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8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3">
    <cfRule type="expression" dxfId="282" priority="65">
      <formula>AND(ISBLANK(E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8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80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79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4">
    <cfRule type="expression" dxfId="278" priority="69">
      <formula>AND(ISBLANK(E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77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76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75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5">
    <cfRule type="expression" dxfId="274" priority="73">
      <formula>AND(ISBLANK(E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73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7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71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6">
    <cfRule type="expression" dxfId="270" priority="77">
      <formula>AND(ISBLANK(E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69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68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67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7">
    <cfRule type="expression" dxfId="266" priority="81">
      <formula>AND(ISBLANK(E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65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64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6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8">
    <cfRule type="expression" dxfId="262" priority="85">
      <formula>AND(ISBLANK(E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6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60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59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29">
    <cfRule type="expression" dxfId="258" priority="89">
      <formula>AND(ISBLANK(E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57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56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55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0">
    <cfRule type="expression" dxfId="254" priority="93">
      <formula>AND(ISBLANK(E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53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5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51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1">
    <cfRule type="expression" dxfId="250" priority="97">
      <formula>AND(ISBLANK(E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49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48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47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2">
    <cfRule type="expression" dxfId="246" priority="101">
      <formula>AND(ISBLANK(E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45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44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4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3">
    <cfRule type="expression" dxfId="242" priority="105">
      <formula>AND(ISBLANK(E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4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40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39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4">
    <cfRule type="expression" dxfId="238" priority="109">
      <formula>AND(ISBLANK(E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37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36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35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5">
    <cfRule type="expression" dxfId="234" priority="113">
      <formula>AND(ISBLANK(E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33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3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31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36">
    <cfRule type="expression" dxfId="230" priority="117">
      <formula>AND(ISBLANK(E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29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28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27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7">
    <cfRule type="expression" dxfId="226" priority="1">
      <formula>AND(ISBLANK(E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25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24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2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8">
    <cfRule type="expression" dxfId="222" priority="5">
      <formula>AND(ISBLANK(E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2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20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19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F9">
    <cfRule type="expression" dxfId="218" priority="9">
      <formula>AND(ISBLANK(E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217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16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215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N11">
    <cfRule type="cellIs" dxfId="214" priority="136" operator="equal">
      <formula>0</formula>
    </cfRule>
    <cfRule type="cellIs" dxfId="213" priority="137" operator="lessThan">
      <formula>F11</formula>
    </cfRule>
  </conditionalFormatting>
  <conditionalFormatting sqref="N12">
    <cfRule type="cellIs" dxfId="212" priority="141" operator="equal">
      <formula>0</formula>
    </cfRule>
    <cfRule type="cellIs" dxfId="211" priority="142" operator="lessThan">
      <formula>F12</formula>
    </cfRule>
  </conditionalFormatting>
  <conditionalFormatting sqref="N13">
    <cfRule type="cellIs" dxfId="210" priority="146" operator="equal">
      <formula>0</formula>
    </cfRule>
    <cfRule type="cellIs" dxfId="209" priority="147" operator="lessThan">
      <formula>F13</formula>
    </cfRule>
  </conditionalFormatting>
  <conditionalFormatting sqref="N14">
    <cfRule type="cellIs" dxfId="208" priority="151" operator="equal">
      <formula>0</formula>
    </cfRule>
    <cfRule type="cellIs" dxfId="207" priority="152" operator="lessThan">
      <formula>F14</formula>
    </cfRule>
  </conditionalFormatting>
  <conditionalFormatting sqref="N15">
    <cfRule type="cellIs" dxfId="206" priority="156" operator="equal">
      <formula>0</formula>
    </cfRule>
    <cfRule type="cellIs" dxfId="205" priority="157" operator="lessThan">
      <formula>F15</formula>
    </cfRule>
  </conditionalFormatting>
  <conditionalFormatting sqref="N16">
    <cfRule type="cellIs" dxfId="204" priority="161" operator="equal">
      <formula>0</formula>
    </cfRule>
    <cfRule type="cellIs" dxfId="203" priority="162" operator="lessThan">
      <formula>F16</formula>
    </cfRule>
  </conditionalFormatting>
  <conditionalFormatting sqref="N17">
    <cfRule type="cellIs" dxfId="202" priority="166" operator="equal">
      <formula>0</formula>
    </cfRule>
    <cfRule type="cellIs" dxfId="201" priority="167" operator="lessThan">
      <formula>F17</formula>
    </cfRule>
  </conditionalFormatting>
  <conditionalFormatting sqref="N18">
    <cfRule type="cellIs" dxfId="200" priority="171" operator="equal">
      <formula>0</formula>
    </cfRule>
    <cfRule type="cellIs" dxfId="199" priority="172" operator="lessThan">
      <formula>F18</formula>
    </cfRule>
  </conditionalFormatting>
  <conditionalFormatting sqref="N19">
    <cfRule type="cellIs" dxfId="198" priority="176" operator="equal">
      <formula>0</formula>
    </cfRule>
    <cfRule type="cellIs" dxfId="197" priority="177" operator="lessThan">
      <formula>F19</formula>
    </cfRule>
  </conditionalFormatting>
  <conditionalFormatting sqref="N20">
    <cfRule type="cellIs" dxfId="196" priority="181" operator="equal">
      <formula>0</formula>
    </cfRule>
    <cfRule type="cellIs" dxfId="195" priority="182" operator="lessThan">
      <formula>F20</formula>
    </cfRule>
  </conditionalFormatting>
  <conditionalFormatting sqref="N21">
    <cfRule type="cellIs" dxfId="194" priority="186" operator="equal">
      <formula>0</formula>
    </cfRule>
    <cfRule type="cellIs" dxfId="193" priority="187" operator="lessThan">
      <formula>F21</formula>
    </cfRule>
  </conditionalFormatting>
  <conditionalFormatting sqref="N22">
    <cfRule type="cellIs" dxfId="192" priority="191" operator="equal">
      <formula>0</formula>
    </cfRule>
    <cfRule type="cellIs" dxfId="191" priority="192" operator="lessThan">
      <formula>F22</formula>
    </cfRule>
  </conditionalFormatting>
  <conditionalFormatting sqref="N23">
    <cfRule type="cellIs" dxfId="190" priority="196" operator="equal">
      <formula>0</formula>
    </cfRule>
    <cfRule type="cellIs" dxfId="189" priority="197" operator="lessThan">
      <formula>F23</formula>
    </cfRule>
  </conditionalFormatting>
  <conditionalFormatting sqref="N24">
    <cfRule type="cellIs" dxfId="188" priority="202" operator="equal">
      <formula>0</formula>
    </cfRule>
    <cfRule type="cellIs" dxfId="187" priority="203" operator="lessThan">
      <formula>F24</formula>
    </cfRule>
  </conditionalFormatting>
  <conditionalFormatting sqref="N25">
    <cfRule type="cellIs" dxfId="186" priority="207" operator="equal">
      <formula>0</formula>
    </cfRule>
    <cfRule type="cellIs" dxfId="185" priority="208" operator="lessThan">
      <formula>F25</formula>
    </cfRule>
  </conditionalFormatting>
  <conditionalFormatting sqref="N26">
    <cfRule type="cellIs" dxfId="184" priority="212" operator="equal">
      <formula>0</formula>
    </cfRule>
    <cfRule type="cellIs" dxfId="183" priority="213" operator="lessThan">
      <formula>F26</formula>
    </cfRule>
  </conditionalFormatting>
  <conditionalFormatting sqref="N27">
    <cfRule type="cellIs" dxfId="182" priority="217" operator="equal">
      <formula>0</formula>
    </cfRule>
    <cfRule type="cellIs" dxfId="181" priority="218" operator="lessThan">
      <formula>F27</formula>
    </cfRule>
  </conditionalFormatting>
  <conditionalFormatting sqref="N28">
    <cfRule type="cellIs" dxfId="180" priority="222" operator="equal">
      <formula>0</formula>
    </cfRule>
    <cfRule type="cellIs" dxfId="179" priority="223" operator="lessThan">
      <formula>F28</formula>
    </cfRule>
  </conditionalFormatting>
  <conditionalFormatting sqref="N33">
    <cfRule type="cellIs" dxfId="178" priority="227" operator="equal">
      <formula>0</formula>
    </cfRule>
    <cfRule type="cellIs" dxfId="177" priority="228" operator="lessThan">
      <formula>F33</formula>
    </cfRule>
  </conditionalFormatting>
  <conditionalFormatting sqref="N34">
    <cfRule type="cellIs" dxfId="176" priority="232" operator="equal">
      <formula>0</formula>
    </cfRule>
    <cfRule type="cellIs" dxfId="175" priority="233" operator="lessThan">
      <formula>F34</formula>
    </cfRule>
  </conditionalFormatting>
  <conditionalFormatting sqref="N7">
    <cfRule type="cellIs" dxfId="174" priority="121" operator="equal">
      <formula>0</formula>
    </cfRule>
    <cfRule type="cellIs" dxfId="173" priority="122" operator="lessThan">
      <formula>F7</formula>
    </cfRule>
  </conditionalFormatting>
  <conditionalFormatting sqref="N8">
    <cfRule type="cellIs" dxfId="172" priority="126" operator="equal">
      <formula>0</formula>
    </cfRule>
    <cfRule type="cellIs" dxfId="171" priority="127" operator="lessThan">
      <formula>F8</formula>
    </cfRule>
  </conditionalFormatting>
  <conditionalFormatting sqref="N9">
    <cfRule type="cellIs" dxfId="170" priority="131" operator="equal">
      <formula>0</formula>
    </cfRule>
    <cfRule type="cellIs" dxfId="169" priority="132" operator="lessThan">
      <formula>F9</formula>
    </cfRule>
  </conditionalFormatting>
  <conditionalFormatting sqref="O11">
    <cfRule type="cellIs" dxfId="168" priority="138" operator="greaterThan">
      <formula>N11</formula>
    </cfRule>
  </conditionalFormatting>
  <conditionalFormatting sqref="O12">
    <cfRule type="cellIs" dxfId="167" priority="143" operator="greaterThan">
      <formula>N12</formula>
    </cfRule>
  </conditionalFormatting>
  <conditionalFormatting sqref="O13">
    <cfRule type="cellIs" dxfId="166" priority="148" operator="greaterThan">
      <formula>N13</formula>
    </cfRule>
  </conditionalFormatting>
  <conditionalFormatting sqref="O14">
    <cfRule type="cellIs" dxfId="165" priority="153" operator="greaterThan">
      <formula>N14</formula>
    </cfRule>
  </conditionalFormatting>
  <conditionalFormatting sqref="O15">
    <cfRule type="cellIs" dxfId="164" priority="158" operator="greaterThan">
      <formula>N15</formula>
    </cfRule>
  </conditionalFormatting>
  <conditionalFormatting sqref="O16">
    <cfRule type="cellIs" dxfId="163" priority="163" operator="greaterThan">
      <formula>N16</formula>
    </cfRule>
  </conditionalFormatting>
  <conditionalFormatting sqref="O17">
    <cfRule type="cellIs" dxfId="162" priority="168" operator="greaterThan">
      <formula>N17</formula>
    </cfRule>
  </conditionalFormatting>
  <conditionalFormatting sqref="O18">
    <cfRule type="cellIs" dxfId="161" priority="173" operator="greaterThan">
      <formula>N18</formula>
    </cfRule>
  </conditionalFormatting>
  <conditionalFormatting sqref="O19">
    <cfRule type="cellIs" dxfId="160" priority="178" operator="greaterThan">
      <formula>N19</formula>
    </cfRule>
  </conditionalFormatting>
  <conditionalFormatting sqref="O20">
    <cfRule type="cellIs" dxfId="159" priority="183" operator="greaterThan">
      <formula>N20</formula>
    </cfRule>
  </conditionalFormatting>
  <conditionalFormatting sqref="O21">
    <cfRule type="cellIs" dxfId="158" priority="188" operator="greaterThan">
      <formula>N21</formula>
    </cfRule>
  </conditionalFormatting>
  <conditionalFormatting sqref="O22">
    <cfRule type="cellIs" dxfId="157" priority="193" operator="greaterThan">
      <formula>N22</formula>
    </cfRule>
  </conditionalFormatting>
  <conditionalFormatting sqref="O23">
    <cfRule type="expression" dxfId="156" priority="198">
      <formula>AND(O23&gt;0,O23&lt;450)</formula>
    </cfRule>
    <cfRule type="cellIs" dxfId="155" priority="199" operator="greaterThan">
      <formula>N23</formula>
    </cfRule>
  </conditionalFormatting>
  <conditionalFormatting sqref="O24">
    <cfRule type="cellIs" dxfId="154" priority="204" operator="greaterThan">
      <formula>N24</formula>
    </cfRule>
  </conditionalFormatting>
  <conditionalFormatting sqref="O25">
    <cfRule type="cellIs" dxfId="153" priority="209" operator="greaterThan">
      <formula>N25</formula>
    </cfRule>
  </conditionalFormatting>
  <conditionalFormatting sqref="O26">
    <cfRule type="cellIs" dxfId="152" priority="214" operator="greaterThan">
      <formula>N26</formula>
    </cfRule>
  </conditionalFormatting>
  <conditionalFormatting sqref="O27">
    <cfRule type="cellIs" dxfId="151" priority="219" operator="greaterThan">
      <formula>N27</formula>
    </cfRule>
  </conditionalFormatting>
  <conditionalFormatting sqref="O28">
    <cfRule type="cellIs" dxfId="150" priority="224" operator="greaterThan">
      <formula>N28</formula>
    </cfRule>
  </conditionalFormatting>
  <conditionalFormatting sqref="O33">
    <cfRule type="cellIs" dxfId="149" priority="229" operator="greaterThan">
      <formula>N33</formula>
    </cfRule>
  </conditionalFormatting>
  <conditionalFormatting sqref="O34:O35">
    <cfRule type="cellIs" dxfId="148" priority="234" operator="greaterThan">
      <formula>N34</formula>
    </cfRule>
  </conditionalFormatting>
  <conditionalFormatting sqref="O7">
    <cfRule type="cellIs" dxfId="147" priority="123" operator="greaterThan">
      <formula>N7</formula>
    </cfRule>
  </conditionalFormatting>
  <conditionalFormatting sqref="O8">
    <cfRule type="cellIs" dxfId="146" priority="128" operator="greaterThan">
      <formula>N8</formula>
    </cfRule>
  </conditionalFormatting>
  <conditionalFormatting sqref="O9">
    <cfRule type="cellIs" dxfId="145" priority="133" operator="greaterThan">
      <formula>N9</formula>
    </cfRule>
  </conditionalFormatting>
  <conditionalFormatting sqref="P11">
    <cfRule type="cellIs" dxfId="144" priority="140" operator="lessThanOrEqual">
      <formula>G11</formula>
    </cfRule>
  </conditionalFormatting>
  <conditionalFormatting sqref="P12">
    <cfRule type="cellIs" dxfId="143" priority="145" operator="lessThanOrEqual">
      <formula>G12</formula>
    </cfRule>
  </conditionalFormatting>
  <conditionalFormatting sqref="P13">
    <cfRule type="cellIs" dxfId="142" priority="150" operator="lessThanOrEqual">
      <formula>G13</formula>
    </cfRule>
  </conditionalFormatting>
  <conditionalFormatting sqref="P14">
    <cfRule type="cellIs" dxfId="141" priority="155" operator="lessThanOrEqual">
      <formula>G14</formula>
    </cfRule>
  </conditionalFormatting>
  <conditionalFormatting sqref="P15">
    <cfRule type="cellIs" dxfId="140" priority="160" operator="lessThanOrEqual">
      <formula>G15</formula>
    </cfRule>
  </conditionalFormatting>
  <conditionalFormatting sqref="P16">
    <cfRule type="cellIs" dxfId="139" priority="165" operator="lessThanOrEqual">
      <formula>G16</formula>
    </cfRule>
  </conditionalFormatting>
  <conditionalFormatting sqref="P17">
    <cfRule type="cellIs" dxfId="138" priority="170" operator="lessThanOrEqual">
      <formula>G17</formula>
    </cfRule>
  </conditionalFormatting>
  <conditionalFormatting sqref="P18">
    <cfRule type="cellIs" dxfId="137" priority="175" operator="lessThanOrEqual">
      <formula>G18</formula>
    </cfRule>
  </conditionalFormatting>
  <conditionalFormatting sqref="P19">
    <cfRule type="cellIs" dxfId="136" priority="180" operator="lessThanOrEqual">
      <formula>G19</formula>
    </cfRule>
  </conditionalFormatting>
  <conditionalFormatting sqref="P20">
    <cfRule type="cellIs" dxfId="135" priority="185" operator="lessThanOrEqual">
      <formula>G20</formula>
    </cfRule>
  </conditionalFormatting>
  <conditionalFormatting sqref="P21">
    <cfRule type="cellIs" dxfId="134" priority="190" operator="lessThanOrEqual">
      <formula>G21</formula>
    </cfRule>
  </conditionalFormatting>
  <conditionalFormatting sqref="P22">
    <cfRule type="cellIs" dxfId="133" priority="195" operator="lessThanOrEqual">
      <formula>G22</formula>
    </cfRule>
  </conditionalFormatting>
  <conditionalFormatting sqref="P23">
    <cfRule type="cellIs" dxfId="132" priority="201" operator="lessThanOrEqual">
      <formula>G23</formula>
    </cfRule>
  </conditionalFormatting>
  <conditionalFormatting sqref="P24">
    <cfRule type="cellIs" dxfId="131" priority="206" operator="lessThanOrEqual">
      <formula>G24</formula>
    </cfRule>
  </conditionalFormatting>
  <conditionalFormatting sqref="P25">
    <cfRule type="cellIs" dxfId="130" priority="211" operator="lessThanOrEqual">
      <formula>G25</formula>
    </cfRule>
  </conditionalFormatting>
  <conditionalFormatting sqref="P26">
    <cfRule type="cellIs" dxfId="129" priority="216" operator="lessThanOrEqual">
      <formula>G26</formula>
    </cfRule>
  </conditionalFormatting>
  <conditionalFormatting sqref="P27">
    <cfRule type="cellIs" dxfId="128" priority="221" operator="lessThanOrEqual">
      <formula>G27</formula>
    </cfRule>
  </conditionalFormatting>
  <conditionalFormatting sqref="P28:P29">
    <cfRule type="cellIs" dxfId="127" priority="226" operator="lessThanOrEqual">
      <formula>G28</formula>
    </cfRule>
  </conditionalFormatting>
  <conditionalFormatting sqref="P33">
    <cfRule type="cellIs" dxfId="126" priority="231" operator="lessThanOrEqual">
      <formula>G33</formula>
    </cfRule>
  </conditionalFormatting>
  <conditionalFormatting sqref="P34">
    <cfRule type="cellIs" dxfId="125" priority="236" operator="lessThanOrEqual">
      <formula>G34</formula>
    </cfRule>
  </conditionalFormatting>
  <conditionalFormatting sqref="P7">
    <cfRule type="cellIs" dxfId="124" priority="125" operator="lessThanOrEqual">
      <formula>G7</formula>
    </cfRule>
  </conditionalFormatting>
  <conditionalFormatting sqref="P8">
    <cfRule type="cellIs" dxfId="123" priority="130" operator="lessThanOrEqual">
      <formula>G8</formula>
    </cfRule>
  </conditionalFormatting>
  <conditionalFormatting sqref="P9">
    <cfRule type="cellIs" dxfId="122" priority="135" operator="lessThanOrEqual">
      <formula>G9</formula>
    </cfRule>
  </conditionalFormatting>
  <conditionalFormatting sqref="Q11">
    <cfRule type="cellIs" dxfId="121" priority="139" operator="lessThanOrEqual">
      <formula>H11</formula>
    </cfRule>
  </conditionalFormatting>
  <conditionalFormatting sqref="Q12">
    <cfRule type="cellIs" dxfId="120" priority="144" operator="lessThanOrEqual">
      <formula>H12</formula>
    </cfRule>
  </conditionalFormatting>
  <conditionalFormatting sqref="Q13">
    <cfRule type="cellIs" dxfId="119" priority="149" operator="lessThanOrEqual">
      <formula>H13</formula>
    </cfRule>
  </conditionalFormatting>
  <conditionalFormatting sqref="Q14">
    <cfRule type="cellIs" dxfId="118" priority="154" operator="lessThanOrEqual">
      <formula>H14</formula>
    </cfRule>
  </conditionalFormatting>
  <conditionalFormatting sqref="Q15">
    <cfRule type="cellIs" dxfId="117" priority="159" operator="lessThanOrEqual">
      <formula>H15</formula>
    </cfRule>
  </conditionalFormatting>
  <conditionalFormatting sqref="Q16">
    <cfRule type="cellIs" dxfId="116" priority="164" operator="lessThanOrEqual">
      <formula>H16</formula>
    </cfRule>
  </conditionalFormatting>
  <conditionalFormatting sqref="Q17">
    <cfRule type="cellIs" dxfId="115" priority="169" operator="lessThanOrEqual">
      <formula>H17</formula>
    </cfRule>
  </conditionalFormatting>
  <conditionalFormatting sqref="Q18">
    <cfRule type="cellIs" dxfId="114" priority="174" operator="lessThanOrEqual">
      <formula>H18</formula>
    </cfRule>
  </conditionalFormatting>
  <conditionalFormatting sqref="Q19">
    <cfRule type="cellIs" dxfId="113" priority="179" operator="lessThanOrEqual">
      <formula>H19</formula>
    </cfRule>
  </conditionalFormatting>
  <conditionalFormatting sqref="Q20">
    <cfRule type="cellIs" dxfId="112" priority="184" operator="lessThanOrEqual">
      <formula>H20</formula>
    </cfRule>
  </conditionalFormatting>
  <conditionalFormatting sqref="Q21">
    <cfRule type="cellIs" dxfId="111" priority="189" operator="lessThanOrEqual">
      <formula>H21</formula>
    </cfRule>
  </conditionalFormatting>
  <conditionalFormatting sqref="Q22">
    <cfRule type="cellIs" dxfId="110" priority="194" operator="lessThanOrEqual">
      <formula>H22</formula>
    </cfRule>
  </conditionalFormatting>
  <conditionalFormatting sqref="Q23">
    <cfRule type="cellIs" dxfId="109" priority="200" operator="lessThanOrEqual">
      <formula>H23</formula>
    </cfRule>
  </conditionalFormatting>
  <conditionalFormatting sqref="Q24">
    <cfRule type="cellIs" dxfId="108" priority="205" operator="lessThanOrEqual">
      <formula>H24</formula>
    </cfRule>
  </conditionalFormatting>
  <conditionalFormatting sqref="Q25">
    <cfRule type="cellIs" dxfId="107" priority="210" operator="lessThanOrEqual">
      <formula>H25</formula>
    </cfRule>
  </conditionalFormatting>
  <conditionalFormatting sqref="Q26">
    <cfRule type="cellIs" dxfId="106" priority="215" operator="lessThanOrEqual">
      <formula>H26</formula>
    </cfRule>
  </conditionalFormatting>
  <conditionalFormatting sqref="Q27">
    <cfRule type="cellIs" dxfId="105" priority="220" operator="lessThanOrEqual">
      <formula>H27</formula>
    </cfRule>
  </conditionalFormatting>
  <conditionalFormatting sqref="Q28:Q32">
    <cfRule type="cellIs" dxfId="104" priority="225" operator="lessThanOrEqual">
      <formula>H28</formula>
    </cfRule>
  </conditionalFormatting>
  <conditionalFormatting sqref="Q33">
    <cfRule type="cellIs" dxfId="103" priority="230" operator="lessThanOrEqual">
      <formula>H33</formula>
    </cfRule>
  </conditionalFormatting>
  <conditionalFormatting sqref="Q34:Q35">
    <cfRule type="cellIs" dxfId="102" priority="235" operator="lessThanOrEqual">
      <formula>H34</formula>
    </cfRule>
  </conditionalFormatting>
  <conditionalFormatting sqref="Q7">
    <cfRule type="cellIs" dxfId="101" priority="124" operator="lessThanOrEqual">
      <formula>H7</formula>
    </cfRule>
  </conditionalFormatting>
  <conditionalFormatting sqref="Q8">
    <cfRule type="cellIs" dxfId="100" priority="129" operator="lessThanOrEqual">
      <formula>H8</formula>
    </cfRule>
  </conditionalFormatting>
  <conditionalFormatting sqref="Q9">
    <cfRule type="cellIs" dxfId="99" priority="134" operator="lessThanOrEqual">
      <formula>H9</formula>
    </cfRule>
  </conditionalFormatting>
  <conditionalFormatting sqref="S11">
    <cfRule type="cellIs" dxfId="98" priority="243" operator="equal">
      <formula>0</formula>
    </cfRule>
    <cfRule type="cellIs" dxfId="97" priority="244" operator="lessThan">
      <formula>F11</formula>
    </cfRule>
  </conditionalFormatting>
  <conditionalFormatting sqref="S12">
    <cfRule type="cellIs" dxfId="96" priority="249" operator="equal">
      <formula>0</formula>
    </cfRule>
    <cfRule type="cellIs" dxfId="95" priority="250" operator="lessThan">
      <formula>F12</formula>
    </cfRule>
  </conditionalFormatting>
  <conditionalFormatting sqref="S13">
    <cfRule type="cellIs" dxfId="94" priority="255" operator="equal">
      <formula>0</formula>
    </cfRule>
    <cfRule type="cellIs" dxfId="93" priority="256" operator="lessThan">
      <formula>F13</formula>
    </cfRule>
  </conditionalFormatting>
  <conditionalFormatting sqref="S14">
    <cfRule type="cellIs" dxfId="92" priority="261" operator="equal">
      <formula>0</formula>
    </cfRule>
    <cfRule type="cellIs" dxfId="91" priority="262" operator="lessThan">
      <formula>F14</formula>
    </cfRule>
  </conditionalFormatting>
  <conditionalFormatting sqref="S15">
    <cfRule type="cellIs" dxfId="90" priority="267" operator="equal">
      <formula>0</formula>
    </cfRule>
    <cfRule type="cellIs" dxfId="89" priority="268" operator="lessThan">
      <formula>F15</formula>
    </cfRule>
  </conditionalFormatting>
  <conditionalFormatting sqref="S16">
    <cfRule type="cellIs" dxfId="88" priority="272" operator="equal">
      <formula>0</formula>
    </cfRule>
    <cfRule type="cellIs" dxfId="87" priority="273" operator="lessThan">
      <formula>F16</formula>
    </cfRule>
  </conditionalFormatting>
  <conditionalFormatting sqref="S18">
    <cfRule type="cellIs" dxfId="86" priority="277" operator="equal">
      <formula>0</formula>
    </cfRule>
    <cfRule type="cellIs" dxfId="85" priority="278" operator="lessThan">
      <formula>F18</formula>
    </cfRule>
  </conditionalFormatting>
  <conditionalFormatting sqref="S19">
    <cfRule type="cellIs" dxfId="84" priority="283" operator="equal">
      <formula>0</formula>
    </cfRule>
    <cfRule type="cellIs" dxfId="83" priority="284" operator="lessThan">
      <formula>F19</formula>
    </cfRule>
  </conditionalFormatting>
  <conditionalFormatting sqref="S20">
    <cfRule type="cellIs" dxfId="82" priority="288" operator="equal">
      <formula>0</formula>
    </cfRule>
    <cfRule type="cellIs" dxfId="81" priority="289" operator="lessThan">
      <formula>F20</formula>
    </cfRule>
  </conditionalFormatting>
  <conditionalFormatting sqref="S22">
    <cfRule type="cellIs" dxfId="80" priority="293" operator="equal">
      <formula>0</formula>
    </cfRule>
    <cfRule type="cellIs" dxfId="79" priority="294" operator="lessThan">
      <formula>F22</formula>
    </cfRule>
  </conditionalFormatting>
  <conditionalFormatting sqref="S24">
    <cfRule type="cellIs" dxfId="78" priority="298" operator="equal">
      <formula>0</formula>
    </cfRule>
    <cfRule type="cellIs" dxfId="77" priority="299" operator="lessThan">
      <formula>F24</formula>
    </cfRule>
  </conditionalFormatting>
  <conditionalFormatting sqref="S26">
    <cfRule type="cellIs" dxfId="76" priority="303" operator="equal">
      <formula>0</formula>
    </cfRule>
    <cfRule type="cellIs" dxfId="75" priority="304" operator="lessThan">
      <formula>F26</formula>
    </cfRule>
  </conditionalFormatting>
  <conditionalFormatting sqref="S27">
    <cfRule type="cellIs" dxfId="74" priority="308" operator="equal">
      <formula>0</formula>
    </cfRule>
    <cfRule type="cellIs" dxfId="73" priority="309" operator="lessThan">
      <formula>F27</formula>
    </cfRule>
  </conditionalFormatting>
  <conditionalFormatting sqref="S28">
    <cfRule type="cellIs" dxfId="72" priority="313" operator="equal">
      <formula>0</formula>
    </cfRule>
    <cfRule type="cellIs" dxfId="71" priority="314" operator="lessThan">
      <formula>F28</formula>
    </cfRule>
  </conditionalFormatting>
  <conditionalFormatting sqref="S33">
    <cfRule type="cellIs" dxfId="70" priority="318" operator="equal">
      <formula>0</formula>
    </cfRule>
    <cfRule type="cellIs" dxfId="69" priority="319" operator="lessThan">
      <formula>F33</formula>
    </cfRule>
  </conditionalFormatting>
  <conditionalFormatting sqref="S34">
    <cfRule type="cellIs" dxfId="68" priority="323" operator="equal">
      <formula>0</formula>
    </cfRule>
    <cfRule type="cellIs" dxfId="67" priority="324" operator="lessThan">
      <formula>F34</formula>
    </cfRule>
  </conditionalFormatting>
  <conditionalFormatting sqref="S8">
    <cfRule type="cellIs" dxfId="66" priority="237" operator="equal">
      <formula>0</formula>
    </cfRule>
    <cfRule type="cellIs" dxfId="65" priority="238" operator="lessThan">
      <formula>F8</formula>
    </cfRule>
  </conditionalFormatting>
  <conditionalFormatting sqref="T11">
    <cfRule type="expression" dxfId="64" priority="245">
      <formula>AND(T11&gt;0,T11&lt;10)</formula>
    </cfRule>
    <cfRule type="cellIs" dxfId="63" priority="246" operator="greaterThan">
      <formula>S11</formula>
    </cfRule>
  </conditionalFormatting>
  <conditionalFormatting sqref="T12">
    <cfRule type="expression" dxfId="62" priority="251">
      <formula>AND(T12&gt;0,T12&lt;10)</formula>
    </cfRule>
    <cfRule type="cellIs" dxfId="61" priority="252" operator="greaterThan">
      <formula>S12</formula>
    </cfRule>
  </conditionalFormatting>
  <conditionalFormatting sqref="T13">
    <cfRule type="expression" dxfId="60" priority="257">
      <formula>AND(T13&gt;0,T13&lt;10)</formula>
    </cfRule>
    <cfRule type="cellIs" dxfId="59" priority="258" operator="greaterThan">
      <formula>S13</formula>
    </cfRule>
  </conditionalFormatting>
  <conditionalFormatting sqref="T14">
    <cfRule type="expression" dxfId="58" priority="263">
      <formula>AND(T14&gt;0,T14&lt;10)</formula>
    </cfRule>
    <cfRule type="cellIs" dxfId="57" priority="264" operator="greaterThan">
      <formula>S14</formula>
    </cfRule>
  </conditionalFormatting>
  <conditionalFormatting sqref="T15">
    <cfRule type="cellIs" dxfId="56" priority="269" operator="greaterThan">
      <formula>S15</formula>
    </cfRule>
  </conditionalFormatting>
  <conditionalFormatting sqref="T16">
    <cfRule type="cellIs" dxfId="55" priority="274" operator="greaterThan">
      <formula>S16</formula>
    </cfRule>
  </conditionalFormatting>
  <conditionalFormatting sqref="T18">
    <cfRule type="expression" dxfId="54" priority="279">
      <formula>AND(T18&gt;0,T18&lt;1000)</formula>
    </cfRule>
    <cfRule type="cellIs" dxfId="53" priority="280" operator="greaterThan">
      <formula>S18</formula>
    </cfRule>
  </conditionalFormatting>
  <conditionalFormatting sqref="T19">
    <cfRule type="cellIs" dxfId="52" priority="285" operator="greaterThan">
      <formula>S19</formula>
    </cfRule>
  </conditionalFormatting>
  <conditionalFormatting sqref="T20">
    <cfRule type="cellIs" dxfId="51" priority="290" operator="greaterThan">
      <formula>S20</formula>
    </cfRule>
  </conditionalFormatting>
  <conditionalFormatting sqref="T22">
    <cfRule type="cellIs" dxfId="50" priority="295" operator="greaterThan">
      <formula>S22</formula>
    </cfRule>
  </conditionalFormatting>
  <conditionalFormatting sqref="T24">
    <cfRule type="cellIs" dxfId="49" priority="300" operator="greaterThan">
      <formula>S24</formula>
    </cfRule>
  </conditionalFormatting>
  <conditionalFormatting sqref="T26">
    <cfRule type="cellIs" dxfId="48" priority="305" operator="greaterThan">
      <formula>S26</formula>
    </cfRule>
  </conditionalFormatting>
  <conditionalFormatting sqref="T27">
    <cfRule type="cellIs" dxfId="47" priority="310" operator="greaterThan">
      <formula>S27</formula>
    </cfRule>
  </conditionalFormatting>
  <conditionalFormatting sqref="T28">
    <cfRule type="cellIs" dxfId="46" priority="315" operator="greaterThan">
      <formula>S28</formula>
    </cfRule>
  </conditionalFormatting>
  <conditionalFormatting sqref="T33">
    <cfRule type="cellIs" dxfId="45" priority="320" operator="greaterThan">
      <formula>S33</formula>
    </cfRule>
  </conditionalFormatting>
  <conditionalFormatting sqref="T34">
    <cfRule type="cellIs" dxfId="44" priority="325" operator="greaterThan">
      <formula>S34</formula>
    </cfRule>
  </conditionalFormatting>
  <conditionalFormatting sqref="T8">
    <cfRule type="expression" dxfId="43" priority="239">
      <formula>AND(T8&gt;0,T8&lt;10)</formula>
    </cfRule>
    <cfRule type="cellIs" dxfId="42" priority="240" operator="greaterThan">
      <formula>S8</formula>
    </cfRule>
  </conditionalFormatting>
  <conditionalFormatting sqref="U11">
    <cfRule type="cellIs" dxfId="41" priority="248" operator="lessThanOrEqual">
      <formula>G11</formula>
    </cfRule>
  </conditionalFormatting>
  <conditionalFormatting sqref="U12">
    <cfRule type="cellIs" dxfId="40" priority="254" operator="lessThanOrEqual">
      <formula>G12</formula>
    </cfRule>
  </conditionalFormatting>
  <conditionalFormatting sqref="U13">
    <cfRule type="cellIs" dxfId="39" priority="260" operator="lessThanOrEqual">
      <formula>G13</formula>
    </cfRule>
  </conditionalFormatting>
  <conditionalFormatting sqref="U14">
    <cfRule type="cellIs" dxfId="38" priority="266" operator="lessThanOrEqual">
      <formula>G14</formula>
    </cfRule>
  </conditionalFormatting>
  <conditionalFormatting sqref="U15">
    <cfRule type="cellIs" dxfId="37" priority="271" operator="lessThanOrEqual">
      <formula>G15</formula>
    </cfRule>
  </conditionalFormatting>
  <conditionalFormatting sqref="U16">
    <cfRule type="cellIs" dxfId="36" priority="276" operator="lessThanOrEqual">
      <formula>G16</formula>
    </cfRule>
  </conditionalFormatting>
  <conditionalFormatting sqref="U18">
    <cfRule type="cellIs" dxfId="35" priority="282" operator="lessThanOrEqual">
      <formula>G18</formula>
    </cfRule>
  </conditionalFormatting>
  <conditionalFormatting sqref="U19">
    <cfRule type="cellIs" dxfId="34" priority="287" operator="lessThanOrEqual">
      <formula>G19</formula>
    </cfRule>
  </conditionalFormatting>
  <conditionalFormatting sqref="U20">
    <cfRule type="cellIs" dxfId="33" priority="292" operator="lessThanOrEqual">
      <formula>G20</formula>
    </cfRule>
  </conditionalFormatting>
  <conditionalFormatting sqref="U22">
    <cfRule type="cellIs" dxfId="32" priority="297" operator="lessThanOrEqual">
      <formula>G22</formula>
    </cfRule>
  </conditionalFormatting>
  <conditionalFormatting sqref="U24">
    <cfRule type="cellIs" dxfId="31" priority="302" operator="lessThanOrEqual">
      <formula>G24</formula>
    </cfRule>
  </conditionalFormatting>
  <conditionalFormatting sqref="U26">
    <cfRule type="cellIs" dxfId="30" priority="307" operator="lessThanOrEqual">
      <formula>G26</formula>
    </cfRule>
  </conditionalFormatting>
  <conditionalFormatting sqref="U27">
    <cfRule type="cellIs" dxfId="29" priority="312" operator="lessThanOrEqual">
      <formula>G27</formula>
    </cfRule>
  </conditionalFormatting>
  <conditionalFormatting sqref="U28">
    <cfRule type="cellIs" dxfId="28" priority="317" operator="lessThanOrEqual">
      <formula>G28</formula>
    </cfRule>
  </conditionalFormatting>
  <conditionalFormatting sqref="U33">
    <cfRule type="cellIs" dxfId="27" priority="322" operator="lessThanOrEqual">
      <formula>G33</formula>
    </cfRule>
  </conditionalFormatting>
  <conditionalFormatting sqref="U34">
    <cfRule type="cellIs" dxfId="26" priority="327" operator="lessThanOrEqual">
      <formula>G34</formula>
    </cfRule>
  </conditionalFormatting>
  <conditionalFormatting sqref="U8">
    <cfRule type="cellIs" dxfId="25" priority="242" operator="lessThanOrEqual">
      <formula>G8</formula>
    </cfRule>
  </conditionalFormatting>
  <conditionalFormatting sqref="V11">
    <cfRule type="cellIs" dxfId="24" priority="247" operator="lessThanOrEqual">
      <formula>H11</formula>
    </cfRule>
  </conditionalFormatting>
  <conditionalFormatting sqref="V12">
    <cfRule type="cellIs" dxfId="23" priority="253" operator="lessThanOrEqual">
      <formula>H12</formula>
    </cfRule>
  </conditionalFormatting>
  <conditionalFormatting sqref="V13">
    <cfRule type="cellIs" dxfId="22" priority="259" operator="lessThanOrEqual">
      <formula>H13</formula>
    </cfRule>
  </conditionalFormatting>
  <conditionalFormatting sqref="V14">
    <cfRule type="cellIs" dxfId="21" priority="265" operator="lessThanOrEqual">
      <formula>H14</formula>
    </cfRule>
  </conditionalFormatting>
  <conditionalFormatting sqref="V15">
    <cfRule type="cellIs" dxfId="20" priority="270" operator="lessThanOrEqual">
      <formula>H15</formula>
    </cfRule>
  </conditionalFormatting>
  <conditionalFormatting sqref="V16">
    <cfRule type="cellIs" dxfId="19" priority="275" operator="lessThanOrEqual">
      <formula>H16</formula>
    </cfRule>
  </conditionalFormatting>
  <conditionalFormatting sqref="V18">
    <cfRule type="cellIs" dxfId="18" priority="281" operator="lessThanOrEqual">
      <formula>H18</formula>
    </cfRule>
  </conditionalFormatting>
  <conditionalFormatting sqref="V19">
    <cfRule type="cellIs" dxfId="17" priority="286" operator="lessThanOrEqual">
      <formula>H19</formula>
    </cfRule>
  </conditionalFormatting>
  <conditionalFormatting sqref="V20">
    <cfRule type="cellIs" dxfId="16" priority="291" operator="lessThanOrEqual">
      <formula>H20</formula>
    </cfRule>
  </conditionalFormatting>
  <conditionalFormatting sqref="V22">
    <cfRule type="cellIs" dxfId="15" priority="296" operator="lessThanOrEqual">
      <formula>H22</formula>
    </cfRule>
  </conditionalFormatting>
  <conditionalFormatting sqref="V24">
    <cfRule type="cellIs" dxfId="14" priority="301" operator="lessThanOrEqual">
      <formula>H24</formula>
    </cfRule>
  </conditionalFormatting>
  <conditionalFormatting sqref="V26">
    <cfRule type="cellIs" dxfId="13" priority="306" operator="lessThanOrEqual">
      <formula>H26</formula>
    </cfRule>
  </conditionalFormatting>
  <conditionalFormatting sqref="V27">
    <cfRule type="cellIs" dxfId="12" priority="311" operator="lessThanOrEqual">
      <formula>H27</formula>
    </cfRule>
  </conditionalFormatting>
  <conditionalFormatting sqref="V28">
    <cfRule type="cellIs" dxfId="11" priority="316" operator="lessThanOrEqual">
      <formula>H28</formula>
    </cfRule>
  </conditionalFormatting>
  <conditionalFormatting sqref="V33">
    <cfRule type="cellIs" dxfId="10" priority="321" operator="lessThanOrEqual">
      <formula>H33</formula>
    </cfRule>
  </conditionalFormatting>
  <conditionalFormatting sqref="V34">
    <cfRule type="cellIs" dxfId="9" priority="326" operator="lessThanOrEqual">
      <formula>H34</formula>
    </cfRule>
  </conditionalFormatting>
  <conditionalFormatting sqref="V8">
    <cfRule type="cellIs" dxfId="8" priority="241" operator="lessThanOrEqual">
      <formula>H8</formula>
    </cfRule>
  </conditionalFormatting>
  <conditionalFormatting sqref="X33">
    <cfRule type="cellIs" dxfId="7" priority="333" operator="equal">
      <formula>0</formula>
    </cfRule>
    <cfRule type="cellIs" dxfId="6" priority="334" operator="lessThan">
      <formula>F33</formula>
    </cfRule>
  </conditionalFormatting>
  <conditionalFormatting sqref="X9">
    <cfRule type="cellIs" dxfId="5" priority="328" operator="equal">
      <formula>0</formula>
    </cfRule>
    <cfRule type="cellIs" dxfId="4" priority="329" operator="lessThan">
      <formula>F9</formula>
    </cfRule>
  </conditionalFormatting>
  <conditionalFormatting sqref="Y33">
    <cfRule type="cellIs" dxfId="3" priority="335" operator="greaterThan">
      <formula>X33</formula>
    </cfRule>
  </conditionalFormatting>
  <conditionalFormatting sqref="Y9">
    <cfRule type="cellIs" dxfId="2" priority="330" operator="greaterThan">
      <formula>X9</formula>
    </cfRule>
  </conditionalFormatting>
  <conditionalFormatting sqref="Z33">
    <cfRule type="cellIs" dxfId="1" priority="337" operator="lessThanOrEqual">
      <formula>G33</formula>
    </cfRule>
  </conditionalFormatting>
  <conditionalFormatting sqref="Z9">
    <cfRule type="cellIs" dxfId="0" priority="332" operator="lessThanOrEqual">
      <formula>G9</formula>
    </cfRule>
  </conditionalFormatting>
  <hyperlinks>
    <hyperlink ref="E7" r:id="rId1" xr:uid="{00000000-0004-0000-0000-000000000000}"/>
    <hyperlink ref="R7" r:id="rId2" xr:uid="{00000000-0004-0000-0000-000001000000}"/>
    <hyperlink ref="E8" r:id="rId3" xr:uid="{00000000-0004-0000-0000-000002000000}"/>
    <hyperlink ref="R8" r:id="rId4" xr:uid="{00000000-0004-0000-0000-000003000000}"/>
    <hyperlink ref="W8" r:id="rId5" xr:uid="{00000000-0004-0000-0000-000004000000}"/>
    <hyperlink ref="AL8" r:id="rId6" xr:uid="{00000000-0004-0000-0000-000005000000}"/>
    <hyperlink ref="AQ8" r:id="rId7" xr:uid="{00000000-0004-0000-0000-000006000000}"/>
    <hyperlink ref="AV8" r:id="rId8" xr:uid="{00000000-0004-0000-0000-000007000000}"/>
    <hyperlink ref="E9" r:id="rId9" xr:uid="{00000000-0004-0000-0000-000008000000}"/>
    <hyperlink ref="R9" r:id="rId10" xr:uid="{00000000-0004-0000-0000-000009000000}"/>
    <hyperlink ref="AB9" r:id="rId11" xr:uid="{00000000-0004-0000-0000-00000A000000}"/>
    <hyperlink ref="AV9" r:id="rId12" xr:uid="{00000000-0004-0000-0000-00000B000000}"/>
    <hyperlink ref="E11" r:id="rId13" xr:uid="{00000000-0004-0000-0000-00000C000000}"/>
    <hyperlink ref="R11" r:id="rId14" xr:uid="{00000000-0004-0000-0000-00000D000000}"/>
    <hyperlink ref="W11" r:id="rId15" xr:uid="{00000000-0004-0000-0000-00000E000000}"/>
    <hyperlink ref="AG11" r:id="rId16" xr:uid="{00000000-0004-0000-0000-00000F000000}"/>
    <hyperlink ref="AL11" r:id="rId17" xr:uid="{00000000-0004-0000-0000-000010000000}"/>
    <hyperlink ref="AQ11" r:id="rId18" xr:uid="{00000000-0004-0000-0000-000011000000}"/>
    <hyperlink ref="AV11" r:id="rId19" xr:uid="{00000000-0004-0000-0000-000012000000}"/>
    <hyperlink ref="E12" r:id="rId20" xr:uid="{00000000-0004-0000-0000-000013000000}"/>
    <hyperlink ref="R12" r:id="rId21" xr:uid="{00000000-0004-0000-0000-000014000000}"/>
    <hyperlink ref="W12" r:id="rId22" xr:uid="{00000000-0004-0000-0000-000015000000}"/>
    <hyperlink ref="AG12" r:id="rId23" xr:uid="{00000000-0004-0000-0000-000016000000}"/>
    <hyperlink ref="AL12" r:id="rId24" xr:uid="{00000000-0004-0000-0000-000017000000}"/>
    <hyperlink ref="AQ12" r:id="rId25" xr:uid="{00000000-0004-0000-0000-000018000000}"/>
    <hyperlink ref="AV12" r:id="rId26" xr:uid="{00000000-0004-0000-0000-000019000000}"/>
    <hyperlink ref="E13" r:id="rId27" xr:uid="{00000000-0004-0000-0000-00001A000000}"/>
    <hyperlink ref="R13" r:id="rId28" xr:uid="{00000000-0004-0000-0000-00001B000000}"/>
    <hyperlink ref="W13" r:id="rId29" xr:uid="{00000000-0004-0000-0000-00001C000000}"/>
    <hyperlink ref="AG13" r:id="rId30" xr:uid="{00000000-0004-0000-0000-00001D000000}"/>
    <hyperlink ref="AL13" r:id="rId31" xr:uid="{00000000-0004-0000-0000-00001E000000}"/>
    <hyperlink ref="AQ13" r:id="rId32" xr:uid="{00000000-0004-0000-0000-00001F000000}"/>
    <hyperlink ref="AV13" r:id="rId33" xr:uid="{00000000-0004-0000-0000-000020000000}"/>
    <hyperlink ref="E14" r:id="rId34" xr:uid="{00000000-0004-0000-0000-000021000000}"/>
    <hyperlink ref="R14" r:id="rId35" xr:uid="{00000000-0004-0000-0000-000022000000}"/>
    <hyperlink ref="W14" r:id="rId36" xr:uid="{00000000-0004-0000-0000-000023000000}"/>
    <hyperlink ref="AG14" r:id="rId37" xr:uid="{00000000-0004-0000-0000-000024000000}"/>
    <hyperlink ref="AL14" r:id="rId38" xr:uid="{00000000-0004-0000-0000-000025000000}"/>
    <hyperlink ref="AQ14" r:id="rId39" xr:uid="{00000000-0004-0000-0000-000026000000}"/>
    <hyperlink ref="AV14" r:id="rId40" xr:uid="{00000000-0004-0000-0000-000027000000}"/>
    <hyperlink ref="E15" r:id="rId41" xr:uid="{00000000-0004-0000-0000-000028000000}"/>
    <hyperlink ref="R15" r:id="rId42" xr:uid="{00000000-0004-0000-0000-000029000000}"/>
    <hyperlink ref="W15" r:id="rId43" xr:uid="{00000000-0004-0000-0000-00002A000000}"/>
    <hyperlink ref="AG15" r:id="rId44" xr:uid="{00000000-0004-0000-0000-00002B000000}"/>
    <hyperlink ref="AL15" r:id="rId45" xr:uid="{00000000-0004-0000-0000-00002C000000}"/>
    <hyperlink ref="AQ15" r:id="rId46" xr:uid="{00000000-0004-0000-0000-00002D000000}"/>
    <hyperlink ref="AV15" r:id="rId47" xr:uid="{00000000-0004-0000-0000-00002E000000}"/>
    <hyperlink ref="E16" r:id="rId48" xr:uid="{00000000-0004-0000-0000-00002F000000}"/>
    <hyperlink ref="R16" r:id="rId49" xr:uid="{00000000-0004-0000-0000-000030000000}"/>
    <hyperlink ref="W16" r:id="rId50" xr:uid="{00000000-0004-0000-0000-000031000000}"/>
    <hyperlink ref="AG16" r:id="rId51" xr:uid="{00000000-0004-0000-0000-000032000000}"/>
    <hyperlink ref="AL16" r:id="rId52" xr:uid="{00000000-0004-0000-0000-000033000000}"/>
    <hyperlink ref="AQ16" r:id="rId53" xr:uid="{00000000-0004-0000-0000-000034000000}"/>
    <hyperlink ref="AV16" r:id="rId54" xr:uid="{00000000-0004-0000-0000-000035000000}"/>
    <hyperlink ref="R17" r:id="rId55" xr:uid="{00000000-0004-0000-0000-000036000000}"/>
    <hyperlink ref="W17" r:id="rId56" xr:uid="{00000000-0004-0000-0000-000037000000}"/>
    <hyperlink ref="AL17" r:id="rId57" xr:uid="{00000000-0004-0000-0000-000038000000}"/>
    <hyperlink ref="R18" r:id="rId58" xr:uid="{00000000-0004-0000-0000-000039000000}"/>
    <hyperlink ref="W18" r:id="rId59" xr:uid="{00000000-0004-0000-0000-00003A000000}"/>
    <hyperlink ref="AG18" r:id="rId60" xr:uid="{00000000-0004-0000-0000-00003B000000}"/>
    <hyperlink ref="AL18" r:id="rId61" xr:uid="{00000000-0004-0000-0000-00003C000000}"/>
    <hyperlink ref="R19" r:id="rId62" xr:uid="{00000000-0004-0000-0000-00003D000000}"/>
    <hyperlink ref="W19" r:id="rId63" xr:uid="{00000000-0004-0000-0000-00003E000000}"/>
    <hyperlink ref="AG19" r:id="rId64" xr:uid="{00000000-0004-0000-0000-00003F000000}"/>
    <hyperlink ref="AL19" r:id="rId65" xr:uid="{00000000-0004-0000-0000-000040000000}"/>
    <hyperlink ref="R20" r:id="rId66" xr:uid="{00000000-0004-0000-0000-000041000000}"/>
    <hyperlink ref="W20" r:id="rId67" xr:uid="{00000000-0004-0000-0000-000042000000}"/>
    <hyperlink ref="AG20" r:id="rId68" xr:uid="{00000000-0004-0000-0000-000043000000}"/>
    <hyperlink ref="AL20" r:id="rId69" xr:uid="{00000000-0004-0000-0000-000044000000}"/>
    <hyperlink ref="R21" r:id="rId70" xr:uid="{00000000-0004-0000-0000-000045000000}"/>
    <hyperlink ref="W21" r:id="rId71" xr:uid="{00000000-0004-0000-0000-000046000000}"/>
    <hyperlink ref="AL21" r:id="rId72" xr:uid="{00000000-0004-0000-0000-000047000000}"/>
    <hyperlink ref="R22" r:id="rId73" xr:uid="{00000000-0004-0000-0000-000048000000}"/>
    <hyperlink ref="W22" r:id="rId74" xr:uid="{00000000-0004-0000-0000-000049000000}"/>
    <hyperlink ref="AG22" r:id="rId75" xr:uid="{00000000-0004-0000-0000-00004A000000}"/>
    <hyperlink ref="AL22" r:id="rId76" xr:uid="{00000000-0004-0000-0000-00004B000000}"/>
    <hyperlink ref="R23" r:id="rId77" xr:uid="{00000000-0004-0000-0000-00004C000000}"/>
    <hyperlink ref="W23" r:id="rId78" xr:uid="{00000000-0004-0000-0000-00004D000000}"/>
    <hyperlink ref="AL23" r:id="rId79" xr:uid="{00000000-0004-0000-0000-00004E000000}"/>
    <hyperlink ref="R24" r:id="rId80" xr:uid="{00000000-0004-0000-0000-00004F000000}"/>
    <hyperlink ref="W24" r:id="rId81" xr:uid="{00000000-0004-0000-0000-000050000000}"/>
    <hyperlink ref="AG24" r:id="rId82" xr:uid="{00000000-0004-0000-0000-000051000000}"/>
    <hyperlink ref="AL24" r:id="rId83" xr:uid="{00000000-0004-0000-0000-000052000000}"/>
    <hyperlink ref="R25" r:id="rId84" xr:uid="{00000000-0004-0000-0000-000053000000}"/>
    <hyperlink ref="AG25" r:id="rId85" xr:uid="{00000000-0004-0000-0000-000054000000}"/>
    <hyperlink ref="AL25" r:id="rId86" xr:uid="{00000000-0004-0000-0000-000055000000}"/>
    <hyperlink ref="R26" r:id="rId87" xr:uid="{00000000-0004-0000-0000-000056000000}"/>
    <hyperlink ref="W26" r:id="rId88" xr:uid="{00000000-0004-0000-0000-000057000000}"/>
    <hyperlink ref="AG26" r:id="rId89" xr:uid="{00000000-0004-0000-0000-000058000000}"/>
    <hyperlink ref="AL26" r:id="rId90" xr:uid="{00000000-0004-0000-0000-000059000000}"/>
    <hyperlink ref="R27" r:id="rId91" xr:uid="{00000000-0004-0000-0000-00005A000000}"/>
    <hyperlink ref="W27" r:id="rId92" xr:uid="{00000000-0004-0000-0000-00005B000000}"/>
    <hyperlink ref="AG27" r:id="rId93" xr:uid="{00000000-0004-0000-0000-00005C000000}"/>
    <hyperlink ref="AL27" r:id="rId94" xr:uid="{00000000-0004-0000-0000-00005D000000}"/>
    <hyperlink ref="R28" r:id="rId95" xr:uid="{00000000-0004-0000-0000-00005E000000}"/>
    <hyperlink ref="W28" r:id="rId96" xr:uid="{00000000-0004-0000-0000-00005F000000}"/>
    <hyperlink ref="AG28" r:id="rId97" xr:uid="{00000000-0004-0000-0000-000060000000}"/>
    <hyperlink ref="AL28" r:id="rId98" xr:uid="{00000000-0004-0000-0000-000061000000}"/>
    <hyperlink ref="E29" r:id="rId99" xr:uid="{00000000-0004-0000-0000-000062000000}"/>
    <hyperlink ref="E30" r:id="rId100" xr:uid="{00000000-0004-0000-0000-000063000000}"/>
    <hyperlink ref="E31" r:id="rId101" xr:uid="{00000000-0004-0000-0000-000064000000}"/>
    <hyperlink ref="E32" r:id="rId102" xr:uid="{00000000-0004-0000-0000-000065000000}"/>
    <hyperlink ref="E33" r:id="rId103" xr:uid="{00000000-0004-0000-0000-000066000000}"/>
    <hyperlink ref="R33" r:id="rId104" xr:uid="{00000000-0004-0000-0000-000067000000}"/>
    <hyperlink ref="W33" r:id="rId105" xr:uid="{00000000-0004-0000-0000-000068000000}"/>
    <hyperlink ref="AB33" r:id="rId106" xr:uid="{00000000-0004-0000-0000-000069000000}"/>
    <hyperlink ref="AG33" r:id="rId107" xr:uid="{00000000-0004-0000-0000-00006A000000}"/>
    <hyperlink ref="AL33" r:id="rId108" xr:uid="{00000000-0004-0000-0000-00006B000000}"/>
    <hyperlink ref="AQ33" r:id="rId109" xr:uid="{00000000-0004-0000-0000-00006C000000}"/>
    <hyperlink ref="E34" r:id="rId110" xr:uid="{00000000-0004-0000-0000-00006D000000}"/>
    <hyperlink ref="R34" r:id="rId111" xr:uid="{00000000-0004-0000-0000-00006E000000}"/>
    <hyperlink ref="W34" r:id="rId112" xr:uid="{00000000-0004-0000-0000-00006F000000}"/>
    <hyperlink ref="AG34" r:id="rId113" xr:uid="{00000000-0004-0000-0000-000070000000}"/>
    <hyperlink ref="AL34" r:id="rId114" xr:uid="{00000000-0004-0000-0000-000071000000}"/>
    <hyperlink ref="AQ34" r:id="rId115" xr:uid="{00000000-0004-0000-0000-000072000000}"/>
    <hyperlink ref="E35" r:id="rId116" xr:uid="{00000000-0004-0000-0000-000073000000}"/>
    <hyperlink ref="E36" r:id="rId117" xr:uid="{00000000-0004-0000-0000-000074000000}"/>
  </hyperlinks>
  <pageMargins left="0.7" right="0.7" top="0.75" bottom="0.75" header="0.3" footer="0.3"/>
  <legacyDrawing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EncoderBoard. </vt:lpstr>
      <vt:lpstr>arrow_part_data</vt:lpstr>
      <vt:lpstr>AUD_GBP</vt:lpstr>
      <vt:lpstr>AUD_USD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Garner</dc:creator>
  <cp:lastModifiedBy>Blake Garner</cp:lastModifiedBy>
  <dcterms:created xsi:type="dcterms:W3CDTF">2020-06-03T00:18:41Z</dcterms:created>
  <dcterms:modified xsi:type="dcterms:W3CDTF">2020-06-03T10:23:56Z</dcterms:modified>
</cp:coreProperties>
</file>